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AOA\GMCB\Board Meetings\Board Meeting Materials\2021\2021.09.15\"/>
    </mc:Choice>
  </mc:AlternateContent>
  <xr:revisionPtr revIDLastSave="0" documentId="8_{B3F74AF0-D249-4B2D-987E-050F90D62927}" xr6:coauthVersionLast="47" xr6:coauthVersionMax="47" xr10:uidLastSave="{00000000-0000-0000-0000-000000000000}"/>
  <bookViews>
    <workbookView xWindow="28680" yWindow="-120" windowWidth="29040" windowHeight="15840" firstSheet="4" activeTab="4" xr2:uid="{00000000-000D-0000-FFFF-FFFF00000000}"/>
  </bookViews>
  <sheets>
    <sheet name="CrossfireHiddenWorksheet" sheetId="1" state="veryHidden" r:id="rId1"/>
    <sheet name="OfficeConnectSuppressions" sheetId="2" state="veryHidden" r:id="rId2"/>
    <sheet name="OfficeConnectCellHighlights" sheetId="3" state="veryHidden" r:id="rId3"/>
    <sheet name="CEO_CFOs" sheetId="4" state="hidden" r:id="rId4"/>
    <sheet name="Cover" sheetId="5" r:id="rId5"/>
    <sheet name="Income Statement" sheetId="6" r:id="rId6"/>
    <sheet name="Balance Sheet" sheetId="7" r:id="rId7"/>
    <sheet name="Stats" sheetId="10" r:id="rId8"/>
    <sheet name="Payer Mix" sheetId="11" r:id="rId9"/>
    <sheet name="Narrative" sheetId="8" r:id="rId10"/>
    <sheet name="MOR Ratios" sheetId="12" r:id="rId11"/>
  </sheets>
  <externalReferences>
    <externalReference r:id="rId12"/>
  </externalReferences>
  <definedNames>
    <definedName name="_xlnm._FilterDatabase" localSheetId="8" hidden="1">'Payer Mix'!$B$12:$V$31</definedName>
    <definedName name="_xlnm._FilterDatabase" localSheetId="7" hidden="1">Stats!$B$13:$U$36</definedName>
    <definedName name="_xlnm.Print_Area" localSheetId="6">'Balance Sheet'!$B$5:$V$48</definedName>
    <definedName name="_xlnm.Print_Area" localSheetId="4">Cover!$A$2:$L$28</definedName>
    <definedName name="_xlnm.Print_Area" localSheetId="5">'Income Statement'!$B$8:$AJ$64</definedName>
    <definedName name="_xlnm.Print_Area" localSheetId="9">Narrative!$H$8:$X$81</definedName>
    <definedName name="_xlnm.Print_Area" localSheetId="8">'Payer Mix'!$B$12:$X$31</definedName>
    <definedName name="_xlnm.Print_Area" localSheetId="7">Stats!$B$13:$W$35</definedName>
    <definedName name="_xlnm.Print_Titles" localSheetId="8">'Payer Mix'!$B:$B,'Payer Mix'!$8:$11</definedName>
    <definedName name="_xlnm.Print_Titles" localSheetId="7">Stats!$B:$B,Stats!$9:$12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7" l="1"/>
  <c r="T16" i="7"/>
  <c r="T21" i="7" s="1"/>
  <c r="Q16" i="7"/>
  <c r="Q21" i="7" s="1"/>
  <c r="P16" i="7"/>
  <c r="P21" i="7" s="1"/>
  <c r="T28" i="7"/>
  <c r="T12" i="7"/>
  <c r="P10" i="12"/>
  <c r="V71" i="11"/>
  <c r="V70" i="11"/>
  <c r="V67" i="11"/>
  <c r="T29" i="7" l="1"/>
  <c r="T35" i="7" s="1"/>
  <c r="Q29" i="10"/>
  <c r="Q34" i="10" s="1"/>
  <c r="R52" i="11" l="1"/>
  <c r="R41" i="11"/>
  <c r="R30" i="11"/>
  <c r="R26" i="11"/>
  <c r="R37" i="11"/>
  <c r="L18" i="12"/>
  <c r="Q37" i="7"/>
  <c r="T37" i="7" s="1"/>
  <c r="Q28" i="7"/>
  <c r="Q29" i="7"/>
  <c r="Q34" i="7"/>
  <c r="Q35" i="7" s="1"/>
  <c r="AH10" i="6" l="1"/>
  <c r="T58" i="6"/>
  <c r="T56" i="6"/>
  <c r="T52" i="6"/>
  <c r="T51" i="6"/>
  <c r="T50" i="6"/>
  <c r="T49" i="6"/>
  <c r="T48" i="6"/>
  <c r="T47" i="6"/>
  <c r="T46" i="6"/>
  <c r="T45" i="6"/>
  <c r="T44" i="6"/>
  <c r="T43" i="6"/>
  <c r="T42" i="6"/>
  <c r="T40" i="6"/>
  <c r="T39" i="6"/>
  <c r="T38" i="6"/>
  <c r="T37" i="6"/>
  <c r="T36" i="6"/>
  <c r="T35" i="6"/>
  <c r="T34" i="6"/>
  <c r="T33" i="6"/>
  <c r="T32" i="6"/>
  <c r="T31" i="6"/>
  <c r="T30" i="6"/>
  <c r="T29" i="6"/>
  <c r="T28" i="6"/>
  <c r="T27" i="6"/>
  <c r="T26" i="6"/>
  <c r="T25" i="6"/>
  <c r="T24" i="6"/>
  <c r="T23" i="6"/>
  <c r="T22" i="6"/>
  <c r="T21" i="6"/>
  <c r="T20" i="6"/>
  <c r="T19" i="6"/>
  <c r="T17" i="6"/>
  <c r="K18" i="12"/>
  <c r="P29" i="10" l="1"/>
  <c r="P34" i="10" s="1"/>
  <c r="P34" i="7" l="1"/>
  <c r="P29" i="7"/>
  <c r="P28" i="7"/>
  <c r="T34" i="10" l="1"/>
  <c r="O29" i="10"/>
  <c r="O34" i="10" s="1"/>
  <c r="O16" i="10" l="1"/>
  <c r="O15" i="10"/>
  <c r="J18" i="12"/>
  <c r="O16" i="7"/>
  <c r="O21" i="7" s="1"/>
  <c r="N16" i="7"/>
  <c r="N21" i="7"/>
  <c r="O34" i="7"/>
  <c r="O28" i="7"/>
  <c r="O29" i="7" s="1"/>
  <c r="AB46" i="6"/>
  <c r="AD46" i="6" s="1"/>
  <c r="AB45" i="6"/>
  <c r="AD45" i="6" s="1"/>
  <c r="AB44" i="6"/>
  <c r="AD44" i="6" s="1"/>
  <c r="AB43" i="6"/>
  <c r="AD43" i="6" s="1"/>
  <c r="AB42" i="6"/>
  <c r="AD42" i="6" s="1"/>
  <c r="AB37" i="6"/>
  <c r="AB34" i="6"/>
  <c r="AD34" i="6" s="1"/>
  <c r="AB31" i="6"/>
  <c r="AB30" i="6"/>
  <c r="AD30" i="6" s="1"/>
  <c r="O35" i="7" l="1"/>
  <c r="N29" i="10"/>
  <c r="N34" i="10" s="1"/>
  <c r="L26" i="10" l="1"/>
  <c r="N32" i="7" l="1"/>
  <c r="N34" i="7" l="1"/>
  <c r="N29" i="7"/>
  <c r="N35" i="7" s="1"/>
  <c r="T7" i="7" l="1"/>
  <c r="M18" i="7"/>
  <c r="M12" i="7"/>
  <c r="M11" i="7"/>
  <c r="N48" i="11"/>
  <c r="Z25" i="6"/>
  <c r="Z19" i="6"/>
  <c r="Z21" i="6"/>
  <c r="Z23" i="6"/>
  <c r="AB23" i="6" l="1"/>
  <c r="AD23" i="6"/>
  <c r="AB25" i="6"/>
  <c r="AD25" i="6"/>
  <c r="AB21" i="6"/>
  <c r="AD21" i="6"/>
  <c r="AB19" i="6"/>
  <c r="AD19" i="6"/>
  <c r="M29" i="10"/>
  <c r="M34" i="10" s="1"/>
  <c r="L14" i="10" l="1"/>
  <c r="M25" i="7" l="1"/>
  <c r="M28" i="7"/>
  <c r="Z22" i="6"/>
  <c r="Z17" i="6"/>
  <c r="Z51" i="6"/>
  <c r="M37" i="7"/>
  <c r="M34" i="7"/>
  <c r="Z56" i="6"/>
  <c r="Z38" i="6"/>
  <c r="Z48" i="6"/>
  <c r="Z50" i="6"/>
  <c r="Z35" i="6"/>
  <c r="AB50" i="6" l="1"/>
  <c r="AD50" i="6"/>
  <c r="AB48" i="6"/>
  <c r="AD48" i="6"/>
  <c r="AD38" i="6"/>
  <c r="AD51" i="6"/>
  <c r="AB17" i="6"/>
  <c r="AG17" i="6" s="1"/>
  <c r="AH17" i="6" s="1"/>
  <c r="AD17" i="6"/>
  <c r="AB22" i="6"/>
  <c r="AD22" i="6" s="1"/>
  <c r="AB35" i="6"/>
  <c r="AD35" i="6" s="1"/>
  <c r="AB38" i="6"/>
  <c r="AC38" i="6"/>
  <c r="AB51" i="6"/>
  <c r="AC51" i="6" s="1"/>
  <c r="M29" i="7"/>
  <c r="M35" i="7" s="1"/>
  <c r="M16" i="7"/>
  <c r="M21" i="7" s="1"/>
  <c r="AG50" i="6" l="1"/>
  <c r="AH50" i="6" s="1"/>
  <c r="L37" i="7"/>
  <c r="L33" i="7"/>
  <c r="Y56" i="6"/>
  <c r="AB56" i="6" l="1"/>
  <c r="AD56" i="6" s="1"/>
  <c r="L29" i="10"/>
  <c r="L34" i="10"/>
  <c r="L16" i="7" l="1"/>
  <c r="L21" i="7" s="1"/>
  <c r="L29" i="7"/>
  <c r="L34" i="7"/>
  <c r="L35" i="7" l="1"/>
  <c r="V35" i="7" l="1"/>
  <c r="K29" i="10" l="1"/>
  <c r="K34" i="10" s="1"/>
  <c r="K23" i="10" l="1"/>
  <c r="H26" i="10"/>
  <c r="I26" i="10"/>
  <c r="J26" i="10"/>
  <c r="K25" i="10"/>
  <c r="K24" i="10"/>
  <c r="K21" i="10"/>
  <c r="K20" i="10"/>
  <c r="K19" i="10"/>
  <c r="K18" i="10"/>
  <c r="K17" i="10"/>
  <c r="K16" i="10"/>
  <c r="K15" i="10"/>
  <c r="F18" i="12"/>
  <c r="L48" i="11"/>
  <c r="R48" i="11" s="1"/>
  <c r="L40" i="11"/>
  <c r="K34" i="7"/>
  <c r="K16" i="7"/>
  <c r="K21" i="7" s="1"/>
  <c r="K28" i="7"/>
  <c r="K29" i="7" s="1"/>
  <c r="M19" i="10" l="1"/>
  <c r="N19" i="10" s="1"/>
  <c r="M20" i="10"/>
  <c r="N20" i="10" s="1"/>
  <c r="M15" i="10"/>
  <c r="N15" i="10"/>
  <c r="M17" i="10"/>
  <c r="N17" i="10" s="1"/>
  <c r="M24" i="10"/>
  <c r="N24" i="10"/>
  <c r="Q24" i="10" s="1"/>
  <c r="M23" i="10"/>
  <c r="M18" i="10"/>
  <c r="N18" i="10" s="1"/>
  <c r="M21" i="10"/>
  <c r="N21" i="10" s="1"/>
  <c r="K14" i="10"/>
  <c r="M16" i="10"/>
  <c r="M14" i="10" s="1"/>
  <c r="K26" i="10"/>
  <c r="K35" i="7"/>
  <c r="Q17" i="10" l="1"/>
  <c r="Q20" i="10"/>
  <c r="Q19" i="10"/>
  <c r="Q21" i="10"/>
  <c r="Q18" i="10"/>
  <c r="P15" i="10"/>
  <c r="Q15" i="10" s="1"/>
  <c r="M25" i="10"/>
  <c r="N23" i="10"/>
  <c r="Q23" i="10" s="1"/>
  <c r="N16" i="10"/>
  <c r="N14" i="10" s="1"/>
  <c r="J29" i="10"/>
  <c r="I29" i="10"/>
  <c r="H29" i="10"/>
  <c r="T22" i="10"/>
  <c r="T21" i="10"/>
  <c r="U21" i="10" s="1"/>
  <c r="T20" i="10"/>
  <c r="U20" i="10" s="1"/>
  <c r="T19" i="10"/>
  <c r="U19" i="10" s="1"/>
  <c r="T18" i="10"/>
  <c r="U18" i="10" s="1"/>
  <c r="T17" i="10"/>
  <c r="U17" i="10" s="1"/>
  <c r="T15" i="10"/>
  <c r="U15" i="10" s="1"/>
  <c r="M26" i="10" l="1"/>
  <c r="Q16" i="10"/>
  <c r="Q14" i="10" s="1"/>
  <c r="T23" i="10"/>
  <c r="U23" i="10" s="1"/>
  <c r="P16" i="10"/>
  <c r="N25" i="10"/>
  <c r="U9" i="11"/>
  <c r="L51" i="11"/>
  <c r="L55" i="11" s="1"/>
  <c r="M51" i="11"/>
  <c r="M55" i="11" s="1"/>
  <c r="N51" i="11"/>
  <c r="N55" i="11" s="1"/>
  <c r="O51" i="11"/>
  <c r="O55" i="11" s="1"/>
  <c r="P51" i="11"/>
  <c r="P55" i="11" s="1"/>
  <c r="Q51" i="11"/>
  <c r="Q55" i="11" s="1"/>
  <c r="S51" i="11"/>
  <c r="S55" i="11" s="1"/>
  <c r="T51" i="11"/>
  <c r="T55" i="11" s="1"/>
  <c r="I51" i="11"/>
  <c r="I55" i="11" s="1"/>
  <c r="L44" i="11"/>
  <c r="M40" i="11"/>
  <c r="M44" i="11" s="1"/>
  <c r="N40" i="11"/>
  <c r="N44" i="11" s="1"/>
  <c r="O40" i="11"/>
  <c r="O44" i="11" s="1"/>
  <c r="P40" i="11"/>
  <c r="P44" i="11" s="1"/>
  <c r="Q40" i="11"/>
  <c r="Q44" i="11" s="1"/>
  <c r="S40" i="11"/>
  <c r="S44" i="11" s="1"/>
  <c r="T40" i="11"/>
  <c r="T44" i="11" s="1"/>
  <c r="L29" i="11"/>
  <c r="L33" i="11" s="1"/>
  <c r="M29" i="11"/>
  <c r="M33" i="11" s="1"/>
  <c r="N29" i="11"/>
  <c r="N33" i="11" s="1"/>
  <c r="O29" i="11"/>
  <c r="O33" i="11" s="1"/>
  <c r="P29" i="11"/>
  <c r="P33" i="11" s="1"/>
  <c r="Q29" i="11"/>
  <c r="Q33" i="11" s="1"/>
  <c r="S29" i="11"/>
  <c r="S33" i="11" s="1"/>
  <c r="T29" i="11"/>
  <c r="T33" i="11" s="1"/>
  <c r="I40" i="11"/>
  <c r="I44" i="11" s="1"/>
  <c r="T25" i="10" l="1"/>
  <c r="U25" i="10" s="1"/>
  <c r="T16" i="10"/>
  <c r="T14" i="10" s="1"/>
  <c r="Q25" i="10"/>
  <c r="N26" i="10"/>
  <c r="I29" i="11"/>
  <c r="I33" i="11" s="1"/>
  <c r="K47" i="11"/>
  <c r="K51" i="11" s="1"/>
  <c r="K55" i="11" s="1"/>
  <c r="J47" i="11"/>
  <c r="K36" i="11"/>
  <c r="K40" i="11" s="1"/>
  <c r="K44" i="11" s="1"/>
  <c r="J36" i="11"/>
  <c r="K25" i="11"/>
  <c r="K29" i="11" s="1"/>
  <c r="K33" i="11" s="1"/>
  <c r="J25" i="11"/>
  <c r="U16" i="10" l="1"/>
  <c r="U14" i="10" s="1"/>
  <c r="J51" i="11"/>
  <c r="J55" i="11" s="1"/>
  <c r="R47" i="11"/>
  <c r="R51" i="11" s="1"/>
  <c r="R55" i="11" s="1"/>
  <c r="J40" i="11"/>
  <c r="J44" i="11" s="1"/>
  <c r="R36" i="11"/>
  <c r="R40" i="11" s="1"/>
  <c r="R44" i="11" s="1"/>
  <c r="J29" i="11"/>
  <c r="J33" i="11" s="1"/>
  <c r="R25" i="11"/>
  <c r="R29" i="11" s="1"/>
  <c r="R33" i="11" s="1"/>
  <c r="U29" i="11"/>
  <c r="C10" i="11"/>
  <c r="D10" i="11"/>
  <c r="E10" i="11"/>
  <c r="G10" i="11"/>
  <c r="I10" i="11"/>
  <c r="J10" i="11"/>
  <c r="K10" i="11"/>
  <c r="L10" i="11"/>
  <c r="M10" i="11"/>
  <c r="N10" i="11"/>
  <c r="O10" i="11"/>
  <c r="P10" i="11"/>
  <c r="Q10" i="11"/>
  <c r="R10" i="11"/>
  <c r="S10" i="11"/>
  <c r="T10" i="11"/>
  <c r="I14" i="11"/>
  <c r="J14" i="11"/>
  <c r="K14" i="11"/>
  <c r="L14" i="11"/>
  <c r="M14" i="11"/>
  <c r="N14" i="11"/>
  <c r="O14" i="11"/>
  <c r="P14" i="11"/>
  <c r="Q14" i="11"/>
  <c r="R14" i="11"/>
  <c r="S14" i="11"/>
  <c r="T14" i="11"/>
  <c r="I15" i="11"/>
  <c r="J15" i="11"/>
  <c r="K15" i="11"/>
  <c r="L15" i="11"/>
  <c r="M15" i="11"/>
  <c r="N15" i="11"/>
  <c r="O15" i="11"/>
  <c r="P15" i="11"/>
  <c r="Q15" i="11"/>
  <c r="R15" i="11"/>
  <c r="S15" i="11"/>
  <c r="T15" i="11"/>
  <c r="I16" i="11"/>
  <c r="J16" i="11"/>
  <c r="K16" i="11"/>
  <c r="L16" i="11"/>
  <c r="M16" i="11"/>
  <c r="N16" i="11"/>
  <c r="O16" i="11"/>
  <c r="O57" i="11" s="1"/>
  <c r="R57" i="11" s="1"/>
  <c r="P16" i="11"/>
  <c r="Q16" i="11"/>
  <c r="R16" i="11"/>
  <c r="S16" i="11"/>
  <c r="T16" i="11"/>
  <c r="I17" i="11"/>
  <c r="J17" i="11"/>
  <c r="K17" i="11"/>
  <c r="L17" i="11"/>
  <c r="M17" i="11"/>
  <c r="N17" i="11"/>
  <c r="O17" i="11"/>
  <c r="P17" i="11"/>
  <c r="Q17" i="11"/>
  <c r="R17" i="11"/>
  <c r="S17" i="11"/>
  <c r="T17" i="11"/>
  <c r="I19" i="11"/>
  <c r="J19" i="11"/>
  <c r="K19" i="11"/>
  <c r="L19" i="11"/>
  <c r="M19" i="11"/>
  <c r="N19" i="11"/>
  <c r="O19" i="11"/>
  <c r="P19" i="11"/>
  <c r="Q19" i="11"/>
  <c r="R19" i="11"/>
  <c r="S19" i="11"/>
  <c r="T19" i="11"/>
  <c r="I20" i="11"/>
  <c r="J20" i="11"/>
  <c r="K20" i="11"/>
  <c r="L20" i="11"/>
  <c r="M20" i="11"/>
  <c r="N20" i="11"/>
  <c r="O20" i="11"/>
  <c r="P20" i="11"/>
  <c r="Q20" i="11"/>
  <c r="R20" i="11"/>
  <c r="S20" i="11"/>
  <c r="T20" i="11"/>
  <c r="I21" i="11"/>
  <c r="J21" i="11"/>
  <c r="K21" i="11"/>
  <c r="L21" i="11"/>
  <c r="M21" i="11"/>
  <c r="N21" i="11"/>
  <c r="O21" i="11"/>
  <c r="P21" i="11"/>
  <c r="Q21" i="11"/>
  <c r="R21" i="11"/>
  <c r="S21" i="11"/>
  <c r="T21" i="11"/>
  <c r="C21" i="7"/>
  <c r="C42" i="7" s="1"/>
  <c r="C34" i="7"/>
  <c r="D34" i="7"/>
  <c r="E34" i="7"/>
  <c r="F34" i="7"/>
  <c r="G34" i="7"/>
  <c r="E42" i="7"/>
  <c r="F42" i="7"/>
  <c r="G42" i="7"/>
  <c r="B9" i="6"/>
  <c r="B9" i="10" s="1"/>
  <c r="F9" i="6"/>
  <c r="E8" i="11" s="1"/>
  <c r="B10" i="6"/>
  <c r="B10" i="10" s="1"/>
  <c r="C54" i="6"/>
  <c r="D54" i="6"/>
  <c r="H54" i="6"/>
  <c r="I54" i="6"/>
  <c r="J54" i="6"/>
  <c r="K54" i="6"/>
  <c r="L54" i="6"/>
  <c r="M54" i="6"/>
  <c r="N54" i="6"/>
  <c r="O54" i="6"/>
  <c r="P54" i="6"/>
  <c r="Q54" i="6"/>
  <c r="R54" i="6"/>
  <c r="S54" i="6"/>
  <c r="C11" i="10"/>
  <c r="D11" i="10"/>
  <c r="E11" i="10"/>
  <c r="G11" i="10"/>
  <c r="H11" i="10"/>
  <c r="I11" i="10"/>
  <c r="J11" i="10"/>
  <c r="K11" i="10"/>
  <c r="L11" i="10"/>
  <c r="M11" i="10"/>
  <c r="N11" i="10"/>
  <c r="O11" i="10"/>
  <c r="P11" i="10"/>
  <c r="Q11" i="10"/>
  <c r="R11" i="10"/>
  <c r="S11" i="10"/>
  <c r="AG10" i="6"/>
  <c r="N47" i="12"/>
  <c r="M47" i="12"/>
  <c r="L47" i="12"/>
  <c r="K47" i="12"/>
  <c r="J47" i="12"/>
  <c r="I47" i="12"/>
  <c r="H47" i="12"/>
  <c r="G47" i="12"/>
  <c r="F47" i="12"/>
  <c r="D47" i="12"/>
  <c r="C47" i="12"/>
  <c r="B47" i="12"/>
  <c r="B44" i="12"/>
  <c r="T54" i="6" l="1"/>
  <c r="D9" i="10"/>
  <c r="D6" i="7"/>
  <c r="J34" i="10"/>
  <c r="I34" i="10"/>
  <c r="H34" i="10"/>
  <c r="B36" i="12" l="1"/>
  <c r="N30" i="12"/>
  <c r="M30" i="12"/>
  <c r="B30" i="12"/>
  <c r="N22" i="12"/>
  <c r="M22" i="12"/>
  <c r="L22" i="12"/>
  <c r="K22" i="12"/>
  <c r="J22" i="12"/>
  <c r="I22" i="12"/>
  <c r="H22" i="12"/>
  <c r="G22" i="12"/>
  <c r="F22" i="12"/>
  <c r="E22" i="12"/>
  <c r="D22" i="12"/>
  <c r="C22" i="12"/>
  <c r="B22" i="12"/>
  <c r="D18" i="12"/>
  <c r="E18" i="12"/>
  <c r="C18" i="12"/>
  <c r="B17" i="12" l="1"/>
  <c r="B16" i="12"/>
  <c r="M10" i="12"/>
  <c r="L10" i="12"/>
  <c r="K10" i="12"/>
  <c r="N10" i="12"/>
  <c r="J10" i="12"/>
  <c r="I10" i="12"/>
  <c r="H10" i="12"/>
  <c r="G10" i="12"/>
  <c r="F10" i="12"/>
  <c r="D10" i="12"/>
  <c r="C10" i="12"/>
  <c r="B10" i="12"/>
  <c r="N6" i="12"/>
  <c r="M6" i="12"/>
  <c r="L6" i="12"/>
  <c r="K6" i="12"/>
  <c r="J6" i="12"/>
  <c r="I6" i="12"/>
  <c r="H6" i="12"/>
  <c r="G6" i="12"/>
  <c r="F6" i="12"/>
  <c r="E6" i="12"/>
  <c r="D6" i="12"/>
  <c r="C6" i="12"/>
  <c r="B6" i="12"/>
  <c r="B5" i="12"/>
  <c r="C45" i="12"/>
  <c r="B45" i="12"/>
  <c r="B46" i="12" s="1"/>
  <c r="B48" i="12" s="1"/>
  <c r="B50" i="12" s="1"/>
  <c r="M23" i="12"/>
  <c r="K23" i="12"/>
  <c r="I23" i="12"/>
  <c r="G23" i="12"/>
  <c r="E23" i="12"/>
  <c r="C23" i="12"/>
  <c r="N23" i="12"/>
  <c r="L23" i="12"/>
  <c r="J23" i="12"/>
  <c r="H23" i="12"/>
  <c r="F23" i="12"/>
  <c r="D23" i="12"/>
  <c r="B23" i="12"/>
  <c r="M19" i="12"/>
  <c r="K19" i="12"/>
  <c r="J19" i="12"/>
  <c r="H19" i="12"/>
  <c r="F19" i="12"/>
  <c r="C19" i="12"/>
  <c r="D8" i="12"/>
  <c r="D45" i="12" s="1"/>
  <c r="D2" i="12"/>
  <c r="E2" i="12" s="1"/>
  <c r="F2" i="12" s="1"/>
  <c r="G2" i="12" s="1"/>
  <c r="H2" i="12" s="1"/>
  <c r="I2" i="12" s="1"/>
  <c r="J2" i="12" s="1"/>
  <c r="K2" i="12" s="1"/>
  <c r="L2" i="12" s="1"/>
  <c r="M2" i="12" s="1"/>
  <c r="N2" i="12" s="1"/>
  <c r="B7" i="12" l="1"/>
  <c r="B9" i="12" s="1"/>
  <c r="B37" i="12" s="1"/>
  <c r="B38" i="12" s="1"/>
  <c r="B40" i="12" s="1"/>
  <c r="B19" i="12"/>
  <c r="B20" i="12" s="1"/>
  <c r="I19" i="12"/>
  <c r="L19" i="12"/>
  <c r="E8" i="12"/>
  <c r="F8" i="12" s="1"/>
  <c r="G8" i="12" s="1"/>
  <c r="N19" i="12"/>
  <c r="D19" i="12"/>
  <c r="E19" i="12"/>
  <c r="G19" i="12"/>
  <c r="B24" i="12"/>
  <c r="B26" i="12" s="1"/>
  <c r="C20" i="12"/>
  <c r="C24" i="12" s="1"/>
  <c r="C26" i="12" s="1"/>
  <c r="B11" i="12" l="1"/>
  <c r="B13" i="12" s="1"/>
  <c r="J20" i="12"/>
  <c r="J24" i="12" s="1"/>
  <c r="O45" i="7" s="1"/>
  <c r="E20" i="12"/>
  <c r="E24" i="12" s="1"/>
  <c r="E26" i="12" s="1"/>
  <c r="K20" i="12"/>
  <c r="K24" i="12" s="1"/>
  <c r="P45" i="7" s="1"/>
  <c r="F20" i="12"/>
  <c r="F24" i="12" s="1"/>
  <c r="D20" i="12"/>
  <c r="D24" i="12" s="1"/>
  <c r="D26" i="12" s="1"/>
  <c r="H20" i="12"/>
  <c r="H24" i="12" s="1"/>
  <c r="M20" i="12"/>
  <c r="M24" i="12" s="1"/>
  <c r="E45" i="12"/>
  <c r="L20" i="12"/>
  <c r="L24" i="12" s="1"/>
  <c r="Q45" i="7" s="1"/>
  <c r="N20" i="12"/>
  <c r="N24" i="12" s="1"/>
  <c r="I20" i="12"/>
  <c r="I24" i="12" s="1"/>
  <c r="G20" i="12"/>
  <c r="G24" i="12" s="1"/>
  <c r="F45" i="12"/>
  <c r="N45" i="7" l="1"/>
  <c r="I26" i="12"/>
  <c r="H26" i="12"/>
  <c r="M45" i="7"/>
  <c r="G26" i="12"/>
  <c r="L45" i="7"/>
  <c r="F26" i="12"/>
  <c r="K45" i="7"/>
  <c r="G45" i="12"/>
  <c r="H8" i="12"/>
  <c r="H45" i="12" l="1"/>
  <c r="I8" i="12"/>
  <c r="J8" i="12" l="1"/>
  <c r="I45" i="12"/>
  <c r="J45" i="12" l="1"/>
  <c r="K8" i="12"/>
  <c r="K45" i="12" l="1"/>
  <c r="L8" i="12"/>
  <c r="L45" i="12" l="1"/>
  <c r="M8" i="12"/>
  <c r="N8" i="12" l="1"/>
  <c r="M45" i="12"/>
  <c r="N45" i="12" l="1"/>
  <c r="J24" i="7" l="1"/>
  <c r="J23" i="7"/>
  <c r="J11" i="7"/>
  <c r="J12" i="7"/>
  <c r="E47" i="12" s="1"/>
  <c r="J15" i="7"/>
  <c r="J18" i="7"/>
  <c r="J19" i="7"/>
  <c r="J25" i="7"/>
  <c r="J28" i="7"/>
  <c r="J33" i="7"/>
  <c r="J32" i="7"/>
  <c r="J34" i="7" s="1"/>
  <c r="E29" i="12" s="1"/>
  <c r="J37" i="7"/>
  <c r="J27" i="7"/>
  <c r="J26" i="7"/>
  <c r="I37" i="7"/>
  <c r="I15" i="7"/>
  <c r="I16" i="7" s="1"/>
  <c r="I21" i="7" s="1"/>
  <c r="I34" i="7"/>
  <c r="D29" i="12" s="1"/>
  <c r="I28" i="7"/>
  <c r="I29" i="7" s="1"/>
  <c r="H37" i="7"/>
  <c r="H33" i="7"/>
  <c r="H32" i="7"/>
  <c r="H28" i="7"/>
  <c r="H29" i="7" s="1"/>
  <c r="C36" i="12" s="1"/>
  <c r="H16" i="7"/>
  <c r="H21" i="7" s="1"/>
  <c r="J29" i="7" l="1"/>
  <c r="E36" i="12" s="1"/>
  <c r="H34" i="7"/>
  <c r="C29" i="12" s="1"/>
  <c r="I35" i="7"/>
  <c r="D36" i="12"/>
  <c r="E10" i="12"/>
  <c r="J16" i="7"/>
  <c r="J21" i="7" s="1"/>
  <c r="J35" i="7" l="1"/>
  <c r="H35" i="7"/>
  <c r="B29" i="12"/>
  <c r="B31" i="12" s="1"/>
  <c r="B33" i="12" s="1"/>
  <c r="AI9" i="6"/>
  <c r="B8" i="11" l="1"/>
  <c r="AI8" i="1" l="1"/>
  <c r="Y35" i="1"/>
  <c r="I64" i="11" l="1"/>
  <c r="J64" i="11"/>
  <c r="Q64" i="11"/>
  <c r="R64" i="11"/>
  <c r="S64" i="11"/>
  <c r="I65" i="11"/>
  <c r="R65" i="11"/>
  <c r="S65" i="11"/>
  <c r="T65" i="11"/>
  <c r="S66" i="11"/>
  <c r="T66" i="11"/>
  <c r="L67" i="11"/>
  <c r="M67" i="11"/>
  <c r="T67" i="11"/>
  <c r="I69" i="11"/>
  <c r="N69" i="11"/>
  <c r="I70" i="11"/>
  <c r="J70" i="11"/>
  <c r="I71" i="11"/>
  <c r="L71" i="11"/>
  <c r="M71" i="11"/>
  <c r="N71" i="11"/>
  <c r="P71" i="11"/>
  <c r="Q71" i="11"/>
  <c r="K64" i="11"/>
  <c r="L64" i="11"/>
  <c r="M64" i="11"/>
  <c r="N64" i="11"/>
  <c r="O64" i="11"/>
  <c r="P64" i="11"/>
  <c r="T64" i="11"/>
  <c r="K65" i="11"/>
  <c r="L65" i="11"/>
  <c r="M65" i="11"/>
  <c r="N65" i="11"/>
  <c r="O65" i="11"/>
  <c r="P65" i="11"/>
  <c r="Q65" i="11"/>
  <c r="K66" i="11"/>
  <c r="L66" i="11"/>
  <c r="M66" i="11"/>
  <c r="N66" i="11"/>
  <c r="O66" i="11"/>
  <c r="P66" i="11"/>
  <c r="Q66" i="11"/>
  <c r="R66" i="11"/>
  <c r="K67" i="11"/>
  <c r="N67" i="11"/>
  <c r="O67" i="11"/>
  <c r="P67" i="11"/>
  <c r="Q67" i="11"/>
  <c r="R67" i="11"/>
  <c r="S67" i="11"/>
  <c r="K69" i="11"/>
  <c r="L69" i="11"/>
  <c r="M69" i="11"/>
  <c r="O69" i="11"/>
  <c r="P69" i="11"/>
  <c r="Q69" i="11"/>
  <c r="R69" i="11"/>
  <c r="S69" i="11"/>
  <c r="T69" i="11"/>
  <c r="K70" i="11"/>
  <c r="L70" i="11"/>
  <c r="M70" i="11"/>
  <c r="N70" i="11"/>
  <c r="O70" i="11"/>
  <c r="P70" i="11"/>
  <c r="Q70" i="11"/>
  <c r="R70" i="11"/>
  <c r="S70" i="11"/>
  <c r="T70" i="11"/>
  <c r="K71" i="11"/>
  <c r="O71" i="11"/>
  <c r="R71" i="11"/>
  <c r="S71" i="11"/>
  <c r="T71" i="11"/>
  <c r="J71" i="11"/>
  <c r="J69" i="11"/>
  <c r="J67" i="11"/>
  <c r="I67" i="11"/>
  <c r="J66" i="11"/>
  <c r="I66" i="11"/>
  <c r="J65" i="11"/>
  <c r="D56" i="7"/>
  <c r="E56" i="7"/>
  <c r="F56" i="7"/>
  <c r="G56" i="7"/>
  <c r="R56" i="7"/>
  <c r="S56" i="7"/>
  <c r="C56" i="7"/>
  <c r="R16" i="7"/>
  <c r="S16" i="7"/>
  <c r="V16" i="7"/>
  <c r="AG46" i="6"/>
  <c r="AG47" i="6"/>
  <c r="AJ47" i="6" s="1"/>
  <c r="AG48" i="6"/>
  <c r="AG49" i="6"/>
  <c r="AJ49" i="6" s="1"/>
  <c r="AG51" i="6"/>
  <c r="AG31" i="6"/>
  <c r="AG32" i="6"/>
  <c r="AJ32" i="6" s="1"/>
  <c r="G55" i="7"/>
  <c r="D69" i="6"/>
  <c r="E69" i="6"/>
  <c r="F69" i="6"/>
  <c r="G69" i="6"/>
  <c r="H69" i="6"/>
  <c r="I69" i="6"/>
  <c r="J69" i="6"/>
  <c r="K69" i="6"/>
  <c r="L69" i="6"/>
  <c r="M69" i="6"/>
  <c r="N69" i="6"/>
  <c r="O69" i="6"/>
  <c r="P69" i="6"/>
  <c r="Q69" i="6"/>
  <c r="R69" i="6"/>
  <c r="S69" i="6"/>
  <c r="C69" i="6"/>
  <c r="C68" i="6"/>
  <c r="F68" i="6"/>
  <c r="G68" i="6"/>
  <c r="H68" i="6"/>
  <c r="I68" i="6"/>
  <c r="J68" i="6"/>
  <c r="K68" i="6"/>
  <c r="L68" i="6"/>
  <c r="M68" i="6"/>
  <c r="N68" i="6"/>
  <c r="O68" i="6"/>
  <c r="P68" i="6"/>
  <c r="Q68" i="6"/>
  <c r="R68" i="6"/>
  <c r="S68" i="6"/>
  <c r="E68" i="6"/>
  <c r="S45" i="1"/>
  <c r="S44" i="1"/>
  <c r="S43" i="1"/>
  <c r="G74" i="11"/>
  <c r="U21" i="1"/>
  <c r="AJ50" i="6"/>
  <c r="AJ17" i="6"/>
  <c r="AJ15" i="6"/>
  <c r="AH46" i="6" l="1"/>
  <c r="AJ46" i="6" s="1"/>
  <c r="AH31" i="6"/>
  <c r="AJ31" i="6" s="1"/>
  <c r="AH51" i="6"/>
  <c r="AJ51" i="6" s="1"/>
  <c r="AH48" i="6"/>
  <c r="AJ48" i="6" s="1"/>
  <c r="T68" i="6"/>
  <c r="T69" i="6"/>
  <c r="U57" i="11"/>
  <c r="V57" i="11" s="1"/>
  <c r="U55" i="11"/>
  <c r="U54" i="11"/>
  <c r="U53" i="11"/>
  <c r="U52" i="11"/>
  <c r="V52" i="11" s="1"/>
  <c r="U51" i="11"/>
  <c r="U50" i="11"/>
  <c r="U49" i="11"/>
  <c r="U48" i="11"/>
  <c r="V48" i="11" s="1"/>
  <c r="U47" i="11"/>
  <c r="V47" i="11" s="1"/>
  <c r="U44" i="11"/>
  <c r="U43" i="11"/>
  <c r="U42" i="11"/>
  <c r="U41" i="11"/>
  <c r="V41" i="11" s="1"/>
  <c r="U40" i="11"/>
  <c r="U39" i="11"/>
  <c r="U38" i="11"/>
  <c r="U37" i="11"/>
  <c r="V37" i="11" s="1"/>
  <c r="U36" i="11"/>
  <c r="V36" i="11" s="1"/>
  <c r="V40" i="11" s="1"/>
  <c r="U33" i="11"/>
  <c r="U32" i="11"/>
  <c r="U31" i="11"/>
  <c r="U30" i="11"/>
  <c r="V30" i="11" s="1"/>
  <c r="U28" i="11"/>
  <c r="U27" i="11"/>
  <c r="U26" i="11"/>
  <c r="V26" i="11" s="1"/>
  <c r="U25" i="11"/>
  <c r="V25" i="11" s="1"/>
  <c r="V29" i="11" s="1"/>
  <c r="V33" i="11" s="1"/>
  <c r="D64" i="11"/>
  <c r="E64" i="11"/>
  <c r="F64" i="11"/>
  <c r="G64" i="11"/>
  <c r="H64" i="11"/>
  <c r="D65" i="11"/>
  <c r="E65" i="11"/>
  <c r="F65" i="11"/>
  <c r="G65" i="11"/>
  <c r="H65" i="11"/>
  <c r="D66" i="11"/>
  <c r="E66" i="11"/>
  <c r="F66" i="11"/>
  <c r="G66" i="11"/>
  <c r="H66" i="11"/>
  <c r="D67" i="11"/>
  <c r="E67" i="11"/>
  <c r="F67" i="11"/>
  <c r="G67" i="11"/>
  <c r="H67" i="11"/>
  <c r="D68" i="11"/>
  <c r="E68" i="11"/>
  <c r="F68" i="11"/>
  <c r="G68" i="11"/>
  <c r="H68" i="11"/>
  <c r="D69" i="11"/>
  <c r="E69" i="11"/>
  <c r="F69" i="11"/>
  <c r="G69" i="11"/>
  <c r="H69" i="11"/>
  <c r="D70" i="11"/>
  <c r="E70" i="11"/>
  <c r="F70" i="11"/>
  <c r="G70" i="11"/>
  <c r="H70" i="11"/>
  <c r="D71" i="11"/>
  <c r="E71" i="11"/>
  <c r="F71" i="11"/>
  <c r="G71" i="11"/>
  <c r="H71" i="11"/>
  <c r="D72" i="11"/>
  <c r="E72" i="11"/>
  <c r="F72" i="11"/>
  <c r="G72" i="11"/>
  <c r="H72" i="11"/>
  <c r="D74" i="11"/>
  <c r="E74" i="11"/>
  <c r="F74" i="11"/>
  <c r="H74" i="11"/>
  <c r="B7" i="11"/>
  <c r="C74" i="11"/>
  <c r="C72" i="11"/>
  <c r="C68" i="11"/>
  <c r="C66" i="11"/>
  <c r="C65" i="11"/>
  <c r="C67" i="11"/>
  <c r="C69" i="11"/>
  <c r="C70" i="11"/>
  <c r="C71" i="11"/>
  <c r="C64" i="11"/>
  <c r="AK44" i="1"/>
  <c r="AK43" i="1"/>
  <c r="AK40" i="1"/>
  <c r="AK41" i="1"/>
  <c r="AK42" i="1"/>
  <c r="AK39" i="1"/>
  <c r="AK38" i="1"/>
  <c r="AK37" i="1"/>
  <c r="AK36" i="1"/>
  <c r="AK35" i="1"/>
  <c r="AK34" i="1"/>
  <c r="AK31" i="1"/>
  <c r="AK32" i="1"/>
  <c r="AK33" i="1"/>
  <c r="AK30" i="1"/>
  <c r="AK29" i="1"/>
  <c r="AK28" i="1"/>
  <c r="AK27" i="1"/>
  <c r="AK26" i="1"/>
  <c r="AK25" i="1"/>
  <c r="AK24" i="1"/>
  <c r="AK23" i="1"/>
  <c r="AK22" i="1"/>
  <c r="AK21" i="1"/>
  <c r="AK20" i="1"/>
  <c r="AK19" i="1"/>
  <c r="AK18" i="1"/>
  <c r="AK17" i="1"/>
  <c r="AK16" i="1"/>
  <c r="AK15" i="1"/>
  <c r="AK14" i="1"/>
  <c r="AK13" i="1"/>
  <c r="AK12" i="1"/>
  <c r="AK11" i="1"/>
  <c r="AK9" i="1"/>
  <c r="AK10" i="1"/>
  <c r="AK8" i="1"/>
  <c r="V51" i="11" l="1"/>
  <c r="V55" i="11" s="1"/>
  <c r="V44" i="11"/>
  <c r="U14" i="11"/>
  <c r="U17" i="11"/>
  <c r="U67" i="11" s="1"/>
  <c r="U19" i="11"/>
  <c r="U20" i="11"/>
  <c r="U70" i="11" s="1"/>
  <c r="U21" i="11"/>
  <c r="U71" i="11" s="1"/>
  <c r="U15" i="11"/>
  <c r="U16" i="11"/>
  <c r="AM5" i="1"/>
  <c r="AM6" i="1"/>
  <c r="AM7" i="1"/>
  <c r="AM8" i="1"/>
  <c r="AM9" i="1"/>
  <c r="AM11" i="1"/>
  <c r="AM12" i="1"/>
  <c r="AM13" i="1"/>
  <c r="AM14" i="1"/>
  <c r="AM15" i="1"/>
  <c r="AM16" i="1"/>
  <c r="AM17" i="1"/>
  <c r="AM19" i="1"/>
  <c r="AM20" i="1"/>
  <c r="AM21" i="1"/>
  <c r="AK5" i="1"/>
  <c r="AK6" i="1"/>
  <c r="AK7" i="1"/>
  <c r="Y10" i="11"/>
  <c r="AM10" i="1"/>
  <c r="X10" i="11"/>
  <c r="U64" i="11" l="1"/>
  <c r="V14" i="11"/>
  <c r="U65" i="11"/>
  <c r="V15" i="11"/>
  <c r="V65" i="11" s="1"/>
  <c r="U69" i="11"/>
  <c r="V19" i="11"/>
  <c r="V69" i="11" s="1"/>
  <c r="U66" i="11"/>
  <c r="V16" i="11"/>
  <c r="V66" i="11" s="1"/>
  <c r="B9" i="5"/>
  <c r="H8" i="8" s="1"/>
  <c r="W39" i="1"/>
  <c r="AG9" i="1"/>
  <c r="AG10" i="1"/>
  <c r="AE17" i="1"/>
  <c r="AE18" i="1"/>
  <c r="AE19" i="1"/>
  <c r="AE20" i="1"/>
  <c r="AE21" i="1"/>
  <c r="AI7" i="1"/>
  <c r="AE16" i="1"/>
  <c r="AI6" i="1"/>
  <c r="AE15" i="1"/>
  <c r="AG19" i="1"/>
  <c r="AG20" i="1"/>
  <c r="AG21" i="1"/>
  <c r="AG16" i="1"/>
  <c r="AG17" i="1"/>
  <c r="AG18" i="1"/>
  <c r="AG13" i="1"/>
  <c r="AG14" i="1"/>
  <c r="AG15" i="1"/>
  <c r="AG11" i="1"/>
  <c r="AG12" i="1"/>
  <c r="AE14" i="1"/>
  <c r="AE13" i="1"/>
  <c r="AE12" i="1"/>
  <c r="AG8" i="1"/>
  <c r="AG7" i="1"/>
  <c r="AG6" i="1"/>
  <c r="AG5" i="1"/>
  <c r="AE11" i="1"/>
  <c r="V18" i="11" l="1"/>
  <c r="V64" i="11"/>
  <c r="B9" i="11"/>
  <c r="B6" i="7"/>
  <c r="AI5" i="1"/>
  <c r="AE10" i="1"/>
  <c r="AE9" i="1"/>
  <c r="AE8" i="1"/>
  <c r="AE7" i="1"/>
  <c r="AE6" i="1"/>
  <c r="AE5" i="1"/>
  <c r="C55" i="7"/>
  <c r="E55" i="7"/>
  <c r="F55" i="7"/>
  <c r="V24" i="7"/>
  <c r="U24" i="7"/>
  <c r="V31" i="7"/>
  <c r="U31" i="7"/>
  <c r="F29" i="12"/>
  <c r="G29" i="12"/>
  <c r="H29" i="12"/>
  <c r="I29" i="12"/>
  <c r="J29" i="12"/>
  <c r="K29" i="12"/>
  <c r="L29" i="12"/>
  <c r="R34" i="7"/>
  <c r="M29" i="12" s="1"/>
  <c r="M31" i="12" s="1"/>
  <c r="S34" i="7"/>
  <c r="N29" i="12" s="1"/>
  <c r="N31" i="12" s="1"/>
  <c r="Y34" i="1"/>
  <c r="Y33" i="1"/>
  <c r="V22" i="11" l="1"/>
  <c r="V68" i="11"/>
  <c r="U45" i="7"/>
  <c r="U46" i="7"/>
  <c r="U47" i="7"/>
  <c r="U48" i="7"/>
  <c r="U44" i="7"/>
  <c r="V48" i="7"/>
  <c r="V47" i="7"/>
  <c r="V46" i="7"/>
  <c r="V45" i="7"/>
  <c r="V44" i="7"/>
  <c r="V37" i="7"/>
  <c r="V26" i="7"/>
  <c r="V13" i="7"/>
  <c r="V14" i="7"/>
  <c r="V33" i="7"/>
  <c r="V32" i="7"/>
  <c r="V28" i="7"/>
  <c r="V27" i="7"/>
  <c r="V25" i="7"/>
  <c r="V23" i="7"/>
  <c r="V20" i="7"/>
  <c r="V19" i="7"/>
  <c r="V18" i="7"/>
  <c r="V15" i="7"/>
  <c r="V12" i="7"/>
  <c r="V11" i="7"/>
  <c r="U37" i="7"/>
  <c r="U26" i="7"/>
  <c r="U27" i="7"/>
  <c r="U35" i="7"/>
  <c r="U16" i="7"/>
  <c r="U12" i="7"/>
  <c r="U13" i="7"/>
  <c r="U14" i="7"/>
  <c r="U15" i="7"/>
  <c r="U33" i="7"/>
  <c r="U32" i="7"/>
  <c r="U28" i="7"/>
  <c r="U25" i="7"/>
  <c r="U23" i="7"/>
  <c r="U20" i="7"/>
  <c r="U19" i="7"/>
  <c r="U18" i="7"/>
  <c r="U11" i="7"/>
  <c r="U34" i="7"/>
  <c r="C54" i="7"/>
  <c r="Y32" i="1"/>
  <c r="Y31" i="1"/>
  <c r="Y30" i="1"/>
  <c r="Y29" i="1"/>
  <c r="Y28" i="1"/>
  <c r="D54" i="7"/>
  <c r="E54" i="7"/>
  <c r="F54" i="7"/>
  <c r="G54" i="7"/>
  <c r="Y27" i="1"/>
  <c r="Y26" i="1"/>
  <c r="Y25" i="1"/>
  <c r="Y24" i="1"/>
  <c r="Y23" i="1"/>
  <c r="Y22" i="1"/>
  <c r="Y21" i="1"/>
  <c r="Y20" i="1"/>
  <c r="Y19" i="1"/>
  <c r="Y18" i="1"/>
  <c r="Y17" i="1"/>
  <c r="Y16" i="1"/>
  <c r="Y15" i="1"/>
  <c r="Y14" i="1"/>
  <c r="Y13" i="1"/>
  <c r="Y12" i="1"/>
  <c r="Y11" i="1"/>
  <c r="Y10" i="1"/>
  <c r="Y9" i="1"/>
  <c r="Y8" i="1"/>
  <c r="Y7" i="1"/>
  <c r="Y6" i="1"/>
  <c r="Y5" i="1"/>
  <c r="AA9" i="1"/>
  <c r="AA8" i="1"/>
  <c r="AA7" i="1"/>
  <c r="AA6" i="1"/>
  <c r="AA5" i="1"/>
  <c r="B7" i="7"/>
  <c r="V72" i="11" l="1"/>
  <c r="V34" i="7"/>
  <c r="V52" i="6"/>
  <c r="D5" i="12" s="1"/>
  <c r="W52" i="6"/>
  <c r="E5" i="12" s="1"/>
  <c r="X52" i="6"/>
  <c r="F5" i="12" s="1"/>
  <c r="Y52" i="6"/>
  <c r="G5" i="12" s="1"/>
  <c r="Z52" i="6"/>
  <c r="H5" i="12" s="1"/>
  <c r="AA52" i="6"/>
  <c r="I5" i="12" s="1"/>
  <c r="AB52" i="6"/>
  <c r="J5" i="12" s="1"/>
  <c r="AC52" i="6"/>
  <c r="K5" i="12" s="1"/>
  <c r="AD52" i="6"/>
  <c r="L5" i="12" s="1"/>
  <c r="AE52" i="6"/>
  <c r="M5" i="12" s="1"/>
  <c r="AF52" i="6"/>
  <c r="N5" i="12" s="1"/>
  <c r="U52" i="6"/>
  <c r="C5" i="12" s="1"/>
  <c r="V39" i="6"/>
  <c r="W39" i="6"/>
  <c r="X39" i="6"/>
  <c r="Y39" i="6"/>
  <c r="Z39" i="6"/>
  <c r="AA39" i="6"/>
  <c r="AB39" i="6"/>
  <c r="AC39" i="6"/>
  <c r="AD39" i="6"/>
  <c r="AE39" i="6"/>
  <c r="AF39" i="6"/>
  <c r="AG26" i="6"/>
  <c r="AJ26" i="6" s="1"/>
  <c r="AG27" i="6"/>
  <c r="AJ27" i="6" s="1"/>
  <c r="V28" i="6"/>
  <c r="W28" i="6"/>
  <c r="X28" i="6"/>
  <c r="Y28" i="6"/>
  <c r="Z28" i="6"/>
  <c r="AA28" i="6"/>
  <c r="AB28" i="6"/>
  <c r="AC28" i="6"/>
  <c r="AD28" i="6"/>
  <c r="AE28" i="6"/>
  <c r="AF28" i="6"/>
  <c r="U28" i="6"/>
  <c r="S21" i="1"/>
  <c r="S26" i="1"/>
  <c r="S27" i="1"/>
  <c r="S28" i="1"/>
  <c r="AI50" i="6"/>
  <c r="AI51" i="6"/>
  <c r="AI31" i="6"/>
  <c r="S8" i="1"/>
  <c r="S6" i="1"/>
  <c r="S7" i="1"/>
  <c r="W38" i="1"/>
  <c r="W37" i="1"/>
  <c r="W36" i="1"/>
  <c r="D67" i="6"/>
  <c r="E67" i="6"/>
  <c r="F67" i="6"/>
  <c r="H67" i="6"/>
  <c r="I67" i="6"/>
  <c r="J67" i="6"/>
  <c r="K67" i="6"/>
  <c r="L67" i="6"/>
  <c r="M67" i="6"/>
  <c r="N67" i="6"/>
  <c r="O67" i="6"/>
  <c r="P67" i="6"/>
  <c r="Q67" i="6"/>
  <c r="R67" i="6"/>
  <c r="S67" i="6"/>
  <c r="W35" i="1"/>
  <c r="W34" i="1"/>
  <c r="W33" i="1"/>
  <c r="W32" i="1"/>
  <c r="W31" i="1"/>
  <c r="W30" i="1"/>
  <c r="W29" i="1"/>
  <c r="W28" i="1"/>
  <c r="W27" i="1"/>
  <c r="W26" i="1"/>
  <c r="W25" i="1"/>
  <c r="W24" i="1"/>
  <c r="W23" i="1"/>
  <c r="W22" i="1"/>
  <c r="W21" i="1"/>
  <c r="W20" i="1"/>
  <c r="W19" i="1"/>
  <c r="W18" i="1"/>
  <c r="W17" i="1"/>
  <c r="C67" i="6"/>
  <c r="U20" i="1"/>
  <c r="W16" i="1"/>
  <c r="W15" i="1"/>
  <c r="W14" i="1"/>
  <c r="W13" i="1"/>
  <c r="W12" i="1"/>
  <c r="W11" i="1"/>
  <c r="W10" i="1"/>
  <c r="W9" i="1"/>
  <c r="W8" i="1"/>
  <c r="W7" i="1"/>
  <c r="W6" i="1"/>
  <c r="W5" i="1"/>
  <c r="U17" i="1"/>
  <c r="U18" i="1"/>
  <c r="U19" i="1"/>
  <c r="U14" i="1"/>
  <c r="U15" i="1"/>
  <c r="U16" i="1"/>
  <c r="U11" i="1"/>
  <c r="U12" i="1"/>
  <c r="U13" i="1"/>
  <c r="U8" i="1"/>
  <c r="U9" i="1"/>
  <c r="U10" i="1"/>
  <c r="U7" i="1"/>
  <c r="U6" i="1"/>
  <c r="U5" i="1"/>
  <c r="S30" i="1"/>
  <c r="S29" i="1"/>
  <c r="S17" i="1"/>
  <c r="K7" i="12" l="1"/>
  <c r="K9" i="12" s="1"/>
  <c r="F7" i="12"/>
  <c r="F9" i="12" s="1"/>
  <c r="E7" i="12"/>
  <c r="E9" i="12" s="1"/>
  <c r="I7" i="12"/>
  <c r="I9" i="12" s="1"/>
  <c r="J7" i="12"/>
  <c r="J9" i="12" s="1"/>
  <c r="N7" i="12"/>
  <c r="N9" i="12" s="1"/>
  <c r="H7" i="12"/>
  <c r="H9" i="12" s="1"/>
  <c r="C7" i="12"/>
  <c r="C9" i="12" s="1"/>
  <c r="M7" i="12"/>
  <c r="M9" i="12" s="1"/>
  <c r="G7" i="12"/>
  <c r="G9" i="12" s="1"/>
  <c r="D7" i="12"/>
  <c r="D9" i="12" s="1"/>
  <c r="L7" i="12"/>
  <c r="L9" i="12" s="1"/>
  <c r="AI47" i="6"/>
  <c r="AI46" i="6"/>
  <c r="AI48" i="6"/>
  <c r="AI27" i="6"/>
  <c r="AI26" i="6"/>
  <c r="AI49" i="6"/>
  <c r="AG28" i="6"/>
  <c r="AI28" i="6" s="1"/>
  <c r="S33" i="1"/>
  <c r="S25" i="1"/>
  <c r="S24" i="1"/>
  <c r="S23" i="1"/>
  <c r="S22" i="1"/>
  <c r="S20" i="1"/>
  <c r="S19" i="1"/>
  <c r="S18" i="1"/>
  <c r="S14" i="1"/>
  <c r="S13" i="1"/>
  <c r="S16" i="1"/>
  <c r="S15" i="1"/>
  <c r="S12" i="1"/>
  <c r="S11" i="1"/>
  <c r="S10" i="1"/>
  <c r="S9" i="1"/>
  <c r="S5" i="1"/>
  <c r="S39" i="1"/>
  <c r="S38" i="1"/>
  <c r="T10" i="10"/>
  <c r="X33" i="10"/>
  <c r="W33" i="10"/>
  <c r="V33" i="10"/>
  <c r="X32" i="10"/>
  <c r="W32" i="10"/>
  <c r="V32" i="10"/>
  <c r="X31" i="10"/>
  <c r="W31" i="10"/>
  <c r="X30" i="10"/>
  <c r="W30" i="10"/>
  <c r="X29" i="10"/>
  <c r="W29" i="10"/>
  <c r="X25" i="10"/>
  <c r="W25" i="10"/>
  <c r="V25" i="10"/>
  <c r="X22" i="10"/>
  <c r="W22" i="10"/>
  <c r="V22" i="10"/>
  <c r="X21" i="10"/>
  <c r="W21" i="10"/>
  <c r="V21" i="10"/>
  <c r="X20" i="10"/>
  <c r="W20" i="10"/>
  <c r="V20" i="10"/>
  <c r="X17" i="10"/>
  <c r="W17" i="10"/>
  <c r="V17" i="10"/>
  <c r="X16" i="10"/>
  <c r="W16" i="10"/>
  <c r="V16" i="10"/>
  <c r="X15" i="10"/>
  <c r="W15" i="10"/>
  <c r="V15" i="10"/>
  <c r="X14" i="10"/>
  <c r="W14" i="10"/>
  <c r="V14" i="10"/>
  <c r="X11" i="10"/>
  <c r="W11" i="10"/>
  <c r="L37" i="12" l="1"/>
  <c r="L11" i="12"/>
  <c r="Q44" i="7" s="1"/>
  <c r="D11" i="12"/>
  <c r="D37" i="12"/>
  <c r="D38" i="12" s="1"/>
  <c r="D40" i="12" s="1"/>
  <c r="H37" i="12"/>
  <c r="H11" i="12"/>
  <c r="N37" i="12"/>
  <c r="N11" i="12"/>
  <c r="M37" i="12"/>
  <c r="M11" i="12"/>
  <c r="J37" i="12"/>
  <c r="J11" i="12"/>
  <c r="O44" i="7" s="1"/>
  <c r="I37" i="12"/>
  <c r="I11" i="12"/>
  <c r="G37" i="12"/>
  <c r="G11" i="12"/>
  <c r="E37" i="12"/>
  <c r="E38" i="12" s="1"/>
  <c r="E40" i="12" s="1"/>
  <c r="E11" i="12"/>
  <c r="C37" i="12"/>
  <c r="C38" i="12" s="1"/>
  <c r="C40" i="12" s="1"/>
  <c r="C11" i="12"/>
  <c r="F37" i="12"/>
  <c r="F11" i="12"/>
  <c r="K37" i="12"/>
  <c r="K11" i="12"/>
  <c r="P44" i="7" s="1"/>
  <c r="S34" i="1"/>
  <c r="S40" i="1"/>
  <c r="S31" i="1"/>
  <c r="S41" i="1"/>
  <c r="S42" i="1"/>
  <c r="S37" i="1"/>
  <c r="T67" i="6"/>
  <c r="V29" i="10"/>
  <c r="V30" i="10"/>
  <c r="V31" i="10"/>
  <c r="I13" i="12" l="1"/>
  <c r="N44" i="7"/>
  <c r="H13" i="12"/>
  <c r="M44" i="7"/>
  <c r="G13" i="12"/>
  <c r="L44" i="7"/>
  <c r="F13" i="12"/>
  <c r="K44" i="7"/>
  <c r="E13" i="12"/>
  <c r="J44" i="7"/>
  <c r="C13" i="12"/>
  <c r="H44" i="7"/>
  <c r="D13" i="12"/>
  <c r="I44" i="7"/>
  <c r="L10" i="8"/>
  <c r="J10" i="8"/>
  <c r="S29" i="7"/>
  <c r="N36" i="12" s="1"/>
  <c r="N38" i="12" s="1"/>
  <c r="R29" i="7"/>
  <c r="M36" i="12" s="1"/>
  <c r="M38" i="12" s="1"/>
  <c r="L36" i="12"/>
  <c r="L38" i="12" s="1"/>
  <c r="Q47" i="7" s="1"/>
  <c r="J36" i="12"/>
  <c r="J38" i="12" s="1"/>
  <c r="O47" i="7" s="1"/>
  <c r="I36" i="12"/>
  <c r="I38" i="12" s="1"/>
  <c r="H36" i="12"/>
  <c r="H38" i="12" s="1"/>
  <c r="G36" i="12"/>
  <c r="G38" i="12" s="1"/>
  <c r="F36" i="12"/>
  <c r="F38" i="12" s="1"/>
  <c r="S21" i="7"/>
  <c r="R21" i="7"/>
  <c r="B5" i="7"/>
  <c r="T62" i="6"/>
  <c r="S36" i="1" s="1"/>
  <c r="AG56" i="6"/>
  <c r="AG45" i="6"/>
  <c r="AH45" i="6" s="1"/>
  <c r="AG44" i="6"/>
  <c r="AH44" i="6" s="1"/>
  <c r="P6" i="12" s="1"/>
  <c r="AG43" i="6"/>
  <c r="AH43" i="6" s="1"/>
  <c r="AG42" i="6"/>
  <c r="AH42" i="6" s="1"/>
  <c r="U39" i="6"/>
  <c r="AG38" i="6"/>
  <c r="AH38" i="6" s="1"/>
  <c r="AG37" i="6"/>
  <c r="AH37" i="6" s="1"/>
  <c r="AG36" i="6"/>
  <c r="AG35" i="6"/>
  <c r="AH35" i="6" s="1"/>
  <c r="AG34" i="6"/>
  <c r="AH34" i="6" s="1"/>
  <c r="AG33" i="6"/>
  <c r="AI32" i="6"/>
  <c r="AG30" i="6"/>
  <c r="AH30" i="6" s="1"/>
  <c r="AG25" i="6"/>
  <c r="AH25" i="6" s="1"/>
  <c r="AG23" i="6"/>
  <c r="AH23" i="6" s="1"/>
  <c r="AG22" i="6"/>
  <c r="AH22" i="6" s="1"/>
  <c r="AG21" i="6"/>
  <c r="AH21" i="6" s="1"/>
  <c r="AG20" i="6"/>
  <c r="AG19" i="6"/>
  <c r="AH19" i="6" s="1"/>
  <c r="AF24" i="6"/>
  <c r="AD24" i="6"/>
  <c r="AC24" i="6"/>
  <c r="AB24" i="6"/>
  <c r="AA24" i="6"/>
  <c r="Z24" i="6"/>
  <c r="Y24" i="6"/>
  <c r="X24" i="6"/>
  <c r="W24" i="6"/>
  <c r="V24" i="6"/>
  <c r="U24" i="6"/>
  <c r="I18" i="11" s="1"/>
  <c r="AH11" i="6"/>
  <c r="AH56" i="6" l="1"/>
  <c r="AJ56" i="6" s="1"/>
  <c r="K36" i="12"/>
  <c r="K38" i="12" s="1"/>
  <c r="P47" i="7" s="1"/>
  <c r="P35" i="7"/>
  <c r="AI25" i="6"/>
  <c r="AI44" i="6"/>
  <c r="AJ44" i="6"/>
  <c r="AI45" i="6"/>
  <c r="AJ45" i="6"/>
  <c r="AI35" i="6"/>
  <c r="AJ35" i="6"/>
  <c r="AI30" i="6"/>
  <c r="AJ30" i="6"/>
  <c r="AJ19" i="6"/>
  <c r="AI37" i="6"/>
  <c r="AJ37" i="6"/>
  <c r="AI33" i="6"/>
  <c r="AJ33" i="6"/>
  <c r="AI20" i="6"/>
  <c r="AJ20" i="6"/>
  <c r="AI34" i="6"/>
  <c r="AJ34" i="6"/>
  <c r="AI36" i="6"/>
  <c r="AJ36" i="6"/>
  <c r="AI22" i="6"/>
  <c r="AJ22" i="6"/>
  <c r="AI42" i="6"/>
  <c r="AI21" i="6"/>
  <c r="AJ21" i="6"/>
  <c r="AI23" i="6"/>
  <c r="AJ23" i="6"/>
  <c r="AI43" i="6"/>
  <c r="AJ43" i="6"/>
  <c r="AI38" i="6"/>
  <c r="I40" i="12"/>
  <c r="N47" i="7"/>
  <c r="H40" i="12"/>
  <c r="M47" i="7"/>
  <c r="G40" i="12"/>
  <c r="L47" i="7"/>
  <c r="P18" i="11"/>
  <c r="P68" i="11" s="1"/>
  <c r="K18" i="11"/>
  <c r="K68" i="11" s="1"/>
  <c r="Q18" i="11"/>
  <c r="AM18" i="1" s="1"/>
  <c r="R18" i="11"/>
  <c r="R68" i="11" s="1"/>
  <c r="J18" i="11"/>
  <c r="J68" i="11" s="1"/>
  <c r="T18" i="11"/>
  <c r="T68" i="11" s="1"/>
  <c r="M18" i="11"/>
  <c r="M68" i="11" s="1"/>
  <c r="N18" i="11"/>
  <c r="N68" i="11" s="1"/>
  <c r="O18" i="11"/>
  <c r="O68" i="11" s="1"/>
  <c r="F40" i="12"/>
  <c r="K47" i="7"/>
  <c r="L18" i="11"/>
  <c r="L68" i="11" s="1"/>
  <c r="I68" i="11"/>
  <c r="E44" i="12"/>
  <c r="E46" i="12" s="1"/>
  <c r="E48" i="12" s="1"/>
  <c r="D44" i="12"/>
  <c r="D46" i="12" s="1"/>
  <c r="D48" i="12" s="1"/>
  <c r="C44" i="12"/>
  <c r="C46" i="12" s="1"/>
  <c r="C48" i="12" s="1"/>
  <c r="L44" i="12"/>
  <c r="L46" i="12" s="1"/>
  <c r="L48" i="12" s="1"/>
  <c r="Q48" i="7" s="1"/>
  <c r="K44" i="12"/>
  <c r="K46" i="12" s="1"/>
  <c r="K48" i="12" s="1"/>
  <c r="P48" i="7" s="1"/>
  <c r="H44" i="12"/>
  <c r="H46" i="12" s="1"/>
  <c r="H48" i="12" s="1"/>
  <c r="G44" i="12"/>
  <c r="G46" i="12" s="1"/>
  <c r="G48" i="12" s="1"/>
  <c r="F44" i="12"/>
  <c r="F46" i="12" s="1"/>
  <c r="F48" i="12" s="1"/>
  <c r="J44" i="12"/>
  <c r="J46" i="12" s="1"/>
  <c r="J48" i="12" s="1"/>
  <c r="O48" i="7" s="1"/>
  <c r="I44" i="12"/>
  <c r="I46" i="12" s="1"/>
  <c r="I48" i="12" s="1"/>
  <c r="AD29" i="6"/>
  <c r="R22" i="11" s="1"/>
  <c r="AI19" i="6"/>
  <c r="U29" i="6"/>
  <c r="I22" i="11" s="1"/>
  <c r="X29" i="6"/>
  <c r="L22" i="11" s="1"/>
  <c r="Y29" i="6"/>
  <c r="M22" i="11" s="1"/>
  <c r="AC29" i="6"/>
  <c r="Q22" i="11" s="1"/>
  <c r="Z29" i="6"/>
  <c r="N22" i="11" s="1"/>
  <c r="AA29" i="6"/>
  <c r="O22" i="11" s="1"/>
  <c r="AI56" i="6"/>
  <c r="AF29" i="6"/>
  <c r="T22" i="11" s="1"/>
  <c r="W29" i="6"/>
  <c r="K22" i="11" s="1"/>
  <c r="AB29" i="6"/>
  <c r="P22" i="11" s="1"/>
  <c r="V29" i="6"/>
  <c r="J22" i="11" s="1"/>
  <c r="V29" i="7"/>
  <c r="U29" i="7"/>
  <c r="V21" i="7"/>
  <c r="U21" i="7"/>
  <c r="R41" i="7"/>
  <c r="R54" i="7" s="1"/>
  <c r="S41" i="7"/>
  <c r="S54" i="7" s="1"/>
  <c r="AE24" i="6"/>
  <c r="AG39" i="6"/>
  <c r="AI39" i="6" s="1"/>
  <c r="AI17" i="6"/>
  <c r="AG52" i="6"/>
  <c r="AI52" i="6" s="1"/>
  <c r="AH24" i="6" l="1"/>
  <c r="AJ24" i="6" s="1"/>
  <c r="AJ42" i="6"/>
  <c r="AH52" i="6"/>
  <c r="AJ25" i="6"/>
  <c r="AH28" i="6"/>
  <c r="AJ28" i="6" s="1"/>
  <c r="AJ38" i="6"/>
  <c r="AH39" i="6"/>
  <c r="I50" i="12"/>
  <c r="N48" i="7"/>
  <c r="H50" i="12"/>
  <c r="M48" i="7"/>
  <c r="G50" i="12"/>
  <c r="L48" i="7"/>
  <c r="F50" i="12"/>
  <c r="K48" i="7"/>
  <c r="Q68" i="11"/>
  <c r="S18" i="11"/>
  <c r="S68" i="11" s="1"/>
  <c r="N44" i="12"/>
  <c r="N46" i="12" s="1"/>
  <c r="N48" i="12" s="1"/>
  <c r="Q74" i="11"/>
  <c r="Q72" i="11"/>
  <c r="L72" i="11"/>
  <c r="L74" i="11"/>
  <c r="M44" i="12"/>
  <c r="M46" i="12" s="1"/>
  <c r="M48" i="12" s="1"/>
  <c r="M72" i="11"/>
  <c r="M74" i="11"/>
  <c r="C50" i="12"/>
  <c r="H48" i="7"/>
  <c r="T74" i="11"/>
  <c r="T72" i="11"/>
  <c r="D50" i="12"/>
  <c r="I48" i="7"/>
  <c r="N72" i="11"/>
  <c r="N74" i="11"/>
  <c r="P74" i="11"/>
  <c r="P72" i="11"/>
  <c r="E50" i="12"/>
  <c r="J48" i="7"/>
  <c r="O74" i="11"/>
  <c r="O72" i="11"/>
  <c r="R74" i="11"/>
  <c r="R72" i="11"/>
  <c r="K74" i="11"/>
  <c r="K72" i="11"/>
  <c r="J74" i="11"/>
  <c r="J72" i="11"/>
  <c r="I74" i="11"/>
  <c r="I72" i="11"/>
  <c r="Y40" i="6"/>
  <c r="Y54" i="6" s="1"/>
  <c r="X40" i="6"/>
  <c r="X54" i="6" s="1"/>
  <c r="AC40" i="6"/>
  <c r="AC54" i="6" s="1"/>
  <c r="W40" i="6"/>
  <c r="W54" i="6" s="1"/>
  <c r="AB40" i="6"/>
  <c r="AB54" i="6" s="1"/>
  <c r="AA40" i="6"/>
  <c r="AA54" i="6" s="1"/>
  <c r="AE29" i="6"/>
  <c r="S22" i="11" s="1"/>
  <c r="U18" i="11"/>
  <c r="U68" i="11" s="1"/>
  <c r="AF40" i="6"/>
  <c r="AF54" i="6" s="1"/>
  <c r="U40" i="6"/>
  <c r="U54" i="6" s="1"/>
  <c r="U61" i="6" s="1"/>
  <c r="Z40" i="6"/>
  <c r="Z54" i="6" s="1"/>
  <c r="AD40" i="6"/>
  <c r="AD54" i="6" s="1"/>
  <c r="V40" i="6"/>
  <c r="V54" i="6" s="1"/>
  <c r="T61" i="6"/>
  <c r="S35" i="1" s="1"/>
  <c r="S32" i="1"/>
  <c r="AG24" i="6"/>
  <c r="AI24" i="6" s="1"/>
  <c r="AJ52" i="6" l="1"/>
  <c r="P5" i="12"/>
  <c r="P7" i="12" s="1"/>
  <c r="P9" i="12" s="1"/>
  <c r="P11" i="12" s="1"/>
  <c r="AH29" i="6"/>
  <c r="AJ39" i="6"/>
  <c r="S74" i="11"/>
  <c r="S72" i="11"/>
  <c r="Z58" i="6"/>
  <c r="Z61" i="6"/>
  <c r="AC61" i="6"/>
  <c r="AC58" i="6"/>
  <c r="AF58" i="6"/>
  <c r="S55" i="7" s="1"/>
  <c r="AF61" i="6"/>
  <c r="AE40" i="6"/>
  <c r="AE54" i="6" s="1"/>
  <c r="U22" i="11"/>
  <c r="AA61" i="6"/>
  <c r="AA58" i="6"/>
  <c r="X58" i="6"/>
  <c r="X61" i="6"/>
  <c r="W58" i="6"/>
  <c r="W61" i="6"/>
  <c r="AG29" i="6"/>
  <c r="AB61" i="6"/>
  <c r="AB58" i="6"/>
  <c r="AD61" i="6"/>
  <c r="AD58" i="6"/>
  <c r="Y61" i="6"/>
  <c r="Y58" i="6"/>
  <c r="V58" i="6"/>
  <c r="V61" i="6"/>
  <c r="U58" i="6"/>
  <c r="N38" i="7" s="1"/>
  <c r="AJ29" i="6" l="1"/>
  <c r="V74" i="11"/>
  <c r="P38" i="7"/>
  <c r="AH40" i="6"/>
  <c r="AJ40" i="6" s="1"/>
  <c r="AG40" i="6"/>
  <c r="O38" i="7"/>
  <c r="O55" i="7" s="1"/>
  <c r="M38" i="7"/>
  <c r="M55" i="7" s="1"/>
  <c r="J38" i="7"/>
  <c r="J55" i="7" s="1"/>
  <c r="K38" i="7"/>
  <c r="K55" i="7" s="1"/>
  <c r="L38" i="7"/>
  <c r="L55" i="7" s="1"/>
  <c r="I38" i="7"/>
  <c r="I55" i="7" s="1"/>
  <c r="H38" i="7"/>
  <c r="H55" i="7" s="1"/>
  <c r="U74" i="11"/>
  <c r="U72" i="11"/>
  <c r="X62" i="6"/>
  <c r="X69" i="6"/>
  <c r="X67" i="6"/>
  <c r="X68" i="6"/>
  <c r="Y62" i="6"/>
  <c r="Y69" i="6"/>
  <c r="Y67" i="6"/>
  <c r="Y68" i="6"/>
  <c r="AA62" i="6"/>
  <c r="AA69" i="6"/>
  <c r="AA67" i="6"/>
  <c r="AA68" i="6"/>
  <c r="AD62" i="6"/>
  <c r="AD69" i="6"/>
  <c r="AD67" i="6"/>
  <c r="AD68" i="6"/>
  <c r="AE61" i="6"/>
  <c r="AE58" i="6"/>
  <c r="R55" i="7" s="1"/>
  <c r="AB62" i="6"/>
  <c r="AB69" i="6"/>
  <c r="AB67" i="6"/>
  <c r="AB68" i="6"/>
  <c r="AI29" i="6"/>
  <c r="AF62" i="6"/>
  <c r="AF69" i="6"/>
  <c r="AF67" i="6"/>
  <c r="AF68" i="6"/>
  <c r="AC62" i="6"/>
  <c r="AC69" i="6"/>
  <c r="AC67" i="6"/>
  <c r="AC68" i="6"/>
  <c r="W62" i="6"/>
  <c r="W69" i="6"/>
  <c r="W67" i="6"/>
  <c r="W68" i="6"/>
  <c r="U62" i="6"/>
  <c r="U69" i="6"/>
  <c r="U67" i="6"/>
  <c r="U68" i="6"/>
  <c r="V62" i="6"/>
  <c r="V69" i="6"/>
  <c r="V67" i="6"/>
  <c r="V68" i="6"/>
  <c r="Z62" i="6"/>
  <c r="Z69" i="6"/>
  <c r="Z67" i="6"/>
  <c r="Z68" i="6"/>
  <c r="AI40" i="6" l="1"/>
  <c r="AG54" i="6"/>
  <c r="P39" i="7"/>
  <c r="K30" i="12" s="1"/>
  <c r="K31" i="12" s="1"/>
  <c r="P46" i="7" s="1"/>
  <c r="P41" i="7"/>
  <c r="P56" i="7"/>
  <c r="P55" i="7"/>
  <c r="AG61" i="6"/>
  <c r="AH54" i="6"/>
  <c r="O39" i="7"/>
  <c r="J30" i="12" s="1"/>
  <c r="J31" i="12" s="1"/>
  <c r="O46" i="7" s="1"/>
  <c r="O41" i="7"/>
  <c r="O56" i="7"/>
  <c r="M39" i="7"/>
  <c r="H30" i="12" s="1"/>
  <c r="H31" i="12" s="1"/>
  <c r="M56" i="7"/>
  <c r="L39" i="7"/>
  <c r="L56" i="7"/>
  <c r="K39" i="7"/>
  <c r="K56" i="7"/>
  <c r="H39" i="7"/>
  <c r="C30" i="12" s="1"/>
  <c r="C31" i="12" s="1"/>
  <c r="C33" i="12" s="1"/>
  <c r="H41" i="7"/>
  <c r="H56" i="7"/>
  <c r="I39" i="7"/>
  <c r="I56" i="7"/>
  <c r="J39" i="7"/>
  <c r="E30" i="12" s="1"/>
  <c r="E31" i="12" s="1"/>
  <c r="E33" i="12" s="1"/>
  <c r="J56" i="7"/>
  <c r="AE62" i="6"/>
  <c r="AE69" i="6"/>
  <c r="AE67" i="6"/>
  <c r="AE68" i="6"/>
  <c r="AG58" i="6" l="1"/>
  <c r="AI54" i="6"/>
  <c r="P54" i="7"/>
  <c r="P42" i="7"/>
  <c r="AH61" i="6"/>
  <c r="AJ54" i="6"/>
  <c r="O54" i="7"/>
  <c r="O42" i="7"/>
  <c r="N55" i="7"/>
  <c r="M41" i="7"/>
  <c r="H33" i="12"/>
  <c r="M46" i="7"/>
  <c r="L41" i="7"/>
  <c r="G30" i="12"/>
  <c r="G31" i="12" s="1"/>
  <c r="J41" i="7"/>
  <c r="J54" i="7" s="1"/>
  <c r="K41" i="7"/>
  <c r="F30" i="12"/>
  <c r="F31" i="12" s="1"/>
  <c r="I41" i="7"/>
  <c r="I54" i="7" s="1"/>
  <c r="D30" i="12"/>
  <c r="D31" i="12" s="1"/>
  <c r="D33" i="12" s="1"/>
  <c r="H54" i="7"/>
  <c r="H42" i="7"/>
  <c r="AG69" i="6"/>
  <c r="AG67" i="6"/>
  <c r="AG68" i="6"/>
  <c r="AG62" i="6"/>
  <c r="AI58" i="6"/>
  <c r="Q38" i="7" l="1"/>
  <c r="AH58" i="6"/>
  <c r="N39" i="7"/>
  <c r="N56" i="7"/>
  <c r="M54" i="7"/>
  <c r="M42" i="7"/>
  <c r="J42" i="7"/>
  <c r="L46" i="7"/>
  <c r="G33" i="12"/>
  <c r="L42" i="7"/>
  <c r="L54" i="7"/>
  <c r="I42" i="7"/>
  <c r="F33" i="12"/>
  <c r="K46" i="7"/>
  <c r="K54" i="7"/>
  <c r="K42" i="7"/>
  <c r="T38" i="7" l="1"/>
  <c r="AJ58" i="6"/>
  <c r="AH68" i="6"/>
  <c r="AH67" i="6"/>
  <c r="AH62" i="6"/>
  <c r="AH69" i="6"/>
  <c r="Q39" i="7"/>
  <c r="L30" i="12" s="1"/>
  <c r="L31" i="12" s="1"/>
  <c r="Q46" i="7" s="1"/>
  <c r="Q41" i="7"/>
  <c r="Q56" i="7"/>
  <c r="Q55" i="7"/>
  <c r="N41" i="7"/>
  <c r="I30" i="12"/>
  <c r="I31" i="12" s="1"/>
  <c r="T24" i="10"/>
  <c r="T41" i="7" l="1"/>
  <c r="Q42" i="7"/>
  <c r="Q54" i="7"/>
  <c r="T39" i="7"/>
  <c r="T56" i="7"/>
  <c r="V38" i="7"/>
  <c r="U38" i="7"/>
  <c r="T55" i="7"/>
  <c r="V24" i="10"/>
  <c r="U24" i="10"/>
  <c r="N46" i="7"/>
  <c r="I33" i="12"/>
  <c r="N54" i="7"/>
  <c r="N42" i="7"/>
  <c r="T26" i="10"/>
  <c r="U39" i="7" l="1"/>
  <c r="V39" i="7"/>
  <c r="T42" i="7"/>
  <c r="T54" i="7"/>
  <c r="U41" i="7"/>
  <c r="V41" i="7"/>
  <c r="U26" i="10"/>
  <c r="W24" i="10"/>
  <c r="X24" i="10"/>
</calcChain>
</file>

<file path=xl/sharedStrings.xml><?xml version="1.0" encoding="utf-8"?>
<sst xmlns="http://schemas.openxmlformats.org/spreadsheetml/2006/main" count="700" uniqueCount="305">
  <si>
    <t/>
  </si>
  <si>
    <t>Bad Debt</t>
  </si>
  <si>
    <t>2020 B- 
2020 A YTD</t>
  </si>
  <si>
    <t>Physician Acquisitions or Transfers:</t>
  </si>
  <si>
    <t>Robyn Avis</t>
  </si>
  <si>
    <t>Claudio Fort</t>
  </si>
  <si>
    <t>Michael Halstead (Interim)</t>
  </si>
  <si>
    <t>Depreciation Amortization</t>
  </si>
  <si>
    <t>Long Term Debt to Capitalization</t>
  </si>
  <si>
    <t>Northwestern Medical Center</t>
  </si>
  <si>
    <t>Berlin</t>
  </si>
  <si>
    <t xml:space="preserve">John Brumsted     Anna Noonan   </t>
  </si>
  <si>
    <t>Porter Medical Center</t>
  </si>
  <si>
    <t>Total Net Payer Revenue &amp; Fixed Prospective Payment</t>
  </si>
  <si>
    <t>FY2020 Budget Guidance:</t>
  </si>
  <si>
    <t>Net Operating Income</t>
  </si>
  <si>
    <t>Meaningful Use</t>
  </si>
  <si>
    <t>Deductions from Revenue</t>
  </si>
  <si>
    <t>= Expected YTD if divided by 12 equally</t>
  </si>
  <si>
    <t>All Vermont Community Hospitals</t>
  </si>
  <si>
    <t>Brattleboro Memorial Hospital</t>
  </si>
  <si>
    <t>Brattleboro</t>
  </si>
  <si>
    <t>Joe Woodin</t>
  </si>
  <si>
    <t>Douglas DiVello</t>
  </si>
  <si>
    <t>John Brumsted</t>
  </si>
  <si>
    <t>Total Margin %</t>
  </si>
  <si>
    <t>Other</t>
  </si>
  <si>
    <t>Reference Lab Revenue</t>
  </si>
  <si>
    <t>Grant Income</t>
  </si>
  <si>
    <t>Outpatient Pharmacy Revenue</t>
  </si>
  <si>
    <t>Long Term Liabilities</t>
  </si>
  <si>
    <t>Assets</t>
  </si>
  <si>
    <t>Southwestern VT Medical Center</t>
  </si>
  <si>
    <t>Stephen Brown</t>
  </si>
  <si>
    <t>Shawn Tester</t>
  </si>
  <si>
    <t>Other Reform Payments</t>
  </si>
  <si>
    <t xml:space="preserve">2019 A
</t>
  </si>
  <si>
    <t>Excess (Deficit) of Rev over Exp</t>
  </si>
  <si>
    <t>340B Retail Pharmacy Programs</t>
  </si>
  <si>
    <t>Graduate Medical Education (UVMMC only)</t>
  </si>
  <si>
    <t>Disproportionate Share Payments</t>
  </si>
  <si>
    <t>Gross Patient Care Revenue</t>
  </si>
  <si>
    <t>= # days Fiscal YTD</t>
  </si>
  <si>
    <t>Level &gt;&gt;</t>
  </si>
  <si>
    <t>Actuals</t>
  </si>
  <si>
    <t>Change in Points</t>
  </si>
  <si>
    <t>Central Vermont Medical Center</t>
  </si>
  <si>
    <t>Copley Hospital</t>
  </si>
  <si>
    <t>Middlebury</t>
  </si>
  <si>
    <t>edit from P&amp;L</t>
  </si>
  <si>
    <t>Operating Margin %</t>
  </si>
  <si>
    <t>Other Operating Expenses</t>
  </si>
  <si>
    <t>Interest - Short Term, Interest - Long Term</t>
  </si>
  <si>
    <t>Graduate Medical Education</t>
  </si>
  <si>
    <t>Days Payable</t>
  </si>
  <si>
    <t>Days Cash on Hand</t>
  </si>
  <si>
    <t>Other Noncurrent Liabilities</t>
  </si>
  <si>
    <t>Net, Property, Plant And Equipment</t>
  </si>
  <si>
    <t>Reference Tables</t>
  </si>
  <si>
    <t>Morrisville</t>
  </si>
  <si>
    <t>Mt. Ascutney Hospital &amp; Health Ctr</t>
  </si>
  <si>
    <t>Windsor</t>
  </si>
  <si>
    <t>Northeastern VT Regional Hospital</t>
  </si>
  <si>
    <t>Jen Bertrand</t>
  </si>
  <si>
    <t>Steven Majetich</t>
  </si>
  <si>
    <t>Not Seasonal</t>
  </si>
  <si>
    <t xml:space="preserve">Todd Keating   </t>
  </si>
  <si>
    <t>Medical/Surgical Drugs and Supplies</t>
  </si>
  <si>
    <t>Net Patient Care Revenue</t>
  </si>
  <si>
    <t>Department
(Dimension)</t>
  </si>
  <si>
    <t>Version &gt;&gt;</t>
  </si>
  <si>
    <t>Balance Sheet Metrics</t>
  </si>
  <si>
    <t>ACO Risk Reserve</t>
  </si>
  <si>
    <t>Accounts Payable</t>
  </si>
  <si>
    <t>Budget 2019 Mid Year</t>
  </si>
  <si>
    <t>Brian Nall</t>
  </si>
  <si>
    <t>St. Johnsbury</t>
  </si>
  <si>
    <t>Graduate Medical Education Payments</t>
  </si>
  <si>
    <t>Fixed Prospective Payments</t>
  </si>
  <si>
    <t>Net Patient Care Rev &amp; Fixed Payments &amp; Reserves</t>
  </si>
  <si>
    <t>Liabilities and Equities</t>
  </si>
  <si>
    <t>Current Liabilities</t>
  </si>
  <si>
    <t>The University of Vermont Medical Center</t>
  </si>
  <si>
    <t>CFO</t>
  </si>
  <si>
    <t>Gifford Medical Center</t>
  </si>
  <si>
    <t>Todd Keating    Rick Vincent</t>
  </si>
  <si>
    <t>Total Operating Revenue</t>
  </si>
  <si>
    <t>Free Care</t>
  </si>
  <si>
    <t>FY2019</t>
  </si>
  <si>
    <t>Fund Balance</t>
  </si>
  <si>
    <t>Cash &amp; Investments</t>
  </si>
  <si>
    <t>Andre Bissonnette</t>
  </si>
  <si>
    <t>Rutland Regional Medical Center</t>
  </si>
  <si>
    <t>Acct Code</t>
  </si>
  <si>
    <t>Medicaid</t>
  </si>
  <si>
    <t>NARRATIVE</t>
  </si>
  <si>
    <t>Location</t>
  </si>
  <si>
    <t>Gross Revenue</t>
  </si>
  <si>
    <t>Cafeteria &amp; Parking</t>
  </si>
  <si>
    <t>Fixed Prospective Payments and Reserves</t>
  </si>
  <si>
    <t>Acct Name</t>
  </si>
  <si>
    <t>Other Long-Term Assets</t>
  </si>
  <si>
    <t>Current Assets</t>
  </si>
  <si>
    <t>Risk Reserve Receivable</t>
  </si>
  <si>
    <t>2020 B</t>
  </si>
  <si>
    <t>Provider</t>
  </si>
  <si>
    <t>Joseph Perras</t>
  </si>
  <si>
    <t>Todd Keating</t>
  </si>
  <si>
    <t>Health Care Provider Tax</t>
  </si>
  <si>
    <t>Other Operating Revenue</t>
  </si>
  <si>
    <t>Budget 2020 Approved</t>
  </si>
  <si>
    <t>Medicare</t>
  </si>
  <si>
    <t>CEO</t>
  </si>
  <si>
    <t xml:space="preserve">  </t>
  </si>
  <si>
    <t>Steven Gordon</t>
  </si>
  <si>
    <t>Dan Bennett</t>
  </si>
  <si>
    <t>Dave Sanville</t>
  </si>
  <si>
    <t>Bob Hersey</t>
  </si>
  <si>
    <t>St. Albans</t>
  </si>
  <si>
    <t>Judi Fox</t>
  </si>
  <si>
    <t>Springfield</t>
  </si>
  <si>
    <t>Net Payer Revenue</t>
  </si>
  <si>
    <t>John Brumsted    Steve Leffler</t>
  </si>
  <si>
    <t>Income Statement Metrics</t>
  </si>
  <si>
    <t>Non Operating Revenue</t>
  </si>
  <si>
    <t>FTE Class
(Dimension)</t>
  </si>
  <si>
    <t>Year to Date</t>
  </si>
  <si>
    <t>Budget</t>
  </si>
  <si>
    <t>Townshend</t>
  </si>
  <si>
    <t>Newport</t>
  </si>
  <si>
    <t>Rutland</t>
  </si>
  <si>
    <t>Allan Scroggins (Interim)</t>
  </si>
  <si>
    <t>Burlington</t>
  </si>
  <si>
    <t>Board Designated Assets</t>
  </si>
  <si>
    <t>https://gmcboard.vermont.gov/sites/gmcb/files/files/hospital-budget/Physician%20Transfer%20Schedules%20A%20%26%20B.xls</t>
  </si>
  <si>
    <t>Reserves - Risk Portion</t>
  </si>
  <si>
    <t>Seasonal</t>
  </si>
  <si>
    <t>Other Current Liabilities</t>
  </si>
  <si>
    <t>Other Current Assets</t>
  </si>
  <si>
    <t>BALANCE SHEET</t>
  </si>
  <si>
    <t>N/A</t>
  </si>
  <si>
    <t>Randolph</t>
  </si>
  <si>
    <t>North Country Hospital</t>
  </si>
  <si>
    <t>East Bennington</t>
  </si>
  <si>
    <t>Springfield Hospital</t>
  </si>
  <si>
    <t>The University of Vermont Health Network</t>
  </si>
  <si>
    <t>Commercial</t>
  </si>
  <si>
    <t>https://gmcboard.vermont.gov/sites/gmcb/files/FY2020%20Hospital%20Budget%20Guidance%20Final%20as%20of%202019-03-27%20updated%204%208%2019.pdf</t>
  </si>
  <si>
    <t>Specialty Pharmacy</t>
  </si>
  <si>
    <t>Revenues</t>
  </si>
  <si>
    <t>INCOME STATEMENT</t>
  </si>
  <si>
    <t>FY2020</t>
  </si>
  <si>
    <t>Period &gt;&gt;</t>
  </si>
  <si>
    <t>Days Receivable</t>
  </si>
  <si>
    <t>Debt Service Coverage Ratio</t>
  </si>
  <si>
    <t>Salaries, Wages And Payroll Taxes Payable</t>
  </si>
  <si>
    <t>Net Patient Accounts Receivable</t>
  </si>
  <si>
    <t>Grace Cottage Hospital</t>
  </si>
  <si>
    <t>Thomas Dee</t>
  </si>
  <si>
    <t>Utilization &amp; Staffing</t>
  </si>
  <si>
    <t>Change in:</t>
  </si>
  <si>
    <t>Total Average Daily Census</t>
  </si>
  <si>
    <t>Points</t>
  </si>
  <si>
    <t>Total Admissions</t>
  </si>
  <si>
    <t>Percentage</t>
  </si>
  <si>
    <t>Total Patient Days</t>
  </si>
  <si>
    <t>Emergency Room Visits</t>
  </si>
  <si>
    <t>Operating Room Procedure</t>
  </si>
  <si>
    <t>Operating Room Cases</t>
  </si>
  <si>
    <t>Primary Care Visits</t>
  </si>
  <si>
    <t>Specialty Visits</t>
  </si>
  <si>
    <t>Physician Office Visits</t>
  </si>
  <si>
    <t>Non MD FTEs</t>
  </si>
  <si>
    <t>MLPs</t>
  </si>
  <si>
    <t>Residents &amp; Fellows</t>
  </si>
  <si>
    <t>Physician FTEs</t>
  </si>
  <si>
    <t>Travelers, Travelers MD</t>
  </si>
  <si>
    <t>d9b304b7-ce19-44ad-9da2-4e3df18dd4c6</t>
  </si>
  <si>
    <t>Reserves</t>
  </si>
  <si>
    <t>COVID-19 Stimulus and Other Grant Funding</t>
  </si>
  <si>
    <t>ACO Dues</t>
  </si>
  <si>
    <t>Pharmaceuticals</t>
  </si>
  <si>
    <t>Other Purchased Services - Consulting</t>
  </si>
  <si>
    <t>Other Purchased Services -Travelers</t>
  </si>
  <si>
    <t>Oct-2020</t>
  </si>
  <si>
    <t>Nov-2020</t>
  </si>
  <si>
    <t>Dec-2020</t>
  </si>
  <si>
    <t>Jan-2021</t>
  </si>
  <si>
    <t>Feb-2021</t>
  </si>
  <si>
    <t>Mar-2021</t>
  </si>
  <si>
    <t>Apr-2021</t>
  </si>
  <si>
    <t>May-2021</t>
  </si>
  <si>
    <t>Jun-2021</t>
  </si>
  <si>
    <t>Jul-2021</t>
  </si>
  <si>
    <t>Aug-2021</t>
  </si>
  <si>
    <t>Sep-2021</t>
  </si>
  <si>
    <t>2020 A</t>
  </si>
  <si>
    <t>edit</t>
  </si>
  <si>
    <t>Salaries Non MD, Fringe Benefits Non MD, Physician Fees &amp; Salaries, Fringe Benefits MD</t>
  </si>
  <si>
    <t>2019 A</t>
  </si>
  <si>
    <t>2021 PROJ</t>
  </si>
  <si>
    <t>Operating Expenses</t>
  </si>
  <si>
    <t>Total Operating Expenses</t>
  </si>
  <si>
    <t>Fiscal Year 2021 YTD Summary</t>
  </si>
  <si>
    <t>2021 B- 
2021 A YTD</t>
  </si>
  <si>
    <t>8c5f8fcc-512a-4cac-895f-558dd87d548e</t>
  </si>
  <si>
    <t>2020 P</t>
  </si>
  <si>
    <t>Budget 2021 Approved</t>
  </si>
  <si>
    <t>Current Year</t>
  </si>
  <si>
    <t>Due From Third Parties</t>
  </si>
  <si>
    <t>Current Liabilities COVID-19</t>
  </si>
  <si>
    <t>Other Third Party Settlements</t>
  </si>
  <si>
    <t>Long Term Liabilities COVID-19</t>
  </si>
  <si>
    <t>Total Liabilities</t>
  </si>
  <si>
    <t>Net Assets</t>
  </si>
  <si>
    <t>YTD Change In Net Assets</t>
  </si>
  <si>
    <t>2021 B</t>
  </si>
  <si>
    <t>2021 B-2021 P</t>
  </si>
  <si>
    <t>2020 A-2021 P</t>
  </si>
  <si>
    <t xml:space="preserve"> YTD change in net assets edit</t>
  </si>
  <si>
    <t>Assets to Liab &amp; Equities edit</t>
  </si>
  <si>
    <t>a3797253-b30a-4080-bc3f-8060d587cb35</t>
  </si>
  <si>
    <t>FY2021</t>
  </si>
  <si>
    <t>Cat Scan Procedures</t>
  </si>
  <si>
    <t>Radiology - Diagnostic Procedures</t>
  </si>
  <si>
    <t>2021 YTD</t>
  </si>
  <si>
    <t>Magnetic Resonance Image Procedures, Exams</t>
  </si>
  <si>
    <t>-1 Year-Actuals</t>
  </si>
  <si>
    <t>2999aed5-90b8-433d-a87a-f298758ffaf4</t>
  </si>
  <si>
    <t>Edit</t>
  </si>
  <si>
    <t>Total Revenue-Commercial</t>
  </si>
  <si>
    <t>Contractual Allowances-Commercial</t>
  </si>
  <si>
    <t>Disproportionate Share Payments-Commercial</t>
  </si>
  <si>
    <t>Graduate Medical Education Payments-Hosp-Commercial...</t>
  </si>
  <si>
    <t>Net Payer Revenue-Commercial</t>
  </si>
  <si>
    <t>Fixed Prospective Payments-Commercial</t>
  </si>
  <si>
    <t>Reserves - Risk Portion-Commercial</t>
  </si>
  <si>
    <t>Other Reform Payments-Commercial</t>
  </si>
  <si>
    <t>Total Net Payer Revenue &amp; Fixed Prospective Payment-Commercial</t>
  </si>
  <si>
    <t>Total Revenue-Medicaid</t>
  </si>
  <si>
    <t>Contractual Allowances-Medicaid</t>
  </si>
  <si>
    <t>Disproportionate Share Payments-Medicaid</t>
  </si>
  <si>
    <t>Graduate Medical Education Payments-Hosp-Medicaid...</t>
  </si>
  <si>
    <t>Net Payer Revenue-Medicaid</t>
  </si>
  <si>
    <t>Fixed Prospective Payments-Medicaid</t>
  </si>
  <si>
    <t>Reserves - Risk Portion-Medicaid</t>
  </si>
  <si>
    <t>Other Reform Payments-Medicaid</t>
  </si>
  <si>
    <t>Total Net Payer Revenue &amp; Fixed Prospective Payment-Medicaid</t>
  </si>
  <si>
    <t>Contractual Allowances (includes Bad Debt &amp; Free Care)</t>
  </si>
  <si>
    <t>Edit to Income Statement</t>
  </si>
  <si>
    <t>Payer Mix</t>
  </si>
  <si>
    <t>Above From the Income Statement</t>
  </si>
  <si>
    <t>Staffing  Year to Date</t>
  </si>
  <si>
    <t>Utilization Monthly</t>
  </si>
  <si>
    <t>Net Patient Care Revenue - Adjusted for Bad Debt</t>
  </si>
  <si>
    <t>edsit</t>
  </si>
  <si>
    <t>EDIT</t>
  </si>
  <si>
    <t>Sale of Services to Other Organizations...</t>
  </si>
  <si>
    <t>Community Foundation Donation...</t>
  </si>
  <si>
    <t>Actuals--2 Years-Commercial...</t>
  </si>
  <si>
    <t>Budget 2020 Approved--1 Year-Medicaid</t>
  </si>
  <si>
    <t>Budget 2021 Approved--1 Year-Medicare</t>
  </si>
  <si>
    <t>Disproportionate Share Payments-Payer (Uncategorized)</t>
  </si>
  <si>
    <t>Reserves - Risk Portion-Medicaid...</t>
  </si>
  <si>
    <t>Tracey Paul</t>
  </si>
  <si>
    <t>Jeffrey Hebert</t>
  </si>
  <si>
    <t>Dean French</t>
  </si>
  <si>
    <t xml:space="preserve">John Brumsted   Tom Thompson  </t>
  </si>
  <si>
    <t>Days Cash Formulas</t>
  </si>
  <si>
    <t>Operating expenses</t>
  </si>
  <si>
    <t>less depreciation</t>
  </si>
  <si>
    <t>cumulative cash expenses</t>
  </si>
  <si>
    <t>cumlative days in period</t>
  </si>
  <si>
    <t>avg daily cash expenses</t>
  </si>
  <si>
    <t>days cash on hand</t>
  </si>
  <si>
    <t>Per GMCB</t>
  </si>
  <si>
    <t>Debt Service Coverage Formulas</t>
  </si>
  <si>
    <t>Total YTD Gain (loss)</t>
  </si>
  <si>
    <t>Plus YTD depreciation and interest</t>
  </si>
  <si>
    <t>net cash in</t>
  </si>
  <si>
    <t>Annualized</t>
  </si>
  <si>
    <t>Current Portion of LT debt</t>
  </si>
  <si>
    <t>interest expense annualized</t>
  </si>
  <si>
    <t>total debt service</t>
  </si>
  <si>
    <t>debt service coverage</t>
  </si>
  <si>
    <t>LTD</t>
  </si>
  <si>
    <t>Cap</t>
  </si>
  <si>
    <t>Days in AP</t>
  </si>
  <si>
    <t>Current Liabilities (less accrued labor expenses)</t>
  </si>
  <si>
    <t>Avg Daily Cash Expenses</t>
  </si>
  <si>
    <t>current payment period</t>
  </si>
  <si>
    <t>Days Net Revenue in AR</t>
  </si>
  <si>
    <t>days in period</t>
  </si>
  <si>
    <t>avg daily NPSR</t>
  </si>
  <si>
    <t>Net AR</t>
  </si>
  <si>
    <t>net days revenue in AR</t>
  </si>
  <si>
    <t>FY21 Budget</t>
  </si>
  <si>
    <t>Remove YTD Unrealized gain (loss) in investment market value &amp; Swap</t>
  </si>
  <si>
    <t>unrestricted AND RESTRICTED cash &amp; Investments</t>
  </si>
  <si>
    <t>Net Revenue - cumulative</t>
  </si>
  <si>
    <t xml:space="preserve">2021 B YTD </t>
  </si>
  <si>
    <t xml:space="preserve">2021  YTD </t>
  </si>
  <si>
    <t>Through July</t>
  </si>
  <si>
    <t xml:space="preserve">     Due August 31st</t>
  </si>
  <si>
    <t>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</si>
</sst>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Red]\-0.0%"/>
    <numFmt numFmtId="168" formatCode="[$-409]#,##0.00;\([$-409]#,##0.00\)"/>
    <numFmt numFmtId="169" formatCode="#,##0.0_);[Red]\-#,##0.0"/>
    <numFmt numFmtId="170" formatCode="[$-409]#,##0.0;\([$-409]#,##0.0\)"/>
    <numFmt numFmtId="171" formatCode="m/d/yyyy;@"/>
    <numFmt numFmtId="172" formatCode="&quot;$&quot;#,##0"/>
    <numFmt numFmtId="173" formatCode="#,##0.0"/>
    <numFmt numFmtId="174" formatCode="_(* #,##0.0_);_(* \(#,##0.0\);_(* &quot;-&quot;??_);_(@_)"/>
    <numFmt numFmtId="175" formatCode="[$-409]mmm\-yyyy;@"/>
    <numFmt numFmtId="176" formatCode="#,##0.0_);[Red]\(#,##0.0\)"/>
    <numFmt numFmtId="177" formatCode="&quot;$&quot;#,##0.00"/>
  </numFmts>
  <fonts count="48" x14ac:knownFonts="1">
    <font>
      <sz val="11"/>
      <color theme="1"/>
      <name val="Calibri"/>
      <family val="2"/>
      <scheme val="minor"/>
    </font>
    <font>
      <u/>
      <sz val="11"/>
      <color theme="10"/>
      <name val="Calibri"/>
      <family val="2"/>
      <scheme val="minor"/>
    </font>
    <font>
      <sz val="10"/>
      <name val="Arial"/>
      <family val="2"/>
    </font>
    <font>
      <sz val="11"/>
      <color theme="1"/>
      <name val="Calibri"/>
      <family val="2"/>
    </font>
    <font>
      <b/>
      <sz val="24"/>
      <color theme="1"/>
      <name val="Calibri"/>
      <family val="2"/>
      <scheme val="minor"/>
    </font>
    <font>
      <sz val="20"/>
      <color theme="1"/>
      <name val="Calibri"/>
      <family val="2"/>
      <scheme val="minor"/>
    </font>
    <font>
      <sz val="24"/>
      <color theme="1"/>
      <name val="Calibri"/>
      <family val="2"/>
      <scheme val="minor"/>
    </font>
    <font>
      <sz val="22"/>
      <color theme="1"/>
      <name val="Calibri"/>
      <family val="2"/>
      <scheme val="minor"/>
    </font>
    <font>
      <sz val="24"/>
      <color theme="1"/>
      <name val="Calibri"/>
      <family val="2"/>
    </font>
    <font>
      <sz val="11"/>
      <color rgb="FFFF0000"/>
      <name val="Calibri"/>
      <family val="2"/>
      <scheme val="minor"/>
    </font>
    <font>
      <b/>
      <sz val="20"/>
      <color theme="1"/>
      <name val="Calibri"/>
      <family val="2"/>
      <scheme val="minor"/>
    </font>
    <font>
      <b/>
      <sz val="30"/>
      <color theme="1"/>
      <name val="Calibri"/>
      <family val="2"/>
      <scheme val="minor"/>
    </font>
    <font>
      <sz val="22"/>
      <color theme="1"/>
      <name val="Calibri"/>
      <family val="2"/>
    </font>
    <font>
      <sz val="16"/>
      <color theme="1"/>
      <name val="Calibri"/>
      <family val="2"/>
      <scheme val="minor"/>
    </font>
    <font>
      <b/>
      <sz val="22"/>
      <color theme="1"/>
      <name val="Calibri"/>
      <family val="2"/>
      <scheme val="minor"/>
    </font>
    <font>
      <b/>
      <sz val="26"/>
      <color theme="1"/>
      <name val="Calibri"/>
      <family val="2"/>
      <scheme val="minor"/>
    </font>
    <font>
      <b/>
      <sz val="18"/>
      <color theme="1"/>
      <name val="Calibri"/>
      <family val="2"/>
      <scheme val="minor"/>
    </font>
    <font>
      <b/>
      <sz val="12"/>
      <color theme="1"/>
      <name val="Calibri"/>
      <family val="2"/>
      <scheme val="minor"/>
    </font>
    <font>
      <sz val="30"/>
      <color theme="1"/>
      <name val="Calibri"/>
      <family val="2"/>
      <scheme val="minor"/>
    </font>
    <font>
      <sz val="18"/>
      <color theme="1"/>
      <name val="Calibri"/>
      <family val="2"/>
      <scheme val="minor"/>
    </font>
    <font>
      <b/>
      <sz val="11"/>
      <color theme="1"/>
      <name val="Calibri"/>
      <family val="2"/>
      <scheme val="minor"/>
    </font>
    <font>
      <b/>
      <sz val="24"/>
      <color theme="1"/>
      <name val="Calibri"/>
      <family val="2"/>
    </font>
    <font>
      <sz val="36"/>
      <color theme="1"/>
      <name val="Calibri"/>
      <family val="2"/>
      <scheme val="minor"/>
    </font>
    <font>
      <b/>
      <sz val="22"/>
      <name val="Calibri"/>
      <family val="2"/>
      <scheme val="minor"/>
    </font>
    <font>
      <u/>
      <sz val="14"/>
      <color theme="10"/>
      <name val="Calibri"/>
      <family val="2"/>
      <scheme val="minor"/>
    </font>
    <font>
      <b/>
      <sz val="16"/>
      <color theme="1"/>
      <name val="Calibri"/>
      <family val="2"/>
      <scheme val="minor"/>
    </font>
    <font>
      <b/>
      <sz val="16"/>
      <name val="Arial"/>
      <family val="2"/>
    </font>
    <font>
      <sz val="18"/>
      <name val="Calibri"/>
      <family val="2"/>
      <scheme val="minor"/>
    </font>
    <font>
      <sz val="11"/>
      <color theme="1"/>
      <name val="Calibri"/>
      <family val="2"/>
      <scheme val="minor"/>
    </font>
    <font>
      <b/>
      <sz val="28"/>
      <color theme="1"/>
      <name val="Calibri"/>
      <family val="2"/>
      <scheme val="minor"/>
    </font>
    <font>
      <sz val="28"/>
      <color theme="1"/>
      <name val="Calibri"/>
      <family val="2"/>
      <scheme val="minor"/>
    </font>
    <font>
      <sz val="26"/>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sz val="24"/>
      <color theme="0"/>
      <name val="Calibri"/>
      <family val="2"/>
      <scheme val="minor"/>
    </font>
    <font>
      <sz val="20"/>
      <color theme="0"/>
      <name val="Calibri"/>
      <family val="2"/>
      <scheme val="minor"/>
    </font>
    <font>
      <b/>
      <sz val="20"/>
      <color theme="0"/>
      <name val="Calibri"/>
      <family val="2"/>
      <scheme val="minor"/>
    </font>
    <font>
      <b/>
      <sz val="26"/>
      <color theme="0"/>
      <name val="Calibri"/>
      <family val="2"/>
      <scheme val="minor"/>
    </font>
    <font>
      <sz val="22"/>
      <color theme="0"/>
      <name val="Calibri"/>
      <family val="2"/>
      <scheme val="minor"/>
    </font>
    <font>
      <sz val="24"/>
      <color theme="0"/>
      <name val="Calibri"/>
      <family val="2"/>
    </font>
    <font>
      <b/>
      <sz val="18"/>
      <color theme="0"/>
      <name val="Calibri"/>
      <family val="2"/>
      <scheme val="minor"/>
    </font>
    <font>
      <sz val="28"/>
      <color theme="0"/>
      <name val="Calibri"/>
      <family val="2"/>
      <scheme val="minor"/>
    </font>
    <font>
      <sz val="26"/>
      <color theme="0"/>
      <name val="Calibri"/>
      <family val="2"/>
      <scheme val="minor"/>
    </font>
    <font>
      <sz val="18"/>
      <color theme="0"/>
      <name val="Calibri"/>
      <family val="2"/>
      <scheme val="minor"/>
    </font>
    <font>
      <sz val="10"/>
      <color theme="1"/>
      <name val="Book Antiqua"/>
      <family val="1"/>
    </font>
    <font>
      <b/>
      <u/>
      <sz val="10"/>
      <color theme="1"/>
      <name val="Book Antiqua"/>
      <family val="1"/>
    </font>
    <font>
      <sz val="22"/>
      <name val="Calibri"/>
      <family val="2"/>
      <scheme val="minor"/>
    </font>
  </fonts>
  <fills count="19">
    <fill>
      <patternFill patternType="none"/>
    </fill>
    <fill>
      <patternFill patternType="gray125"/>
    </fill>
    <fill>
      <patternFill patternType="solid">
        <fgColor theme="9" tint="0.39997558519241921"/>
        <bgColor indexed="64"/>
      </patternFill>
    </fill>
    <fill>
      <patternFill patternType="solid">
        <fgColor rgb="FFD8E4BC"/>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A9D08E"/>
        <bgColor indexed="64"/>
      </patternFill>
    </fill>
    <fill>
      <patternFill patternType="solid">
        <fgColor theme="9" tint="0.79998168889431442"/>
        <bgColor indexed="64"/>
      </patternFill>
    </fill>
    <fill>
      <patternFill patternType="solid">
        <fgColor theme="0" tint="-0.1498764000366222"/>
        <bgColor indexed="64"/>
      </patternFill>
    </fill>
    <fill>
      <patternFill patternType="solid">
        <fgColor indexed="65"/>
        <bgColor indexed="64"/>
      </patternFill>
    </fill>
    <fill>
      <patternFill patternType="solid">
        <fgColor rgb="FFE2EFDA"/>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CC"/>
        <bgColor indexed="64"/>
      </patternFill>
    </fill>
  </fills>
  <borders count="86">
    <border>
      <left/>
      <right/>
      <top/>
      <bottom/>
      <diagonal/>
    </border>
    <border>
      <left style="thin">
        <color auto="1"/>
      </left>
      <right style="thin">
        <color auto="1"/>
      </right>
      <top/>
      <bottom/>
      <diagonal/>
    </border>
    <border>
      <left style="thin">
        <color indexed="64"/>
      </left>
      <right/>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thin">
        <color theme="9" tint="0.39994506668294322"/>
      </bottom>
      <diagonal/>
    </border>
    <border>
      <left/>
      <right/>
      <top style="thin">
        <color theme="9" tint="0.39994506668294322"/>
      </top>
      <bottom style="thin">
        <color theme="9" tint="0.39994506668294322"/>
      </bottom>
      <diagonal/>
    </border>
    <border>
      <left style="thin">
        <color indexed="64"/>
      </left>
      <right style="thin">
        <color indexed="64"/>
      </right>
      <top/>
      <bottom style="thin">
        <color theme="9" tint="0.39994506668294322"/>
      </bottom>
      <diagonal/>
    </border>
    <border>
      <left/>
      <right style="thin">
        <color indexed="64"/>
      </right>
      <top/>
      <bottom style="thin">
        <color theme="9" tint="0.39994506668294322"/>
      </bottom>
      <diagonal/>
    </border>
    <border>
      <left style="thin">
        <color indexed="64"/>
      </left>
      <right/>
      <top/>
      <bottom style="thin">
        <color theme="9" tint="0.39994506668294322"/>
      </bottom>
      <diagonal/>
    </border>
    <border>
      <left style="thin">
        <color indexed="64"/>
      </left>
      <right style="thin">
        <color indexed="64"/>
      </right>
      <top style="thin">
        <color theme="9" tint="0.39994506668294322"/>
      </top>
      <bottom style="thin">
        <color theme="9" tint="0.39994506668294322"/>
      </bottom>
      <diagonal/>
    </border>
    <border>
      <left/>
      <right/>
      <top style="thin">
        <color theme="9" tint="0.39994506668294322"/>
      </top>
      <bottom/>
      <diagonal/>
    </border>
    <border>
      <left/>
      <right style="thin">
        <color indexed="64"/>
      </right>
      <top style="thin">
        <color theme="9" tint="0.39994506668294322"/>
      </top>
      <bottom/>
      <diagonal/>
    </border>
    <border>
      <left style="thin">
        <color indexed="64"/>
      </left>
      <right style="thin">
        <color indexed="64"/>
      </right>
      <top style="thin">
        <color theme="9" tint="0.39994506668294322"/>
      </top>
      <bottom/>
      <diagonal/>
    </border>
    <border>
      <left/>
      <right/>
      <top style="thin">
        <color theme="9" tint="0.39994506668294322"/>
      </top>
      <bottom style="medium">
        <color indexed="64"/>
      </bottom>
      <diagonal/>
    </border>
    <border>
      <left style="thin">
        <color indexed="64"/>
      </left>
      <right style="thin">
        <color indexed="64"/>
      </right>
      <top style="thin">
        <color theme="9" tint="0.39994506668294322"/>
      </top>
      <bottom style="medium">
        <color indexed="64"/>
      </bottom>
      <diagonal/>
    </border>
    <border>
      <left/>
      <right style="thin">
        <color indexed="64"/>
      </right>
      <top style="thin">
        <color theme="9" tint="0.39994506668294322"/>
      </top>
      <bottom style="medium">
        <color indexed="64"/>
      </bottom>
      <diagonal/>
    </border>
    <border>
      <left style="thin">
        <color indexed="64"/>
      </left>
      <right/>
      <top style="thin">
        <color theme="9" tint="0.39994506668294322"/>
      </top>
      <bottom style="medium">
        <color indexed="64"/>
      </bottom>
      <diagonal/>
    </border>
    <border>
      <left/>
      <right/>
      <top/>
      <bottom style="thin">
        <color theme="9" tint="0.39994506668294322"/>
      </bottom>
      <diagonal/>
    </border>
    <border>
      <left/>
      <right style="thin">
        <color indexed="64"/>
      </right>
      <top style="thin">
        <color theme="9" tint="0.39994506668294322"/>
      </top>
      <bottom style="thin">
        <color theme="9" tint="0.39994506668294322"/>
      </bottom>
      <diagonal/>
    </border>
    <border>
      <left style="medium">
        <color indexed="64"/>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theme="9" tint="0.39994506668294322"/>
      </bottom>
      <diagonal/>
    </border>
    <border>
      <left style="medium">
        <color indexed="64"/>
      </left>
      <right/>
      <top style="thin">
        <color theme="9" tint="0.39994506668294322"/>
      </top>
      <bottom style="thin">
        <color theme="9" tint="0.39994506668294322"/>
      </bottom>
      <diagonal/>
    </border>
    <border>
      <left style="thin">
        <color indexed="64"/>
      </left>
      <right style="medium">
        <color indexed="64"/>
      </right>
      <top style="thin">
        <color theme="9" tint="0.39994506668294322"/>
      </top>
      <bottom style="thin">
        <color theme="9" tint="0.39994506668294322"/>
      </bottom>
      <diagonal/>
    </border>
    <border>
      <left style="medium">
        <color indexed="64"/>
      </left>
      <right/>
      <top style="thin">
        <color theme="9" tint="0.39994506668294322"/>
      </top>
      <bottom/>
      <diagonal/>
    </border>
    <border>
      <left style="thin">
        <color indexed="64"/>
      </left>
      <right style="medium">
        <color indexed="64"/>
      </right>
      <top style="thin">
        <color theme="9" tint="0.39994506668294322"/>
      </top>
      <bottom/>
      <diagonal/>
    </border>
    <border>
      <left style="thin">
        <color indexed="64"/>
      </left>
      <right style="medium">
        <color indexed="64"/>
      </right>
      <top/>
      <bottom style="thin">
        <color theme="9" tint="0.39994506668294322"/>
      </bottom>
      <diagonal/>
    </border>
    <border>
      <left style="medium">
        <color indexed="64"/>
      </left>
      <right/>
      <top style="thin">
        <color theme="9" tint="0.39994506668294322"/>
      </top>
      <bottom style="medium">
        <color indexed="64"/>
      </bottom>
      <diagonal/>
    </border>
    <border>
      <left style="thin">
        <color indexed="64"/>
      </left>
      <right style="medium">
        <color indexed="64"/>
      </right>
      <top style="thin">
        <color theme="9" tint="0.39994506668294322"/>
      </top>
      <bottom style="medium">
        <color indexed="64"/>
      </bottom>
      <diagonal/>
    </border>
    <border>
      <left/>
      <right style="medium">
        <color indexed="64"/>
      </right>
      <top/>
      <bottom style="thin">
        <color theme="9" tint="0.39994506668294322"/>
      </bottom>
      <diagonal/>
    </border>
    <border>
      <left/>
      <right style="medium">
        <color indexed="64"/>
      </right>
      <top style="thin">
        <color theme="9" tint="0.39994506668294322"/>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3" fontId="28" fillId="0" borderId="0" applyFont="0" applyFill="0" applyBorder="0" applyAlignment="0" applyProtection="0"/>
    <xf numFmtId="44" fontId="28" fillId="0" borderId="0" applyFont="0" applyFill="0" applyBorder="0" applyAlignment="0" applyProtection="0"/>
    <xf numFmtId="0" fontId="1" fillId="0" borderId="0" applyNumberFormat="0" applyFill="0" applyBorder="0" applyAlignment="0" applyProtection="0"/>
    <xf numFmtId="0" fontId="2" fillId="0" borderId="0"/>
    <xf numFmtId="0" fontId="2" fillId="0" borderId="0"/>
    <xf numFmtId="0" fontId="3" fillId="0" borderId="0"/>
    <xf numFmtId="0" fontId="3" fillId="0" borderId="0"/>
    <xf numFmtId="0" fontId="3" fillId="0" borderId="0"/>
    <xf numFmtId="9" fontId="28" fillId="0" borderId="0" applyFont="0" applyFill="0" applyBorder="0" applyAlignment="0" applyProtection="0"/>
    <xf numFmtId="9" fontId="3" fillId="0" borderId="0" applyFont="0" applyFill="0" applyBorder="0" applyAlignment="0" applyProtection="0"/>
  </cellStyleXfs>
  <cellXfs count="634">
    <xf numFmtId="0" fontId="0" fillId="0" borderId="0" xfId="0"/>
    <xf numFmtId="172" fontId="4" fillId="2" borderId="1" xfId="2" quotePrefix="1" applyNumberFormat="1" applyFont="1" applyFill="1" applyBorder="1"/>
    <xf numFmtId="164" fontId="5" fillId="0" borderId="0" xfId="1" applyNumberFormat="1" applyFont="1" applyBorder="1"/>
    <xf numFmtId="172" fontId="4" fillId="3" borderId="1" xfId="2" quotePrefix="1" applyNumberFormat="1" applyFont="1" applyFill="1" applyBorder="1"/>
    <xf numFmtId="172" fontId="6" fillId="0" borderId="1" xfId="2" quotePrefix="1" applyNumberFormat="1" applyFont="1" applyFill="1" applyBorder="1"/>
    <xf numFmtId="172" fontId="7" fillId="4" borderId="2" xfId="2" quotePrefix="1" applyNumberFormat="1" applyFont="1" applyFill="1" applyBorder="1"/>
    <xf numFmtId="168" fontId="8" fillId="0" borderId="0" xfId="8" applyNumberFormat="1" applyFont="1" applyBorder="1"/>
    <xf numFmtId="0" fontId="6" fillId="0" borderId="0" xfId="1" applyNumberFormat="1" applyFont="1"/>
    <xf numFmtId="164" fontId="9" fillId="0" borderId="0" xfId="1" applyNumberFormat="1" applyFont="1"/>
    <xf numFmtId="172" fontId="6" fillId="0" borderId="1" xfId="2" quotePrefix="1" applyNumberFormat="1" applyFont="1" applyBorder="1"/>
    <xf numFmtId="0" fontId="4" fillId="2" borderId="3" xfId="1" applyNumberFormat="1" applyFont="1" applyFill="1" applyBorder="1"/>
    <xf numFmtId="164" fontId="9" fillId="6" borderId="0" xfId="1" applyNumberFormat="1" applyFont="1" applyFill="1"/>
    <xf numFmtId="164" fontId="6" fillId="2" borderId="1" xfId="1" applyNumberFormat="1" applyFont="1" applyFill="1" applyBorder="1"/>
    <xf numFmtId="168" fontId="3" fillId="0" borderId="0" xfId="8" quotePrefix="1" applyNumberFormat="1"/>
    <xf numFmtId="172" fontId="4" fillId="0" borderId="1" xfId="2" quotePrefix="1" applyNumberFormat="1" applyFont="1" applyBorder="1"/>
    <xf numFmtId="172" fontId="4" fillId="2" borderId="0" xfId="2" quotePrefix="1" applyNumberFormat="1" applyFont="1" applyFill="1" applyBorder="1"/>
    <xf numFmtId="49" fontId="0" fillId="0" borderId="0" xfId="1" quotePrefix="1" applyNumberFormat="1" applyFont="1" applyAlignment="1">
      <alignment wrapText="1"/>
    </xf>
    <xf numFmtId="165" fontId="6" fillId="0" borderId="1" xfId="9" quotePrefix="1" applyNumberFormat="1" applyFont="1" applyBorder="1"/>
    <xf numFmtId="172" fontId="7" fillId="7" borderId="1" xfId="2" quotePrefix="1" applyNumberFormat="1" applyFont="1" applyFill="1" applyBorder="1"/>
    <xf numFmtId="172" fontId="7" fillId="0" borderId="1" xfId="2" quotePrefix="1" applyNumberFormat="1" applyFont="1" applyBorder="1"/>
    <xf numFmtId="0" fontId="0" fillId="0" borderId="0" xfId="1" quotePrefix="1" applyNumberFormat="1" applyFont="1" applyAlignment="1">
      <alignment horizontal="center" wrapText="1"/>
    </xf>
    <xf numFmtId="49" fontId="3" fillId="0" borderId="0" xfId="8" quotePrefix="1" applyNumberFormat="1"/>
    <xf numFmtId="0" fontId="4" fillId="2" borderId="4" xfId="1" applyNumberFormat="1" applyFont="1" applyFill="1" applyBorder="1" applyAlignment="1"/>
    <xf numFmtId="164" fontId="6" fillId="0" borderId="5" xfId="1" applyNumberFormat="1" applyFont="1" applyBorder="1"/>
    <xf numFmtId="49" fontId="0" fillId="0" borderId="0" xfId="1" quotePrefix="1" applyNumberFormat="1" applyFont="1" applyAlignment="1">
      <alignment horizontal="center" wrapText="1"/>
    </xf>
    <xf numFmtId="172" fontId="4" fillId="2" borderId="1" xfId="9" quotePrefix="1" applyNumberFormat="1" applyFont="1" applyFill="1" applyBorder="1"/>
    <xf numFmtId="5" fontId="6" fillId="0" borderId="1" xfId="2" quotePrefix="1" applyNumberFormat="1" applyFont="1" applyBorder="1"/>
    <xf numFmtId="170" fontId="7" fillId="4" borderId="1" xfId="0" applyNumberFormat="1" applyFont="1" applyFill="1" applyBorder="1"/>
    <xf numFmtId="49" fontId="4" fillId="2" borderId="4" xfId="1" applyNumberFormat="1" applyFont="1" applyFill="1" applyBorder="1" applyAlignment="1"/>
    <xf numFmtId="0" fontId="4" fillId="0" borderId="5" xfId="1" applyNumberFormat="1" applyFont="1" applyBorder="1" applyAlignment="1">
      <alignment horizontal="left"/>
    </xf>
    <xf numFmtId="49" fontId="0" fillId="0" borderId="0" xfId="0" applyNumberFormat="1"/>
    <xf numFmtId="164" fontId="13" fillId="0" borderId="0" xfId="1" applyNumberFormat="1" applyFont="1" applyAlignment="1">
      <alignment vertical="top"/>
    </xf>
    <xf numFmtId="170" fontId="7" fillId="4" borderId="7" xfId="0" applyNumberFormat="1" applyFont="1" applyFill="1" applyBorder="1"/>
    <xf numFmtId="172" fontId="12" fillId="0" borderId="1" xfId="8" applyNumberFormat="1" applyFont="1" applyBorder="1"/>
    <xf numFmtId="0" fontId="0" fillId="0" borderId="0" xfId="1" applyNumberFormat="1" applyFont="1" applyAlignment="1">
      <alignment horizontal="center"/>
    </xf>
    <xf numFmtId="168" fontId="7" fillId="0" borderId="2" xfId="0" applyNumberFormat="1" applyFont="1" applyBorder="1"/>
    <xf numFmtId="0" fontId="0" fillId="0" borderId="0" xfId="1" quotePrefix="1" applyNumberFormat="1" applyFont="1" applyAlignment="1">
      <alignment wrapText="1"/>
    </xf>
    <xf numFmtId="167" fontId="4" fillId="2" borderId="1" xfId="9" applyNumberFormat="1" applyFont="1" applyFill="1" applyBorder="1" applyAlignment="1">
      <alignment horizontal="center"/>
    </xf>
    <xf numFmtId="168" fontId="0" fillId="2" borderId="3" xfId="0" applyNumberFormat="1" applyFill="1" applyBorder="1"/>
    <xf numFmtId="168" fontId="0" fillId="9" borderId="3" xfId="0" applyNumberFormat="1" applyFill="1" applyBorder="1"/>
    <xf numFmtId="164" fontId="6" fillId="0" borderId="0" xfId="1" applyNumberFormat="1" applyFont="1"/>
    <xf numFmtId="164" fontId="4" fillId="0" borderId="0" xfId="1" applyNumberFormat="1" applyFont="1"/>
    <xf numFmtId="0" fontId="10" fillId="2" borderId="3" xfId="1" applyNumberFormat="1" applyFont="1" applyFill="1" applyBorder="1"/>
    <xf numFmtId="165" fontId="6" fillId="0" borderId="0" xfId="9" quotePrefix="1" applyNumberFormat="1" applyFont="1" applyBorder="1"/>
    <xf numFmtId="0" fontId="9" fillId="0" borderId="0" xfId="1" applyNumberFormat="1" applyFont="1"/>
    <xf numFmtId="0" fontId="16" fillId="2" borderId="3" xfId="1" applyNumberFormat="1" applyFont="1" applyFill="1" applyBorder="1"/>
    <xf numFmtId="167" fontId="6" fillId="0" borderId="1" xfId="9" applyNumberFormat="1" applyFont="1" applyBorder="1" applyAlignment="1">
      <alignment horizontal="center"/>
    </xf>
    <xf numFmtId="0" fontId="4" fillId="2" borderId="11" xfId="1" applyNumberFormat="1" applyFont="1" applyFill="1" applyBorder="1" applyAlignment="1">
      <alignment horizontal="left"/>
    </xf>
    <xf numFmtId="0" fontId="16" fillId="0" borderId="0" xfId="1" applyNumberFormat="1" applyFont="1"/>
    <xf numFmtId="168" fontId="7" fillId="0" borderId="1" xfId="0" applyNumberFormat="1" applyFont="1" applyBorder="1"/>
    <xf numFmtId="0" fontId="0" fillId="0" borderId="0" xfId="1" applyNumberFormat="1" applyFont="1"/>
    <xf numFmtId="0" fontId="17" fillId="0" borderId="0" xfId="1" applyNumberFormat="1" applyFont="1"/>
    <xf numFmtId="0" fontId="7" fillId="0" borderId="12" xfId="1" quotePrefix="1" applyNumberFormat="1" applyFont="1" applyBorder="1" applyAlignment="1">
      <alignment horizontal="right"/>
    </xf>
    <xf numFmtId="167" fontId="4" fillId="3" borderId="1" xfId="9" quotePrefix="1" applyNumberFormat="1" applyFont="1" applyFill="1" applyBorder="1" applyAlignment="1">
      <alignment horizontal="center"/>
    </xf>
    <xf numFmtId="0" fontId="14" fillId="2" borderId="12" xfId="1" quotePrefix="1" applyNumberFormat="1" applyFont="1" applyFill="1" applyBorder="1" applyAlignment="1">
      <alignment horizontal="left"/>
    </xf>
    <xf numFmtId="170" fontId="7" fillId="0" borderId="7" xfId="0" applyNumberFormat="1" applyFont="1" applyBorder="1"/>
    <xf numFmtId="172" fontId="4" fillId="0" borderId="0" xfId="2" quotePrefix="1" applyNumberFormat="1" applyFont="1" applyBorder="1"/>
    <xf numFmtId="164" fontId="15" fillId="2" borderId="8" xfId="1" applyNumberFormat="1" applyFont="1" applyFill="1" applyBorder="1" applyAlignment="1">
      <alignment horizontal="center" vertical="center"/>
    </xf>
    <xf numFmtId="170" fontId="7" fillId="0" borderId="1" xfId="0" applyNumberFormat="1" applyFont="1" applyBorder="1"/>
    <xf numFmtId="168" fontId="0" fillId="0" borderId="0" xfId="0" applyNumberFormat="1" applyAlignment="1">
      <alignment horizontal="center"/>
    </xf>
    <xf numFmtId="166" fontId="7" fillId="7" borderId="1" xfId="2" quotePrefix="1" applyNumberFormat="1" applyFont="1" applyFill="1" applyBorder="1"/>
    <xf numFmtId="167" fontId="4" fillId="5" borderId="1" xfId="9" applyNumberFormat="1" applyFont="1" applyFill="1" applyBorder="1" applyAlignment="1">
      <alignment horizontal="center"/>
    </xf>
    <xf numFmtId="164" fontId="0" fillId="0" borderId="0" xfId="1" applyNumberFormat="1" applyFont="1"/>
    <xf numFmtId="167" fontId="7" fillId="2" borderId="14" xfId="9" quotePrefix="1" applyNumberFormat="1" applyFont="1" applyFill="1" applyBorder="1"/>
    <xf numFmtId="167" fontId="7" fillId="2" borderId="1" xfId="9" quotePrefix="1" applyNumberFormat="1" applyFont="1" applyFill="1" applyBorder="1"/>
    <xf numFmtId="0" fontId="0" fillId="0" borderId="0" xfId="1" applyNumberFormat="1" applyFont="1" applyAlignment="1">
      <alignment horizontal="right"/>
    </xf>
    <xf numFmtId="168" fontId="0" fillId="0" borderId="0" xfId="0" applyNumberFormat="1"/>
    <xf numFmtId="167" fontId="6" fillId="0" borderId="1" xfId="9" applyNumberFormat="1" applyFont="1" applyFill="1" applyBorder="1" applyAlignment="1">
      <alignment horizontal="center"/>
    </xf>
    <xf numFmtId="167" fontId="7" fillId="0" borderId="1" xfId="9" quotePrefix="1" applyNumberFormat="1" applyFont="1" applyBorder="1"/>
    <xf numFmtId="167" fontId="7" fillId="0" borderId="14" xfId="9" quotePrefix="1" applyNumberFormat="1" applyFont="1" applyBorder="1"/>
    <xf numFmtId="168" fontId="7" fillId="0" borderId="12" xfId="0" applyNumberFormat="1" applyFont="1" applyBorder="1"/>
    <xf numFmtId="165" fontId="4" fillId="0" borderId="1" xfId="9" applyNumberFormat="1" applyFont="1" applyBorder="1" applyAlignment="1">
      <alignment horizontal="center"/>
    </xf>
    <xf numFmtId="167" fontId="6" fillId="5" borderId="1" xfId="9" applyNumberFormat="1" applyFont="1" applyFill="1" applyBorder="1" applyAlignment="1">
      <alignment horizontal="center"/>
    </xf>
    <xf numFmtId="164" fontId="6" fillId="0" borderId="0" xfId="1" applyNumberFormat="1" applyFont="1" applyFill="1"/>
    <xf numFmtId="164" fontId="6" fillId="2" borderId="0" xfId="1" applyNumberFormat="1" applyFont="1" applyFill="1" applyBorder="1"/>
    <xf numFmtId="164" fontId="19" fillId="0" borderId="0" xfId="1" applyNumberFormat="1" applyFont="1"/>
    <xf numFmtId="168" fontId="8" fillId="0" borderId="12" xfId="8" applyNumberFormat="1" applyFont="1" applyBorder="1"/>
    <xf numFmtId="168" fontId="0" fillId="0" borderId="0" xfId="0" quotePrefix="1" applyNumberFormat="1"/>
    <xf numFmtId="164" fontId="6" fillId="0" borderId="0" xfId="1" applyNumberFormat="1" applyFont="1" applyAlignment="1">
      <alignment horizontal="center"/>
    </xf>
    <xf numFmtId="164" fontId="0" fillId="0" borderId="0" xfId="1" applyNumberFormat="1" applyFont="1" applyAlignment="1">
      <alignment horizontal="center"/>
    </xf>
    <xf numFmtId="164" fontId="4" fillId="5" borderId="0" xfId="1" applyNumberFormat="1" applyFont="1" applyFill="1"/>
    <xf numFmtId="165" fontId="4" fillId="2" borderId="1" xfId="9" applyNumberFormat="1" applyFont="1" applyFill="1" applyBorder="1" applyAlignment="1">
      <alignment horizontal="center"/>
    </xf>
    <xf numFmtId="164" fontId="5" fillId="0" borderId="0" xfId="1" applyNumberFormat="1" applyFont="1"/>
    <xf numFmtId="0" fontId="4" fillId="3" borderId="11" xfId="1" applyNumberFormat="1" applyFont="1" applyFill="1" applyBorder="1"/>
    <xf numFmtId="168" fontId="3" fillId="0" borderId="0" xfId="8" applyNumberFormat="1"/>
    <xf numFmtId="0" fontId="6" fillId="0" borderId="11" xfId="1" quotePrefix="1" applyNumberFormat="1" applyFont="1" applyFill="1" applyBorder="1" applyAlignment="1">
      <alignment horizontal="right"/>
    </xf>
    <xf numFmtId="167" fontId="4" fillId="0" borderId="1" xfId="9" quotePrefix="1" applyNumberFormat="1" applyFont="1" applyBorder="1" applyAlignment="1">
      <alignment horizontal="center"/>
    </xf>
    <xf numFmtId="49" fontId="7" fillId="0" borderId="12" xfId="1" quotePrefix="1" applyNumberFormat="1" applyFont="1" applyBorder="1" applyAlignment="1">
      <alignment horizontal="right"/>
    </xf>
    <xf numFmtId="0" fontId="5" fillId="0" borderId="12" xfId="1" applyNumberFormat="1" applyFont="1" applyBorder="1"/>
    <xf numFmtId="49" fontId="6" fillId="0" borderId="11" xfId="1" quotePrefix="1" applyNumberFormat="1" applyFont="1" applyBorder="1" applyAlignment="1">
      <alignment horizontal="right"/>
    </xf>
    <xf numFmtId="0" fontId="20" fillId="0" borderId="0" xfId="1" applyNumberFormat="1" applyFont="1" applyAlignment="1">
      <alignment horizontal="center" wrapText="1"/>
    </xf>
    <xf numFmtId="0" fontId="20" fillId="0" borderId="0" xfId="1" applyNumberFormat="1" applyFont="1" applyAlignment="1">
      <alignment horizontal="center"/>
    </xf>
    <xf numFmtId="0" fontId="0" fillId="0" borderId="0" xfId="1" applyNumberFormat="1" applyFont="1" applyAlignment="1">
      <alignment horizontal="center" wrapText="1"/>
    </xf>
    <xf numFmtId="0" fontId="20" fillId="0" borderId="0" xfId="1" applyNumberFormat="1" applyFont="1" applyAlignment="1">
      <alignment horizontal="right"/>
    </xf>
    <xf numFmtId="5" fontId="6" fillId="0" borderId="0" xfId="1" applyNumberFormat="1" applyFont="1"/>
    <xf numFmtId="168" fontId="7" fillId="0" borderId="14" xfId="0" applyNumberFormat="1" applyFont="1" applyBorder="1"/>
    <xf numFmtId="169" fontId="7" fillId="0" borderId="15" xfId="0" applyNumberFormat="1" applyFont="1" applyBorder="1"/>
    <xf numFmtId="168" fontId="12" fillId="0" borderId="12" xfId="8" applyNumberFormat="1" applyFont="1" applyBorder="1"/>
    <xf numFmtId="0" fontId="4" fillId="2" borderId="11" xfId="1" applyNumberFormat="1" applyFont="1" applyFill="1" applyBorder="1"/>
    <xf numFmtId="164" fontId="16" fillId="0" borderId="0" xfId="1" applyNumberFormat="1" applyFont="1"/>
    <xf numFmtId="164" fontId="15" fillId="0" borderId="0" xfId="1" applyNumberFormat="1" applyFont="1" applyAlignment="1">
      <alignment horizontal="center" vertical="center" wrapText="1"/>
    </xf>
    <xf numFmtId="49" fontId="4" fillId="3" borderId="11" xfId="1" quotePrefix="1" applyNumberFormat="1" applyFont="1" applyFill="1" applyBorder="1"/>
    <xf numFmtId="168" fontId="22" fillId="2" borderId="24" xfId="0" applyNumberFormat="1" applyFont="1" applyFill="1" applyBorder="1"/>
    <xf numFmtId="168" fontId="23" fillId="9" borderId="24" xfId="5" applyNumberFormat="1" applyFont="1" applyFill="1" applyBorder="1" applyAlignment="1">
      <alignment horizontal="left"/>
    </xf>
    <xf numFmtId="5" fontId="6" fillId="0" borderId="11" xfId="1" quotePrefix="1" applyNumberFormat="1" applyFont="1" applyBorder="1" applyAlignment="1">
      <alignment horizontal="right"/>
    </xf>
    <xf numFmtId="168" fontId="20" fillId="0" borderId="0" xfId="0" applyNumberFormat="1" applyFont="1" applyAlignment="1">
      <alignment horizontal="right"/>
    </xf>
    <xf numFmtId="169" fontId="7" fillId="0" borderId="14" xfId="0" applyNumberFormat="1" applyFont="1" applyBorder="1"/>
    <xf numFmtId="0" fontId="6" fillId="0" borderId="11" xfId="1" applyNumberFormat="1" applyFont="1" applyBorder="1" applyAlignment="1">
      <alignment horizontal="right"/>
    </xf>
    <xf numFmtId="0" fontId="4" fillId="2" borderId="25" xfId="1" applyNumberFormat="1" applyFont="1" applyFill="1" applyBorder="1"/>
    <xf numFmtId="0" fontId="19" fillId="0" borderId="0" xfId="1" applyNumberFormat="1" applyFont="1" applyAlignment="1">
      <alignment horizontal="right"/>
    </xf>
    <xf numFmtId="0" fontId="4" fillId="0" borderId="26" xfId="1" applyNumberFormat="1" applyFont="1" applyBorder="1"/>
    <xf numFmtId="49" fontId="6" fillId="0" borderId="11" xfId="1" applyNumberFormat="1" applyFont="1" applyBorder="1" applyAlignment="1">
      <alignment horizontal="right"/>
    </xf>
    <xf numFmtId="0" fontId="6" fillId="0" borderId="11" xfId="1" applyNumberFormat="1" applyFont="1" applyBorder="1"/>
    <xf numFmtId="0" fontId="4" fillId="0" borderId="11" xfId="1" applyNumberFormat="1" applyFont="1" applyBorder="1"/>
    <xf numFmtId="164" fontId="17" fillId="0" borderId="0" xfId="1" applyNumberFormat="1" applyFont="1"/>
    <xf numFmtId="168" fontId="0" fillId="2" borderId="28" xfId="0" applyNumberFormat="1" applyFill="1" applyBorder="1"/>
    <xf numFmtId="0" fontId="0" fillId="0" borderId="0" xfId="1" quotePrefix="1" applyNumberFormat="1" applyFont="1"/>
    <xf numFmtId="0" fontId="6" fillId="0" borderId="11" xfId="1" quotePrefix="1" applyNumberFormat="1" applyFont="1" applyBorder="1" applyAlignment="1">
      <alignment horizontal="right"/>
    </xf>
    <xf numFmtId="165" fontId="14" fillId="0" borderId="0" xfId="9" applyNumberFormat="1" applyFont="1" applyBorder="1"/>
    <xf numFmtId="164" fontId="15" fillId="0" borderId="0" xfId="1" applyNumberFormat="1" applyFont="1" applyAlignment="1">
      <alignment horizontal="center" vertical="center"/>
    </xf>
    <xf numFmtId="169" fontId="7" fillId="0" borderId="1" xfId="0" applyNumberFormat="1" applyFont="1" applyBorder="1"/>
    <xf numFmtId="0" fontId="4" fillId="5" borderId="11" xfId="1" applyNumberFormat="1" applyFont="1" applyFill="1" applyBorder="1"/>
    <xf numFmtId="168" fontId="8" fillId="0" borderId="23" xfId="8" applyNumberFormat="1" applyFont="1" applyBorder="1"/>
    <xf numFmtId="165" fontId="0" fillId="0" borderId="0" xfId="9" quotePrefix="1" applyNumberFormat="1" applyFont="1" applyAlignment="1">
      <alignment horizontal="center" wrapText="1"/>
    </xf>
    <xf numFmtId="0" fontId="7" fillId="0" borderId="20" xfId="1" quotePrefix="1" applyNumberFormat="1" applyFont="1" applyBorder="1" applyAlignment="1">
      <alignment horizontal="right"/>
    </xf>
    <xf numFmtId="0" fontId="24" fillId="0" borderId="0" xfId="3" applyFont="1"/>
    <xf numFmtId="164" fontId="6" fillId="0" borderId="0" xfId="1" applyNumberFormat="1" applyFont="1" applyBorder="1"/>
    <xf numFmtId="168" fontId="8" fillId="0" borderId="0" xfId="8" applyNumberFormat="1" applyFont="1"/>
    <xf numFmtId="168" fontId="25" fillId="0" borderId="0" xfId="0" applyNumberFormat="1" applyFont="1"/>
    <xf numFmtId="168" fontId="0" fillId="9" borderId="28" xfId="0" applyNumberFormat="1" applyFill="1" applyBorder="1"/>
    <xf numFmtId="49" fontId="6" fillId="0" borderId="11" xfId="1" quotePrefix="1" applyNumberFormat="1" applyFont="1" applyFill="1" applyBorder="1" applyAlignment="1">
      <alignment horizontal="right"/>
    </xf>
    <xf numFmtId="168" fontId="8" fillId="0" borderId="0" xfId="8" applyNumberFormat="1" applyFont="1" applyAlignment="1">
      <alignment horizontal="center"/>
    </xf>
    <xf numFmtId="171" fontId="26" fillId="0" borderId="0" xfId="5" applyNumberFormat="1" applyFont="1" applyAlignment="1">
      <alignment horizontal="right"/>
    </xf>
    <xf numFmtId="168" fontId="12" fillId="0" borderId="0" xfId="8" applyNumberFormat="1" applyFont="1"/>
    <xf numFmtId="164" fontId="10" fillId="0" borderId="0" xfId="1" applyNumberFormat="1" applyFont="1"/>
    <xf numFmtId="164" fontId="14" fillId="2" borderId="3" xfId="1" quotePrefix="1" applyNumberFormat="1" applyFont="1" applyFill="1" applyBorder="1" applyAlignment="1">
      <alignment horizontal="left"/>
    </xf>
    <xf numFmtId="168" fontId="12" fillId="0" borderId="2" xfId="8" applyNumberFormat="1" applyFont="1" applyBorder="1"/>
    <xf numFmtId="0" fontId="9" fillId="6" borderId="0" xfId="1" applyNumberFormat="1" applyFont="1" applyFill="1"/>
    <xf numFmtId="0" fontId="27" fillId="0" borderId="0" xfId="3" quotePrefix="1" applyFont="1" applyAlignment="1">
      <alignment horizontal="right"/>
    </xf>
    <xf numFmtId="164" fontId="24" fillId="0" borderId="0" xfId="3" applyNumberFormat="1" applyFont="1"/>
    <xf numFmtId="171" fontId="26" fillId="0" borderId="0" xfId="5" applyNumberFormat="1" applyFont="1" applyAlignment="1">
      <alignment horizontal="left"/>
    </xf>
    <xf numFmtId="168" fontId="8" fillId="0" borderId="17" xfId="8" applyNumberFormat="1" applyFont="1" applyBorder="1"/>
    <xf numFmtId="168" fontId="12" fillId="0" borderId="14" xfId="8" applyNumberFormat="1" applyFont="1" applyBorder="1"/>
    <xf numFmtId="0" fontId="17" fillId="0" borderId="0" xfId="1" applyNumberFormat="1" applyFont="1" applyAlignment="1">
      <alignment horizontal="right"/>
    </xf>
    <xf numFmtId="0" fontId="16" fillId="0" borderId="0" xfId="1" applyNumberFormat="1" applyFont="1" applyAlignment="1">
      <alignment horizontal="right"/>
    </xf>
    <xf numFmtId="169" fontId="7" fillId="0" borderId="7" xfId="0" applyNumberFormat="1" applyFont="1" applyBorder="1"/>
    <xf numFmtId="168" fontId="8" fillId="0" borderId="5" xfId="8" applyNumberFormat="1" applyFont="1" applyBorder="1"/>
    <xf numFmtId="164" fontId="14" fillId="0" borderId="0" xfId="1" quotePrefix="1" applyNumberFormat="1" applyFont="1" applyBorder="1" applyAlignment="1">
      <alignment horizontal="left"/>
    </xf>
    <xf numFmtId="0" fontId="10" fillId="2" borderId="24" xfId="1" applyNumberFormat="1" applyFont="1" applyFill="1" applyBorder="1"/>
    <xf numFmtId="168" fontId="3" fillId="0" borderId="0" xfId="8" applyNumberFormat="1" applyFill="1"/>
    <xf numFmtId="168" fontId="8" fillId="0" borderId="0" xfId="8" applyNumberFormat="1" applyFont="1" applyFill="1"/>
    <xf numFmtId="172" fontId="7" fillId="0" borderId="2" xfId="2" quotePrefix="1" applyNumberFormat="1" applyFont="1" applyFill="1" applyBorder="1"/>
    <xf numFmtId="168" fontId="7" fillId="0" borderId="2" xfId="0" applyNumberFormat="1" applyFont="1" applyFill="1" applyBorder="1"/>
    <xf numFmtId="166" fontId="7" fillId="0" borderId="2" xfId="2" quotePrefix="1" applyNumberFormat="1" applyFont="1" applyFill="1" applyBorder="1"/>
    <xf numFmtId="172" fontId="12" fillId="0" borderId="12" xfId="8" applyNumberFormat="1" applyFont="1" applyFill="1" applyBorder="1"/>
    <xf numFmtId="170" fontId="7" fillId="0" borderId="12" xfId="0" applyNumberFormat="1" applyFont="1" applyFill="1" applyBorder="1"/>
    <xf numFmtId="166" fontId="0" fillId="0" borderId="0" xfId="2" applyNumberFormat="1" applyFont="1"/>
    <xf numFmtId="166" fontId="7" fillId="0" borderId="0" xfId="2" applyNumberFormat="1" applyFont="1"/>
    <xf numFmtId="0" fontId="0" fillId="0" borderId="0" xfId="1" applyNumberFormat="1" applyFont="1" applyBorder="1"/>
    <xf numFmtId="165" fontId="0" fillId="0" borderId="0" xfId="9" applyNumberFormat="1" applyFont="1"/>
    <xf numFmtId="49" fontId="0" fillId="0" borderId="0" xfId="1" quotePrefix="1" applyNumberFormat="1" applyFont="1" applyFill="1" applyAlignment="1">
      <alignment horizontal="center" wrapText="1"/>
    </xf>
    <xf numFmtId="0" fontId="0" fillId="0" borderId="0" xfId="1" quotePrefix="1" applyNumberFormat="1" applyFont="1" applyBorder="1" applyAlignment="1">
      <alignment horizontal="center" wrapText="1"/>
    </xf>
    <xf numFmtId="17" fontId="0" fillId="0" borderId="0" xfId="1" quotePrefix="1" applyNumberFormat="1" applyFont="1" applyAlignment="1">
      <alignment horizontal="center" wrapText="1"/>
    </xf>
    <xf numFmtId="164" fontId="11" fillId="2" borderId="10" xfId="1" applyNumberFormat="1" applyFont="1" applyFill="1" applyBorder="1" applyAlignment="1">
      <alignment horizontal="center"/>
    </xf>
    <xf numFmtId="164" fontId="11" fillId="2" borderId="10" xfId="1" applyNumberFormat="1" applyFont="1" applyFill="1" applyBorder="1" applyAlignment="1">
      <alignment horizontal="center" wrapText="1"/>
    </xf>
    <xf numFmtId="164" fontId="16" fillId="0" borderId="0" xfId="1" applyNumberFormat="1" applyFont="1" applyBorder="1" applyAlignment="1">
      <alignment horizontal="center" vertical="center"/>
    </xf>
    <xf numFmtId="0" fontId="29" fillId="2" borderId="4" xfId="1" applyNumberFormat="1" applyFont="1" applyFill="1" applyBorder="1" applyAlignment="1">
      <alignment horizontal="center"/>
    </xf>
    <xf numFmtId="0" fontId="29" fillId="2" borderId="4" xfId="1" applyNumberFormat="1" applyFont="1" applyFill="1" applyBorder="1"/>
    <xf numFmtId="0" fontId="29" fillId="2" borderId="31" xfId="1" applyNumberFormat="1" applyFont="1" applyFill="1" applyBorder="1" applyAlignment="1">
      <alignment horizontal="center"/>
    </xf>
    <xf numFmtId="0" fontId="30" fillId="0" borderId="0" xfId="0" applyFont="1"/>
    <xf numFmtId="164" fontId="30" fillId="0" borderId="33" xfId="1" quotePrefix="1" applyNumberFormat="1" applyFont="1" applyFill="1" applyBorder="1"/>
    <xf numFmtId="164" fontId="30" fillId="0" borderId="34" xfId="1" quotePrefix="1" applyNumberFormat="1" applyFont="1" applyFill="1" applyBorder="1"/>
    <xf numFmtId="164" fontId="30" fillId="0" borderId="35" xfId="1" quotePrefix="1" applyNumberFormat="1" applyFont="1" applyBorder="1"/>
    <xf numFmtId="164" fontId="30" fillId="4" borderId="36" xfId="1" quotePrefix="1" applyNumberFormat="1" applyFont="1" applyFill="1" applyBorder="1"/>
    <xf numFmtId="167" fontId="30" fillId="8" borderId="36" xfId="9" applyNumberFormat="1" applyFont="1" applyFill="1" applyBorder="1" applyAlignment="1">
      <alignment horizontal="center"/>
    </xf>
    <xf numFmtId="167" fontId="30" fillId="8" borderId="36" xfId="9" applyNumberFormat="1" applyFont="1" applyFill="1" applyBorder="1" applyAlignment="1">
      <alignment horizontal="left" indent="1"/>
    </xf>
    <xf numFmtId="164" fontId="30" fillId="11" borderId="33" xfId="1" quotePrefix="1" applyNumberFormat="1" applyFont="1" applyFill="1" applyBorder="1"/>
    <xf numFmtId="164" fontId="30" fillId="11" borderId="34" xfId="1" quotePrefix="1" applyNumberFormat="1" applyFont="1" applyFill="1" applyBorder="1"/>
    <xf numFmtId="167" fontId="30" fillId="0" borderId="36" xfId="9" applyNumberFormat="1" applyFont="1" applyBorder="1" applyAlignment="1">
      <alignment horizontal="center"/>
    </xf>
    <xf numFmtId="167" fontId="30" fillId="0" borderId="36" xfId="9" applyNumberFormat="1" applyFont="1" applyBorder="1" applyAlignment="1">
      <alignment horizontal="left" indent="1"/>
    </xf>
    <xf numFmtId="164" fontId="30" fillId="11" borderId="38" xfId="1" quotePrefix="1" applyNumberFormat="1" applyFont="1" applyFill="1" applyBorder="1"/>
    <xf numFmtId="167" fontId="30" fillId="8" borderId="39" xfId="9" applyNumberFormat="1" applyFont="1" applyFill="1" applyBorder="1" applyAlignment="1">
      <alignment horizontal="center"/>
    </xf>
    <xf numFmtId="167" fontId="30" fillId="8" borderId="39" xfId="9" applyNumberFormat="1" applyFont="1" applyFill="1" applyBorder="1" applyAlignment="1">
      <alignment horizontal="left" indent="1"/>
    </xf>
    <xf numFmtId="164" fontId="30" fillId="0" borderId="43" xfId="1" quotePrefix="1" applyNumberFormat="1" applyFont="1" applyFill="1" applyBorder="1"/>
    <xf numFmtId="164" fontId="30" fillId="0" borderId="0" xfId="1" applyNumberFormat="1" applyFont="1" applyFill="1"/>
    <xf numFmtId="164" fontId="31" fillId="0" borderId="0" xfId="1" applyNumberFormat="1" applyFont="1" applyBorder="1"/>
    <xf numFmtId="164" fontId="7" fillId="0" borderId="0" xfId="1" applyNumberFormat="1" applyFont="1"/>
    <xf numFmtId="165" fontId="31" fillId="0" borderId="0" xfId="9" applyNumberFormat="1" applyFont="1" applyBorder="1"/>
    <xf numFmtId="174" fontId="30" fillId="0" borderId="33" xfId="1" quotePrefix="1" applyNumberFormat="1" applyFont="1" applyFill="1" applyBorder="1"/>
    <xf numFmtId="174" fontId="30" fillId="0" borderId="34" xfId="1" quotePrefix="1" applyNumberFormat="1" applyFont="1" applyFill="1" applyBorder="1"/>
    <xf numFmtId="174" fontId="30" fillId="4" borderId="36" xfId="1" quotePrefix="1" applyNumberFormat="1" applyFont="1" applyFill="1" applyBorder="1"/>
    <xf numFmtId="169" fontId="30" fillId="10" borderId="33" xfId="9" applyNumberFormat="1" applyFont="1" applyFill="1" applyBorder="1" applyAlignment="1">
      <alignment horizontal="center"/>
    </xf>
    <xf numFmtId="169" fontId="30" fillId="10" borderId="33" xfId="9" applyNumberFormat="1" applyFont="1" applyFill="1" applyBorder="1" applyAlignment="1">
      <alignment horizontal="left" indent="1"/>
    </xf>
    <xf numFmtId="164" fontId="30" fillId="0" borderId="44" xfId="1" quotePrefix="1" applyNumberFormat="1" applyFont="1" applyBorder="1"/>
    <xf numFmtId="174" fontId="30" fillId="11" borderId="36" xfId="1" quotePrefix="1" applyNumberFormat="1" applyFont="1" applyFill="1" applyBorder="1"/>
    <xf numFmtId="174" fontId="30" fillId="11" borderId="45" xfId="1" quotePrefix="1" applyNumberFormat="1" applyFont="1" applyFill="1" applyBorder="1"/>
    <xf numFmtId="169" fontId="30" fillId="8" borderId="33" xfId="9" applyNumberFormat="1" applyFont="1" applyFill="1" applyBorder="1" applyAlignment="1">
      <alignment horizontal="center"/>
    </xf>
    <xf numFmtId="169" fontId="30" fillId="8" borderId="33" xfId="9" applyNumberFormat="1" applyFont="1" applyFill="1" applyBorder="1" applyAlignment="1">
      <alignment horizontal="left" indent="1"/>
    </xf>
    <xf numFmtId="174" fontId="30" fillId="8" borderId="32" xfId="1" quotePrefix="1" applyNumberFormat="1" applyFont="1" applyFill="1" applyBorder="1"/>
    <xf numFmtId="174" fontId="30" fillId="0" borderId="41" xfId="1" quotePrefix="1" applyNumberFormat="1" applyFont="1" applyFill="1" applyBorder="1"/>
    <xf numFmtId="174" fontId="30" fillId="0" borderId="42" xfId="1" quotePrefix="1" applyNumberFormat="1" applyFont="1" applyFill="1" applyBorder="1"/>
    <xf numFmtId="174" fontId="30" fillId="4" borderId="41" xfId="1" quotePrefix="1" applyNumberFormat="1" applyFont="1" applyFill="1" applyBorder="1"/>
    <xf numFmtId="169" fontId="30" fillId="0" borderId="41" xfId="9" applyNumberFormat="1" applyFont="1" applyFill="1" applyBorder="1" applyAlignment="1">
      <alignment horizontal="center"/>
    </xf>
    <xf numFmtId="169" fontId="30" fillId="0" borderId="41" xfId="9" applyNumberFormat="1" applyFont="1" applyFill="1" applyBorder="1" applyAlignment="1">
      <alignment horizontal="left" indent="1"/>
    </xf>
    <xf numFmtId="174" fontId="30" fillId="0" borderId="40" xfId="1" quotePrefix="1" applyNumberFormat="1" applyFont="1" applyFill="1" applyBorder="1"/>
    <xf numFmtId="0" fontId="30" fillId="0" borderId="0" xfId="1" applyNumberFormat="1" applyFont="1" applyBorder="1"/>
    <xf numFmtId="164" fontId="30" fillId="0" borderId="0" xfId="1" applyNumberFormat="1" applyFont="1" applyBorder="1"/>
    <xf numFmtId="3" fontId="30" fillId="0" borderId="0" xfId="1" applyNumberFormat="1" applyFont="1" applyBorder="1"/>
    <xf numFmtId="0" fontId="30" fillId="0" borderId="0" xfId="0" applyFont="1" applyAlignment="1">
      <alignment horizontal="center"/>
    </xf>
    <xf numFmtId="0" fontId="30" fillId="0" borderId="0" xfId="1" applyNumberFormat="1" applyFont="1" applyBorder="1" applyAlignment="1">
      <alignment horizontal="left" indent="1"/>
    </xf>
    <xf numFmtId="165" fontId="30" fillId="0" borderId="0" xfId="9" applyNumberFormat="1" applyFont="1" applyBorder="1"/>
    <xf numFmtId="164" fontId="0" fillId="0" borderId="0" xfId="1" applyNumberFormat="1" applyFont="1" applyBorder="1"/>
    <xf numFmtId="168" fontId="12" fillId="0" borderId="0" xfId="8" applyNumberFormat="1" applyFont="1" applyAlignment="1">
      <alignment horizontal="right"/>
    </xf>
    <xf numFmtId="0" fontId="7" fillId="0" borderId="0" xfId="1" applyNumberFormat="1" applyFont="1"/>
    <xf numFmtId="164" fontId="7" fillId="0" borderId="0" xfId="1" applyNumberFormat="1" applyFont="1" applyAlignment="1">
      <alignment horizontal="center"/>
    </xf>
    <xf numFmtId="0" fontId="4" fillId="2" borderId="11" xfId="1" quotePrefix="1" applyNumberFormat="1" applyFont="1" applyFill="1" applyBorder="1" applyAlignment="1">
      <alignment horizontal="left"/>
    </xf>
    <xf numFmtId="5" fontId="0" fillId="0" borderId="0" xfId="0" applyNumberFormat="1"/>
    <xf numFmtId="0" fontId="4" fillId="12" borderId="11" xfId="1" applyNumberFormat="1" applyFont="1" applyFill="1" applyBorder="1"/>
    <xf numFmtId="164" fontId="6" fillId="12" borderId="1" xfId="1" applyNumberFormat="1" applyFont="1" applyFill="1" applyBorder="1"/>
    <xf numFmtId="0" fontId="6" fillId="0" borderId="12" xfId="1" quotePrefix="1" applyNumberFormat="1" applyFont="1" applyFill="1" applyBorder="1" applyAlignment="1">
      <alignment horizontal="right" wrapText="1"/>
    </xf>
    <xf numFmtId="166" fontId="20" fillId="0" borderId="0" xfId="2" applyNumberFormat="1" applyFont="1"/>
    <xf numFmtId="0" fontId="6" fillId="0" borderId="16" xfId="1" applyNumberFormat="1" applyFont="1" applyBorder="1" applyAlignment="1">
      <alignment horizontal="right"/>
    </xf>
    <xf numFmtId="165" fontId="6" fillId="0" borderId="18" xfId="9" quotePrefix="1" applyNumberFormat="1" applyFont="1" applyBorder="1"/>
    <xf numFmtId="165" fontId="6" fillId="0" borderId="7" xfId="9" quotePrefix="1" applyNumberFormat="1" applyFont="1" applyBorder="1"/>
    <xf numFmtId="165" fontId="4" fillId="0" borderId="7" xfId="9" applyNumberFormat="1" applyFont="1" applyBorder="1" applyAlignment="1">
      <alignment horizontal="center"/>
    </xf>
    <xf numFmtId="49" fontId="4" fillId="2" borderId="4" xfId="1" quotePrefix="1" applyNumberFormat="1" applyFont="1" applyFill="1" applyBorder="1" applyAlignment="1"/>
    <xf numFmtId="0" fontId="4" fillId="3" borderId="11" xfId="1" quotePrefix="1" applyNumberFormat="1" applyFont="1" applyFill="1" applyBorder="1"/>
    <xf numFmtId="0" fontId="33" fillId="0" borderId="0" xfId="1" applyNumberFormat="1" applyFont="1" applyAlignment="1">
      <alignment horizontal="right"/>
    </xf>
    <xf numFmtId="0" fontId="32" fillId="0" borderId="0" xfId="1" applyNumberFormat="1" applyFont="1" applyAlignment="1">
      <alignment horizontal="right"/>
    </xf>
    <xf numFmtId="0" fontId="34" fillId="0" borderId="0" xfId="1" applyNumberFormat="1" applyFont="1" applyAlignment="1">
      <alignment horizontal="right"/>
    </xf>
    <xf numFmtId="0" fontId="35" fillId="0" borderId="0" xfId="1" applyNumberFormat="1" applyFont="1" applyAlignment="1">
      <alignment horizontal="right"/>
    </xf>
    <xf numFmtId="0" fontId="36" fillId="0" borderId="0" xfId="1" applyNumberFormat="1" applyFont="1" applyAlignment="1">
      <alignment horizontal="right"/>
    </xf>
    <xf numFmtId="0" fontId="37" fillId="0" borderId="0" xfId="1" applyNumberFormat="1" applyFont="1" applyAlignment="1">
      <alignment horizontal="right"/>
    </xf>
    <xf numFmtId="0" fontId="38" fillId="0" borderId="0" xfId="1" applyNumberFormat="1" applyFont="1" applyAlignment="1">
      <alignment horizontal="center" vertical="center"/>
    </xf>
    <xf numFmtId="0" fontId="35" fillId="0" borderId="0" xfId="1" applyNumberFormat="1" applyFont="1" applyFill="1" applyAlignment="1">
      <alignment horizontal="right"/>
    </xf>
    <xf numFmtId="5" fontId="35" fillId="0" borderId="0" xfId="1" applyNumberFormat="1" applyFont="1" applyAlignment="1">
      <alignment horizontal="right"/>
    </xf>
    <xf numFmtId="0" fontId="34" fillId="5" borderId="0" xfId="1" applyNumberFormat="1" applyFont="1" applyFill="1" applyAlignment="1">
      <alignment horizontal="right"/>
    </xf>
    <xf numFmtId="0" fontId="35" fillId="0" borderId="0" xfId="1" applyNumberFormat="1" applyFont="1" applyBorder="1" applyAlignment="1">
      <alignment horizontal="right"/>
    </xf>
    <xf numFmtId="0" fontId="39" fillId="0" borderId="0" xfId="1" applyNumberFormat="1" applyFont="1" applyAlignment="1">
      <alignment horizontal="right"/>
    </xf>
    <xf numFmtId="167" fontId="4" fillId="12" borderId="1" xfId="9" applyNumberFormat="1" applyFont="1" applyFill="1" applyBorder="1" applyAlignment="1">
      <alignment horizontal="center"/>
    </xf>
    <xf numFmtId="172" fontId="7" fillId="0" borderId="2" xfId="2" quotePrefix="1" applyNumberFormat="1" applyFont="1" applyBorder="1"/>
    <xf numFmtId="172" fontId="7" fillId="7" borderId="2" xfId="2" quotePrefix="1" applyNumberFormat="1" applyFont="1" applyFill="1" applyBorder="1"/>
    <xf numFmtId="166" fontId="7" fillId="7" borderId="2" xfId="2" quotePrefix="1" applyNumberFormat="1" applyFont="1" applyFill="1" applyBorder="1"/>
    <xf numFmtId="170" fontId="7" fillId="0" borderId="2" xfId="0" applyNumberFormat="1" applyFont="1" applyBorder="1"/>
    <xf numFmtId="0" fontId="14" fillId="0" borderId="12" xfId="1" quotePrefix="1" applyNumberFormat="1" applyFont="1" applyFill="1" applyBorder="1" applyAlignment="1">
      <alignment horizontal="left"/>
    </xf>
    <xf numFmtId="172" fontId="7" fillId="0" borderId="1" xfId="2" quotePrefix="1" applyNumberFormat="1" applyFont="1" applyFill="1" applyBorder="1"/>
    <xf numFmtId="167" fontId="7" fillId="0" borderId="1" xfId="9" quotePrefix="1" applyNumberFormat="1" applyFont="1" applyFill="1" applyBorder="1"/>
    <xf numFmtId="168" fontId="12" fillId="0" borderId="0" xfId="8" applyNumberFormat="1" applyFont="1" applyFill="1"/>
    <xf numFmtId="0" fontId="14" fillId="2" borderId="46" xfId="1" quotePrefix="1" applyNumberFormat="1" applyFont="1" applyFill="1" applyBorder="1" applyAlignment="1">
      <alignment horizontal="left"/>
    </xf>
    <xf numFmtId="172" fontId="7" fillId="7" borderId="47" xfId="2" quotePrefix="1" applyNumberFormat="1" applyFont="1" applyFill="1" applyBorder="1"/>
    <xf numFmtId="172" fontId="7" fillId="7" borderId="48" xfId="2" quotePrefix="1" applyNumberFormat="1" applyFont="1" applyFill="1" applyBorder="1"/>
    <xf numFmtId="167" fontId="7" fillId="2" borderId="47" xfId="9" quotePrefix="1" applyNumberFormat="1" applyFont="1" applyFill="1" applyBorder="1"/>
    <xf numFmtId="0" fontId="14" fillId="2" borderId="50" xfId="1" quotePrefix="1" applyNumberFormat="1" applyFont="1" applyFill="1" applyBorder="1" applyAlignment="1">
      <alignment horizontal="left"/>
    </xf>
    <xf numFmtId="172" fontId="7" fillId="7" borderId="51" xfId="2" quotePrefix="1" applyNumberFormat="1" applyFont="1" applyFill="1" applyBorder="1"/>
    <xf numFmtId="172" fontId="7" fillId="7" borderId="52" xfId="2" quotePrefix="1" applyNumberFormat="1" applyFont="1" applyFill="1" applyBorder="1"/>
    <xf numFmtId="167" fontId="7" fillId="2" borderId="51" xfId="9" quotePrefix="1" applyNumberFormat="1" applyFont="1" applyFill="1" applyBorder="1"/>
    <xf numFmtId="167" fontId="7" fillId="2" borderId="53" xfId="9" quotePrefix="1" applyNumberFormat="1" applyFont="1" applyFill="1" applyBorder="1"/>
    <xf numFmtId="0" fontId="7" fillId="6" borderId="12" xfId="1" quotePrefix="1" applyNumberFormat="1" applyFont="1" applyFill="1" applyBorder="1" applyAlignment="1">
      <alignment horizontal="right"/>
    </xf>
    <xf numFmtId="170" fontId="7" fillId="6" borderId="1" xfId="0" applyNumberFormat="1" applyFont="1" applyFill="1" applyBorder="1"/>
    <xf numFmtId="164" fontId="30" fillId="0" borderId="6" xfId="1" quotePrefix="1" applyNumberFormat="1" applyFont="1" applyFill="1" applyBorder="1"/>
    <xf numFmtId="17" fontId="0" fillId="0" borderId="0" xfId="0" applyNumberFormat="1"/>
    <xf numFmtId="164" fontId="30" fillId="0" borderId="38" xfId="1" quotePrefix="1" applyNumberFormat="1" applyFont="1" applyFill="1" applyBorder="1"/>
    <xf numFmtId="167" fontId="30" fillId="0" borderId="39" xfId="9" applyNumberFormat="1" applyFont="1" applyFill="1" applyBorder="1" applyAlignment="1">
      <alignment horizontal="center"/>
    </xf>
    <xf numFmtId="167" fontId="30" fillId="0" borderId="39" xfId="9" applyNumberFormat="1" applyFont="1" applyFill="1" applyBorder="1" applyAlignment="1">
      <alignment horizontal="left" indent="1"/>
    </xf>
    <xf numFmtId="49" fontId="30" fillId="0" borderId="0" xfId="0" applyNumberFormat="1" applyFont="1" applyFill="1"/>
    <xf numFmtId="0" fontId="30" fillId="0" borderId="0" xfId="0" applyFont="1" applyFill="1"/>
    <xf numFmtId="0" fontId="4" fillId="2" borderId="22" xfId="1" quotePrefix="1" applyNumberFormat="1" applyFont="1" applyFill="1" applyBorder="1" applyAlignment="1"/>
    <xf numFmtId="168" fontId="21" fillId="0" borderId="0" xfId="8" applyNumberFormat="1" applyFont="1" applyBorder="1" applyAlignment="1">
      <alignment horizontal="center"/>
    </xf>
    <xf numFmtId="0" fontId="4" fillId="2" borderId="19" xfId="1" applyNumberFormat="1" applyFont="1" applyFill="1" applyBorder="1" applyAlignment="1"/>
    <xf numFmtId="164" fontId="6" fillId="0" borderId="23" xfId="1" applyNumberFormat="1" applyFont="1" applyBorder="1"/>
    <xf numFmtId="0" fontId="4" fillId="2" borderId="54" xfId="1" applyNumberFormat="1" applyFont="1" applyFill="1" applyBorder="1"/>
    <xf numFmtId="164" fontId="5" fillId="0" borderId="17" xfId="1" applyNumberFormat="1" applyFont="1" applyBorder="1"/>
    <xf numFmtId="164" fontId="6" fillId="2" borderId="14" xfId="1" applyNumberFormat="1" applyFont="1" applyFill="1" applyBorder="1"/>
    <xf numFmtId="167" fontId="4" fillId="3" borderId="14" xfId="9" quotePrefix="1" applyNumberFormat="1" applyFont="1" applyFill="1" applyBorder="1" applyAlignment="1">
      <alignment horizontal="center"/>
    </xf>
    <xf numFmtId="167" fontId="6" fillId="0" borderId="14" xfId="9" applyNumberFormat="1" applyFont="1" applyFill="1" applyBorder="1" applyAlignment="1">
      <alignment horizontal="center"/>
    </xf>
    <xf numFmtId="167" fontId="6" fillId="0" borderId="14" xfId="9" applyNumberFormat="1" applyFont="1" applyBorder="1" applyAlignment="1">
      <alignment horizontal="center"/>
    </xf>
    <xf numFmtId="167" fontId="4" fillId="2" borderId="14" xfId="9" applyNumberFormat="1" applyFont="1" applyFill="1" applyBorder="1" applyAlignment="1">
      <alignment horizontal="center"/>
    </xf>
    <xf numFmtId="164" fontId="6" fillId="12" borderId="14" xfId="1" applyNumberFormat="1" applyFont="1" applyFill="1" applyBorder="1"/>
    <xf numFmtId="167" fontId="6" fillId="5" borderId="14" xfId="9" applyNumberFormat="1" applyFont="1" applyFill="1" applyBorder="1" applyAlignment="1">
      <alignment horizontal="center"/>
    </xf>
    <xf numFmtId="167" fontId="4" fillId="12" borderId="14" xfId="9" applyNumberFormat="1" applyFont="1" applyFill="1" applyBorder="1" applyAlignment="1">
      <alignment horizontal="center"/>
    </xf>
    <xf numFmtId="167" fontId="4" fillId="5" borderId="14" xfId="9" applyNumberFormat="1" applyFont="1" applyFill="1" applyBorder="1" applyAlignment="1">
      <alignment horizontal="center"/>
    </xf>
    <xf numFmtId="167" fontId="4" fillId="0" borderId="14" xfId="9" quotePrefix="1" applyNumberFormat="1" applyFont="1" applyBorder="1" applyAlignment="1">
      <alignment horizontal="center"/>
    </xf>
    <xf numFmtId="165" fontId="4" fillId="0" borderId="14" xfId="9" applyNumberFormat="1" applyFont="1" applyBorder="1" applyAlignment="1">
      <alignment horizontal="center"/>
    </xf>
    <xf numFmtId="165" fontId="4" fillId="2" borderId="14" xfId="9" applyNumberFormat="1" applyFont="1" applyFill="1" applyBorder="1" applyAlignment="1">
      <alignment horizontal="center"/>
    </xf>
    <xf numFmtId="165" fontId="4" fillId="0" borderId="15" xfId="9" applyNumberFormat="1" applyFont="1" applyBorder="1" applyAlignment="1">
      <alignment horizontal="center"/>
    </xf>
    <xf numFmtId="0" fontId="4" fillId="2" borderId="56" xfId="1" quotePrefix="1" applyNumberFormat="1" applyFont="1" applyFill="1" applyBorder="1" applyAlignment="1"/>
    <xf numFmtId="0" fontId="4" fillId="2" borderId="57" xfId="1" quotePrefix="1" applyNumberFormat="1" applyFont="1" applyFill="1" applyBorder="1" applyAlignment="1"/>
    <xf numFmtId="0" fontId="4" fillId="2" borderId="58" xfId="1" quotePrefix="1" applyNumberFormat="1" applyFont="1" applyFill="1" applyBorder="1" applyAlignment="1"/>
    <xf numFmtId="168" fontId="21" fillId="0" borderId="25" xfId="8" applyNumberFormat="1" applyFont="1" applyBorder="1"/>
    <xf numFmtId="168" fontId="8" fillId="0" borderId="3" xfId="8" applyNumberFormat="1" applyFont="1" applyBorder="1"/>
    <xf numFmtId="168" fontId="21" fillId="0" borderId="3" xfId="8" applyNumberFormat="1" applyFont="1" applyBorder="1"/>
    <xf numFmtId="168" fontId="8" fillId="0" borderId="54" xfId="8" applyNumberFormat="1" applyFont="1" applyBorder="1"/>
    <xf numFmtId="0" fontId="4" fillId="2" borderId="25" xfId="1" quotePrefix="1" applyNumberFormat="1" applyFont="1" applyFill="1" applyBorder="1" applyAlignment="1">
      <alignment horizontal="left"/>
    </xf>
    <xf numFmtId="0" fontId="4" fillId="2" borderId="3" xfId="1" quotePrefix="1" applyNumberFormat="1" applyFont="1" applyFill="1" applyBorder="1" applyAlignment="1">
      <alignment horizontal="right"/>
    </xf>
    <xf numFmtId="0" fontId="4" fillId="2" borderId="3" xfId="1" quotePrefix="1" applyNumberFormat="1" applyFont="1" applyFill="1" applyBorder="1" applyAlignment="1">
      <alignment horizontal="left"/>
    </xf>
    <xf numFmtId="0" fontId="4" fillId="2" borderId="54" xfId="1" quotePrefix="1" applyNumberFormat="1" applyFont="1" applyFill="1" applyBorder="1" applyAlignment="1">
      <alignment horizontal="left"/>
    </xf>
    <xf numFmtId="0" fontId="4" fillId="2" borderId="29" xfId="1" quotePrefix="1" applyNumberFormat="1" applyFont="1" applyFill="1" applyBorder="1" applyAlignment="1">
      <alignment horizontal="center"/>
    </xf>
    <xf numFmtId="0" fontId="4" fillId="2" borderId="8" xfId="1" quotePrefix="1" applyNumberFormat="1" applyFont="1" applyFill="1" applyBorder="1" applyAlignment="1">
      <alignment horizontal="center"/>
    </xf>
    <xf numFmtId="0" fontId="4" fillId="2" borderId="55" xfId="1" quotePrefix="1" applyNumberFormat="1" applyFont="1" applyFill="1" applyBorder="1" applyAlignment="1">
      <alignment horizontal="center"/>
    </xf>
    <xf numFmtId="0" fontId="15" fillId="2" borderId="59" xfId="1" applyNumberFormat="1" applyFont="1" applyFill="1" applyBorder="1" applyAlignment="1">
      <alignment horizontal="center" vertical="center"/>
    </xf>
    <xf numFmtId="49" fontId="15" fillId="2" borderId="47" xfId="1" quotePrefix="1" applyNumberFormat="1" applyFont="1" applyFill="1" applyBorder="1" applyAlignment="1">
      <alignment horizontal="center" vertical="center"/>
    </xf>
    <xf numFmtId="164" fontId="15" fillId="2" borderId="47" xfId="1" applyNumberFormat="1" applyFont="1" applyFill="1" applyBorder="1" applyAlignment="1">
      <alignment horizontal="center" vertical="center" wrapText="1"/>
    </xf>
    <xf numFmtId="49" fontId="15" fillId="2" borderId="47" xfId="1" quotePrefix="1" applyNumberFormat="1" applyFont="1" applyFill="1" applyBorder="1" applyAlignment="1">
      <alignment horizontal="center" vertical="center" wrapText="1"/>
    </xf>
    <xf numFmtId="164" fontId="15" fillId="2" borderId="49" xfId="1" applyNumberFormat="1" applyFont="1" applyFill="1" applyBorder="1" applyAlignment="1">
      <alignment horizontal="center" vertical="center" wrapText="1"/>
    </xf>
    <xf numFmtId="0" fontId="0" fillId="0" borderId="0" xfId="1" applyNumberFormat="1" applyFont="1" applyFill="1"/>
    <xf numFmtId="0" fontId="0" fillId="0" borderId="0" xfId="1" applyNumberFormat="1" applyFont="1" applyFill="1" applyAlignment="1">
      <alignment horizontal="center" wrapText="1"/>
    </xf>
    <xf numFmtId="164" fontId="11" fillId="0" borderId="0" xfId="1" applyNumberFormat="1" applyFont="1" applyFill="1" applyAlignment="1">
      <alignment horizontal="center" vertical="center"/>
    </xf>
    <xf numFmtId="164" fontId="16" fillId="0" borderId="0" xfId="1" applyNumberFormat="1" applyFont="1" applyFill="1" applyAlignment="1">
      <alignment horizontal="center" vertical="center"/>
    </xf>
    <xf numFmtId="164" fontId="7" fillId="0" borderId="0" xfId="1" applyNumberFormat="1" applyFont="1" applyFill="1"/>
    <xf numFmtId="164" fontId="0" fillId="0" borderId="0" xfId="1" applyNumberFormat="1" applyFont="1" applyFill="1"/>
    <xf numFmtId="173" fontId="30" fillId="10" borderId="32" xfId="9" applyNumberFormat="1" applyFont="1" applyFill="1" applyBorder="1" applyAlignment="1">
      <alignment horizontal="left" indent="1"/>
    </xf>
    <xf numFmtId="165" fontId="30" fillId="8" borderId="32" xfId="9" applyNumberFormat="1" applyFont="1" applyFill="1" applyBorder="1" applyAlignment="1">
      <alignment horizontal="left" indent="1"/>
    </xf>
    <xf numFmtId="165" fontId="30" fillId="0" borderId="32" xfId="9" applyNumberFormat="1" applyFont="1" applyBorder="1" applyAlignment="1">
      <alignment horizontal="left" indent="1"/>
    </xf>
    <xf numFmtId="165" fontId="30" fillId="0" borderId="37" xfId="9" applyNumberFormat="1" applyFont="1" applyFill="1" applyBorder="1" applyAlignment="1">
      <alignment horizontal="left" indent="1"/>
    </xf>
    <xf numFmtId="165" fontId="30" fillId="8" borderId="37" xfId="9" applyNumberFormat="1" applyFont="1" applyFill="1" applyBorder="1" applyAlignment="1">
      <alignment horizontal="left" indent="1"/>
    </xf>
    <xf numFmtId="168" fontId="8" fillId="0" borderId="4" xfId="8" applyNumberFormat="1" applyFont="1" applyFill="1" applyBorder="1"/>
    <xf numFmtId="168" fontId="8" fillId="0" borderId="4" xfId="8" applyNumberFormat="1" applyFont="1" applyBorder="1"/>
    <xf numFmtId="168" fontId="8" fillId="0" borderId="19" xfId="8" applyNumberFormat="1" applyFont="1" applyBorder="1"/>
    <xf numFmtId="168" fontId="8" fillId="0" borderId="0" xfId="8" applyNumberFormat="1" applyFont="1" applyFill="1" applyBorder="1"/>
    <xf numFmtId="0" fontId="11" fillId="2" borderId="30" xfId="1" applyNumberFormat="1" applyFont="1" applyFill="1" applyBorder="1" applyAlignment="1">
      <alignment horizontal="center" wrapText="1"/>
    </xf>
    <xf numFmtId="164" fontId="11" fillId="2" borderId="27" xfId="1" applyNumberFormat="1" applyFont="1" applyFill="1" applyBorder="1" applyAlignment="1">
      <alignment horizontal="center" wrapText="1"/>
    </xf>
    <xf numFmtId="0" fontId="16" fillId="0" borderId="12" xfId="1" applyNumberFormat="1" applyFont="1" applyBorder="1" applyAlignment="1">
      <alignment horizontal="center" vertical="center"/>
    </xf>
    <xf numFmtId="0" fontId="0" fillId="0" borderId="0" xfId="0" applyBorder="1"/>
    <xf numFmtId="0" fontId="0" fillId="0" borderId="17" xfId="0" applyBorder="1"/>
    <xf numFmtId="0" fontId="29" fillId="2" borderId="22" xfId="1" applyNumberFormat="1" applyFont="1" applyFill="1" applyBorder="1" applyAlignment="1">
      <alignment horizontal="center"/>
    </xf>
    <xf numFmtId="0" fontId="29" fillId="2" borderId="60" xfId="1" applyNumberFormat="1" applyFont="1" applyFill="1" applyBorder="1" applyAlignment="1">
      <alignment horizontal="center"/>
    </xf>
    <xf numFmtId="0" fontId="30" fillId="0" borderId="61" xfId="1" applyNumberFormat="1" applyFont="1" applyFill="1" applyBorder="1" applyAlignment="1">
      <alignment horizontal="left" indent="1"/>
    </xf>
    <xf numFmtId="169" fontId="30" fillId="10" borderId="62" xfId="9" applyNumberFormat="1" applyFont="1" applyFill="1" applyBorder="1" applyAlignment="1">
      <alignment horizontal="left" indent="1"/>
    </xf>
    <xf numFmtId="0" fontId="30" fillId="8" borderId="61" xfId="1" applyNumberFormat="1" applyFont="1" applyFill="1" applyBorder="1" applyAlignment="1">
      <alignment horizontal="left" indent="1"/>
    </xf>
    <xf numFmtId="167" fontId="30" fillId="8" borderId="62" xfId="9" applyNumberFormat="1" applyFont="1" applyFill="1" applyBorder="1" applyAlignment="1">
      <alignment horizontal="left" indent="1"/>
    </xf>
    <xf numFmtId="167" fontId="30" fillId="0" borderId="62" xfId="9" applyNumberFormat="1" applyFont="1" applyBorder="1" applyAlignment="1">
      <alignment horizontal="left" indent="1"/>
    </xf>
    <xf numFmtId="0" fontId="30" fillId="8" borderId="61" xfId="1" quotePrefix="1" applyNumberFormat="1" applyFont="1" applyFill="1" applyBorder="1" applyAlignment="1">
      <alignment horizontal="left" indent="1"/>
    </xf>
    <xf numFmtId="49" fontId="30" fillId="0" borderId="63" xfId="1" quotePrefix="1" applyNumberFormat="1" applyFont="1" applyFill="1" applyBorder="1" applyAlignment="1">
      <alignment horizontal="left" indent="1"/>
    </xf>
    <xf numFmtId="167" fontId="30" fillId="0" borderId="64" xfId="9" applyNumberFormat="1" applyFont="1" applyFill="1" applyBorder="1" applyAlignment="1">
      <alignment horizontal="left" indent="1"/>
    </xf>
    <xf numFmtId="49" fontId="30" fillId="8" borderId="63" xfId="1" applyNumberFormat="1" applyFont="1" applyFill="1" applyBorder="1" applyAlignment="1">
      <alignment horizontal="left" indent="1"/>
    </xf>
    <xf numFmtId="167" fontId="30" fillId="8" borderId="64" xfId="9" applyNumberFormat="1" applyFont="1" applyFill="1" applyBorder="1" applyAlignment="1">
      <alignment horizontal="left" indent="1"/>
    </xf>
    <xf numFmtId="49" fontId="30" fillId="6" borderId="63" xfId="1" applyNumberFormat="1" applyFont="1" applyFill="1" applyBorder="1" applyAlignment="1">
      <alignment horizontal="right" indent="1"/>
    </xf>
    <xf numFmtId="0" fontId="30" fillId="6" borderId="61" xfId="1" applyNumberFormat="1" applyFont="1" applyFill="1" applyBorder="1" applyAlignment="1">
      <alignment horizontal="right" indent="1"/>
    </xf>
    <xf numFmtId="0" fontId="31" fillId="0" borderId="12" xfId="1" applyNumberFormat="1" applyFont="1" applyBorder="1"/>
    <xf numFmtId="0" fontId="31" fillId="0" borderId="0" xfId="0" applyFont="1" applyBorder="1" applyAlignment="1">
      <alignment horizontal="center"/>
    </xf>
    <xf numFmtId="0" fontId="31" fillId="0" borderId="0" xfId="0" applyFont="1" applyBorder="1"/>
    <xf numFmtId="0" fontId="31" fillId="0" borderId="17" xfId="0" applyFont="1" applyBorder="1"/>
    <xf numFmtId="0" fontId="31" fillId="0" borderId="12" xfId="1" applyNumberFormat="1" applyFont="1" applyBorder="1" applyAlignment="1">
      <alignment horizontal="left" indent="1"/>
    </xf>
    <xf numFmtId="0" fontId="29" fillId="2" borderId="19" xfId="1" applyNumberFormat="1" applyFont="1" applyFill="1" applyBorder="1"/>
    <xf numFmtId="169" fontId="30" fillId="10" borderId="65" xfId="9" applyNumberFormat="1" applyFont="1" applyFill="1" applyBorder="1" applyAlignment="1">
      <alignment horizontal="left" indent="1"/>
    </xf>
    <xf numFmtId="49" fontId="30" fillId="11" borderId="61" xfId="1" quotePrefix="1" applyNumberFormat="1" applyFont="1" applyFill="1" applyBorder="1" applyAlignment="1">
      <alignment horizontal="left" indent="1"/>
    </xf>
    <xf numFmtId="169" fontId="30" fillId="8" borderId="65" xfId="9" applyNumberFormat="1" applyFont="1" applyFill="1" applyBorder="1" applyAlignment="1">
      <alignment horizontal="left" indent="1"/>
    </xf>
    <xf numFmtId="49" fontId="30" fillId="0" borderId="61" xfId="1" quotePrefix="1" applyNumberFormat="1" applyFont="1" applyFill="1" applyBorder="1" applyAlignment="1">
      <alignment horizontal="left" indent="1"/>
    </xf>
    <xf numFmtId="49" fontId="30" fillId="0" borderId="66" xfId="1" quotePrefix="1" applyNumberFormat="1" applyFont="1" applyFill="1" applyBorder="1" applyAlignment="1">
      <alignment horizontal="left" indent="1"/>
    </xf>
    <xf numFmtId="169" fontId="30" fillId="0" borderId="67" xfId="9" applyNumberFormat="1" applyFont="1" applyFill="1" applyBorder="1" applyAlignment="1">
      <alignment horizontal="left" indent="1"/>
    </xf>
    <xf numFmtId="164" fontId="30" fillId="4" borderId="34" xfId="1" quotePrefix="1" applyNumberFormat="1" applyFont="1" applyFill="1" applyBorder="1"/>
    <xf numFmtId="164" fontId="30" fillId="4" borderId="35" xfId="1" quotePrefix="1" applyNumberFormat="1" applyFont="1" applyFill="1" applyBorder="1"/>
    <xf numFmtId="164" fontId="11" fillId="2" borderId="27" xfId="1" applyNumberFormat="1" applyFont="1" applyFill="1" applyBorder="1" applyAlignment="1">
      <alignment horizontal="center"/>
    </xf>
    <xf numFmtId="164" fontId="16" fillId="0" borderId="17" xfId="1" applyNumberFormat="1" applyFont="1" applyBorder="1" applyAlignment="1">
      <alignment horizontal="center" vertical="center"/>
    </xf>
    <xf numFmtId="164" fontId="30" fillId="0" borderId="68" xfId="1" quotePrefix="1" applyNumberFormat="1" applyFont="1" applyFill="1" applyBorder="1"/>
    <xf numFmtId="164" fontId="30" fillId="11" borderId="68" xfId="1" quotePrefix="1" applyNumberFormat="1" applyFont="1" applyFill="1" applyBorder="1"/>
    <xf numFmtId="164" fontId="30" fillId="0" borderId="17" xfId="1" quotePrefix="1" applyNumberFormat="1" applyFont="1" applyFill="1" applyBorder="1"/>
    <xf numFmtId="164" fontId="30" fillId="11" borderId="69" xfId="1" quotePrefix="1" applyNumberFormat="1" applyFont="1" applyFill="1" applyBorder="1"/>
    <xf numFmtId="164" fontId="30" fillId="0" borderId="69" xfId="1" quotePrefix="1" applyNumberFormat="1" applyFont="1" applyFill="1" applyBorder="1"/>
    <xf numFmtId="164" fontId="31" fillId="0" borderId="17" xfId="1" applyNumberFormat="1" applyFont="1" applyBorder="1"/>
    <xf numFmtId="165" fontId="31" fillId="0" borderId="21" xfId="9" applyNumberFormat="1" applyFont="1" applyBorder="1"/>
    <xf numFmtId="174" fontId="30" fillId="0" borderId="65" xfId="1" quotePrefix="1" applyNumberFormat="1" applyFont="1" applyFill="1" applyBorder="1"/>
    <xf numFmtId="174" fontId="30" fillId="11" borderId="62" xfId="1" quotePrefix="1" applyNumberFormat="1" applyFont="1" applyFill="1" applyBorder="1"/>
    <xf numFmtId="174" fontId="30" fillId="0" borderId="67" xfId="1" quotePrefix="1" applyNumberFormat="1" applyFont="1" applyFill="1" applyBorder="1"/>
    <xf numFmtId="0" fontId="0" fillId="0" borderId="0" xfId="0" applyFill="1"/>
    <xf numFmtId="0" fontId="18" fillId="0" borderId="0" xfId="0" applyFont="1" applyFill="1"/>
    <xf numFmtId="0" fontId="33" fillId="0" borderId="0" xfId="1" applyNumberFormat="1" applyFont="1" applyFill="1"/>
    <xf numFmtId="0" fontId="33" fillId="0" borderId="0" xfId="1" applyNumberFormat="1" applyFont="1" applyFill="1" applyAlignment="1">
      <alignment horizontal="center" wrapText="1"/>
    </xf>
    <xf numFmtId="168" fontId="40" fillId="0" borderId="0" xfId="8" applyNumberFormat="1" applyFont="1" applyFill="1"/>
    <xf numFmtId="164" fontId="41" fillId="0" borderId="0" xfId="1" applyNumberFormat="1" applyFont="1" applyFill="1" applyAlignment="1">
      <alignment horizontal="center" vertical="center"/>
    </xf>
    <xf numFmtId="164" fontId="42" fillId="0" borderId="0" xfId="1" applyNumberFormat="1" applyFont="1" applyFill="1"/>
    <xf numFmtId="164" fontId="33" fillId="0" borderId="0" xfId="1" applyNumberFormat="1" applyFont="1" applyFill="1"/>
    <xf numFmtId="0" fontId="29" fillId="0" borderId="0" xfId="1" applyNumberFormat="1" applyFont="1" applyFill="1" applyBorder="1" applyAlignment="1">
      <alignment horizontal="center"/>
    </xf>
    <xf numFmtId="0" fontId="29" fillId="0" borderId="0" xfId="1" applyNumberFormat="1" applyFont="1" applyFill="1" applyBorder="1"/>
    <xf numFmtId="0" fontId="29" fillId="0" borderId="68" xfId="1" applyNumberFormat="1" applyFont="1" applyFill="1" applyBorder="1" applyAlignment="1">
      <alignment horizontal="center"/>
    </xf>
    <xf numFmtId="0" fontId="29" fillId="0" borderId="44" xfId="1" applyNumberFormat="1" applyFont="1" applyFill="1" applyBorder="1" applyAlignment="1">
      <alignment horizontal="center"/>
    </xf>
    <xf numFmtId="164" fontId="43" fillId="0" borderId="0" xfId="1" applyNumberFormat="1" applyFont="1" applyFill="1"/>
    <xf numFmtId="167" fontId="31" fillId="0" borderId="0" xfId="9" applyNumberFormat="1" applyFont="1" applyBorder="1" applyAlignment="1">
      <alignment horizontal="center"/>
    </xf>
    <xf numFmtId="167" fontId="31" fillId="0" borderId="0" xfId="9" applyNumberFormat="1" applyFont="1" applyBorder="1" applyAlignment="1">
      <alignment horizontal="left" indent="1"/>
    </xf>
    <xf numFmtId="167" fontId="31" fillId="0" borderId="17" xfId="9" applyNumberFormat="1" applyFont="1" applyBorder="1" applyAlignment="1">
      <alignment horizontal="left" indent="1"/>
    </xf>
    <xf numFmtId="165" fontId="31" fillId="0" borderId="0" xfId="9" applyNumberFormat="1" applyFont="1" applyBorder="1" applyAlignment="1">
      <alignment horizontal="left" indent="1"/>
    </xf>
    <xf numFmtId="49" fontId="31" fillId="0" borderId="0" xfId="0" applyNumberFormat="1" applyFont="1" applyFill="1"/>
    <xf numFmtId="0" fontId="31" fillId="0" borderId="0" xfId="0" applyFont="1" applyFill="1"/>
    <xf numFmtId="164" fontId="31" fillId="0" borderId="0" xfId="1" applyNumberFormat="1" applyFont="1" applyFill="1"/>
    <xf numFmtId="164" fontId="34" fillId="0" borderId="0" xfId="1" applyNumberFormat="1" applyFont="1" applyFill="1"/>
    <xf numFmtId="167" fontId="4" fillId="8" borderId="45" xfId="9" applyNumberFormat="1" applyFont="1" applyFill="1" applyBorder="1" applyAlignment="1">
      <alignment horizontal="center"/>
    </xf>
    <xf numFmtId="167" fontId="4" fillId="8" borderId="36" xfId="9" applyNumberFormat="1" applyFont="1" applyFill="1" applyBorder="1" applyAlignment="1">
      <alignment horizontal="left" indent="1"/>
    </xf>
    <xf numFmtId="167" fontId="4" fillId="8" borderId="62" xfId="9" applyNumberFormat="1" applyFont="1" applyFill="1" applyBorder="1" applyAlignment="1">
      <alignment horizontal="left" indent="1"/>
    </xf>
    <xf numFmtId="165" fontId="4" fillId="8" borderId="32" xfId="9" applyNumberFormat="1" applyFont="1" applyFill="1" applyBorder="1" applyAlignment="1">
      <alignment horizontal="left" indent="1"/>
    </xf>
    <xf numFmtId="49" fontId="4" fillId="0" borderId="0" xfId="0" applyNumberFormat="1" applyFont="1" applyFill="1"/>
    <xf numFmtId="0" fontId="4" fillId="0" borderId="0" xfId="0" applyFont="1" applyFill="1"/>
    <xf numFmtId="164" fontId="4" fillId="0" borderId="0" xfId="1" applyNumberFormat="1" applyFont="1" applyFill="1"/>
    <xf numFmtId="164" fontId="35" fillId="0" borderId="0" xfId="1" applyNumberFormat="1" applyFont="1" applyFill="1"/>
    <xf numFmtId="167" fontId="6" fillId="0" borderId="0" xfId="9" applyNumberFormat="1" applyFont="1" applyBorder="1" applyAlignment="1">
      <alignment horizontal="center"/>
    </xf>
    <xf numFmtId="167" fontId="6" fillId="0" borderId="0" xfId="9" applyNumberFormat="1" applyFont="1" applyBorder="1" applyAlignment="1">
      <alignment horizontal="left" indent="1"/>
    </xf>
    <xf numFmtId="167" fontId="6" fillId="0" borderId="17" xfId="9" applyNumberFormat="1" applyFont="1" applyBorder="1" applyAlignment="1">
      <alignment horizontal="left" indent="1"/>
    </xf>
    <xf numFmtId="165" fontId="6" fillId="0" borderId="0" xfId="9" applyNumberFormat="1" applyFont="1" applyBorder="1" applyAlignment="1">
      <alignment horizontal="left" indent="1"/>
    </xf>
    <xf numFmtId="49" fontId="6" fillId="0" borderId="0" xfId="0" applyNumberFormat="1" applyFont="1" applyFill="1"/>
    <xf numFmtId="0" fontId="6" fillId="0" borderId="0" xfId="0" applyFont="1" applyFill="1"/>
    <xf numFmtId="167" fontId="6" fillId="8" borderId="45" xfId="9" applyNumberFormat="1" applyFont="1" applyFill="1" applyBorder="1" applyAlignment="1">
      <alignment horizontal="center"/>
    </xf>
    <xf numFmtId="167" fontId="6" fillId="8" borderId="36" xfId="9" applyNumberFormat="1" applyFont="1" applyFill="1" applyBorder="1" applyAlignment="1">
      <alignment horizontal="left" indent="1"/>
    </xf>
    <xf numFmtId="167" fontId="6" fillId="8" borderId="62" xfId="9" applyNumberFormat="1" applyFont="1" applyFill="1" applyBorder="1" applyAlignment="1">
      <alignment horizontal="left" indent="1"/>
    </xf>
    <xf numFmtId="165" fontId="6" fillId="8" borderId="32" xfId="9" applyNumberFormat="1" applyFont="1" applyFill="1" applyBorder="1" applyAlignment="1">
      <alignment horizontal="left" indent="1"/>
    </xf>
    <xf numFmtId="164" fontId="6" fillId="0" borderId="0" xfId="1" applyNumberFormat="1" applyFont="1" applyFill="1" applyAlignment="1">
      <alignment horizontal="right"/>
    </xf>
    <xf numFmtId="164" fontId="6" fillId="0" borderId="0" xfId="1" quotePrefix="1" applyNumberFormat="1" applyFont="1" applyFill="1" applyBorder="1"/>
    <xf numFmtId="164" fontId="6" fillId="0" borderId="17" xfId="1" quotePrefix="1" applyNumberFormat="1" applyFont="1" applyFill="1" applyBorder="1"/>
    <xf numFmtId="164" fontId="35" fillId="0" borderId="0" xfId="1" applyNumberFormat="1" applyFont="1" applyFill="1" applyBorder="1"/>
    <xf numFmtId="0" fontId="6" fillId="0" borderId="0" xfId="1" applyNumberFormat="1" applyFont="1" applyFill="1" applyBorder="1" applyAlignment="1">
      <alignment horizontal="right" indent="1"/>
    </xf>
    <xf numFmtId="49" fontId="6" fillId="0" borderId="0" xfId="0" applyNumberFormat="1" applyFont="1" applyFill="1" applyBorder="1"/>
    <xf numFmtId="0" fontId="6" fillId="0" borderId="0" xfId="0" applyFont="1" applyFill="1" applyBorder="1"/>
    <xf numFmtId="164" fontId="6" fillId="0" borderId="0" xfId="1" applyNumberFormat="1" applyFont="1" applyFill="1" applyBorder="1"/>
    <xf numFmtId="164" fontId="38" fillId="0" borderId="0" xfId="1" applyNumberFormat="1" applyFont="1" applyFill="1" applyAlignment="1">
      <alignment horizontal="center" vertical="center"/>
    </xf>
    <xf numFmtId="0" fontId="15" fillId="2" borderId="30" xfId="1" applyNumberFormat="1" applyFont="1" applyFill="1" applyBorder="1" applyAlignment="1">
      <alignment horizontal="center" wrapText="1"/>
    </xf>
    <xf numFmtId="164" fontId="15" fillId="2" borderId="10" xfId="1" applyNumberFormat="1" applyFont="1" applyFill="1" applyBorder="1" applyAlignment="1">
      <alignment horizontal="center"/>
    </xf>
    <xf numFmtId="164" fontId="15" fillId="2" borderId="10" xfId="1" applyNumberFormat="1" applyFont="1" applyFill="1" applyBorder="1" applyAlignment="1">
      <alignment horizontal="center" wrapText="1"/>
    </xf>
    <xf numFmtId="164" fontId="15" fillId="2" borderId="27" xfId="1" applyNumberFormat="1" applyFont="1" applyFill="1" applyBorder="1" applyAlignment="1">
      <alignment horizontal="center"/>
    </xf>
    <xf numFmtId="164" fontId="15" fillId="2" borderId="27" xfId="1" applyNumberFormat="1" applyFont="1" applyFill="1" applyBorder="1" applyAlignment="1">
      <alignment horizontal="center" wrapText="1"/>
    </xf>
    <xf numFmtId="164" fontId="15" fillId="0" borderId="0" xfId="1" applyNumberFormat="1" applyFont="1" applyFill="1" applyAlignment="1">
      <alignment horizontal="center" vertical="center"/>
    </xf>
    <xf numFmtId="164" fontId="6" fillId="0" borderId="0" xfId="1" applyNumberFormat="1" applyFont="1" applyFill="1" applyBorder="1" applyAlignment="1">
      <alignment horizontal="right"/>
    </xf>
    <xf numFmtId="164" fontId="6" fillId="0" borderId="0" xfId="1" applyNumberFormat="1" applyFont="1" applyFill="1" applyBorder="1" applyAlignment="1">
      <alignment horizontal="right" wrapText="1"/>
    </xf>
    <xf numFmtId="0" fontId="6" fillId="0" borderId="0" xfId="0" applyFont="1" applyBorder="1"/>
    <xf numFmtId="164" fontId="6" fillId="0" borderId="71" xfId="1" quotePrefix="1" applyNumberFormat="1" applyFont="1" applyFill="1" applyBorder="1"/>
    <xf numFmtId="164" fontId="6" fillId="0" borderId="29" xfId="1" applyNumberFormat="1" applyFont="1" applyFill="1" applyBorder="1" applyAlignment="1">
      <alignment horizontal="right" wrapText="1"/>
    </xf>
    <xf numFmtId="164" fontId="6" fillId="8" borderId="29" xfId="1" applyNumberFormat="1" applyFont="1" applyFill="1" applyBorder="1" applyAlignment="1">
      <alignment horizontal="right"/>
    </xf>
    <xf numFmtId="164" fontId="6" fillId="0" borderId="29" xfId="1" applyNumberFormat="1" applyFont="1" applyFill="1" applyBorder="1" applyAlignment="1">
      <alignment horizontal="right"/>
    </xf>
    <xf numFmtId="164" fontId="4" fillId="8" borderId="29" xfId="1" applyNumberFormat="1" applyFont="1" applyFill="1" applyBorder="1" applyAlignment="1">
      <alignment horizontal="right"/>
    </xf>
    <xf numFmtId="164" fontId="4" fillId="13" borderId="29" xfId="1" applyNumberFormat="1" applyFont="1" applyFill="1" applyBorder="1" applyAlignment="1">
      <alignment horizontal="right"/>
    </xf>
    <xf numFmtId="164" fontId="6" fillId="13" borderId="29" xfId="1" applyNumberFormat="1" applyFont="1" applyFill="1" applyBorder="1" applyAlignment="1">
      <alignment horizontal="right"/>
    </xf>
    <xf numFmtId="164" fontId="4" fillId="13" borderId="59" xfId="1" applyNumberFormat="1" applyFont="1" applyFill="1" applyBorder="1" applyAlignment="1">
      <alignment horizontal="right" wrapText="1"/>
    </xf>
    <xf numFmtId="164" fontId="4" fillId="14" borderId="29" xfId="1" applyNumberFormat="1" applyFont="1" applyFill="1" applyBorder="1" applyAlignment="1">
      <alignment horizontal="right"/>
    </xf>
    <xf numFmtId="164" fontId="6" fillId="14" borderId="29" xfId="1" applyNumberFormat="1" applyFont="1" applyFill="1" applyBorder="1" applyAlignment="1">
      <alignment horizontal="right"/>
    </xf>
    <xf numFmtId="164" fontId="4" fillId="14" borderId="59" xfId="1" applyNumberFormat="1" applyFont="1" applyFill="1" applyBorder="1" applyAlignment="1">
      <alignment horizontal="right" wrapText="1"/>
    </xf>
    <xf numFmtId="164" fontId="4" fillId="15" borderId="29" xfId="1" applyNumberFormat="1" applyFont="1" applyFill="1" applyBorder="1" applyAlignment="1">
      <alignment horizontal="right"/>
    </xf>
    <xf numFmtId="164" fontId="6" fillId="15" borderId="29" xfId="1" applyNumberFormat="1" applyFont="1" applyFill="1" applyBorder="1" applyAlignment="1">
      <alignment horizontal="right"/>
    </xf>
    <xf numFmtId="164" fontId="4" fillId="15" borderId="59" xfId="1" applyNumberFormat="1" applyFont="1" applyFill="1" applyBorder="1" applyAlignment="1">
      <alignment horizontal="right" wrapText="1"/>
    </xf>
    <xf numFmtId="164" fontId="6" fillId="0" borderId="1" xfId="1" applyNumberFormat="1" applyFont="1" applyFill="1" applyBorder="1" applyAlignment="1">
      <alignment horizontal="right"/>
    </xf>
    <xf numFmtId="164" fontId="6" fillId="16" borderId="82" xfId="1" applyNumberFormat="1" applyFont="1" applyFill="1" applyBorder="1" applyAlignment="1">
      <alignment horizontal="right"/>
    </xf>
    <xf numFmtId="164" fontId="0" fillId="0" borderId="0" xfId="1" applyNumberFormat="1" applyFont="1" applyFill="1" applyBorder="1"/>
    <xf numFmtId="164" fontId="15" fillId="13" borderId="56" xfId="1" applyNumberFormat="1" applyFont="1" applyFill="1" applyBorder="1" applyAlignment="1">
      <alignment horizontal="right"/>
    </xf>
    <xf numFmtId="164" fontId="31" fillId="13" borderId="57" xfId="1" quotePrefix="1" applyNumberFormat="1" applyFont="1" applyFill="1" applyBorder="1"/>
    <xf numFmtId="164" fontId="31" fillId="13" borderId="76" xfId="1" quotePrefix="1" applyNumberFormat="1" applyFont="1" applyFill="1" applyBorder="1"/>
    <xf numFmtId="164" fontId="31" fillId="13" borderId="77" xfId="1" quotePrefix="1" applyNumberFormat="1" applyFont="1" applyFill="1" applyBorder="1"/>
    <xf numFmtId="164" fontId="31" fillId="13" borderId="58" xfId="1" quotePrefix="1" applyNumberFormat="1" applyFont="1" applyFill="1" applyBorder="1"/>
    <xf numFmtId="164" fontId="15" fillId="14" borderId="56" xfId="1" applyNumberFormat="1" applyFont="1" applyFill="1" applyBorder="1" applyAlignment="1">
      <alignment horizontal="right"/>
    </xf>
    <xf numFmtId="164" fontId="31" fillId="14" borderId="57" xfId="1" quotePrefix="1" applyNumberFormat="1" applyFont="1" applyFill="1" applyBorder="1"/>
    <xf numFmtId="164" fontId="31" fillId="14" borderId="76" xfId="1" quotePrefix="1" applyNumberFormat="1" applyFont="1" applyFill="1" applyBorder="1"/>
    <xf numFmtId="164" fontId="31" fillId="14" borderId="77" xfId="1" quotePrefix="1" applyNumberFormat="1" applyFont="1" applyFill="1" applyBorder="1"/>
    <xf numFmtId="164" fontId="31" fillId="14" borderId="58" xfId="1" quotePrefix="1" applyNumberFormat="1" applyFont="1" applyFill="1" applyBorder="1"/>
    <xf numFmtId="164" fontId="15" fillId="15" borderId="56" xfId="1" applyNumberFormat="1" applyFont="1" applyFill="1" applyBorder="1" applyAlignment="1">
      <alignment horizontal="right"/>
    </xf>
    <xf numFmtId="164" fontId="31" fillId="15" borderId="57" xfId="1" quotePrefix="1" applyNumberFormat="1" applyFont="1" applyFill="1" applyBorder="1"/>
    <xf numFmtId="164" fontId="31" fillId="15" borderId="76" xfId="1" quotePrefix="1" applyNumberFormat="1" applyFont="1" applyFill="1" applyBorder="1"/>
    <xf numFmtId="164" fontId="31" fillId="15" borderId="77" xfId="1" quotePrefix="1" applyNumberFormat="1" applyFont="1" applyFill="1" applyBorder="1"/>
    <xf numFmtId="164" fontId="31" fillId="15" borderId="58" xfId="1" quotePrefix="1" applyNumberFormat="1" applyFont="1" applyFill="1" applyBorder="1"/>
    <xf numFmtId="0" fontId="29" fillId="2" borderId="22" xfId="1" applyNumberFormat="1" applyFont="1" applyFill="1" applyBorder="1" applyAlignment="1">
      <alignment horizontal="left"/>
    </xf>
    <xf numFmtId="164" fontId="4" fillId="2" borderId="59" xfId="1" applyNumberFormat="1" applyFont="1" applyFill="1" applyBorder="1" applyAlignment="1">
      <alignment horizontal="right" wrapText="1"/>
    </xf>
    <xf numFmtId="164" fontId="4" fillId="2" borderId="73" xfId="1" applyNumberFormat="1" applyFont="1" applyFill="1" applyBorder="1" applyAlignment="1">
      <alignment horizontal="right"/>
    </xf>
    <xf numFmtId="168" fontId="12" fillId="0" borderId="0" xfId="8" applyNumberFormat="1" applyFont="1" applyAlignment="1">
      <alignment horizontal="right"/>
    </xf>
    <xf numFmtId="0" fontId="44" fillId="0" borderId="0" xfId="1" applyNumberFormat="1" applyFont="1" applyAlignment="1">
      <alignment horizontal="right"/>
    </xf>
    <xf numFmtId="0" fontId="19" fillId="0" borderId="0" xfId="1" applyNumberFormat="1" applyFont="1"/>
    <xf numFmtId="164" fontId="19" fillId="0" borderId="0" xfId="1" applyNumberFormat="1" applyFont="1" applyAlignment="1">
      <alignment horizontal="center"/>
    </xf>
    <xf numFmtId="166" fontId="19" fillId="0" borderId="0" xfId="2" applyNumberFormat="1" applyFont="1"/>
    <xf numFmtId="0" fontId="5" fillId="0" borderId="0" xfId="1" applyNumberFormat="1" applyFont="1"/>
    <xf numFmtId="164" fontId="5" fillId="0" borderId="0" xfId="1" applyNumberFormat="1" applyFont="1" applyAlignment="1">
      <alignment horizontal="center"/>
    </xf>
    <xf numFmtId="166" fontId="5" fillId="0" borderId="0" xfId="2" applyNumberFormat="1" applyFont="1"/>
    <xf numFmtId="172" fontId="4" fillId="3" borderId="1" xfId="2" quotePrefix="1" applyNumberFormat="1" applyFont="1" applyFill="1" applyBorder="1" applyAlignment="1"/>
    <xf numFmtId="172" fontId="6" fillId="0" borderId="1" xfId="2" quotePrefix="1" applyNumberFormat="1" applyFont="1" applyFill="1" applyBorder="1" applyAlignment="1"/>
    <xf numFmtId="172" fontId="6" fillId="0" borderId="1" xfId="2" quotePrefix="1" applyNumberFormat="1" applyFont="1" applyBorder="1" applyAlignment="1"/>
    <xf numFmtId="172" fontId="4" fillId="2" borderId="1" xfId="2" quotePrefix="1" applyNumberFormat="1" applyFont="1" applyFill="1" applyBorder="1" applyAlignment="1"/>
    <xf numFmtId="172" fontId="4" fillId="2" borderId="1" xfId="9" quotePrefix="1" applyNumberFormat="1" applyFont="1" applyFill="1" applyBorder="1" applyAlignment="1"/>
    <xf numFmtId="172" fontId="6" fillId="12" borderId="1" xfId="1" applyNumberFormat="1" applyFont="1" applyFill="1" applyBorder="1" applyAlignment="1"/>
    <xf numFmtId="164" fontId="6" fillId="2" borderId="6" xfId="1" applyNumberFormat="1" applyFont="1" applyFill="1" applyBorder="1"/>
    <xf numFmtId="164" fontId="6" fillId="2" borderId="13" xfId="1" applyNumberFormat="1" applyFont="1" applyFill="1" applyBorder="1"/>
    <xf numFmtId="172" fontId="4" fillId="3" borderId="6" xfId="2" quotePrefix="1" applyNumberFormat="1" applyFont="1" applyFill="1" applyBorder="1"/>
    <xf numFmtId="172" fontId="4" fillId="2" borderId="6" xfId="2" quotePrefix="1" applyNumberFormat="1" applyFont="1" applyFill="1" applyBorder="1"/>
    <xf numFmtId="164" fontId="6" fillId="12" borderId="6" xfId="1" applyNumberFormat="1" applyFont="1" applyFill="1" applyBorder="1"/>
    <xf numFmtId="172" fontId="6" fillId="0" borderId="6" xfId="2" quotePrefix="1" applyNumberFormat="1" applyFont="1" applyFill="1" applyBorder="1"/>
    <xf numFmtId="164" fontId="4" fillId="12" borderId="6" xfId="1" applyNumberFormat="1" applyFont="1" applyFill="1" applyBorder="1"/>
    <xf numFmtId="172" fontId="6" fillId="0" borderId="6" xfId="1" applyNumberFormat="1" applyFont="1" applyBorder="1"/>
    <xf numFmtId="172" fontId="4" fillId="5" borderId="6" xfId="2" applyNumberFormat="1" applyFont="1" applyFill="1" applyBorder="1"/>
    <xf numFmtId="172" fontId="4" fillId="5" borderId="6" xfId="2" quotePrefix="1" applyNumberFormat="1" applyFont="1" applyFill="1" applyBorder="1"/>
    <xf numFmtId="172" fontId="4" fillId="0" borderId="6" xfId="2" quotePrefix="1" applyNumberFormat="1" applyFont="1" applyBorder="1"/>
    <xf numFmtId="172" fontId="4" fillId="2" borderId="6" xfId="9" quotePrefix="1" applyNumberFormat="1" applyFont="1" applyFill="1" applyBorder="1"/>
    <xf numFmtId="165" fontId="6" fillId="0" borderId="6" xfId="9" quotePrefix="1" applyNumberFormat="1" applyFont="1" applyBorder="1"/>
    <xf numFmtId="165" fontId="6" fillId="0" borderId="9" xfId="9" quotePrefix="1" applyNumberFormat="1" applyFont="1" applyBorder="1"/>
    <xf numFmtId="172" fontId="4" fillId="12" borderId="1" xfId="1" applyNumberFormat="1" applyFont="1" applyFill="1" applyBorder="1" applyAlignment="1"/>
    <xf numFmtId="172" fontId="6" fillId="0" borderId="1" xfId="1" applyNumberFormat="1" applyFont="1" applyBorder="1" applyAlignment="1"/>
    <xf numFmtId="172" fontId="4" fillId="5" borderId="1" xfId="2" applyNumberFormat="1" applyFont="1" applyFill="1" applyBorder="1" applyAlignment="1"/>
    <xf numFmtId="172" fontId="4" fillId="5" borderId="1" xfId="2" quotePrefix="1" applyNumberFormat="1" applyFont="1" applyFill="1" applyBorder="1" applyAlignment="1"/>
    <xf numFmtId="172" fontId="4" fillId="0" borderId="1" xfId="2" quotePrefix="1" applyNumberFormat="1" applyFont="1" applyBorder="1" applyAlignment="1"/>
    <xf numFmtId="165" fontId="6" fillId="0" borderId="1" xfId="9" quotePrefix="1" applyNumberFormat="1" applyFont="1" applyBorder="1" applyAlignment="1"/>
    <xf numFmtId="165" fontId="6" fillId="0" borderId="7" xfId="9" quotePrefix="1" applyNumberFormat="1" applyFont="1" applyBorder="1" applyAlignment="1"/>
    <xf numFmtId="172" fontId="6" fillId="0" borderId="6" xfId="2" quotePrefix="1" applyNumberFormat="1" applyFont="1" applyFill="1" applyBorder="1" applyAlignment="1"/>
    <xf numFmtId="172" fontId="4" fillId="12" borderId="6" xfId="1" applyNumberFormat="1" applyFont="1" applyFill="1" applyBorder="1" applyAlignment="1"/>
    <xf numFmtId="172" fontId="6" fillId="0" borderId="6" xfId="1" applyNumberFormat="1" applyFont="1" applyBorder="1" applyAlignment="1"/>
    <xf numFmtId="172" fontId="4" fillId="2" borderId="6" xfId="2" quotePrefix="1" applyNumberFormat="1" applyFont="1" applyFill="1" applyBorder="1" applyAlignment="1"/>
    <xf numFmtId="172" fontId="4" fillId="5" borderId="6" xfId="2" applyNumberFormat="1" applyFont="1" applyFill="1" applyBorder="1" applyAlignment="1"/>
    <xf numFmtId="172" fontId="4" fillId="5" borderId="6" xfId="2" quotePrefix="1" applyNumberFormat="1" applyFont="1" applyFill="1" applyBorder="1" applyAlignment="1"/>
    <xf numFmtId="170" fontId="7" fillId="4" borderId="2" xfId="0" applyNumberFormat="1" applyFont="1" applyFill="1" applyBorder="1"/>
    <xf numFmtId="172" fontId="4" fillId="2" borderId="74" xfId="1" quotePrefix="1" applyNumberFormat="1" applyFont="1" applyFill="1" applyBorder="1"/>
    <xf numFmtId="172" fontId="4" fillId="2" borderId="75" xfId="1" quotePrefix="1" applyNumberFormat="1" applyFont="1" applyFill="1" applyBorder="1"/>
    <xf numFmtId="172" fontId="4" fillId="2" borderId="76" xfId="1" quotePrefix="1" applyNumberFormat="1" applyFont="1" applyFill="1" applyBorder="1"/>
    <xf numFmtId="172" fontId="4" fillId="2" borderId="77" xfId="1" quotePrefix="1" applyNumberFormat="1" applyFont="1" applyFill="1" applyBorder="1"/>
    <xf numFmtId="172" fontId="6" fillId="0" borderId="8" xfId="1" quotePrefix="1" applyNumberFormat="1" applyFont="1" applyFill="1" applyBorder="1"/>
    <xf numFmtId="172" fontId="6" fillId="0" borderId="24" xfId="1" quotePrefix="1" applyNumberFormat="1" applyFont="1" applyFill="1" applyBorder="1"/>
    <xf numFmtId="172" fontId="6" fillId="0" borderId="70" xfId="1" quotePrefix="1" applyNumberFormat="1" applyFont="1" applyFill="1" applyBorder="1"/>
    <xf numFmtId="172" fontId="6" fillId="0" borderId="28" xfId="1" quotePrefix="1" applyNumberFormat="1" applyFont="1" applyFill="1" applyBorder="1"/>
    <xf numFmtId="172" fontId="6" fillId="0" borderId="55" xfId="1" quotePrefix="1" applyNumberFormat="1" applyFont="1" applyFill="1" applyBorder="1"/>
    <xf numFmtId="172" fontId="6" fillId="11" borderId="8" xfId="1" quotePrefix="1" applyNumberFormat="1" applyFont="1" applyFill="1" applyBorder="1"/>
    <xf numFmtId="172" fontId="6" fillId="11" borderId="24" xfId="1" quotePrefix="1" applyNumberFormat="1" applyFont="1" applyFill="1" applyBorder="1"/>
    <xf numFmtId="172" fontId="6" fillId="11" borderId="70" xfId="1" quotePrefix="1" applyNumberFormat="1" applyFont="1" applyFill="1" applyBorder="1"/>
    <xf numFmtId="172" fontId="6" fillId="11" borderId="28" xfId="1" quotePrefix="1" applyNumberFormat="1" applyFont="1" applyFill="1" applyBorder="1"/>
    <xf numFmtId="172" fontId="6" fillId="11" borderId="55" xfId="1" quotePrefix="1" applyNumberFormat="1" applyFont="1" applyFill="1" applyBorder="1"/>
    <xf numFmtId="172" fontId="4" fillId="11" borderId="8" xfId="1" quotePrefix="1" applyNumberFormat="1" applyFont="1" applyFill="1" applyBorder="1"/>
    <xf numFmtId="172" fontId="4" fillId="11" borderId="24" xfId="1" quotePrefix="1" applyNumberFormat="1" applyFont="1" applyFill="1" applyBorder="1"/>
    <xf numFmtId="172" fontId="4" fillId="11" borderId="70" xfId="1" quotePrefix="1" applyNumberFormat="1" applyFont="1" applyFill="1" applyBorder="1"/>
    <xf numFmtId="172" fontId="4" fillId="11" borderId="28" xfId="1" quotePrefix="1" applyNumberFormat="1" applyFont="1" applyFill="1" applyBorder="1"/>
    <xf numFmtId="172" fontId="4" fillId="11" borderId="55" xfId="1" quotePrefix="1" applyNumberFormat="1" applyFont="1" applyFill="1" applyBorder="1"/>
    <xf numFmtId="172" fontId="4" fillId="2" borderId="47" xfId="1" quotePrefix="1" applyNumberFormat="1" applyFont="1" applyFill="1" applyBorder="1"/>
    <xf numFmtId="172" fontId="4" fillId="2" borderId="48" xfId="1" quotePrefix="1" applyNumberFormat="1" applyFont="1" applyFill="1" applyBorder="1"/>
    <xf numFmtId="172" fontId="4" fillId="2" borderId="79" xfId="1" quotePrefix="1" applyNumberFormat="1" applyFont="1" applyFill="1" applyBorder="1"/>
    <xf numFmtId="172" fontId="4" fillId="2" borderId="80" xfId="1" quotePrefix="1" applyNumberFormat="1" applyFont="1" applyFill="1" applyBorder="1"/>
    <xf numFmtId="172" fontId="4" fillId="2" borderId="49" xfId="1" quotePrefix="1" applyNumberFormat="1" applyFont="1" applyFill="1" applyBorder="1"/>
    <xf numFmtId="172" fontId="4" fillId="13" borderId="8" xfId="1" quotePrefix="1" applyNumberFormat="1" applyFont="1" applyFill="1" applyBorder="1"/>
    <xf numFmtId="172" fontId="4" fillId="13" borderId="24" xfId="1" quotePrefix="1" applyNumberFormat="1" applyFont="1" applyFill="1" applyBorder="1"/>
    <xf numFmtId="172" fontId="4" fillId="13" borderId="70" xfId="1" quotePrefix="1" applyNumberFormat="1" applyFont="1" applyFill="1" applyBorder="1"/>
    <xf numFmtId="172" fontId="4" fillId="13" borderId="28" xfId="1" quotePrefix="1" applyNumberFormat="1" applyFont="1" applyFill="1" applyBorder="1"/>
    <xf numFmtId="172" fontId="6" fillId="13" borderId="8" xfId="1" quotePrefix="1" applyNumberFormat="1" applyFont="1" applyFill="1" applyBorder="1"/>
    <xf numFmtId="172" fontId="6" fillId="13" borderId="24" xfId="1" quotePrefix="1" applyNumberFormat="1" applyFont="1" applyFill="1" applyBorder="1"/>
    <xf numFmtId="172" fontId="6" fillId="13" borderId="70" xfId="1" quotePrefix="1" applyNumberFormat="1" applyFont="1" applyFill="1" applyBorder="1"/>
    <xf numFmtId="172" fontId="4" fillId="13" borderId="47" xfId="1" quotePrefix="1" applyNumberFormat="1" applyFont="1" applyFill="1" applyBorder="1"/>
    <xf numFmtId="172" fontId="4" fillId="13" borderId="48" xfId="1" quotePrefix="1" applyNumberFormat="1" applyFont="1" applyFill="1" applyBorder="1"/>
    <xf numFmtId="172" fontId="4" fillId="13" borderId="79" xfId="1" quotePrefix="1" applyNumberFormat="1" applyFont="1" applyFill="1" applyBorder="1"/>
    <xf numFmtId="172" fontId="4" fillId="13" borderId="80" xfId="1" quotePrefix="1" applyNumberFormat="1" applyFont="1" applyFill="1" applyBorder="1"/>
    <xf numFmtId="172" fontId="4" fillId="14" borderId="8" xfId="1" quotePrefix="1" applyNumberFormat="1" applyFont="1" applyFill="1" applyBorder="1"/>
    <xf numFmtId="172" fontId="4" fillId="14" borderId="24" xfId="1" quotePrefix="1" applyNumberFormat="1" applyFont="1" applyFill="1" applyBorder="1"/>
    <xf numFmtId="172" fontId="4" fillId="14" borderId="70" xfId="1" quotePrefix="1" applyNumberFormat="1" applyFont="1" applyFill="1" applyBorder="1"/>
    <xf numFmtId="172" fontId="4" fillId="14" borderId="28" xfId="1" quotePrefix="1" applyNumberFormat="1" applyFont="1" applyFill="1" applyBorder="1"/>
    <xf numFmtId="172" fontId="4" fillId="14" borderId="55" xfId="1" quotePrefix="1" applyNumberFormat="1" applyFont="1" applyFill="1" applyBorder="1"/>
    <xf numFmtId="172" fontId="6" fillId="14" borderId="8" xfId="1" quotePrefix="1" applyNumberFormat="1" applyFont="1" applyFill="1" applyBorder="1"/>
    <xf numFmtId="172" fontId="6" fillId="14" borderId="24" xfId="1" quotePrefix="1" applyNumberFormat="1" applyFont="1" applyFill="1" applyBorder="1"/>
    <xf numFmtId="172" fontId="6" fillId="14" borderId="70" xfId="1" quotePrefix="1" applyNumberFormat="1" applyFont="1" applyFill="1" applyBorder="1"/>
    <xf numFmtId="172" fontId="6" fillId="14" borderId="55" xfId="1" quotePrefix="1" applyNumberFormat="1" applyFont="1" applyFill="1" applyBorder="1"/>
    <xf numFmtId="172" fontId="4" fillId="14" borderId="7" xfId="1" quotePrefix="1" applyNumberFormat="1" applyFont="1" applyFill="1" applyBorder="1"/>
    <xf numFmtId="172" fontId="4" fillId="14" borderId="9" xfId="1" quotePrefix="1" applyNumberFormat="1" applyFont="1" applyFill="1" applyBorder="1"/>
    <xf numFmtId="172" fontId="4" fillId="14" borderId="18" xfId="1" quotePrefix="1" applyNumberFormat="1" applyFont="1" applyFill="1" applyBorder="1"/>
    <xf numFmtId="172" fontId="4" fillId="14" borderId="81" xfId="1" quotePrefix="1" applyNumberFormat="1" applyFont="1" applyFill="1" applyBorder="1"/>
    <xf numFmtId="172" fontId="4" fillId="14" borderId="21" xfId="1" quotePrefix="1" applyNumberFormat="1" applyFont="1" applyFill="1" applyBorder="1"/>
    <xf numFmtId="172" fontId="4" fillId="15" borderId="8" xfId="1" quotePrefix="1" applyNumberFormat="1" applyFont="1" applyFill="1" applyBorder="1"/>
    <xf numFmtId="172" fontId="4" fillId="15" borderId="24" xfId="1" quotePrefix="1" applyNumberFormat="1" applyFont="1" applyFill="1" applyBorder="1"/>
    <xf numFmtId="172" fontId="4" fillId="15" borderId="70" xfId="1" quotePrefix="1" applyNumberFormat="1" applyFont="1" applyFill="1" applyBorder="1"/>
    <xf numFmtId="172" fontId="4" fillId="15" borderId="28" xfId="1" quotePrefix="1" applyNumberFormat="1" applyFont="1" applyFill="1" applyBorder="1"/>
    <xf numFmtId="172" fontId="4" fillId="15" borderId="55" xfId="1" quotePrefix="1" applyNumberFormat="1" applyFont="1" applyFill="1" applyBorder="1"/>
    <xf numFmtId="172" fontId="6" fillId="15" borderId="8" xfId="1" quotePrefix="1" applyNumberFormat="1" applyFont="1" applyFill="1" applyBorder="1"/>
    <xf numFmtId="172" fontId="6" fillId="15" borderId="24" xfId="1" quotePrefix="1" applyNumberFormat="1" applyFont="1" applyFill="1" applyBorder="1"/>
    <xf numFmtId="172" fontId="6" fillId="15" borderId="70" xfId="1" quotePrefix="1" applyNumberFormat="1" applyFont="1" applyFill="1" applyBorder="1"/>
    <xf numFmtId="172" fontId="6" fillId="15" borderId="55" xfId="1" quotePrefix="1" applyNumberFormat="1" applyFont="1" applyFill="1" applyBorder="1"/>
    <xf numFmtId="172" fontId="4" fillId="15" borderId="47" xfId="1" quotePrefix="1" applyNumberFormat="1" applyFont="1" applyFill="1" applyBorder="1"/>
    <xf numFmtId="172" fontId="4" fillId="15" borderId="48" xfId="1" quotePrefix="1" applyNumberFormat="1" applyFont="1" applyFill="1" applyBorder="1"/>
    <xf numFmtId="172" fontId="4" fillId="15" borderId="79" xfId="1" quotePrefix="1" applyNumberFormat="1" applyFont="1" applyFill="1" applyBorder="1"/>
    <xf numFmtId="172" fontId="4" fillId="15" borderId="80" xfId="1" quotePrefix="1" applyNumberFormat="1" applyFont="1" applyFill="1" applyBorder="1"/>
    <xf numFmtId="172" fontId="4" fillId="15" borderId="49" xfId="1" quotePrefix="1" applyNumberFormat="1" applyFont="1" applyFill="1" applyBorder="1"/>
    <xf numFmtId="172" fontId="6" fillId="0" borderId="1" xfId="1" quotePrefix="1" applyNumberFormat="1" applyFont="1" applyFill="1" applyBorder="1"/>
    <xf numFmtId="172" fontId="6" fillId="0" borderId="2" xfId="1" quotePrefix="1" applyNumberFormat="1" applyFont="1" applyFill="1" applyBorder="1"/>
    <xf numFmtId="172" fontId="6" fillId="0" borderId="71" xfId="1" quotePrefix="1" applyNumberFormat="1" applyFont="1" applyFill="1" applyBorder="1"/>
    <xf numFmtId="172" fontId="6" fillId="16" borderId="83" xfId="1" quotePrefix="1" applyNumberFormat="1" applyFont="1" applyFill="1" applyBorder="1"/>
    <xf numFmtId="172" fontId="6" fillId="16" borderId="84" xfId="1" quotePrefix="1" applyNumberFormat="1" applyFont="1" applyFill="1" applyBorder="1"/>
    <xf numFmtId="172" fontId="6" fillId="16" borderId="72" xfId="1" quotePrefix="1" applyNumberFormat="1" applyFont="1" applyFill="1" applyBorder="1"/>
    <xf numFmtId="172" fontId="6" fillId="16" borderId="85" xfId="1" quotePrefix="1" applyNumberFormat="1" applyFont="1" applyFill="1" applyBorder="1"/>
    <xf numFmtId="49" fontId="4" fillId="2" borderId="56" xfId="1" quotePrefix="1" applyNumberFormat="1" applyFont="1" applyFill="1" applyBorder="1" applyAlignment="1"/>
    <xf numFmtId="49" fontId="4" fillId="2" borderId="26" xfId="1" quotePrefix="1" applyNumberFormat="1" applyFont="1" applyFill="1" applyBorder="1" applyAlignment="1"/>
    <xf numFmtId="0" fontId="4" fillId="2" borderId="5" xfId="1" quotePrefix="1" applyNumberFormat="1" applyFont="1" applyFill="1" applyBorder="1" applyAlignment="1"/>
    <xf numFmtId="0" fontId="4" fillId="2" borderId="23" xfId="1" quotePrefix="1" applyNumberFormat="1" applyFont="1" applyFill="1" applyBorder="1" applyAlignment="1"/>
    <xf numFmtId="49" fontId="0" fillId="2" borderId="57" xfId="1" quotePrefix="1" applyNumberFormat="1" applyFont="1" applyFill="1" applyBorder="1" applyAlignment="1">
      <alignment horizontal="center" wrapText="1"/>
    </xf>
    <xf numFmtId="165" fontId="0" fillId="2" borderId="57" xfId="9" quotePrefix="1" applyNumberFormat="1" applyFont="1" applyFill="1" applyBorder="1" applyAlignment="1">
      <alignment horizontal="center" wrapText="1"/>
    </xf>
    <xf numFmtId="0" fontId="0" fillId="2" borderId="58" xfId="1" quotePrefix="1" applyNumberFormat="1" applyFont="1" applyFill="1" applyBorder="1" applyAlignment="1">
      <alignment horizontal="center" wrapText="1"/>
    </xf>
    <xf numFmtId="0" fontId="4" fillId="0" borderId="5" xfId="1" applyNumberFormat="1" applyFont="1" applyBorder="1"/>
    <xf numFmtId="49" fontId="15" fillId="17" borderId="47" xfId="1" quotePrefix="1" applyNumberFormat="1" applyFont="1" applyFill="1" applyBorder="1" applyAlignment="1">
      <alignment horizontal="center" vertical="center"/>
    </xf>
    <xf numFmtId="49" fontId="15" fillId="17" borderId="47" xfId="1" quotePrefix="1" applyNumberFormat="1" applyFont="1" applyFill="1" applyBorder="1" applyAlignment="1">
      <alignment horizontal="center" vertical="center" wrapText="1"/>
    </xf>
    <xf numFmtId="164" fontId="15" fillId="17" borderId="47" xfId="1" applyNumberFormat="1" applyFont="1" applyFill="1" applyBorder="1" applyAlignment="1">
      <alignment horizontal="center" vertical="center"/>
    </xf>
    <xf numFmtId="0" fontId="4" fillId="17" borderId="8" xfId="1" quotePrefix="1" applyNumberFormat="1" applyFont="1" applyFill="1" applyBorder="1" applyAlignment="1">
      <alignment horizontal="center"/>
    </xf>
    <xf numFmtId="164" fontId="11" fillId="17" borderId="10" xfId="1" applyNumberFormat="1" applyFont="1" applyFill="1" applyBorder="1" applyAlignment="1">
      <alignment horizontal="center"/>
    </xf>
    <xf numFmtId="164" fontId="15" fillId="17" borderId="10" xfId="1" applyNumberFormat="1" applyFont="1" applyFill="1" applyBorder="1" applyAlignment="1">
      <alignment horizontal="center"/>
    </xf>
    <xf numFmtId="37" fontId="7" fillId="0" borderId="2" xfId="0" applyNumberFormat="1" applyFont="1" applyBorder="1"/>
    <xf numFmtId="175" fontId="0" fillId="0" borderId="0" xfId="0" applyNumberFormat="1"/>
    <xf numFmtId="168" fontId="45" fillId="0" borderId="0" xfId="8" applyNumberFormat="1" applyFont="1"/>
    <xf numFmtId="168" fontId="45" fillId="0" borderId="0" xfId="8" applyNumberFormat="1" applyFont="1" applyAlignment="1">
      <alignment horizontal="right"/>
    </xf>
    <xf numFmtId="168" fontId="46" fillId="0" borderId="0" xfId="8" applyNumberFormat="1" applyFont="1"/>
    <xf numFmtId="38" fontId="45" fillId="0" borderId="0" xfId="8" applyNumberFormat="1" applyFont="1"/>
    <xf numFmtId="38" fontId="45" fillId="18" borderId="0" xfId="8" applyNumberFormat="1" applyFont="1" applyFill="1"/>
    <xf numFmtId="176" fontId="45" fillId="0" borderId="0" xfId="8" applyNumberFormat="1" applyFont="1" applyAlignment="1"/>
    <xf numFmtId="176" fontId="45" fillId="18" borderId="0" xfId="8" applyNumberFormat="1" applyFont="1" applyFill="1" applyAlignment="1"/>
    <xf numFmtId="170" fontId="45" fillId="0" borderId="0" xfId="8" applyNumberFormat="1" applyFont="1"/>
    <xf numFmtId="176" fontId="45" fillId="0" borderId="0" xfId="8" applyNumberFormat="1" applyFont="1"/>
    <xf numFmtId="176" fontId="45" fillId="18" borderId="0" xfId="8" applyNumberFormat="1" applyFont="1" applyFill="1"/>
    <xf numFmtId="168" fontId="45" fillId="0" borderId="0" xfId="8" applyNumberFormat="1" applyFont="1" applyFill="1"/>
    <xf numFmtId="38" fontId="0" fillId="0" borderId="0" xfId="0" applyNumberFormat="1"/>
    <xf numFmtId="176" fontId="0" fillId="0" borderId="0" xfId="0" applyNumberFormat="1"/>
    <xf numFmtId="43" fontId="30" fillId="0" borderId="34" xfId="1" quotePrefix="1" applyNumberFormat="1" applyFont="1" applyFill="1" applyBorder="1"/>
    <xf numFmtId="38" fontId="45" fillId="18" borderId="72" xfId="8" applyNumberFormat="1" applyFont="1" applyFill="1" applyBorder="1"/>
    <xf numFmtId="37" fontId="47" fillId="0" borderId="2" xfId="0" applyNumberFormat="1" applyFont="1" applyFill="1" applyBorder="1"/>
    <xf numFmtId="177" fontId="4" fillId="3" borderId="1" xfId="2" quotePrefix="1" applyNumberFormat="1" applyFont="1" applyFill="1" applyBorder="1" applyAlignment="1"/>
    <xf numFmtId="177" fontId="6" fillId="0" borderId="1" xfId="2" quotePrefix="1" applyNumberFormat="1" applyFont="1" applyBorder="1" applyAlignment="1"/>
    <xf numFmtId="43" fontId="30" fillId="4" borderId="36" xfId="1" quotePrefix="1" applyNumberFormat="1" applyFont="1" applyFill="1" applyBorder="1"/>
    <xf numFmtId="38" fontId="30" fillId="4" borderId="36" xfId="1" quotePrefix="1" applyNumberFormat="1" applyFont="1" applyFill="1" applyBorder="1"/>
    <xf numFmtId="38" fontId="6" fillId="0" borderId="1" xfId="2" quotePrefix="1" applyNumberFormat="1" applyFont="1" applyFill="1" applyBorder="1" applyAlignment="1"/>
    <xf numFmtId="6" fontId="4" fillId="12" borderId="6" xfId="1" applyNumberFormat="1" applyFont="1" applyFill="1" applyBorder="1" applyAlignment="1"/>
    <xf numFmtId="6" fontId="6" fillId="0" borderId="6" xfId="1" applyNumberFormat="1" applyFont="1" applyBorder="1" applyAlignment="1"/>
    <xf numFmtId="6" fontId="4" fillId="2" borderId="6" xfId="2" quotePrefix="1" applyNumberFormat="1" applyFont="1" applyFill="1" applyBorder="1" applyAlignment="1"/>
    <xf numFmtId="6" fontId="4" fillId="5" borderId="6" xfId="2" applyNumberFormat="1" applyFont="1" applyFill="1" applyBorder="1" applyAlignment="1"/>
    <xf numFmtId="6" fontId="4" fillId="0" borderId="1" xfId="2" quotePrefix="1" applyNumberFormat="1" applyFont="1" applyFill="1" applyBorder="1" applyAlignment="1"/>
    <xf numFmtId="38" fontId="6" fillId="0" borderId="6" xfId="2" quotePrefix="1" applyNumberFormat="1" applyFont="1" applyFill="1" applyBorder="1" applyAlignment="1"/>
    <xf numFmtId="177" fontId="4" fillId="2" borderId="78" xfId="1" quotePrefix="1" applyNumberFormat="1" applyFont="1" applyFill="1" applyBorder="1"/>
    <xf numFmtId="38" fontId="6" fillId="0" borderId="55" xfId="1" quotePrefix="1" applyNumberFormat="1" applyFont="1" applyFill="1" applyBorder="1"/>
    <xf numFmtId="177" fontId="4" fillId="2" borderId="6" xfId="2" quotePrefix="1" applyNumberFormat="1" applyFont="1" applyFill="1" applyBorder="1" applyAlignment="1"/>
    <xf numFmtId="168" fontId="9" fillId="0" borderId="0" xfId="0" applyNumberFormat="1" applyFont="1" applyAlignment="1">
      <alignment horizontal="left" wrapText="1"/>
    </xf>
    <xf numFmtId="0" fontId="10" fillId="2" borderId="12" xfId="1" applyNumberFormat="1" applyFont="1" applyFill="1" applyBorder="1" applyAlignment="1">
      <alignment horizontal="center"/>
    </xf>
    <xf numFmtId="0" fontId="10" fillId="2" borderId="0" xfId="1" applyNumberFormat="1" applyFont="1" applyFill="1" applyBorder="1" applyAlignment="1">
      <alignment horizontal="center"/>
    </xf>
    <xf numFmtId="0" fontId="10" fillId="2" borderId="17" xfId="1" applyNumberFormat="1" applyFont="1" applyFill="1" applyBorder="1" applyAlignment="1">
      <alignment horizontal="center"/>
    </xf>
    <xf numFmtId="0" fontId="5" fillId="0" borderId="12" xfId="1" applyNumberFormat="1" applyFont="1" applyBorder="1" applyAlignment="1">
      <alignment horizontal="center"/>
    </xf>
    <xf numFmtId="0" fontId="5" fillId="0" borderId="0" xfId="1" applyNumberFormat="1" applyFont="1" applyBorder="1" applyAlignment="1">
      <alignment horizontal="center"/>
    </xf>
    <xf numFmtId="0" fontId="5" fillId="0" borderId="17" xfId="1" applyNumberFormat="1" applyFont="1" applyBorder="1" applyAlignment="1">
      <alignment horizontal="center"/>
    </xf>
    <xf numFmtId="166" fontId="7" fillId="7" borderId="2" xfId="2" quotePrefix="1" applyNumberFormat="1" applyFont="1" applyFill="1" applyBorder="1" applyAlignment="1">
      <alignment horizontal="center"/>
    </xf>
    <xf numFmtId="166" fontId="7" fillId="7" borderId="17" xfId="2" quotePrefix="1" applyNumberFormat="1" applyFont="1" applyFill="1" applyBorder="1" applyAlignment="1">
      <alignment horizontal="center"/>
    </xf>
    <xf numFmtId="168" fontId="12" fillId="0" borderId="0" xfId="8" applyNumberFormat="1" applyFont="1" applyAlignment="1">
      <alignment horizontal="right"/>
    </xf>
    <xf numFmtId="0" fontId="4" fillId="0" borderId="12" xfId="1" quotePrefix="1" applyNumberFormat="1" applyFont="1" applyFill="1" applyBorder="1" applyAlignment="1">
      <alignment horizontal="center" wrapText="1"/>
    </xf>
    <xf numFmtId="164" fontId="4" fillId="0" borderId="0" xfId="1" applyNumberFormat="1" applyFont="1" applyFill="1" applyBorder="1" applyAlignment="1">
      <alignment horizontal="center"/>
    </xf>
    <xf numFmtId="164" fontId="4" fillId="0" borderId="0" xfId="1" quotePrefix="1" applyNumberFormat="1" applyFont="1" applyFill="1" applyBorder="1" applyAlignment="1">
      <alignment horizontal="center"/>
    </xf>
    <xf numFmtId="164" fontId="4" fillId="0" borderId="17" xfId="1" quotePrefix="1" applyNumberFormat="1" applyFont="1" applyFill="1" applyBorder="1" applyAlignment="1">
      <alignment horizontal="center"/>
    </xf>
    <xf numFmtId="164" fontId="4" fillId="0" borderId="12" xfId="1" quotePrefix="1" applyNumberFormat="1" applyFont="1" applyFill="1" applyBorder="1" applyAlignment="1">
      <alignment horizontal="center"/>
    </xf>
    <xf numFmtId="0" fontId="16" fillId="2" borderId="3" xfId="1" applyNumberFormat="1" applyFont="1" applyFill="1" applyBorder="1" applyAlignment="1">
      <alignment horizontal="center"/>
    </xf>
    <xf numFmtId="0" fontId="16" fillId="2" borderId="28" xfId="1" applyNumberFormat="1" applyFont="1" applyFill="1" applyBorder="1" applyAlignment="1">
      <alignment horizontal="center"/>
    </xf>
    <xf numFmtId="0" fontId="10" fillId="2" borderId="3" xfId="1" applyNumberFormat="1" applyFont="1" applyFill="1" applyBorder="1" applyAlignment="1">
      <alignment horizontal="left"/>
    </xf>
    <xf numFmtId="0" fontId="10" fillId="2" borderId="28" xfId="1" applyNumberFormat="1" applyFont="1" applyFill="1" applyBorder="1" applyAlignment="1">
      <alignment horizontal="left"/>
    </xf>
    <xf numFmtId="0" fontId="0" fillId="0" borderId="0" xfId="1" applyNumberFormat="1" applyFont="1" applyAlignment="1">
      <alignment horizontal="center"/>
    </xf>
  </cellXfs>
  <cellStyles count="11">
    <cellStyle name="Comma" xfId="1" builtinId="3"/>
    <cellStyle name="Currency" xfId="2" builtinId="4"/>
    <cellStyle name="Hyperlink" xfId="3" builtinId="8"/>
    <cellStyle name="Normal" xfId="0" builtinId="0"/>
    <cellStyle name="Normal 2 10 2" xfId="4" xr:uid="{00000000-0005-0000-0000-000004000000}"/>
    <cellStyle name="Normal 2 2" xfId="5" xr:uid="{00000000-0005-0000-0000-000005000000}"/>
    <cellStyle name="Normal 64" xfId="6" xr:uid="{00000000-0005-0000-0000-000006000000}"/>
    <cellStyle name="Normal 64 2 2 2 2 2" xfId="7" xr:uid="{00000000-0005-0000-0000-000007000000}"/>
    <cellStyle name="Normal 76" xfId="8" xr:uid="{00000000-0005-0000-0000-000008000000}"/>
    <cellStyle name="Percent" xfId="9" builtinId="5"/>
    <cellStyle name="Percent 12" xfId="10" xr:uid="{00000000-0005-0000-0000-00000A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187210</xdr:colOff>
      <xdr:row>11</xdr:row>
      <xdr:rowOff>1446</xdr:rowOff>
    </xdr:from>
    <xdr:to>
      <xdr:col>22</xdr:col>
      <xdr:colOff>571500</xdr:colOff>
      <xdr:row>72</xdr:row>
      <xdr:rowOff>15876</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98335" y="1446071"/>
          <a:ext cx="15894165" cy="16968930"/>
        </a:xfrm>
        <a:prstGeom prst="rect">
          <a:avLst/>
        </a:prstGeom>
        <a:solidFill>
          <a:sysClr val="window" lastClr="FFFFFF"/>
        </a:solidFill>
        <a:ln w="9525">
          <a:solidFill>
            <a:schemeClr val="dk1"/>
          </a:solidFill>
        </a:ln>
      </xdr:spPr>
      <xdr:style>
        <a:lnRef idx="0">
          <a:scrgbClr r="0" g="0" b="0"/>
        </a:lnRef>
        <a:fillRef idx="0">
          <a:scrgbClr r="0" g="0" b="0"/>
        </a:fillRef>
        <a:effectRef idx="0">
          <a:scrgbClr r="0" g="0" b="0"/>
        </a:effectRef>
        <a:fontRef idx="minor">
          <a:schemeClr val="dk1"/>
        </a:fontRef>
      </xdr:style>
      <xdr:txBody>
        <a:bodyPr rtlCol="0"/>
        <a:lstStyle/>
        <a:p>
          <a:pPr marL="0" marR="0">
            <a:lnSpc>
              <a:spcPct val="107000"/>
            </a:lnSpc>
            <a:spcBef>
              <a:spcPts val="0"/>
            </a:spcBef>
            <a:spcAft>
              <a:spcPts val="800"/>
            </a:spcAft>
          </a:pPr>
          <a:r>
            <a:rPr lang="en-US" sz="2000">
              <a:effectLst/>
              <a:latin typeface="Calibri" panose="020F0502020204030204" pitchFamily="34" charset="0"/>
              <a:ea typeface="Calibri" panose="020F0502020204030204" pitchFamily="34" charset="0"/>
              <a:cs typeface="Times New Roman" panose="02020603050405020304" pitchFamily="18" charset="0"/>
            </a:rPr>
            <a:t>Questions:</a:t>
          </a:r>
        </a:p>
        <a:p>
          <a:r>
            <a:rPr lang="en-US" sz="2000">
              <a:effectLst/>
            </a:rPr>
            <a:t>Are you participating or do you plan to participate in the ACO employee health care plan for your hospital?  And if so, how many members are or will be included?</a:t>
          </a:r>
        </a:p>
        <a:p>
          <a:pPr lvl="1"/>
          <a:r>
            <a:rPr lang="en-US" sz="2000">
              <a:solidFill>
                <a:schemeClr val="accent6">
                  <a:lumMod val="75000"/>
                </a:schemeClr>
              </a:solidFill>
              <a:effectLst/>
              <a:latin typeface="+mn-lt"/>
              <a:ea typeface="+mn-ea"/>
              <a:cs typeface="+mn-cs"/>
            </a:rPr>
            <a:t>BMH does not plan on participating in the ACO employee health care plan at this time as our current carrier, Harvard Pilgrim, is not currently in discussions with OneCare.  As the discussions evolve we will look to OneCare for the opportunity to participate.</a:t>
          </a:r>
          <a:endParaRPr lang="en-US" sz="2000">
            <a:solidFill>
              <a:schemeClr val="accent6">
                <a:lumMod val="75000"/>
              </a:schemeClr>
            </a:solidFill>
            <a:effectLst/>
          </a:endParaRPr>
        </a:p>
        <a:p>
          <a:pPr algn="l"/>
          <a:endParaRPr lang="en-US" sz="2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ORPK\fy2021\03Dec\Financials\Financials_20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Bond Covenants"/>
      <sheetName val="Ratios"/>
      <sheetName val="Summ IS For PPT"/>
      <sheetName val="Summ Bal Sheet"/>
      <sheetName val="PandL Detail"/>
      <sheetName val="Balance Sheet"/>
      <sheetName val="Consol IS"/>
      <sheetName val="Consol BS"/>
      <sheetName val="BMH Payor pandL"/>
      <sheetName val="BMH IS"/>
      <sheetName val="BMH BS"/>
      <sheetName val="SVHSC IS"/>
      <sheetName val="SVHSC BS"/>
      <sheetName val="GMCB PandL"/>
      <sheetName val="GMCB Payor Mix Summary"/>
      <sheetName val="Revenue by Payor"/>
      <sheetName val="GMCB Bal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E7">
            <v>6674613.0099999998</v>
          </cell>
          <cell r="F7">
            <v>2340338.56</v>
          </cell>
          <cell r="G7">
            <v>1899644.94</v>
          </cell>
          <cell r="H7">
            <v>2531515.9700000002</v>
          </cell>
          <cell r="I7">
            <v>0</v>
          </cell>
          <cell r="J7">
            <v>158603.78</v>
          </cell>
          <cell r="K7">
            <v>86226.28</v>
          </cell>
          <cell r="L7">
            <v>412166.77</v>
          </cell>
        </row>
        <row r="8">
          <cell r="E8">
            <v>6842802.7699999856</v>
          </cell>
          <cell r="F8">
            <v>2998304.1599999974</v>
          </cell>
          <cell r="G8">
            <v>2398509.3200000008</v>
          </cell>
          <cell r="H8">
            <v>2738919.0700000003</v>
          </cell>
          <cell r="I8">
            <v>0</v>
          </cell>
          <cell r="J8">
            <v>147027.54</v>
          </cell>
          <cell r="K8">
            <v>90260.73000000001</v>
          </cell>
          <cell r="L8">
            <v>482498.99999999994</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gmcboard.vermont.gov/sites/gmcb/files/FY2020%20Hospital%20Budget%20Guidance%20Final%20as%20of%202019-03-27%20updated%204%208%2019.pdf" TargetMode="External"/><Relationship Id="rId1" Type="http://schemas.openxmlformats.org/officeDocument/2006/relationships/hyperlink" Target="https://gmcboard.vermont.gov/sites/gmcb/files/files/hospital-budget/Physician%20Transfer%20Schedules%20A%20%26%20B.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ustomProperty" Target="../customProperty3.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ustomProperty" Target="../customProperty6.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customProperty" Target="../customProperty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N45"/>
  <sheetViews>
    <sheetView workbookViewId="0"/>
  </sheetViews>
  <sheetFormatPr defaultRowHeight="14.5" x14ac:dyDescent="0.35"/>
  <sheetData>
    <row r="3" spans="1:40" x14ac:dyDescent="0.35">
      <c r="A3" t="s">
        <v>177</v>
      </c>
      <c r="B3" t="s">
        <v>205</v>
      </c>
      <c r="C3" t="s">
        <v>221</v>
      </c>
      <c r="D3" t="s">
        <v>228</v>
      </c>
    </row>
    <row r="4" spans="1:40" x14ac:dyDescent="0.35">
      <c r="A4">
        <v>19</v>
      </c>
      <c r="B4">
        <v>25</v>
      </c>
      <c r="C4">
        <v>31</v>
      </c>
      <c r="D4">
        <v>37</v>
      </c>
    </row>
    <row r="5" spans="1:40" x14ac:dyDescent="0.35">
      <c r="S5" s="30">
        <f>'Income Statement'!$25:$25</f>
        <v>1153318.8333333333</v>
      </c>
      <c r="T5">
        <v>1</v>
      </c>
      <c r="U5" t="str">
        <f>'Income Statement'!$C:$C</f>
        <v>The University of Vermont Medical Center</v>
      </c>
      <c r="V5">
        <v>35</v>
      </c>
      <c r="W5" s="30" t="str">
        <f>'Income Statement'!$H$15</f>
        <v>Oct-2020</v>
      </c>
      <c r="X5">
        <v>50</v>
      </c>
      <c r="Y5">
        <f>'Balance Sheet'!$11:$11</f>
        <v>0</v>
      </c>
      <c r="Z5">
        <v>6</v>
      </c>
      <c r="AA5" s="30">
        <f>'Balance Sheet'!$F:$F</f>
        <v>0</v>
      </c>
      <c r="AB5">
        <v>1</v>
      </c>
      <c r="AE5">
        <f>Stats!$15:$15</f>
        <v>0</v>
      </c>
      <c r="AF5">
        <v>1</v>
      </c>
      <c r="AG5" t="str">
        <f>Stats!$C:$C</f>
        <v>FY2019</v>
      </c>
      <c r="AH5">
        <v>11</v>
      </c>
      <c r="AI5" s="30" t="str">
        <f>Stats!$B$17</f>
        <v>Magnetic Resonance Image Procedures, Exams</v>
      </c>
      <c r="AJ5">
        <v>7</v>
      </c>
      <c r="AK5">
        <f>'Payer Mix'!$5:$5</f>
        <v>0</v>
      </c>
      <c r="AL5">
        <v>7</v>
      </c>
      <c r="AM5" t="str">
        <f>'Payer Mix'!$C:$C</f>
        <v>FY2019</v>
      </c>
      <c r="AN5">
        <v>21</v>
      </c>
    </row>
    <row r="6" spans="1:40" x14ac:dyDescent="0.35">
      <c r="S6" s="30">
        <f>'Income Statement'!$26:$26</f>
        <v>0</v>
      </c>
      <c r="T6">
        <v>2</v>
      </c>
      <c r="U6" t="str">
        <f>'Income Statement'!$F:$F</f>
        <v>FY2020</v>
      </c>
      <c r="V6">
        <v>36</v>
      </c>
      <c r="W6" s="30" t="str">
        <f>'Income Statement'!$I$15</f>
        <v>Nov-2020</v>
      </c>
      <c r="X6">
        <v>51</v>
      </c>
      <c r="Y6">
        <f>'Balance Sheet'!$12:$12</f>
        <v>0</v>
      </c>
      <c r="Z6">
        <v>7</v>
      </c>
      <c r="AA6" s="30">
        <f>'Balance Sheet'!$E:$E</f>
        <v>0</v>
      </c>
      <c r="AB6">
        <v>2</v>
      </c>
      <c r="AE6">
        <f>Stats!$16:$16</f>
        <v>0</v>
      </c>
      <c r="AF6">
        <v>2</v>
      </c>
      <c r="AG6" t="str">
        <f>Stats!$D:$D</f>
        <v/>
      </c>
      <c r="AH6">
        <v>12</v>
      </c>
      <c r="AI6" s="30" t="str">
        <f>Stats!$B$18</f>
        <v>Cat Scan Procedures</v>
      </c>
      <c r="AJ6">
        <v>33</v>
      </c>
      <c r="AK6">
        <f>'Payer Mix'!$3:$3</f>
        <v>0</v>
      </c>
      <c r="AL6">
        <v>10</v>
      </c>
      <c r="AM6" t="str">
        <f>'Payer Mix'!$D:$D</f>
        <v/>
      </c>
      <c r="AN6">
        <v>22</v>
      </c>
    </row>
    <row r="7" spans="1:40" x14ac:dyDescent="0.35">
      <c r="S7" s="30">
        <f>'Income Statement'!$27:$27</f>
        <v>0</v>
      </c>
      <c r="T7">
        <v>3</v>
      </c>
      <c r="U7">
        <f>'Income Statement'!$D:$D</f>
        <v>0</v>
      </c>
      <c r="V7">
        <v>37</v>
      </c>
      <c r="W7" s="30" t="str">
        <f>'Income Statement'!$J$15</f>
        <v>Dec-2020</v>
      </c>
      <c r="X7">
        <v>52</v>
      </c>
      <c r="Y7" s="30">
        <f>'Balance Sheet'!$14:$14</f>
        <v>0</v>
      </c>
      <c r="Z7">
        <v>8</v>
      </c>
      <c r="AA7" s="30">
        <f>'Balance Sheet'!$D:$D</f>
        <v>0</v>
      </c>
      <c r="AB7">
        <v>3</v>
      </c>
      <c r="AE7">
        <f>Stats!$20:$20</f>
        <v>0</v>
      </c>
      <c r="AF7">
        <v>3</v>
      </c>
      <c r="AG7" t="str">
        <f>Stats!$E:$E</f>
        <v/>
      </c>
      <c r="AH7">
        <v>13</v>
      </c>
      <c r="AI7" s="30" t="str">
        <f>Stats!$B$19</f>
        <v>Radiology - Diagnostic Procedures</v>
      </c>
      <c r="AJ7">
        <v>35</v>
      </c>
      <c r="AK7">
        <f>'Payer Mix'!$4:$4</f>
        <v>0</v>
      </c>
      <c r="AL7">
        <v>11</v>
      </c>
      <c r="AM7">
        <f>'Payer Mix'!$E:$E</f>
        <v>0</v>
      </c>
      <c r="AN7">
        <v>23</v>
      </c>
    </row>
    <row r="8" spans="1:40" x14ac:dyDescent="0.35">
      <c r="S8" s="30">
        <f>'Income Statement'!$28:$28</f>
        <v>1153318.8333333333</v>
      </c>
      <c r="T8">
        <v>4</v>
      </c>
      <c r="U8" t="str">
        <f>'Income Statement'!$K:$K</f>
        <v/>
      </c>
      <c r="V8">
        <v>38</v>
      </c>
      <c r="W8" s="30" t="str">
        <f>'Income Statement'!$K$15</f>
        <v>Jan-2021</v>
      </c>
      <c r="X8">
        <v>53</v>
      </c>
      <c r="Y8">
        <f>'Balance Sheet'!$13:$13</f>
        <v>0</v>
      </c>
      <c r="Z8">
        <v>9</v>
      </c>
      <c r="AA8" s="30">
        <f>'Balance Sheet'!$C:$C</f>
        <v>0</v>
      </c>
      <c r="AB8">
        <v>4</v>
      </c>
      <c r="AE8" s="30">
        <f>Stats!$21:$21</f>
        <v>0</v>
      </c>
      <c r="AF8">
        <v>4</v>
      </c>
      <c r="AG8">
        <f>Stats!$F:$F</f>
        <v>0</v>
      </c>
      <c r="AH8">
        <v>14</v>
      </c>
      <c r="AI8" s="30" t="str">
        <f>Stats!$B$7</f>
        <v>Brattleboro Memorial Hospital</v>
      </c>
      <c r="AJ8">
        <v>41</v>
      </c>
      <c r="AK8">
        <f>'Payer Mix'!$14:$14</f>
        <v>0</v>
      </c>
      <c r="AL8">
        <v>39</v>
      </c>
      <c r="AM8">
        <f>'Payer Mix'!$F:$F</f>
        <v>0</v>
      </c>
      <c r="AN8">
        <v>24</v>
      </c>
    </row>
    <row r="9" spans="1:40" x14ac:dyDescent="0.35">
      <c r="S9" s="30">
        <f>'Income Statement'!$29:$29</f>
        <v>7733535.7499999991</v>
      </c>
      <c r="T9">
        <v>5</v>
      </c>
      <c r="U9">
        <f>'Income Statement'!$L:$L</f>
        <v>0</v>
      </c>
      <c r="V9">
        <v>39</v>
      </c>
      <c r="W9" s="30" t="str">
        <f>'Income Statement'!$L$15</f>
        <v>Feb-2021</v>
      </c>
      <c r="X9">
        <v>54</v>
      </c>
      <c r="Y9" s="30">
        <f>'Balance Sheet'!$15:$15</f>
        <v>0</v>
      </c>
      <c r="Z9">
        <v>10</v>
      </c>
      <c r="AA9" s="30" t="str">
        <f>'Balance Sheet'!$G:$G</f>
        <v>2021 B</v>
      </c>
      <c r="AB9">
        <v>5</v>
      </c>
      <c r="AE9">
        <f>Stats!$22:$22</f>
        <v>0</v>
      </c>
      <c r="AF9">
        <v>5</v>
      </c>
      <c r="AG9">
        <f>Stats!$G:$G</f>
        <v>0</v>
      </c>
      <c r="AH9">
        <v>16</v>
      </c>
      <c r="AK9">
        <f>'Payer Mix'!$15:$15</f>
        <v>0</v>
      </c>
      <c r="AL9">
        <v>40</v>
      </c>
      <c r="AM9">
        <f>'Payer Mix'!$G:$G</f>
        <v>0</v>
      </c>
      <c r="AN9">
        <v>25</v>
      </c>
    </row>
    <row r="10" spans="1:40" x14ac:dyDescent="0.35">
      <c r="S10" s="30">
        <f>'Income Statement'!$30:$30</f>
        <v>136430.66666666666</v>
      </c>
      <c r="T10">
        <v>6</v>
      </c>
      <c r="U10">
        <f>'Income Statement'!$M:$M</f>
        <v>0</v>
      </c>
      <c r="V10">
        <v>40</v>
      </c>
      <c r="W10" s="30" t="str">
        <f>'Income Statement'!$M$15</f>
        <v>Mar-2021</v>
      </c>
      <c r="X10">
        <v>55</v>
      </c>
      <c r="Y10">
        <f>'Balance Sheet'!$18:$18</f>
        <v>0</v>
      </c>
      <c r="Z10">
        <v>11</v>
      </c>
      <c r="AE10" s="30">
        <f>Stats!$17:$17</f>
        <v>0</v>
      </c>
      <c r="AF10">
        <v>6</v>
      </c>
      <c r="AG10">
        <f>Stats!$H:$H</f>
        <v>0</v>
      </c>
      <c r="AH10">
        <v>19</v>
      </c>
      <c r="AK10">
        <f>'Payer Mix'!$16:$16</f>
        <v>0</v>
      </c>
      <c r="AL10">
        <v>41</v>
      </c>
      <c r="AM10" t="str">
        <f>'Payer Mix'!$I:$I</f>
        <v>Oct-2020</v>
      </c>
      <c r="AN10">
        <v>26</v>
      </c>
    </row>
    <row r="11" spans="1:40" x14ac:dyDescent="0.35">
      <c r="S11" s="30">
        <f>'Income Statement'!$32:$32</f>
        <v>0</v>
      </c>
      <c r="T11">
        <v>7</v>
      </c>
      <c r="U11">
        <f>'Income Statement'!$N:$N</f>
        <v>0</v>
      </c>
      <c r="V11">
        <v>41</v>
      </c>
      <c r="W11" s="30" t="str">
        <f>'Income Statement'!$N$15</f>
        <v>Apr-2021</v>
      </c>
      <c r="X11">
        <v>56</v>
      </c>
      <c r="Y11">
        <f>'Balance Sheet'!$19:$19</f>
        <v>0</v>
      </c>
      <c r="Z11">
        <v>12</v>
      </c>
      <c r="AE11">
        <f>Stats!$23:$23</f>
        <v>0</v>
      </c>
      <c r="AF11">
        <v>10</v>
      </c>
      <c r="AG11" t="str">
        <f>Stats!$I:$I</f>
        <v>Nov-2020</v>
      </c>
      <c r="AH11">
        <v>20</v>
      </c>
      <c r="AK11">
        <f>'Payer Mix'!$17:$17</f>
        <v>0</v>
      </c>
      <c r="AL11">
        <v>42</v>
      </c>
      <c r="AM11">
        <f>'Payer Mix'!$J:$J</f>
        <v>0</v>
      </c>
      <c r="AN11">
        <v>27</v>
      </c>
    </row>
    <row r="12" spans="1:40" x14ac:dyDescent="0.35">
      <c r="S12" s="30">
        <f>'Income Statement'!$33:$33</f>
        <v>0</v>
      </c>
      <c r="T12">
        <v>8</v>
      </c>
      <c r="U12">
        <f>'Income Statement'!$O:$O</f>
        <v>0</v>
      </c>
      <c r="V12">
        <v>42</v>
      </c>
      <c r="W12" s="30" t="str">
        <f>'Income Statement'!$O$15</f>
        <v>May-2021</v>
      </c>
      <c r="X12">
        <v>57</v>
      </c>
      <c r="Y12">
        <f>'Balance Sheet'!$20:$20</f>
        <v>0</v>
      </c>
      <c r="Z12">
        <v>13</v>
      </c>
      <c r="AE12" s="260">
        <f>Stats!$5:$5</f>
        <v>0</v>
      </c>
      <c r="AF12">
        <v>15</v>
      </c>
      <c r="AG12">
        <f>Stats!$J:$J</f>
        <v>0</v>
      </c>
      <c r="AH12">
        <v>21</v>
      </c>
      <c r="AK12">
        <f>'Payer Mix'!$18:$18</f>
        <v>0</v>
      </c>
      <c r="AL12">
        <v>43</v>
      </c>
      <c r="AM12">
        <f>'Payer Mix'!$K:$K</f>
        <v>0</v>
      </c>
      <c r="AN12">
        <v>28</v>
      </c>
    </row>
    <row r="13" spans="1:40" x14ac:dyDescent="0.35">
      <c r="S13" s="30">
        <f>'Income Statement'!$36:$36</f>
        <v>0</v>
      </c>
      <c r="T13">
        <v>9</v>
      </c>
      <c r="U13">
        <f>'Income Statement'!$P:$P</f>
        <v>0</v>
      </c>
      <c r="V13">
        <v>43</v>
      </c>
      <c r="W13" s="30" t="str">
        <f>'Income Statement'!$P$15</f>
        <v>Jun-2021</v>
      </c>
      <c r="X13">
        <v>58</v>
      </c>
      <c r="Y13">
        <f>'Balance Sheet'!$23:$23</f>
        <v>0</v>
      </c>
      <c r="Z13">
        <v>14</v>
      </c>
      <c r="AE13">
        <f>Stats!$3:$3</f>
        <v>0</v>
      </c>
      <c r="AF13">
        <v>17</v>
      </c>
      <c r="AG13">
        <f>Stats!$K:$K</f>
        <v>0</v>
      </c>
      <c r="AH13">
        <v>22</v>
      </c>
      <c r="AK13">
        <f>'Payer Mix'!$19:$19</f>
        <v>0</v>
      </c>
      <c r="AL13">
        <v>44</v>
      </c>
      <c r="AM13">
        <f>'Payer Mix'!$L:$L</f>
        <v>0</v>
      </c>
      <c r="AN13">
        <v>29</v>
      </c>
    </row>
    <row r="14" spans="1:40" x14ac:dyDescent="0.35">
      <c r="S14" s="30">
        <f>'Income Statement'!$37:$37</f>
        <v>0</v>
      </c>
      <c r="T14">
        <v>10</v>
      </c>
      <c r="U14">
        <f>'Income Statement'!$Q:$Q</f>
        <v>0</v>
      </c>
      <c r="V14">
        <v>44</v>
      </c>
      <c r="W14" s="30" t="str">
        <f>'Income Statement'!$Q$15</f>
        <v>Jul-2021</v>
      </c>
      <c r="X14">
        <v>59</v>
      </c>
      <c r="Y14">
        <f>'Balance Sheet'!$25:$25</f>
        <v>0</v>
      </c>
      <c r="Z14">
        <v>15</v>
      </c>
      <c r="AE14">
        <f>Stats!$4:$4</f>
        <v>0</v>
      </c>
      <c r="AF14">
        <v>18</v>
      </c>
      <c r="AG14">
        <f>Stats!$L:$L</f>
        <v>12.964285714285714</v>
      </c>
      <c r="AH14">
        <v>23</v>
      </c>
      <c r="AK14">
        <f>'Payer Mix'!$20:$20</f>
        <v>0</v>
      </c>
      <c r="AL14">
        <v>45</v>
      </c>
      <c r="AM14">
        <f>'Payer Mix'!$M:$M</f>
        <v>14453048</v>
      </c>
      <c r="AN14">
        <v>30</v>
      </c>
    </row>
    <row r="15" spans="1:40" x14ac:dyDescent="0.35">
      <c r="S15" s="30">
        <f>'Income Statement'!$34:$34</f>
        <v>29666.666666666668</v>
      </c>
      <c r="T15">
        <v>11</v>
      </c>
      <c r="U15" t="str">
        <f>'Income Statement'!$R:$R</f>
        <v>Aug-2021</v>
      </c>
      <c r="V15">
        <v>45</v>
      </c>
      <c r="W15" s="30" t="str">
        <f>'Income Statement'!$R$15</f>
        <v>Aug-2021</v>
      </c>
      <c r="X15">
        <v>60</v>
      </c>
      <c r="Y15">
        <f>'Balance Sheet'!$27:$27</f>
        <v>0</v>
      </c>
      <c r="Z15">
        <v>17</v>
      </c>
      <c r="AE15" s="30">
        <f>Stats!$18:$18</f>
        <v>0</v>
      </c>
      <c r="AF15">
        <v>32</v>
      </c>
      <c r="AG15">
        <f>Stats!$M:$M</f>
        <v>172</v>
      </c>
      <c r="AH15">
        <v>24</v>
      </c>
      <c r="AK15">
        <f>'Payer Mix'!$21:$21</f>
        <v>0</v>
      </c>
      <c r="AL15">
        <v>46</v>
      </c>
      <c r="AM15">
        <f>'Payer Mix'!$N:$N</f>
        <v>-10277461.650000002</v>
      </c>
      <c r="AN15">
        <v>31</v>
      </c>
    </row>
    <row r="16" spans="1:40" x14ac:dyDescent="0.35">
      <c r="S16" s="30">
        <f>'Income Statement'!$35:$35</f>
        <v>112563.33333333331</v>
      </c>
      <c r="T16">
        <v>12</v>
      </c>
      <c r="U16">
        <f>'Income Statement'!$S:$S</f>
        <v>0</v>
      </c>
      <c r="V16">
        <v>46</v>
      </c>
      <c r="W16" s="30" t="str">
        <f>'Income Statement'!$S$15</f>
        <v>Sep-2021</v>
      </c>
      <c r="X16">
        <v>61</v>
      </c>
      <c r="Y16">
        <f>'Balance Sheet'!$26:$26</f>
        <v>0</v>
      </c>
      <c r="Z16">
        <v>18</v>
      </c>
      <c r="AE16" s="30">
        <f>Stats!$19:$19</f>
        <v>0</v>
      </c>
      <c r="AF16">
        <v>34</v>
      </c>
      <c r="AG16">
        <f>Stats!$N:$N</f>
        <v>503</v>
      </c>
      <c r="AH16">
        <v>25</v>
      </c>
      <c r="AK16">
        <f>'Payer Mix'!$22:$22</f>
        <v>0</v>
      </c>
      <c r="AL16">
        <v>47</v>
      </c>
      <c r="AM16">
        <f>'Payer Mix'!$O:$O</f>
        <v>50441</v>
      </c>
      <c r="AN16">
        <v>32</v>
      </c>
    </row>
    <row r="17" spans="19:40" x14ac:dyDescent="0.35">
      <c r="S17" s="30">
        <f>'Income Statement'!$31:$31</f>
        <v>0</v>
      </c>
      <c r="T17">
        <v>13</v>
      </c>
      <c r="U17">
        <f>'Income Statement'!$H:$H</f>
        <v>16281204.5</v>
      </c>
      <c r="V17">
        <v>47</v>
      </c>
      <c r="W17" t="str">
        <f>'Income Statement'!$B$28</f>
        <v>Fixed Prospective Payments and Reserves</v>
      </c>
      <c r="X17">
        <v>63</v>
      </c>
      <c r="Y17">
        <f>'Balance Sheet'!$28:$28</f>
        <v>0</v>
      </c>
      <c r="Z17">
        <v>19</v>
      </c>
      <c r="AE17">
        <f>Stats!$29:$29</f>
        <v>0</v>
      </c>
      <c r="AF17">
        <v>36</v>
      </c>
      <c r="AG17">
        <f>Stats!$O:$O</f>
        <v>153</v>
      </c>
      <c r="AH17">
        <v>26</v>
      </c>
      <c r="AK17">
        <f>'Payer Mix'!$25:$25</f>
        <v>0</v>
      </c>
      <c r="AL17">
        <v>49</v>
      </c>
      <c r="AM17">
        <f>'Payer Mix'!$P:$P</f>
        <v>0</v>
      </c>
      <c r="AN17">
        <v>33</v>
      </c>
    </row>
    <row r="18" spans="19:40" x14ac:dyDescent="0.35">
      <c r="S18" s="30">
        <f>'Income Statement'!$38:$38</f>
        <v>29243.833333333332</v>
      </c>
      <c r="T18">
        <v>14</v>
      </c>
      <c r="U18">
        <f>'Income Statement'!$I:$I</f>
        <v>0</v>
      </c>
      <c r="V18">
        <v>48</v>
      </c>
      <c r="W18" t="str">
        <f>'Income Statement'!$B$29</f>
        <v>Net Patient Care Rev &amp; Fixed Payments &amp; Reserves</v>
      </c>
      <c r="X18">
        <v>64</v>
      </c>
      <c r="Y18">
        <f>'Balance Sheet'!$32:$32</f>
        <v>0</v>
      </c>
      <c r="Z18">
        <v>20</v>
      </c>
      <c r="AE18" s="30">
        <f>Stats!$30:$30</f>
        <v>0</v>
      </c>
      <c r="AF18">
        <v>37</v>
      </c>
      <c r="AG18">
        <f>Stats!$P:$P</f>
        <v>587</v>
      </c>
      <c r="AH18">
        <v>27</v>
      </c>
      <c r="AK18">
        <f>'Payer Mix'!$26:$26</f>
        <v>0</v>
      </c>
      <c r="AL18">
        <v>50</v>
      </c>
      <c r="AM18">
        <f>'Payer Mix'!$Q:$Q</f>
        <v>6290046</v>
      </c>
      <c r="AN18">
        <v>34</v>
      </c>
    </row>
    <row r="19" spans="19:40" x14ac:dyDescent="0.35">
      <c r="S19">
        <f>'Income Statement'!$39:$39</f>
        <v>307904.49999999994</v>
      </c>
      <c r="T19">
        <v>15</v>
      </c>
      <c r="U19">
        <f>'Income Statement'!$J:$J</f>
        <v>44238.416666666664</v>
      </c>
      <c r="V19">
        <v>49</v>
      </c>
      <c r="W19" s="30" t="str">
        <f>'Income Statement'!$B$30</f>
        <v>340B Retail Pharmacy Programs</v>
      </c>
      <c r="X19">
        <v>65</v>
      </c>
      <c r="Y19">
        <f>'Balance Sheet'!$33:$33</f>
        <v>0</v>
      </c>
      <c r="Z19">
        <v>22</v>
      </c>
      <c r="AE19" s="30">
        <f>Stats!$31:$31</f>
        <v>0</v>
      </c>
      <c r="AF19">
        <v>38</v>
      </c>
      <c r="AG19">
        <f>Stats!$Q:$Q</f>
        <v>1575</v>
      </c>
      <c r="AH19">
        <v>28</v>
      </c>
      <c r="AK19">
        <f>'Payer Mix'!$27:$27</f>
        <v>0</v>
      </c>
      <c r="AL19">
        <v>51</v>
      </c>
      <c r="AM19">
        <f>'Payer Mix'!$R:$R</f>
        <v>1055194</v>
      </c>
      <c r="AN19">
        <v>35</v>
      </c>
    </row>
    <row r="20" spans="19:40" x14ac:dyDescent="0.35">
      <c r="S20" s="30">
        <f>'Income Statement'!$40:$40</f>
        <v>8041440.2499999991</v>
      </c>
      <c r="T20">
        <v>16</v>
      </c>
      <c r="U20">
        <f>'Income Statement'!$E:$E</f>
        <v>0</v>
      </c>
      <c r="V20">
        <v>62</v>
      </c>
      <c r="W20" s="30" t="str">
        <f>'Income Statement'!$B$31</f>
        <v>COVID-19 Stimulus and Other Grant Funding</v>
      </c>
      <c r="X20">
        <v>66</v>
      </c>
      <c r="Y20">
        <f>'Balance Sheet'!$35:$35</f>
        <v>0</v>
      </c>
      <c r="Z20">
        <v>23</v>
      </c>
      <c r="AE20" s="30">
        <f>Stats!$32:$32</f>
        <v>0</v>
      </c>
      <c r="AF20">
        <v>39</v>
      </c>
      <c r="AG20">
        <f>Stats!$R:$R</f>
        <v>0</v>
      </c>
      <c r="AH20">
        <v>29</v>
      </c>
      <c r="AK20">
        <f>'Payer Mix'!$28:$28</f>
        <v>0</v>
      </c>
      <c r="AL20">
        <v>52</v>
      </c>
      <c r="AM20">
        <f>'Payer Mix'!$S:$S</f>
        <v>0</v>
      </c>
      <c r="AN20">
        <v>36</v>
      </c>
    </row>
    <row r="21" spans="19:40" x14ac:dyDescent="0.35">
      <c r="S21" s="30">
        <f>'Income Statement'!$46:$46</f>
        <v>35593.5</v>
      </c>
      <c r="T21">
        <v>17</v>
      </c>
      <c r="U21">
        <f>'Income Statement'!$G:$G</f>
        <v>-3388273.9999999995</v>
      </c>
      <c r="V21">
        <v>94</v>
      </c>
      <c r="W21" s="30" t="str">
        <f>'Income Statement'!$B$32</f>
        <v>Specialty Pharmacy</v>
      </c>
      <c r="X21">
        <v>67</v>
      </c>
      <c r="Y21">
        <f>'Balance Sheet'!$37:$37</f>
        <v>0</v>
      </c>
      <c r="Z21">
        <v>24</v>
      </c>
      <c r="AE21" s="30">
        <f>Stats!$33:$33</f>
        <v>0</v>
      </c>
      <c r="AF21">
        <v>40</v>
      </c>
      <c r="AG21">
        <f>Stats!$S:$S</f>
        <v>0</v>
      </c>
      <c r="AH21">
        <v>30</v>
      </c>
      <c r="AK21">
        <f>'Payer Mix'!$29:$29</f>
        <v>0</v>
      </c>
      <c r="AL21">
        <v>53</v>
      </c>
      <c r="AM21">
        <f>'Payer Mix'!$T:$T</f>
        <v>0</v>
      </c>
      <c r="AN21">
        <v>37</v>
      </c>
    </row>
    <row r="22" spans="19:40" x14ac:dyDescent="0.35">
      <c r="S22" s="30">
        <f>'Income Statement'!$42:$42</f>
        <v>5111514.25</v>
      </c>
      <c r="T22">
        <v>18</v>
      </c>
      <c r="W22" s="30" t="str">
        <f>'Income Statement'!$B$33</f>
        <v>Outpatient Pharmacy Revenue</v>
      </c>
      <c r="X22">
        <v>68</v>
      </c>
      <c r="Y22">
        <f>'Balance Sheet'!$38:$38</f>
        <v>0</v>
      </c>
      <c r="Z22">
        <v>25</v>
      </c>
      <c r="AK22">
        <f>'Payer Mix'!$30:$30</f>
        <v>0</v>
      </c>
      <c r="AL22">
        <v>54</v>
      </c>
    </row>
    <row r="23" spans="19:40" x14ac:dyDescent="0.35">
      <c r="S23" s="30">
        <f>'Income Statement'!$43:$43</f>
        <v>459808.33333333331</v>
      </c>
      <c r="T23">
        <v>20</v>
      </c>
      <c r="W23" s="30" t="str">
        <f>'Income Statement'!$B$34</f>
        <v>Cafeteria &amp; Parking</v>
      </c>
      <c r="X23">
        <v>70</v>
      </c>
      <c r="Y23">
        <f>'Balance Sheet'!$39:$39</f>
        <v>0</v>
      </c>
      <c r="Z23">
        <v>26</v>
      </c>
      <c r="AK23">
        <f>'Payer Mix'!$31:$31</f>
        <v>0</v>
      </c>
      <c r="AL23">
        <v>55</v>
      </c>
    </row>
    <row r="24" spans="19:40" x14ac:dyDescent="0.35">
      <c r="S24" s="30">
        <f>'Income Statement'!$44:$44</f>
        <v>375028.33333333337</v>
      </c>
      <c r="T24">
        <v>21</v>
      </c>
      <c r="W24" s="30" t="str">
        <f>'Income Statement'!$B$35</f>
        <v>Grant Income</v>
      </c>
      <c r="X24">
        <v>71</v>
      </c>
      <c r="Y24">
        <f>'Balance Sheet'!$41:$41</f>
        <v>0</v>
      </c>
      <c r="Z24">
        <v>27</v>
      </c>
      <c r="AK24">
        <f>'Payer Mix'!$32:$32</f>
        <v>0</v>
      </c>
      <c r="AL24">
        <v>56</v>
      </c>
    </row>
    <row r="25" spans="19:40" x14ac:dyDescent="0.35">
      <c r="S25" s="30">
        <f>'Income Statement'!$45:$45</f>
        <v>38609.583333333336</v>
      </c>
      <c r="T25">
        <v>22</v>
      </c>
      <c r="W25" s="30" t="str">
        <f>'Income Statement'!$B$36</f>
        <v>Reference Lab Revenue</v>
      </c>
      <c r="X25">
        <v>72</v>
      </c>
      <c r="Y25">
        <f>'Balance Sheet'!$21:$21</f>
        <v>0</v>
      </c>
      <c r="Z25">
        <v>28</v>
      </c>
      <c r="AK25">
        <f>'Payer Mix'!$33:$33</f>
        <v>0</v>
      </c>
      <c r="AL25">
        <v>57</v>
      </c>
    </row>
    <row r="26" spans="19:40" x14ac:dyDescent="0.35">
      <c r="S26" s="30">
        <f>'Income Statement'!$47:$47</f>
        <v>0</v>
      </c>
      <c r="T26">
        <v>23</v>
      </c>
      <c r="W26" s="30" t="str">
        <f>'Income Statement'!$B$37</f>
        <v>Meaningful Use</v>
      </c>
      <c r="X26">
        <v>73</v>
      </c>
      <c r="Y26">
        <f>'Balance Sheet'!$16:$16</f>
        <v>0</v>
      </c>
      <c r="Z26">
        <v>29</v>
      </c>
      <c r="AK26">
        <f>'Payer Mix'!$36:$36</f>
        <v>0</v>
      </c>
      <c r="AL26">
        <v>58</v>
      </c>
    </row>
    <row r="27" spans="19:40" x14ac:dyDescent="0.35">
      <c r="S27" s="30">
        <f>'Income Statement'!$48:$48</f>
        <v>0</v>
      </c>
      <c r="T27">
        <v>24</v>
      </c>
      <c r="W27" t="str">
        <f>'Income Statement'!$B$42</f>
        <v>Salaries Non MD, Fringe Benefits Non MD, Physician Fees &amp; Salaries, Fringe Benefits MD</v>
      </c>
      <c r="X27">
        <v>74</v>
      </c>
      <c r="Y27">
        <f>'Balance Sheet'!$29:$29</f>
        <v>0</v>
      </c>
      <c r="Z27">
        <v>30</v>
      </c>
      <c r="AK27">
        <f>'Payer Mix'!$37:$37</f>
        <v>0</v>
      </c>
      <c r="AL27">
        <v>59</v>
      </c>
    </row>
    <row r="28" spans="19:40" x14ac:dyDescent="0.35">
      <c r="S28" s="30">
        <f>'Income Statement'!$49:$49</f>
        <v>0</v>
      </c>
      <c r="T28">
        <v>25</v>
      </c>
      <c r="W28" s="30" t="str">
        <f>'Income Statement'!$B$43</f>
        <v>Health Care Provider Tax</v>
      </c>
      <c r="X28">
        <v>75</v>
      </c>
      <c r="Y28">
        <f>'Balance Sheet'!$44:$44</f>
        <v>0</v>
      </c>
      <c r="Z28">
        <v>31</v>
      </c>
      <c r="AK28">
        <f>'Payer Mix'!$38:$38</f>
        <v>0</v>
      </c>
      <c r="AL28">
        <v>60</v>
      </c>
    </row>
    <row r="29" spans="19:40" x14ac:dyDescent="0.35">
      <c r="S29" s="30">
        <f>'Income Statement'!$50:$50</f>
        <v>25000</v>
      </c>
      <c r="T29">
        <v>26</v>
      </c>
      <c r="W29" s="30" t="str">
        <f>'Income Statement'!$B$44</f>
        <v>Depreciation Amortization</v>
      </c>
      <c r="X29">
        <v>76</v>
      </c>
      <c r="Y29">
        <f>'Balance Sheet'!$45:$45</f>
        <v>0</v>
      </c>
      <c r="Z29">
        <v>32</v>
      </c>
      <c r="AK29">
        <f>'Payer Mix'!$39:$39</f>
        <v>0</v>
      </c>
      <c r="AL29">
        <v>61</v>
      </c>
    </row>
    <row r="30" spans="19:40" x14ac:dyDescent="0.35">
      <c r="S30" s="30">
        <f>'Income Statement'!$51:$51</f>
        <v>1959037.1666666667</v>
      </c>
      <c r="T30">
        <v>27</v>
      </c>
      <c r="W30" s="30" t="str">
        <f>'Income Statement'!$B$45</f>
        <v>Interest - Short Term, Interest - Long Term</v>
      </c>
      <c r="X30">
        <v>77</v>
      </c>
      <c r="Y30" s="30">
        <f>'Balance Sheet'!$46:$46</f>
        <v>0</v>
      </c>
      <c r="Z30">
        <v>33</v>
      </c>
      <c r="AK30">
        <f>'Payer Mix'!$40:$40</f>
        <v>0</v>
      </c>
      <c r="AL30">
        <v>62</v>
      </c>
    </row>
    <row r="31" spans="19:40" x14ac:dyDescent="0.35">
      <c r="S31" s="30">
        <f>'Income Statement'!$52:$52</f>
        <v>8004591.166666666</v>
      </c>
      <c r="T31">
        <v>28</v>
      </c>
      <c r="W31" s="30" t="str">
        <f>'Income Statement'!$B$46</f>
        <v>ACO Dues</v>
      </c>
      <c r="X31">
        <v>79</v>
      </c>
      <c r="Y31">
        <f>'Balance Sheet'!$47:$47</f>
        <v>0</v>
      </c>
      <c r="Z31">
        <v>34</v>
      </c>
      <c r="AK31">
        <f>'Payer Mix'!$41:$41</f>
        <v>0</v>
      </c>
      <c r="AL31">
        <v>63</v>
      </c>
    </row>
    <row r="32" spans="19:40" x14ac:dyDescent="0.35">
      <c r="S32" s="30">
        <f>'Income Statement'!$54:$54</f>
        <v>36849.083333333023</v>
      </c>
      <c r="T32">
        <v>29</v>
      </c>
      <c r="W32" s="30" t="str">
        <f>'Income Statement'!$B$47</f>
        <v>Medical/Surgical Drugs and Supplies</v>
      </c>
      <c r="X32">
        <v>80</v>
      </c>
      <c r="Y32">
        <f>'Balance Sheet'!$48:$48</f>
        <v>0</v>
      </c>
      <c r="Z32">
        <v>35</v>
      </c>
      <c r="AK32">
        <f>'Payer Mix'!$42:$42</f>
        <v>0</v>
      </c>
      <c r="AL32">
        <v>64</v>
      </c>
    </row>
    <row r="33" spans="19:38" x14ac:dyDescent="0.35">
      <c r="S33">
        <f>'Income Statement'!$56:$56</f>
        <v>58333.333333333336</v>
      </c>
      <c r="T33">
        <v>30</v>
      </c>
      <c r="W33" s="30" t="str">
        <f>'Income Statement'!$B$48</f>
        <v>Pharmaceuticals</v>
      </c>
      <c r="X33">
        <v>81</v>
      </c>
      <c r="Y33">
        <f>'Balance Sheet'!$24:$24</f>
        <v>0</v>
      </c>
      <c r="Z33">
        <v>36</v>
      </c>
      <c r="AK33">
        <f>'Payer Mix'!$43:$43</f>
        <v>0</v>
      </c>
      <c r="AL33">
        <v>65</v>
      </c>
    </row>
    <row r="34" spans="19:38" x14ac:dyDescent="0.35">
      <c r="S34" s="30">
        <f>'Income Statement'!$58:$58</f>
        <v>95182.416666666366</v>
      </c>
      <c r="T34">
        <v>31</v>
      </c>
      <c r="W34" s="30" t="str">
        <f>'Income Statement'!$B$49</f>
        <v>Other Purchased Services - Consulting</v>
      </c>
      <c r="X34">
        <v>82</v>
      </c>
      <c r="Y34">
        <f>'Balance Sheet'!$31:$31</f>
        <v>0</v>
      </c>
      <c r="Z34">
        <v>37</v>
      </c>
      <c r="AK34">
        <f>'Payer Mix'!$44:$44</f>
        <v>0</v>
      </c>
      <c r="AL34">
        <v>66</v>
      </c>
    </row>
    <row r="35" spans="19:38" x14ac:dyDescent="0.35">
      <c r="S35">
        <f>'Income Statement'!$61:$61</f>
        <v>4.582398449498276E-3</v>
      </c>
      <c r="T35">
        <v>32</v>
      </c>
      <c r="W35" s="30" t="str">
        <f>'Income Statement'!$B$50</f>
        <v>Other Purchased Services -Travelers</v>
      </c>
      <c r="X35">
        <v>83</v>
      </c>
      <c r="Y35">
        <f>'Balance Sheet'!$3:$3</f>
        <v>0</v>
      </c>
      <c r="Z35">
        <v>38</v>
      </c>
      <c r="AK35">
        <f>'Payer Mix'!$47:$47</f>
        <v>0</v>
      </c>
      <c r="AL35">
        <v>67</v>
      </c>
    </row>
    <row r="36" spans="19:38" x14ac:dyDescent="0.35">
      <c r="S36">
        <f>'Income Statement'!$62:$62</f>
        <v>1.1751244116566474E-2</v>
      </c>
      <c r="T36">
        <v>33</v>
      </c>
      <c r="W36" t="str">
        <f>'Income Statement'!$B$25</f>
        <v>Fixed Prospective Payments</v>
      </c>
      <c r="X36">
        <v>89</v>
      </c>
      <c r="AK36">
        <f>'Payer Mix'!$48:$48</f>
        <v>0</v>
      </c>
      <c r="AL36">
        <v>68</v>
      </c>
    </row>
    <row r="37" spans="19:38" x14ac:dyDescent="0.35">
      <c r="S37">
        <f>'Income Statement'!$17:$17</f>
        <v>16281204.5</v>
      </c>
      <c r="T37">
        <v>34</v>
      </c>
      <c r="W37" t="str">
        <f>'Income Statement'!$B$26</f>
        <v>Reserves</v>
      </c>
      <c r="X37">
        <v>90</v>
      </c>
      <c r="AK37">
        <f>'Payer Mix'!$49:$49</f>
        <v>0</v>
      </c>
      <c r="AL37">
        <v>69</v>
      </c>
    </row>
    <row r="38" spans="19:38" x14ac:dyDescent="0.35">
      <c r="S38">
        <f>'Income Statement'!$19:$19</f>
        <v>44238.416666666664</v>
      </c>
      <c r="T38">
        <v>84</v>
      </c>
      <c r="W38" t="str">
        <f>'Income Statement'!$B$27</f>
        <v>Other Reform Payments</v>
      </c>
      <c r="X38">
        <v>91</v>
      </c>
      <c r="AK38">
        <f>'Payer Mix'!$50:$50</f>
        <v>0</v>
      </c>
      <c r="AL38">
        <v>70</v>
      </c>
    </row>
    <row r="39" spans="19:38" x14ac:dyDescent="0.35">
      <c r="S39">
        <f>'Income Statement'!$20:$20</f>
        <v>0</v>
      </c>
      <c r="T39">
        <v>85</v>
      </c>
      <c r="W39" t="str">
        <f>'Income Statement'!$B$8</f>
        <v>Brattleboro Memorial Hospital</v>
      </c>
      <c r="X39">
        <v>93</v>
      </c>
      <c r="AK39">
        <f>'Payer Mix'!$51:$51</f>
        <v>0</v>
      </c>
      <c r="AL39">
        <v>71</v>
      </c>
    </row>
    <row r="40" spans="19:38" x14ac:dyDescent="0.35">
      <c r="S40" s="216">
        <f>'Income Statement'!$21:$21</f>
        <v>-282356.16666666669</v>
      </c>
      <c r="T40">
        <v>86</v>
      </c>
      <c r="AK40">
        <f>'Payer Mix'!$52:$52</f>
        <v>0</v>
      </c>
      <c r="AL40">
        <v>72</v>
      </c>
    </row>
    <row r="41" spans="19:38" x14ac:dyDescent="0.35">
      <c r="S41" s="216">
        <f>'Income Statement'!$22:$22</f>
        <v>-244218.08333333337</v>
      </c>
      <c r="T41">
        <v>87</v>
      </c>
      <c r="AK41">
        <f>'Payer Mix'!$53:$53</f>
        <v>0</v>
      </c>
      <c r="AL41">
        <v>73</v>
      </c>
    </row>
    <row r="42" spans="19:38" x14ac:dyDescent="0.35">
      <c r="S42" s="216">
        <f>'Income Statement'!$23:$23</f>
        <v>-9218651.75</v>
      </c>
      <c r="T42">
        <v>88</v>
      </c>
      <c r="AK42">
        <f>'Payer Mix'!$54:$54</f>
        <v>0</v>
      </c>
      <c r="AL42">
        <v>74</v>
      </c>
    </row>
    <row r="43" spans="19:38" x14ac:dyDescent="0.35">
      <c r="S43" t="str">
        <f>'Income Statement'!$2:$2</f>
        <v>Sep-2021</v>
      </c>
      <c r="T43">
        <v>95</v>
      </c>
      <c r="AK43">
        <f>'Payer Mix'!$55:$55</f>
        <v>0</v>
      </c>
      <c r="AL43">
        <v>75</v>
      </c>
    </row>
    <row r="44" spans="19:38" x14ac:dyDescent="0.35">
      <c r="S44" t="str">
        <f>'Income Statement'!$6:$6</f>
        <v>Sep-2021</v>
      </c>
      <c r="T44">
        <v>96</v>
      </c>
      <c r="AK44">
        <f>'Payer Mix'!$57:$57</f>
        <v>0</v>
      </c>
      <c r="AL44">
        <v>76</v>
      </c>
    </row>
    <row r="45" spans="19:38" x14ac:dyDescent="0.35">
      <c r="S45">
        <f>'Income Statement'!$24:$24</f>
        <v>6580216.916666666</v>
      </c>
      <c r="T45">
        <v>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X80"/>
  <sheetViews>
    <sheetView showGridLines="0" view="pageBreakPreview" topLeftCell="G7" zoomScaleNormal="100" zoomScaleSheetLayoutView="100" workbookViewId="0">
      <selection activeCell="G15" sqref="G15"/>
    </sheetView>
  </sheetViews>
  <sheetFormatPr defaultColWidth="9.1796875" defaultRowHeight="14.5" outlineLevelRow="1" outlineLevelCol="1" x14ac:dyDescent="0.35"/>
  <cols>
    <col min="1" max="1" width="1.54296875" style="50" hidden="1" customWidth="1" outlineLevel="1"/>
    <col min="2" max="6" width="17.81640625" style="50" hidden="1" customWidth="1" outlineLevel="1"/>
    <col min="7" max="7" width="1.54296875" style="65" customWidth="1" collapsed="1"/>
    <col min="8" max="8" width="24.81640625" style="50" bestFit="1" customWidth="1"/>
    <col min="9" max="9" width="1.54296875" style="50" customWidth="1"/>
    <col min="10" max="10" width="14.26953125" style="62" customWidth="1"/>
    <col min="11" max="13" width="24.7265625" style="62" customWidth="1"/>
    <col min="14" max="14" width="1.54296875" style="62" customWidth="1"/>
    <col min="15" max="15" width="27.453125" style="62" customWidth="1"/>
    <col min="16" max="16" width="14.26953125" style="62" customWidth="1"/>
    <col min="17" max="17" width="29.1796875" style="62" customWidth="1"/>
    <col min="18" max="16384" width="9.1796875" style="62"/>
  </cols>
  <sheetData>
    <row r="1" spans="1:24" s="50" customFormat="1" hidden="1" outlineLevel="1" x14ac:dyDescent="0.35">
      <c r="A1" s="116"/>
      <c r="G1" s="65"/>
    </row>
    <row r="2" spans="1:24" s="50" customFormat="1" hidden="1" outlineLevel="1" x14ac:dyDescent="0.35">
      <c r="G2" s="65"/>
      <c r="J2" s="36"/>
      <c r="K2" s="36"/>
      <c r="L2" s="36"/>
      <c r="M2" s="36"/>
    </row>
    <row r="3" spans="1:24" s="50" customFormat="1" hidden="1" outlineLevel="1" x14ac:dyDescent="0.35">
      <c r="G3" s="65"/>
    </row>
    <row r="4" spans="1:24" s="92" customFormat="1" hidden="1" outlineLevel="1" x14ac:dyDescent="0.35">
      <c r="A4" s="34"/>
      <c r="G4" s="65" t="s">
        <v>70</v>
      </c>
      <c r="J4" s="20"/>
      <c r="K4" s="20"/>
      <c r="L4" s="20"/>
      <c r="M4" s="20"/>
    </row>
    <row r="5" spans="1:24" s="92" customFormat="1" hidden="1" outlineLevel="1" x14ac:dyDescent="0.35">
      <c r="A5" s="34"/>
      <c r="G5" s="65" t="s">
        <v>43</v>
      </c>
      <c r="J5" s="20"/>
      <c r="K5" s="20"/>
      <c r="L5" s="20"/>
      <c r="M5" s="20"/>
    </row>
    <row r="6" spans="1:24" s="92" customFormat="1" hidden="1" outlineLevel="1" x14ac:dyDescent="0.35">
      <c r="A6" s="34"/>
      <c r="G6" s="65" t="s">
        <v>152</v>
      </c>
      <c r="J6" s="20"/>
      <c r="K6" s="20"/>
      <c r="L6" s="20"/>
      <c r="M6" s="20"/>
    </row>
    <row r="7" spans="1:24" s="90" customFormat="1" ht="29" collapsed="1" x14ac:dyDescent="0.35">
      <c r="A7" s="91"/>
      <c r="B7" s="90" t="s">
        <v>100</v>
      </c>
      <c r="C7" s="90" t="s">
        <v>93</v>
      </c>
      <c r="D7" s="90" t="s">
        <v>125</v>
      </c>
      <c r="E7" s="90" t="s">
        <v>69</v>
      </c>
      <c r="G7" s="93"/>
    </row>
    <row r="8" spans="1:24" s="99" customFormat="1" ht="26" x14ac:dyDescent="0.6">
      <c r="A8" s="48"/>
      <c r="B8" s="48"/>
      <c r="C8" s="48"/>
      <c r="D8" s="48"/>
      <c r="E8" s="48"/>
      <c r="F8" s="48"/>
      <c r="G8" s="144"/>
      <c r="H8" s="148" t="str">
        <f>+Cover!B9</f>
        <v>Brattleboro Memorial Hospital</v>
      </c>
      <c r="I8" s="42"/>
      <c r="J8" s="42"/>
      <c r="K8" s="42"/>
      <c r="L8" s="42"/>
      <c r="M8" s="45"/>
      <c r="N8" s="45"/>
      <c r="O8" s="45"/>
      <c r="P8" s="45"/>
      <c r="Q8" s="45"/>
      <c r="R8" s="45"/>
      <c r="S8" s="629"/>
      <c r="T8" s="629"/>
      <c r="U8" s="629"/>
      <c r="V8" s="629"/>
      <c r="W8" s="629"/>
      <c r="X8" s="630"/>
    </row>
    <row r="10" spans="1:24" s="114" customFormat="1" ht="28" customHeight="1" x14ac:dyDescent="0.6">
      <c r="A10" s="51"/>
      <c r="B10" s="51"/>
      <c r="C10" s="51"/>
      <c r="D10" s="51"/>
      <c r="E10" s="51"/>
      <c r="F10" s="51"/>
      <c r="G10" s="143"/>
      <c r="H10" s="148" t="s">
        <v>95</v>
      </c>
      <c r="I10" s="42"/>
      <c r="J10" s="42" t="str">
        <f>+Cover!C15</f>
        <v>Through July</v>
      </c>
      <c r="K10" s="42"/>
      <c r="L10" s="631" t="str">
        <f>+Cover!B16</f>
        <v xml:space="preserve">     Due August 31st</v>
      </c>
      <c r="M10" s="631"/>
      <c r="N10" s="631"/>
      <c r="O10" s="631"/>
      <c r="P10" s="631"/>
      <c r="Q10" s="631"/>
      <c r="R10" s="631"/>
      <c r="S10" s="631"/>
      <c r="T10" s="631"/>
      <c r="U10" s="631"/>
      <c r="V10" s="631"/>
      <c r="W10" s="631"/>
      <c r="X10" s="632"/>
    </row>
    <row r="11" spans="1:24" x14ac:dyDescent="0.35">
      <c r="H11" s="633"/>
      <c r="I11" s="633"/>
      <c r="J11" s="633"/>
      <c r="K11" s="633"/>
      <c r="L11" s="633"/>
      <c r="M11" s="633"/>
      <c r="N11" s="633"/>
      <c r="O11" s="633"/>
      <c r="P11" s="633"/>
    </row>
    <row r="77" spans="10:23" ht="23.5" x14ac:dyDescent="0.55000000000000004">
      <c r="J77" s="75"/>
      <c r="K77" s="109" t="s">
        <v>3</v>
      </c>
      <c r="L77" s="139" t="s">
        <v>134</v>
      </c>
    </row>
    <row r="78" spans="10:23" ht="23.5" x14ac:dyDescent="0.55000000000000004">
      <c r="J78" s="75"/>
      <c r="K78" s="75"/>
      <c r="L78" s="75"/>
    </row>
    <row r="79" spans="10:23" ht="23.25" customHeight="1" x14ac:dyDescent="0.55000000000000004">
      <c r="J79" s="138" t="s">
        <v>14</v>
      </c>
      <c r="K79" s="125" t="s">
        <v>147</v>
      </c>
      <c r="L79" s="31"/>
      <c r="M79" s="31"/>
      <c r="N79" s="31"/>
      <c r="O79" s="31"/>
      <c r="P79" s="31"/>
      <c r="Q79" s="31"/>
      <c r="R79" s="31"/>
      <c r="S79" s="31"/>
      <c r="T79" s="31"/>
      <c r="U79" s="31"/>
      <c r="V79" s="31"/>
      <c r="W79" s="31"/>
    </row>
    <row r="80" spans="10:23" ht="15" customHeight="1" x14ac:dyDescent="0.35">
      <c r="K80" s="31"/>
      <c r="L80" s="31"/>
      <c r="M80" s="31"/>
      <c r="N80" s="31"/>
      <c r="O80" s="31"/>
      <c r="P80" s="31"/>
      <c r="Q80" s="31"/>
      <c r="R80" s="31"/>
      <c r="S80" s="31"/>
      <c r="T80" s="31"/>
      <c r="U80" s="31"/>
      <c r="V80" s="31"/>
      <c r="W80" s="31"/>
    </row>
  </sheetData>
  <mergeCells count="3">
    <mergeCell ref="S8:X8"/>
    <mergeCell ref="L10:X10"/>
    <mergeCell ref="H11:P11"/>
  </mergeCells>
  <hyperlinks>
    <hyperlink ref="L77" r:id="rId1" xr:uid="{00000000-0004-0000-0900-000000000000}"/>
    <hyperlink ref="K79" r:id="rId2" display="https://gmcboard.vermont.gov/sites/gmcb/files/FY2020 Hospital Budget Guidance Final as of 2019-03-27 updated 4 8 19.pdf" xr:uid="{00000000-0004-0000-0900-000001000000}"/>
  </hyperlinks>
  <pageMargins left="0.45" right="0.45" top="0.25" bottom="0.5" header="0.3" footer="0.3"/>
  <pageSetup scale="49" orientation="landscape" r:id="rId3"/>
  <headerFooter>
    <oddFooter>&amp;L&amp;16&amp;D, Page &amp;P&amp;C&amp;16Green Mountain Care Board&amp;R&amp;16&amp;F, &amp;A</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2:P50"/>
  <sheetViews>
    <sheetView workbookViewId="0">
      <selection activeCell="P10" sqref="P10"/>
    </sheetView>
  </sheetViews>
  <sheetFormatPr defaultRowHeight="14.5" x14ac:dyDescent="0.35"/>
  <cols>
    <col min="1" max="1" width="62.1796875" customWidth="1"/>
    <col min="2" max="7" width="12.26953125" bestFit="1" customWidth="1"/>
    <col min="8" max="10" width="12.453125" bestFit="1" customWidth="1"/>
    <col min="11" max="14" width="12.26953125" bestFit="1" customWidth="1"/>
    <col min="16" max="16" width="13.26953125" customWidth="1"/>
  </cols>
  <sheetData>
    <row r="2" spans="1:16" x14ac:dyDescent="0.35">
      <c r="B2" t="s">
        <v>296</v>
      </c>
      <c r="C2" s="583">
        <v>44135</v>
      </c>
      <c r="D2" s="583">
        <f>EOMONTH(C2,1)</f>
        <v>44165</v>
      </c>
      <c r="E2" s="583">
        <f t="shared" ref="E2:M2" si="0">EOMONTH(D2,1)</f>
        <v>44196</v>
      </c>
      <c r="F2" s="583">
        <f t="shared" si="0"/>
        <v>44227</v>
      </c>
      <c r="G2" s="583">
        <f t="shared" si="0"/>
        <v>44255</v>
      </c>
      <c r="H2" s="583">
        <f t="shared" si="0"/>
        <v>44286</v>
      </c>
      <c r="I2" s="583">
        <f t="shared" si="0"/>
        <v>44316</v>
      </c>
      <c r="J2" s="583">
        <f t="shared" si="0"/>
        <v>44347</v>
      </c>
      <c r="K2" s="583">
        <f t="shared" si="0"/>
        <v>44377</v>
      </c>
      <c r="L2" s="583">
        <f t="shared" si="0"/>
        <v>44408</v>
      </c>
      <c r="M2" s="583">
        <f t="shared" si="0"/>
        <v>44439</v>
      </c>
      <c r="N2" s="583">
        <f>EOMONTH(M2,1)</f>
        <v>44469</v>
      </c>
      <c r="P2" t="s">
        <v>304</v>
      </c>
    </row>
    <row r="3" spans="1:16" s="584" customFormat="1" ht="13" x14ac:dyDescent="0.3">
      <c r="B3" s="585"/>
      <c r="C3" s="585"/>
      <c r="D3" s="585"/>
      <c r="E3" s="585"/>
      <c r="F3" s="585"/>
      <c r="G3" s="585"/>
      <c r="H3" s="585"/>
      <c r="I3" s="585"/>
      <c r="J3" s="585"/>
      <c r="K3" s="585"/>
      <c r="L3" s="585"/>
      <c r="M3" s="585"/>
      <c r="N3" s="585"/>
    </row>
    <row r="4" spans="1:16" s="584" customFormat="1" ht="15" customHeight="1" x14ac:dyDescent="0.3">
      <c r="A4" s="586" t="s">
        <v>268</v>
      </c>
      <c r="B4" s="585"/>
      <c r="C4" s="585"/>
      <c r="D4" s="585"/>
      <c r="E4" s="585"/>
      <c r="F4" s="585"/>
      <c r="G4" s="585"/>
      <c r="H4" s="585"/>
      <c r="I4" s="585"/>
      <c r="J4" s="585"/>
      <c r="K4" s="585"/>
      <c r="L4" s="585"/>
      <c r="M4" s="585"/>
      <c r="N4" s="585"/>
    </row>
    <row r="5" spans="1:16" s="587" customFormat="1" ht="13" x14ac:dyDescent="0.3">
      <c r="A5" s="587" t="s">
        <v>269</v>
      </c>
      <c r="B5" s="587">
        <f>+'Income Statement'!G52</f>
        <v>96055094</v>
      </c>
      <c r="C5" s="587">
        <f>+'Income Statement'!U52</f>
        <v>8097074</v>
      </c>
      <c r="D5" s="587">
        <f>+'Income Statement'!V52</f>
        <v>7793260</v>
      </c>
      <c r="E5" s="587">
        <f>+'Income Statement'!W52</f>
        <v>8194387</v>
      </c>
      <c r="F5" s="587">
        <f>+'Income Statement'!X52</f>
        <v>8078909</v>
      </c>
      <c r="G5" s="587">
        <f>+'Income Statement'!Y52</f>
        <v>7504039</v>
      </c>
      <c r="H5" s="587">
        <f>+'Income Statement'!Z52</f>
        <v>8650970</v>
      </c>
      <c r="I5" s="587">
        <f>+'Income Statement'!AA52</f>
        <v>7461394.9000000004</v>
      </c>
      <c r="J5" s="587">
        <f>+'Income Statement'!AB52</f>
        <v>7813436.0999999996</v>
      </c>
      <c r="K5" s="587">
        <f>+'Income Statement'!AC52</f>
        <v>7656582</v>
      </c>
      <c r="L5" s="587">
        <f>+'Income Statement'!AD52</f>
        <v>7871127</v>
      </c>
      <c r="M5" s="587">
        <f>+'Income Statement'!AE52</f>
        <v>0</v>
      </c>
      <c r="N5" s="587">
        <f>+'Income Statement'!AF52</f>
        <v>0</v>
      </c>
      <c r="P5" s="587">
        <f>+'Income Statement'!AH52</f>
        <v>94902583</v>
      </c>
    </row>
    <row r="6" spans="1:16" s="587" customFormat="1" ht="13" x14ac:dyDescent="0.3">
      <c r="A6" s="587" t="s">
        <v>270</v>
      </c>
      <c r="B6" s="587">
        <f>-'Income Statement'!G44</f>
        <v>-4500340.0000000009</v>
      </c>
      <c r="C6" s="587">
        <f>-'Income Statement'!U44</f>
        <v>-339007</v>
      </c>
      <c r="D6" s="587">
        <f>-'Income Statement'!V44</f>
        <v>-327450</v>
      </c>
      <c r="E6" s="587">
        <f>-'Income Statement'!W44</f>
        <v>-336666</v>
      </c>
      <c r="F6" s="587">
        <f>-'Income Statement'!X44</f>
        <v>-337988</v>
      </c>
      <c r="G6" s="587">
        <f>-'Income Statement'!Y44</f>
        <v>-304037</v>
      </c>
      <c r="H6" s="587">
        <f>-'Income Statement'!Z44</f>
        <v>-334151</v>
      </c>
      <c r="I6" s="587">
        <f>-'Income Statement'!AA44</f>
        <v>-322110</v>
      </c>
      <c r="J6" s="587">
        <f>-'Income Statement'!AB44</f>
        <v>-324118</v>
      </c>
      <c r="K6" s="587">
        <f>-'Income Statement'!AC44</f>
        <v>-320847</v>
      </c>
      <c r="L6" s="587">
        <f>-'Income Statement'!AD44</f>
        <v>-327903</v>
      </c>
      <c r="M6" s="587">
        <f>-'Income Statement'!AE44</f>
        <v>0</v>
      </c>
      <c r="N6" s="587">
        <f>-'Income Statement'!AF44</f>
        <v>0</v>
      </c>
      <c r="P6" s="587">
        <f>-'Income Statement'!AH44</f>
        <v>-3925928.6</v>
      </c>
    </row>
    <row r="7" spans="1:16" s="587" customFormat="1" ht="13" x14ac:dyDescent="0.3">
      <c r="A7" s="587" t="s">
        <v>271</v>
      </c>
      <c r="B7" s="587">
        <f>+B6+B5</f>
        <v>91554754</v>
      </c>
      <c r="C7" s="587">
        <f>SUM($C5:C6)</f>
        <v>7758067</v>
      </c>
      <c r="D7" s="587">
        <f>SUM($C5:D6)</f>
        <v>15223877</v>
      </c>
      <c r="E7" s="587">
        <f>SUM($C5:E6)</f>
        <v>23081598</v>
      </c>
      <c r="F7" s="587">
        <f>SUM($C5:F6)</f>
        <v>30822519</v>
      </c>
      <c r="G7" s="587">
        <f>SUM($C5:G6)</f>
        <v>38022521</v>
      </c>
      <c r="H7" s="587">
        <f>SUM($C5:H6)</f>
        <v>46339340</v>
      </c>
      <c r="I7" s="587">
        <f>SUM($C5:I6)</f>
        <v>53478624.899999999</v>
      </c>
      <c r="J7" s="587">
        <f>SUM($C5:J6)</f>
        <v>60967943</v>
      </c>
      <c r="K7" s="587">
        <f>SUM($C5:K6)</f>
        <v>68303678</v>
      </c>
      <c r="L7" s="587">
        <f>SUM($C5:L6)</f>
        <v>75846902</v>
      </c>
      <c r="M7" s="587">
        <f>SUM($C5:M6)</f>
        <v>75846902</v>
      </c>
      <c r="N7" s="587">
        <f>SUM($C5:N6)</f>
        <v>75846902</v>
      </c>
      <c r="P7" s="587">
        <f>SUM(P5:P6)</f>
        <v>90976654.400000006</v>
      </c>
    </row>
    <row r="8" spans="1:16" s="587" customFormat="1" ht="13" x14ac:dyDescent="0.3">
      <c r="A8" s="587" t="s">
        <v>272</v>
      </c>
      <c r="B8" s="587">
        <v>365</v>
      </c>
      <c r="C8" s="588">
        <v>31</v>
      </c>
      <c r="D8" s="588">
        <f>30+C8</f>
        <v>61</v>
      </c>
      <c r="E8" s="588">
        <f>31+D8</f>
        <v>92</v>
      </c>
      <c r="F8" s="588">
        <f>31+E8</f>
        <v>123</v>
      </c>
      <c r="G8" s="588">
        <f>28+F8</f>
        <v>151</v>
      </c>
      <c r="H8" s="588">
        <f>31+G8</f>
        <v>182</v>
      </c>
      <c r="I8" s="588">
        <f>30+H8</f>
        <v>212</v>
      </c>
      <c r="J8" s="588">
        <f>31+I8</f>
        <v>243</v>
      </c>
      <c r="K8" s="588">
        <f>30+J8</f>
        <v>273</v>
      </c>
      <c r="L8" s="588">
        <f>31+K8</f>
        <v>304</v>
      </c>
      <c r="M8" s="588">
        <f>31+L8</f>
        <v>335</v>
      </c>
      <c r="N8" s="588">
        <f>30+M8</f>
        <v>365</v>
      </c>
      <c r="P8" s="588">
        <v>365</v>
      </c>
    </row>
    <row r="9" spans="1:16" s="587" customFormat="1" ht="13" x14ac:dyDescent="0.3">
      <c r="A9" s="587" t="s">
        <v>273</v>
      </c>
      <c r="B9" s="587">
        <f>+B7/B8</f>
        <v>250834.94246575341</v>
      </c>
      <c r="C9" s="587">
        <f t="shared" ref="C9:I9" si="1">+SUM(C7/C8)</f>
        <v>250260.22580645161</v>
      </c>
      <c r="D9" s="587">
        <f t="shared" si="1"/>
        <v>249571.75409836066</v>
      </c>
      <c r="E9" s="587">
        <f t="shared" si="1"/>
        <v>250886.9347826087</v>
      </c>
      <c r="F9" s="587">
        <f t="shared" si="1"/>
        <v>250589.58536585365</v>
      </c>
      <c r="G9" s="587">
        <f t="shared" si="1"/>
        <v>251804.77483443709</v>
      </c>
      <c r="H9" s="587">
        <f t="shared" si="1"/>
        <v>254611.75824175825</v>
      </c>
      <c r="I9" s="587">
        <f t="shared" si="1"/>
        <v>252257.66462264149</v>
      </c>
      <c r="J9" s="587">
        <f>+SUM(J7/J8)</f>
        <v>250896.88477366255</v>
      </c>
      <c r="K9" s="587">
        <f>+SUM(K7/K8)</f>
        <v>250196.6227106227</v>
      </c>
      <c r="L9" s="587">
        <f>+SUM(L7/L8)</f>
        <v>249496.38815789475</v>
      </c>
      <c r="M9" s="587">
        <f>+SUM(M7/M8)</f>
        <v>226408.66268656717</v>
      </c>
      <c r="N9" s="587">
        <f>+SUM(N7/N8)</f>
        <v>207799.73150684932</v>
      </c>
      <c r="P9" s="587">
        <f>+SUM(P7/P8)</f>
        <v>249251.1079452055</v>
      </c>
    </row>
    <row r="10" spans="1:16" s="587" customFormat="1" ht="13" x14ac:dyDescent="0.3">
      <c r="A10" s="587" t="s">
        <v>298</v>
      </c>
      <c r="B10" s="587">
        <f>+'Balance Sheet'!G11+'Balance Sheet'!G18</f>
        <v>43801547</v>
      </c>
      <c r="C10" s="587">
        <f>+'Balance Sheet'!H11+'Balance Sheet'!H18</f>
        <v>62101586</v>
      </c>
      <c r="D10" s="587">
        <f>+'Balance Sheet'!I11+'Balance Sheet'!I18</f>
        <v>63160753</v>
      </c>
      <c r="E10" s="587">
        <f>+'Balance Sheet'!J11+'Balance Sheet'!J18</f>
        <v>64987621.099999994</v>
      </c>
      <c r="F10" s="587">
        <f>+'Balance Sheet'!K11+'Balance Sheet'!K18</f>
        <v>63855909</v>
      </c>
      <c r="G10" s="587">
        <f>+'Balance Sheet'!L11+'Balance Sheet'!L18</f>
        <v>62901900</v>
      </c>
      <c r="H10" s="587">
        <f>+'Balance Sheet'!M11+'Balance Sheet'!M18</f>
        <v>62724056.900000006</v>
      </c>
      <c r="I10" s="587">
        <f>+'Balance Sheet'!N11+'Balance Sheet'!N18</f>
        <v>63002068</v>
      </c>
      <c r="J10" s="587">
        <f>+'Balance Sheet'!O11+'Balance Sheet'!O18</f>
        <v>62258089</v>
      </c>
      <c r="K10" s="587">
        <f>+'Balance Sheet'!P11+'Balance Sheet'!P18</f>
        <v>60540960</v>
      </c>
      <c r="L10" s="587">
        <f>+'Balance Sheet'!Q11+'Balance Sheet'!Q18</f>
        <v>58833995</v>
      </c>
      <c r="M10" s="587">
        <f>+'Balance Sheet'!R11+'Balance Sheet'!R18</f>
        <v>0</v>
      </c>
      <c r="N10" s="587">
        <f>+'Balance Sheet'!S11+'Balance Sheet'!S18</f>
        <v>0</v>
      </c>
      <c r="P10" s="587">
        <f>+'Balance Sheet'!T11+'Balance Sheet'!T18</f>
        <v>55359041</v>
      </c>
    </row>
    <row r="11" spans="1:16" s="584" customFormat="1" ht="13" x14ac:dyDescent="0.3">
      <c r="A11" s="584" t="s">
        <v>274</v>
      </c>
      <c r="B11" s="589">
        <f t="shared" ref="B11:P11" si="2">+B10/B9</f>
        <v>174.62298740926113</v>
      </c>
      <c r="C11" s="589">
        <f t="shared" si="2"/>
        <v>248.14804589854666</v>
      </c>
      <c r="D11" s="589">
        <f t="shared" si="2"/>
        <v>253.07652794357179</v>
      </c>
      <c r="E11" s="589">
        <f t="shared" si="2"/>
        <v>259.03150818240573</v>
      </c>
      <c r="F11" s="589">
        <f t="shared" si="2"/>
        <v>254.82267711474199</v>
      </c>
      <c r="G11" s="589">
        <f t="shared" si="2"/>
        <v>249.80423838808582</v>
      </c>
      <c r="H11" s="589">
        <f t="shared" si="2"/>
        <v>246.35176840671448</v>
      </c>
      <c r="I11" s="589">
        <f t="shared" si="2"/>
        <v>249.75283940032648</v>
      </c>
      <c r="J11" s="589">
        <f t="shared" si="2"/>
        <v>248.14213638468991</v>
      </c>
      <c r="K11" s="589">
        <f t="shared" si="2"/>
        <v>241.97353003450269</v>
      </c>
      <c r="L11" s="589">
        <f t="shared" si="2"/>
        <v>235.81100886625532</v>
      </c>
      <c r="M11" s="589">
        <f t="shared" si="2"/>
        <v>0</v>
      </c>
      <c r="N11" s="589">
        <f t="shared" si="2"/>
        <v>0</v>
      </c>
      <c r="P11" s="589">
        <f t="shared" si="2"/>
        <v>222.10148414734405</v>
      </c>
    </row>
    <row r="12" spans="1:16" s="584" customFormat="1" ht="13" x14ac:dyDescent="0.3">
      <c r="A12" s="584" t="s">
        <v>275</v>
      </c>
      <c r="B12" s="590">
        <v>171</v>
      </c>
      <c r="C12" s="590"/>
      <c r="D12" s="590"/>
      <c r="E12" s="590"/>
      <c r="F12" s="590"/>
      <c r="G12" s="590"/>
      <c r="H12" s="590"/>
      <c r="I12" s="590"/>
      <c r="J12" s="590"/>
      <c r="K12" s="590"/>
      <c r="L12" s="590"/>
      <c r="M12" s="590"/>
      <c r="N12" s="590"/>
    </row>
    <row r="13" spans="1:16" s="584" customFormat="1" ht="13" x14ac:dyDescent="0.3">
      <c r="B13" s="589">
        <f t="shared" ref="B13:G13" si="3">+B12-B11</f>
        <v>-3.6229874092611283</v>
      </c>
      <c r="C13" s="589">
        <f t="shared" si="3"/>
        <v>-248.14804589854666</v>
      </c>
      <c r="D13" s="589">
        <f t="shared" si="3"/>
        <v>-253.07652794357179</v>
      </c>
      <c r="E13" s="589">
        <f t="shared" si="3"/>
        <v>-259.03150818240573</v>
      </c>
      <c r="F13" s="589">
        <f t="shared" si="3"/>
        <v>-254.82267711474199</v>
      </c>
      <c r="G13" s="589">
        <f t="shared" si="3"/>
        <v>-249.80423838808582</v>
      </c>
      <c r="H13" s="589">
        <f>+H12-H11</f>
        <v>-246.35176840671448</v>
      </c>
      <c r="I13" s="589">
        <f>+I12-I11</f>
        <v>-249.75283940032648</v>
      </c>
      <c r="J13" s="589"/>
      <c r="K13" s="589"/>
      <c r="L13" s="589"/>
      <c r="M13" s="589"/>
      <c r="N13" s="589"/>
    </row>
    <row r="14" spans="1:16" s="584" customFormat="1" ht="13" x14ac:dyDescent="0.3"/>
    <row r="15" spans="1:16" s="584" customFormat="1" ht="13" x14ac:dyDescent="0.3">
      <c r="A15" s="586" t="s">
        <v>276</v>
      </c>
      <c r="C15" s="584">
        <v>1</v>
      </c>
      <c r="D15" s="584">
        <v>2</v>
      </c>
      <c r="E15" s="584">
        <v>3</v>
      </c>
      <c r="F15" s="584">
        <v>4</v>
      </c>
      <c r="G15" s="584">
        <v>5</v>
      </c>
      <c r="H15" s="584">
        <v>6</v>
      </c>
      <c r="I15" s="584">
        <v>7</v>
      </c>
      <c r="J15" s="584">
        <v>8</v>
      </c>
      <c r="K15" s="584">
        <v>9</v>
      </c>
      <c r="L15" s="584">
        <v>10</v>
      </c>
      <c r="M15" s="584">
        <v>11</v>
      </c>
      <c r="N15" s="584">
        <v>11</v>
      </c>
    </row>
    <row r="16" spans="1:16" s="587" customFormat="1" ht="13" x14ac:dyDescent="0.3">
      <c r="A16" s="587" t="s">
        <v>277</v>
      </c>
      <c r="B16" s="587">
        <f>+'Income Statement'!G58</f>
        <v>1142188.9999999851</v>
      </c>
      <c r="C16" s="587">
        <v>289289</v>
      </c>
      <c r="D16" s="587">
        <v>896858</v>
      </c>
      <c r="E16" s="587">
        <v>8420636</v>
      </c>
      <c r="F16" s="587">
        <v>8343504</v>
      </c>
      <c r="G16" s="587">
        <v>6375720</v>
      </c>
      <c r="H16" s="587">
        <v>2073769</v>
      </c>
      <c r="I16" s="587">
        <v>1624632</v>
      </c>
      <c r="J16" s="587">
        <v>4978681</v>
      </c>
      <c r="K16" s="587">
        <v>6325747</v>
      </c>
      <c r="L16" s="587">
        <v>7564583</v>
      </c>
      <c r="M16" s="587">
        <v>9242530</v>
      </c>
      <c r="N16" s="587">
        <v>9711242</v>
      </c>
    </row>
    <row r="17" spans="1:14" s="587" customFormat="1" ht="13.5" thickBot="1" x14ac:dyDescent="0.35">
      <c r="A17" s="587" t="s">
        <v>278</v>
      </c>
      <c r="B17" s="587">
        <f>SUM('Income Statement'!G44:G45)</f>
        <v>4963655.0000000009</v>
      </c>
      <c r="C17" s="587">
        <v>358457</v>
      </c>
      <c r="D17" s="587">
        <v>728602</v>
      </c>
      <c r="E17" s="587">
        <v>1093863</v>
      </c>
      <c r="F17" s="587">
        <v>1434521</v>
      </c>
      <c r="G17" s="587">
        <v>1796393</v>
      </c>
      <c r="H17" s="587">
        <v>2154005</v>
      </c>
      <c r="I17" s="587">
        <v>2501359</v>
      </c>
      <c r="J17" s="587">
        <v>2850083</v>
      </c>
      <c r="K17" s="587">
        <v>3198965</v>
      </c>
      <c r="L17" s="587">
        <v>3656186</v>
      </c>
      <c r="M17" s="587">
        <v>4015206</v>
      </c>
      <c r="N17" s="587">
        <v>4356664</v>
      </c>
    </row>
    <row r="18" spans="1:14" s="584" customFormat="1" ht="13.5" thickBot="1" x14ac:dyDescent="0.35">
      <c r="A18" s="584" t="s">
        <v>297</v>
      </c>
      <c r="B18" s="588">
        <v>0</v>
      </c>
      <c r="C18" s="588">
        <f>491666-13470</f>
        <v>478196</v>
      </c>
      <c r="D18" s="588">
        <f>-1336916-17779</f>
        <v>-1354695</v>
      </c>
      <c r="E18" s="588">
        <f>-2063368-23087</f>
        <v>-2086455</v>
      </c>
      <c r="F18" s="588">
        <f>-1925850-35983</f>
        <v>-1961833</v>
      </c>
      <c r="G18" s="598">
        <v>-2403315</v>
      </c>
      <c r="H18" s="588">
        <v>-3060090</v>
      </c>
      <c r="I18" s="588">
        <v>-3972654</v>
      </c>
      <c r="J18" s="588">
        <f>-4016165-79079</f>
        <v>-4095244</v>
      </c>
      <c r="K18" s="588">
        <f>-4416242-85826</f>
        <v>-4502068</v>
      </c>
      <c r="L18" s="588">
        <f>-4759421-75665</f>
        <v>-4835086</v>
      </c>
      <c r="M18" s="588"/>
      <c r="N18" s="588"/>
    </row>
    <row r="19" spans="1:14" s="584" customFormat="1" ht="13" x14ac:dyDescent="0.3">
      <c r="A19" s="584" t="s">
        <v>279</v>
      </c>
      <c r="B19" s="584">
        <f t="shared" ref="B19:I19" si="4">SUM(B16:B18)</f>
        <v>6105843.999999986</v>
      </c>
      <c r="C19" s="584">
        <f t="shared" si="4"/>
        <v>1125942</v>
      </c>
      <c r="D19" s="584">
        <f t="shared" si="4"/>
        <v>270765</v>
      </c>
      <c r="E19" s="584">
        <f t="shared" si="4"/>
        <v>7428044</v>
      </c>
      <c r="F19" s="584">
        <f t="shared" si="4"/>
        <v>7816192</v>
      </c>
      <c r="G19" s="584">
        <f t="shared" si="4"/>
        <v>5768798</v>
      </c>
      <c r="H19" s="584">
        <f t="shared" si="4"/>
        <v>1167684</v>
      </c>
      <c r="I19" s="584">
        <f t="shared" si="4"/>
        <v>153337</v>
      </c>
      <c r="J19" s="584">
        <f>SUM(J16:J18)</f>
        <v>3733520</v>
      </c>
      <c r="K19" s="584">
        <f>SUM(K16:K18)</f>
        <v>5022644</v>
      </c>
      <c r="L19" s="584">
        <f>SUM(L16:L18)</f>
        <v>6385683</v>
      </c>
      <c r="M19" s="584">
        <f>SUM(M16:M18)</f>
        <v>13257736</v>
      </c>
      <c r="N19" s="584">
        <f>SUM(N16:N18)</f>
        <v>14067906</v>
      </c>
    </row>
    <row r="20" spans="1:14" s="584" customFormat="1" ht="13" x14ac:dyDescent="0.3">
      <c r="A20" s="584" t="s">
        <v>280</v>
      </c>
      <c r="B20" s="584">
        <f>+B19</f>
        <v>6105843.999999986</v>
      </c>
      <c r="C20" s="587">
        <f>SUM($C19:C19)/C$15*12</f>
        <v>13511304</v>
      </c>
      <c r="D20" s="587">
        <f>SUM($C19:D19)/D$15*12</f>
        <v>8380242</v>
      </c>
      <c r="E20" s="587">
        <f>SUM($C19:E19)/E$15*12</f>
        <v>35299004</v>
      </c>
      <c r="F20" s="587">
        <f>SUM($C19:F19)/F$15*12</f>
        <v>49922829</v>
      </c>
      <c r="G20" s="587">
        <f>SUM($C19:G19)/G$15*12</f>
        <v>53783378.400000006</v>
      </c>
      <c r="H20" s="587">
        <f>SUM($C19:H19)/H$15*12</f>
        <v>47154850</v>
      </c>
      <c r="I20" s="587">
        <f>SUM($C19:I19)/I$15*12</f>
        <v>40681306.285714284</v>
      </c>
      <c r="J20" s="587">
        <f>SUM($C19:J19)/J$15*12</f>
        <v>41196423</v>
      </c>
      <c r="K20" s="587">
        <f>SUM($C19:K19)/K$15*12</f>
        <v>43315901.333333336</v>
      </c>
      <c r="L20" s="587">
        <f>SUM($C19:L19)/L$15*12</f>
        <v>46647130.799999997</v>
      </c>
      <c r="M20" s="587">
        <f>SUM($C19:M19)/M$15*12</f>
        <v>56869467.272727266</v>
      </c>
      <c r="N20" s="587">
        <f>SUM($C19:N19)/N$15*12</f>
        <v>72216273.818181813</v>
      </c>
    </row>
    <row r="21" spans="1:14" s="584" customFormat="1" ht="13" x14ac:dyDescent="0.3">
      <c r="A21" s="584" t="s">
        <v>281</v>
      </c>
      <c r="B21" s="588"/>
      <c r="C21" s="588">
        <v>979370</v>
      </c>
      <c r="D21" s="588">
        <v>979370</v>
      </c>
      <c r="E21" s="588">
        <v>979370</v>
      </c>
      <c r="F21" s="588">
        <v>980263</v>
      </c>
      <c r="G21" s="588">
        <v>983263</v>
      </c>
      <c r="H21" s="588">
        <v>980263</v>
      </c>
      <c r="I21" s="588">
        <v>980263</v>
      </c>
      <c r="J21" s="588">
        <v>980263</v>
      </c>
      <c r="K21" s="588">
        <v>980263</v>
      </c>
      <c r="L21" s="588">
        <v>980263</v>
      </c>
      <c r="M21" s="588"/>
      <c r="N21" s="588"/>
    </row>
    <row r="22" spans="1:14" s="584" customFormat="1" ht="13" x14ac:dyDescent="0.3">
      <c r="A22" s="584" t="s">
        <v>282</v>
      </c>
      <c r="B22" s="587">
        <f>+'Income Statement'!G45</f>
        <v>463314.99999999994</v>
      </c>
      <c r="C22" s="587">
        <f>SUM('Income Statement'!$U45:U45)</f>
        <v>9384</v>
      </c>
      <c r="D22" s="587">
        <f>SUM('Income Statement'!$U45:V45)</f>
        <v>18501</v>
      </c>
      <c r="E22" s="587">
        <f>SUM('Income Statement'!$U45:W45)</f>
        <v>27940</v>
      </c>
      <c r="F22" s="587">
        <f>SUM('Income Statement'!$U45:X45)</f>
        <v>37720</v>
      </c>
      <c r="G22" s="587">
        <f>SUM('Income Statement'!$U45:Y45)</f>
        <v>46863</v>
      </c>
      <c r="H22" s="587">
        <f>SUM('Income Statement'!$U45:Z45)</f>
        <v>56541</v>
      </c>
      <c r="I22" s="587">
        <f>SUM('Income Statement'!$U45:AA45)</f>
        <v>68941.45</v>
      </c>
      <c r="J22" s="587">
        <f>SUM('Income Statement'!$U45:AB45)</f>
        <v>80238</v>
      </c>
      <c r="K22" s="587">
        <f>SUM('Income Statement'!$U45:AC45)</f>
        <v>93287</v>
      </c>
      <c r="L22" s="587">
        <f>SUM('Income Statement'!$U45:AD45)</f>
        <v>104365</v>
      </c>
      <c r="M22" s="587">
        <f>SUM('Income Statement'!$U45:AE45)</f>
        <v>104365</v>
      </c>
      <c r="N22" s="587">
        <f>SUM('Income Statement'!$U45:AF45)</f>
        <v>104365</v>
      </c>
    </row>
    <row r="23" spans="1:14" s="584" customFormat="1" ht="13" x14ac:dyDescent="0.3">
      <c r="A23" s="584" t="s">
        <v>283</v>
      </c>
      <c r="B23" s="587">
        <f>+B21+B22</f>
        <v>463314.99999999994</v>
      </c>
      <c r="C23" s="587">
        <f>+C21+C22</f>
        <v>988754</v>
      </c>
      <c r="D23" s="587">
        <f t="shared" ref="D23:N23" si="5">+D21+D22</f>
        <v>997871</v>
      </c>
      <c r="E23" s="587">
        <f t="shared" si="5"/>
        <v>1007310</v>
      </c>
      <c r="F23" s="587">
        <f t="shared" si="5"/>
        <v>1017983</v>
      </c>
      <c r="G23" s="587">
        <f t="shared" si="5"/>
        <v>1030126</v>
      </c>
      <c r="H23" s="587">
        <f t="shared" si="5"/>
        <v>1036804</v>
      </c>
      <c r="I23" s="587">
        <f t="shared" si="5"/>
        <v>1049204.45</v>
      </c>
      <c r="J23" s="587">
        <f t="shared" si="5"/>
        <v>1060501</v>
      </c>
      <c r="K23" s="587">
        <f t="shared" si="5"/>
        <v>1073550</v>
      </c>
      <c r="L23" s="587">
        <f t="shared" si="5"/>
        <v>1084628</v>
      </c>
      <c r="M23" s="587">
        <f t="shared" si="5"/>
        <v>104365</v>
      </c>
      <c r="N23" s="587">
        <f t="shared" si="5"/>
        <v>104365</v>
      </c>
    </row>
    <row r="24" spans="1:14" s="584" customFormat="1" ht="13" x14ac:dyDescent="0.3">
      <c r="A24" s="584" t="s">
        <v>284</v>
      </c>
      <c r="B24" s="591">
        <f t="shared" ref="B24:N24" si="6">+B20/B23</f>
        <v>13.178602031015588</v>
      </c>
      <c r="C24" s="591">
        <f t="shared" si="6"/>
        <v>13.664980369232387</v>
      </c>
      <c r="D24" s="591">
        <f t="shared" si="6"/>
        <v>8.3981216008882917</v>
      </c>
      <c r="E24" s="591">
        <f t="shared" si="6"/>
        <v>35.042840833507064</v>
      </c>
      <c r="F24" s="591">
        <f t="shared" si="6"/>
        <v>49.040926027251928</v>
      </c>
      <c r="G24" s="591">
        <f t="shared" si="6"/>
        <v>52.210485319271626</v>
      </c>
      <c r="H24" s="591">
        <f t="shared" si="6"/>
        <v>45.480968437621769</v>
      </c>
      <c r="I24" s="591">
        <f t="shared" si="6"/>
        <v>38.773478596773288</v>
      </c>
      <c r="J24" s="591">
        <f t="shared" si="6"/>
        <v>38.846189678274705</v>
      </c>
      <c r="K24" s="591">
        <f t="shared" si="6"/>
        <v>40.348284973530191</v>
      </c>
      <c r="L24" s="591">
        <f t="shared" si="6"/>
        <v>43.007492707177022</v>
      </c>
      <c r="M24" s="591">
        <f t="shared" si="6"/>
        <v>544.90937836178091</v>
      </c>
      <c r="N24" s="591">
        <f t="shared" si="6"/>
        <v>691.95873921507985</v>
      </c>
    </row>
    <row r="25" spans="1:14" s="584" customFormat="1" ht="13" x14ac:dyDescent="0.3">
      <c r="A25" s="584" t="s">
        <v>275</v>
      </c>
      <c r="B25" s="590">
        <v>3.1</v>
      </c>
      <c r="C25" s="590"/>
      <c r="D25" s="590"/>
      <c r="E25" s="590"/>
      <c r="F25" s="590"/>
      <c r="G25" s="590"/>
      <c r="H25" s="590"/>
      <c r="I25" s="590"/>
      <c r="J25" s="590"/>
      <c r="K25" s="590"/>
      <c r="L25" s="590"/>
      <c r="M25" s="590"/>
      <c r="N25" s="590"/>
    </row>
    <row r="26" spans="1:14" s="584" customFormat="1" ht="13" x14ac:dyDescent="0.3">
      <c r="B26" s="589">
        <f t="shared" ref="B26:G26" si="7">+B25-B24</f>
        <v>-10.078602031015588</v>
      </c>
      <c r="C26" s="589">
        <f t="shared" si="7"/>
        <v>-13.664980369232387</v>
      </c>
      <c r="D26" s="589">
        <f t="shared" si="7"/>
        <v>-8.3981216008882917</v>
      </c>
      <c r="E26" s="589">
        <f t="shared" si="7"/>
        <v>-35.042840833507064</v>
      </c>
      <c r="F26" s="589">
        <f t="shared" si="7"/>
        <v>-49.040926027251928</v>
      </c>
      <c r="G26" s="589">
        <f t="shared" si="7"/>
        <v>-52.210485319271626</v>
      </c>
      <c r="H26" s="589">
        <f>+H25-H24</f>
        <v>-45.480968437621769</v>
      </c>
      <c r="I26" s="589">
        <f>+I25-I24</f>
        <v>-38.773478596773288</v>
      </c>
      <c r="J26" s="589"/>
      <c r="K26" s="589"/>
      <c r="L26" s="589"/>
      <c r="M26" s="589"/>
      <c r="N26" s="589"/>
    </row>
    <row r="27" spans="1:14" s="584" customFormat="1" ht="13" x14ac:dyDescent="0.3"/>
    <row r="28" spans="1:14" s="584" customFormat="1" ht="13" x14ac:dyDescent="0.3">
      <c r="A28" s="586" t="s">
        <v>8</v>
      </c>
    </row>
    <row r="29" spans="1:14" s="584" customFormat="1" ht="13" x14ac:dyDescent="0.3">
      <c r="A29" s="584" t="s">
        <v>285</v>
      </c>
      <c r="B29" s="587">
        <f>+'Balance Sheet'!G34</f>
        <v>9537508</v>
      </c>
      <c r="C29" s="587">
        <f>+'Balance Sheet'!H34</f>
        <v>7442562.0199999996</v>
      </c>
      <c r="D29" s="587">
        <f>+'Balance Sheet'!I34</f>
        <v>7528930</v>
      </c>
      <c r="E29" s="587">
        <f>+'Balance Sheet'!J34</f>
        <v>7664293.96</v>
      </c>
      <c r="F29" s="587">
        <f>+'Balance Sheet'!K34</f>
        <v>7756669</v>
      </c>
      <c r="G29" s="587">
        <f>+'Balance Sheet'!L34</f>
        <v>7642152.4900000002</v>
      </c>
      <c r="H29" s="587">
        <f>+'Balance Sheet'!M34</f>
        <v>7914185</v>
      </c>
      <c r="I29" s="587">
        <f>+'Balance Sheet'!N34</f>
        <v>7833327.5499999998</v>
      </c>
      <c r="J29" s="587">
        <f>+'Balance Sheet'!O34</f>
        <v>7757884</v>
      </c>
      <c r="K29" s="587">
        <f>+'Balance Sheet'!P34</f>
        <v>7671187</v>
      </c>
      <c r="L29" s="587">
        <f>+'Balance Sheet'!Q34</f>
        <v>7601013</v>
      </c>
      <c r="M29" s="587">
        <f>+'Balance Sheet'!R34</f>
        <v>0</v>
      </c>
      <c r="N29" s="587">
        <f>+'Balance Sheet'!S34</f>
        <v>0</v>
      </c>
    </row>
    <row r="30" spans="1:14" s="584" customFormat="1" ht="13" x14ac:dyDescent="0.3">
      <c r="A30" s="584" t="s">
        <v>286</v>
      </c>
      <c r="B30" s="587">
        <f>+'Balance Sheet'!G39</f>
        <v>72333749</v>
      </c>
      <c r="C30" s="587">
        <f>+'Balance Sheet'!H39</f>
        <v>69562606.510000005</v>
      </c>
      <c r="D30" s="587">
        <f>+'Balance Sheet'!I39</f>
        <v>70734169.549999997</v>
      </c>
      <c r="E30" s="587">
        <f>+'Balance Sheet'!J39</f>
        <v>71030117.510000005</v>
      </c>
      <c r="F30" s="587">
        <f>+'Balance Sheet'!K39</f>
        <v>70611740</v>
      </c>
      <c r="G30" s="587">
        <f>+'Balance Sheet'!L39</f>
        <v>70818401.489999995</v>
      </c>
      <c r="H30" s="587">
        <f>+'Balance Sheet'!M39</f>
        <v>71860390.699999988</v>
      </c>
      <c r="I30" s="587">
        <f>+'Balance Sheet'!N39</f>
        <v>73166019.699999988</v>
      </c>
      <c r="J30" s="587">
        <f>+'Balance Sheet'!O39</f>
        <v>73526542.999999985</v>
      </c>
      <c r="K30" s="587">
        <f>+'Balance Sheet'!P39</f>
        <v>74333017.999999985</v>
      </c>
      <c r="L30" s="587">
        <f>+'Balance Sheet'!Q39</f>
        <v>74538238.999999985</v>
      </c>
      <c r="M30" s="587">
        <f>+'Balance Sheet'!R39</f>
        <v>0</v>
      </c>
      <c r="N30" s="587">
        <f>+'Balance Sheet'!S39</f>
        <v>0</v>
      </c>
    </row>
    <row r="31" spans="1:14" s="584" customFormat="1" ht="13" x14ac:dyDescent="0.3">
      <c r="B31" s="592">
        <f>+B29/B30</f>
        <v>0.13185419160287129</v>
      </c>
      <c r="C31" s="592">
        <f t="shared" ref="C31:N31" si="8">+C29/C30</f>
        <v>0.10699084455568943</v>
      </c>
      <c r="D31" s="592">
        <f t="shared" si="8"/>
        <v>0.10643978784083993</v>
      </c>
      <c r="E31" s="592">
        <f t="shared" si="8"/>
        <v>0.1079020312604858</v>
      </c>
      <c r="F31" s="592">
        <f t="shared" si="8"/>
        <v>0.10984956609198414</v>
      </c>
      <c r="G31" s="592">
        <f t="shared" si="8"/>
        <v>0.10791195973378642</v>
      </c>
      <c r="H31" s="592">
        <f t="shared" si="8"/>
        <v>0.11013278557084162</v>
      </c>
      <c r="I31" s="592">
        <f t="shared" si="8"/>
        <v>0.10706237105856943</v>
      </c>
      <c r="J31" s="592">
        <f t="shared" si="8"/>
        <v>0.10551133894599127</v>
      </c>
      <c r="K31" s="592">
        <f t="shared" si="8"/>
        <v>0.10320026290335745</v>
      </c>
      <c r="L31" s="592">
        <f t="shared" si="8"/>
        <v>0.10197467906372193</v>
      </c>
      <c r="M31" s="592" t="e">
        <f t="shared" si="8"/>
        <v>#DIV/0!</v>
      </c>
      <c r="N31" s="592" t="e">
        <f t="shared" si="8"/>
        <v>#DIV/0!</v>
      </c>
    </row>
    <row r="32" spans="1:14" s="584" customFormat="1" ht="13" x14ac:dyDescent="0.3">
      <c r="A32" s="584" t="s">
        <v>275</v>
      </c>
      <c r="B32" s="590">
        <v>0.2</v>
      </c>
      <c r="C32" s="590">
        <v>0.1</v>
      </c>
      <c r="D32" s="590">
        <v>0.2</v>
      </c>
      <c r="E32" s="590">
        <v>0.1</v>
      </c>
      <c r="F32" s="590">
        <v>0.1</v>
      </c>
      <c r="G32" s="590">
        <v>0.1</v>
      </c>
      <c r="H32" s="590">
        <v>0.1</v>
      </c>
      <c r="I32" s="590"/>
      <c r="J32" s="590"/>
      <c r="K32" s="590"/>
      <c r="L32" s="590"/>
      <c r="M32" s="590"/>
      <c r="N32" s="590"/>
    </row>
    <row r="33" spans="1:14" s="584" customFormat="1" ht="13" x14ac:dyDescent="0.3">
      <c r="B33" s="589">
        <f t="shared" ref="B33:G33" si="9">+B32-B31</f>
        <v>6.8145808397128721E-2</v>
      </c>
      <c r="C33" s="589">
        <f t="shared" si="9"/>
        <v>-6.9908445556894211E-3</v>
      </c>
      <c r="D33" s="589">
        <f t="shared" si="9"/>
        <v>9.3560212159160078E-2</v>
      </c>
      <c r="E33" s="589">
        <f t="shared" si="9"/>
        <v>-7.9020312604857895E-3</v>
      </c>
      <c r="F33" s="589">
        <f t="shared" si="9"/>
        <v>-9.8495660919841327E-3</v>
      </c>
      <c r="G33" s="589">
        <f t="shared" si="9"/>
        <v>-7.9119597337864167E-3</v>
      </c>
      <c r="H33" s="589">
        <f>+H32-H31</f>
        <v>-1.0132785570841615E-2</v>
      </c>
      <c r="I33" s="589">
        <f>+I32-I31</f>
        <v>-0.10706237105856943</v>
      </c>
    </row>
    <row r="34" spans="1:14" s="584" customFormat="1" ht="13" x14ac:dyDescent="0.3"/>
    <row r="35" spans="1:14" s="584" customFormat="1" ht="13" x14ac:dyDescent="0.3">
      <c r="A35" s="586" t="s">
        <v>287</v>
      </c>
    </row>
    <row r="36" spans="1:14" s="584" customFormat="1" ht="13" x14ac:dyDescent="0.3">
      <c r="A36" s="584" t="s">
        <v>288</v>
      </c>
      <c r="B36" s="584">
        <f>+'Balance Sheet'!G29</f>
        <v>17538881</v>
      </c>
      <c r="C36" s="584">
        <f>+'Balance Sheet'!H29</f>
        <v>22623431.509999998</v>
      </c>
      <c r="D36" s="584">
        <f>+'Balance Sheet'!I29</f>
        <v>22731333</v>
      </c>
      <c r="E36" s="584">
        <f>+'Balance Sheet'!J29</f>
        <v>24636666.800000001</v>
      </c>
      <c r="F36" s="584">
        <f>+'Balance Sheet'!K29</f>
        <v>24769558</v>
      </c>
      <c r="G36" s="584">
        <f>+'Balance Sheet'!L29</f>
        <v>24012868</v>
      </c>
      <c r="H36" s="584">
        <f>+'Balance Sheet'!M29</f>
        <v>22817700.899999999</v>
      </c>
      <c r="I36" s="584">
        <f>+'Balance Sheet'!N29</f>
        <v>22844975</v>
      </c>
      <c r="J36" s="584">
        <f>+'Balance Sheet'!O29</f>
        <v>22082351</v>
      </c>
      <c r="K36" s="584">
        <f>+'Balance Sheet'!P29</f>
        <v>21246015</v>
      </c>
      <c r="L36" s="584">
        <f>+'Balance Sheet'!Q29</f>
        <v>19961675</v>
      </c>
      <c r="M36" s="584">
        <f>+'Balance Sheet'!R29</f>
        <v>0</v>
      </c>
      <c r="N36" s="584">
        <f>+'Balance Sheet'!S29</f>
        <v>0</v>
      </c>
    </row>
    <row r="37" spans="1:14" s="584" customFormat="1" ht="13" x14ac:dyDescent="0.3">
      <c r="A37" s="584" t="s">
        <v>289</v>
      </c>
      <c r="B37" s="584">
        <f t="shared" ref="B37:N37" si="10">+B9</f>
        <v>250834.94246575341</v>
      </c>
      <c r="C37" s="584">
        <f t="shared" si="10"/>
        <v>250260.22580645161</v>
      </c>
      <c r="D37" s="584">
        <f t="shared" si="10"/>
        <v>249571.75409836066</v>
      </c>
      <c r="E37" s="584">
        <f t="shared" si="10"/>
        <v>250886.9347826087</v>
      </c>
      <c r="F37" s="584">
        <f t="shared" si="10"/>
        <v>250589.58536585365</v>
      </c>
      <c r="G37" s="584">
        <f t="shared" si="10"/>
        <v>251804.77483443709</v>
      </c>
      <c r="H37" s="584">
        <f t="shared" si="10"/>
        <v>254611.75824175825</v>
      </c>
      <c r="I37" s="584">
        <f t="shared" si="10"/>
        <v>252257.66462264149</v>
      </c>
      <c r="J37" s="584">
        <f t="shared" si="10"/>
        <v>250896.88477366255</v>
      </c>
      <c r="K37" s="584">
        <f t="shared" si="10"/>
        <v>250196.6227106227</v>
      </c>
      <c r="L37" s="584">
        <f t="shared" si="10"/>
        <v>249496.38815789475</v>
      </c>
      <c r="M37" s="584">
        <f t="shared" si="10"/>
        <v>226408.66268656717</v>
      </c>
      <c r="N37" s="584">
        <f t="shared" si="10"/>
        <v>207799.73150684932</v>
      </c>
    </row>
    <row r="38" spans="1:14" s="584" customFormat="1" ht="13" x14ac:dyDescent="0.3">
      <c r="A38" s="584" t="s">
        <v>290</v>
      </c>
      <c r="B38" s="584">
        <f t="shared" ref="B38:N38" si="11">+B36/B37</f>
        <v>69.922000609602435</v>
      </c>
      <c r="C38" s="591">
        <f t="shared" si="11"/>
        <v>90.399628774796597</v>
      </c>
      <c r="D38" s="591">
        <f t="shared" si="11"/>
        <v>91.081352864319641</v>
      </c>
      <c r="E38" s="591">
        <f t="shared" si="11"/>
        <v>98.198285300697123</v>
      </c>
      <c r="F38" s="591">
        <f t="shared" si="11"/>
        <v>98.845121451624379</v>
      </c>
      <c r="G38" s="591">
        <f t="shared" si="11"/>
        <v>95.363036764448097</v>
      </c>
      <c r="H38" s="591">
        <f t="shared" si="11"/>
        <v>89.617624329565331</v>
      </c>
      <c r="I38" s="591">
        <f t="shared" si="11"/>
        <v>90.562064919511428</v>
      </c>
      <c r="J38" s="591">
        <f t="shared" si="11"/>
        <v>88.013651584079199</v>
      </c>
      <c r="K38" s="591">
        <f t="shared" si="11"/>
        <v>84.917273342147112</v>
      </c>
      <c r="L38" s="591">
        <f t="shared" si="11"/>
        <v>80.007871646491239</v>
      </c>
      <c r="M38" s="591">
        <f t="shared" si="11"/>
        <v>0</v>
      </c>
      <c r="N38" s="591">
        <f t="shared" si="11"/>
        <v>0</v>
      </c>
    </row>
    <row r="39" spans="1:14" s="584" customFormat="1" ht="13" x14ac:dyDescent="0.3">
      <c r="A39" s="584" t="s">
        <v>275</v>
      </c>
      <c r="B39" s="593">
        <v>69.900000000000006</v>
      </c>
      <c r="C39" s="593"/>
      <c r="D39" s="593"/>
      <c r="E39" s="593"/>
      <c r="F39" s="593"/>
      <c r="G39" s="593"/>
      <c r="H39" s="593"/>
      <c r="I39" s="593"/>
      <c r="J39" s="593"/>
      <c r="K39" s="593"/>
      <c r="L39" s="593"/>
      <c r="M39" s="593"/>
      <c r="N39" s="593"/>
    </row>
    <row r="40" spans="1:14" s="584" customFormat="1" ht="13" x14ac:dyDescent="0.3">
      <c r="B40" s="589">
        <f t="shared" ref="B40:G40" si="12">+B39-B38</f>
        <v>-2.2000609602429222E-2</v>
      </c>
      <c r="C40" s="589">
        <f t="shared" si="12"/>
        <v>-90.399628774796597</v>
      </c>
      <c r="D40" s="589">
        <f t="shared" si="12"/>
        <v>-91.081352864319641</v>
      </c>
      <c r="E40" s="589">
        <f t="shared" si="12"/>
        <v>-98.198285300697123</v>
      </c>
      <c r="F40" s="589">
        <f t="shared" si="12"/>
        <v>-98.845121451624379</v>
      </c>
      <c r="G40" s="589">
        <f t="shared" si="12"/>
        <v>-95.363036764448097</v>
      </c>
      <c r="H40" s="589">
        <f>+H39-H38</f>
        <v>-89.617624329565331</v>
      </c>
      <c r="I40" s="589">
        <f>+I39-I38</f>
        <v>-90.562064919511428</v>
      </c>
      <c r="J40" s="589"/>
      <c r="K40" s="589"/>
      <c r="L40" s="589"/>
      <c r="M40" s="589"/>
      <c r="N40" s="589"/>
    </row>
    <row r="41" spans="1:14" s="584" customFormat="1" ht="13" x14ac:dyDescent="0.3">
      <c r="B41" s="589"/>
      <c r="C41" s="589"/>
      <c r="D41" s="589"/>
      <c r="E41" s="589"/>
      <c r="F41" s="589"/>
      <c r="G41" s="589"/>
      <c r="H41" s="589"/>
    </row>
    <row r="42" spans="1:14" s="584" customFormat="1" ht="13" x14ac:dyDescent="0.3"/>
    <row r="43" spans="1:14" s="584" customFormat="1" ht="13" x14ac:dyDescent="0.3">
      <c r="A43" s="586" t="s">
        <v>291</v>
      </c>
    </row>
    <row r="44" spans="1:14" s="584" customFormat="1" ht="13" x14ac:dyDescent="0.3">
      <c r="A44" s="584" t="s">
        <v>299</v>
      </c>
      <c r="B44" s="587">
        <f>+'Income Statement'!G24</f>
        <v>78962603.000000015</v>
      </c>
      <c r="C44" s="587">
        <f>SUM('Income Statement'!$U24:U24)</f>
        <v>5824438</v>
      </c>
      <c r="D44" s="587">
        <f>SUM('Income Statement'!$U24:V24)</f>
        <v>11118320</v>
      </c>
      <c r="E44" s="587">
        <f>SUM('Income Statement'!$U24:W24)</f>
        <v>17012587</v>
      </c>
      <c r="F44" s="587">
        <f>SUM('Income Statement'!$U24:X24)</f>
        <v>23251876</v>
      </c>
      <c r="G44" s="587">
        <f>SUM('Income Statement'!$U24:Y24)</f>
        <v>28925940</v>
      </c>
      <c r="H44" s="587">
        <f>SUM('Income Statement'!$U24:Z24)</f>
        <v>36279567.25</v>
      </c>
      <c r="I44" s="587">
        <f>SUM('Income Statement'!$U24:AA24)</f>
        <v>42570403.149999999</v>
      </c>
      <c r="J44" s="587">
        <f>SUM('Income Statement'!$U24:AB24)</f>
        <v>49134474.999999985</v>
      </c>
      <c r="K44" s="587">
        <f>SUM('Income Statement'!$U24:AC24)</f>
        <v>55424520.999999985</v>
      </c>
      <c r="L44" s="587">
        <f>SUM('Income Statement'!$U24:AD24)</f>
        <v>61675114.999999985</v>
      </c>
      <c r="M44" s="587">
        <f>SUM('Income Statement'!$U24:AE24)</f>
        <v>61675114.999999985</v>
      </c>
      <c r="N44" s="587">
        <f>SUM('Income Statement'!$U24:AF24)</f>
        <v>61675114.999999985</v>
      </c>
    </row>
    <row r="45" spans="1:14" s="584" customFormat="1" ht="13" x14ac:dyDescent="0.3">
      <c r="A45" s="584" t="s">
        <v>292</v>
      </c>
      <c r="B45" s="587">
        <f>+B8</f>
        <v>365</v>
      </c>
      <c r="C45" s="587">
        <f>+C8</f>
        <v>31</v>
      </c>
      <c r="D45" s="587">
        <f t="shared" ref="D45:N45" si="13">+D8</f>
        <v>61</v>
      </c>
      <c r="E45" s="587">
        <f t="shared" si="13"/>
        <v>92</v>
      </c>
      <c r="F45" s="587">
        <f t="shared" si="13"/>
        <v>123</v>
      </c>
      <c r="G45" s="587">
        <f t="shared" si="13"/>
        <v>151</v>
      </c>
      <c r="H45" s="587">
        <f t="shared" si="13"/>
        <v>182</v>
      </c>
      <c r="I45" s="587">
        <f t="shared" si="13"/>
        <v>212</v>
      </c>
      <c r="J45" s="587">
        <f t="shared" si="13"/>
        <v>243</v>
      </c>
      <c r="K45" s="587">
        <f t="shared" si="13"/>
        <v>273</v>
      </c>
      <c r="L45" s="587">
        <f t="shared" si="13"/>
        <v>304</v>
      </c>
      <c r="M45" s="587">
        <f t="shared" si="13"/>
        <v>335</v>
      </c>
      <c r="N45" s="587">
        <f t="shared" si="13"/>
        <v>365</v>
      </c>
    </row>
    <row r="46" spans="1:14" s="584" customFormat="1" ht="13" x14ac:dyDescent="0.3">
      <c r="A46" s="584" t="s">
        <v>293</v>
      </c>
      <c r="B46" s="587">
        <f t="shared" ref="B46:N46" si="14">+B44/B45</f>
        <v>216335.89863013703</v>
      </c>
      <c r="C46" s="587">
        <f t="shared" si="14"/>
        <v>187885.09677419355</v>
      </c>
      <c r="D46" s="587">
        <f t="shared" si="14"/>
        <v>182267.54098360657</v>
      </c>
      <c r="E46" s="587">
        <f t="shared" si="14"/>
        <v>184919.42391304349</v>
      </c>
      <c r="F46" s="587">
        <f t="shared" si="14"/>
        <v>189039.64227642276</v>
      </c>
      <c r="G46" s="587">
        <f t="shared" si="14"/>
        <v>191562.5165562914</v>
      </c>
      <c r="H46" s="587">
        <f t="shared" si="14"/>
        <v>199338.2815934066</v>
      </c>
      <c r="I46" s="587">
        <f t="shared" si="14"/>
        <v>200803.78844339622</v>
      </c>
      <c r="J46" s="587">
        <f t="shared" si="14"/>
        <v>202199.48559670776</v>
      </c>
      <c r="K46" s="587">
        <f t="shared" si="14"/>
        <v>203020.2234432234</v>
      </c>
      <c r="L46" s="587">
        <f t="shared" si="14"/>
        <v>202878.66776315783</v>
      </c>
      <c r="M46" s="587">
        <f t="shared" si="14"/>
        <v>184104.82089552234</v>
      </c>
      <c r="N46" s="587">
        <f t="shared" si="14"/>
        <v>168972.91780821915</v>
      </c>
    </row>
    <row r="47" spans="1:14" x14ac:dyDescent="0.35">
      <c r="A47" s="594" t="s">
        <v>294</v>
      </c>
      <c r="B47" s="595">
        <f>+'Balance Sheet'!G12</f>
        <v>12483048</v>
      </c>
      <c r="C47" s="595">
        <f>+'Balance Sheet'!H12</f>
        <v>8240073</v>
      </c>
      <c r="D47" s="595">
        <f>+'Balance Sheet'!I12</f>
        <v>8239025</v>
      </c>
      <c r="E47" s="595">
        <f>+'Balance Sheet'!J12</f>
        <v>8088949.5499999998</v>
      </c>
      <c r="F47" s="595">
        <f>+'Balance Sheet'!K12</f>
        <v>9387051</v>
      </c>
      <c r="G47" s="595">
        <f>+'Balance Sheet'!L12</f>
        <v>9182140</v>
      </c>
      <c r="H47" s="595">
        <f>+'Balance Sheet'!M12</f>
        <v>10380657</v>
      </c>
      <c r="I47" s="595">
        <f>+'Balance Sheet'!N12</f>
        <v>10263692</v>
      </c>
      <c r="J47" s="595">
        <f>+'Balance Sheet'!O12</f>
        <v>10858832</v>
      </c>
      <c r="K47" s="595">
        <f>+'Balance Sheet'!P12</f>
        <v>11510522</v>
      </c>
      <c r="L47" s="595">
        <f>+'Balance Sheet'!Q12</f>
        <v>11585049</v>
      </c>
      <c r="M47" s="595">
        <f>+'Balance Sheet'!R12</f>
        <v>0</v>
      </c>
      <c r="N47" s="595">
        <f>+'Balance Sheet'!S12</f>
        <v>0</v>
      </c>
    </row>
    <row r="48" spans="1:14" x14ac:dyDescent="0.35">
      <c r="A48" s="594" t="s">
        <v>295</v>
      </c>
      <c r="B48" s="596">
        <f>+B47/B46</f>
        <v>57.702157057816329</v>
      </c>
      <c r="C48" s="596">
        <f t="shared" ref="C48:N48" si="15">+C47/C46</f>
        <v>43.856980364457485</v>
      </c>
      <c r="D48" s="596">
        <f t="shared" si="15"/>
        <v>45.202919595766268</v>
      </c>
      <c r="E48" s="596">
        <f t="shared" si="15"/>
        <v>43.743103773694145</v>
      </c>
      <c r="F48" s="596">
        <f t="shared" si="15"/>
        <v>49.656521177043949</v>
      </c>
      <c r="G48" s="596">
        <f t="shared" si="15"/>
        <v>47.932863720245564</v>
      </c>
      <c r="H48" s="596">
        <f t="shared" si="15"/>
        <v>52.075581855238362</v>
      </c>
      <c r="I48" s="596">
        <f t="shared" si="15"/>
        <v>51.113039647123948</v>
      </c>
      <c r="J48" s="596">
        <f t="shared" si="15"/>
        <v>53.703558977683201</v>
      </c>
      <c r="K48" s="596">
        <f t="shared" si="15"/>
        <v>56.696430556431885</v>
      </c>
      <c r="L48" s="596">
        <f t="shared" si="15"/>
        <v>57.103337318463062</v>
      </c>
      <c r="M48" s="596">
        <f t="shared" si="15"/>
        <v>0</v>
      </c>
      <c r="N48" s="596">
        <f t="shared" si="15"/>
        <v>0</v>
      </c>
    </row>
    <row r="49" spans="1:14" x14ac:dyDescent="0.35">
      <c r="A49" s="584" t="s">
        <v>275</v>
      </c>
      <c r="B49" s="593">
        <v>57.6</v>
      </c>
      <c r="C49" s="593"/>
      <c r="D49" s="593"/>
      <c r="E49" s="593"/>
      <c r="F49" s="593"/>
      <c r="G49" s="593"/>
      <c r="H49" s="593"/>
      <c r="I49" s="593"/>
      <c r="J49" s="593"/>
      <c r="K49" s="593"/>
      <c r="L49" s="593"/>
      <c r="M49" s="593"/>
      <c r="N49" s="593"/>
    </row>
    <row r="50" spans="1:14" x14ac:dyDescent="0.35">
      <c r="A50" s="584"/>
      <c r="B50" s="589">
        <f t="shared" ref="B50:G50" si="16">+B49-B48</f>
        <v>-0.10215705781632778</v>
      </c>
      <c r="C50" s="589">
        <f t="shared" si="16"/>
        <v>-43.856980364457485</v>
      </c>
      <c r="D50" s="589">
        <f t="shared" si="16"/>
        <v>-45.202919595766268</v>
      </c>
      <c r="E50" s="589">
        <f t="shared" si="16"/>
        <v>-43.743103773694145</v>
      </c>
      <c r="F50" s="589">
        <f t="shared" si="16"/>
        <v>-49.656521177043949</v>
      </c>
      <c r="G50" s="589">
        <f t="shared" si="16"/>
        <v>-47.932863720245564</v>
      </c>
      <c r="H50" s="589">
        <f>+H49-H48</f>
        <v>-52.075581855238362</v>
      </c>
      <c r="I50" s="589">
        <f>+I49-I48</f>
        <v>-51.113039647123948</v>
      </c>
      <c r="J50" s="589"/>
      <c r="K50" s="589"/>
      <c r="L50" s="589"/>
      <c r="M50" s="589"/>
      <c r="N50" s="58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86266670735802"/>
  </sheetPr>
  <dimension ref="A1:F20"/>
  <sheetViews>
    <sheetView workbookViewId="0">
      <selection activeCell="F12" sqref="F12"/>
    </sheetView>
  </sheetViews>
  <sheetFormatPr defaultColWidth="9.1796875" defaultRowHeight="14.5" x14ac:dyDescent="0.35"/>
  <cols>
    <col min="1" max="1" width="1.54296875" style="66" customWidth="1"/>
    <col min="2" max="2" width="39.1796875" style="66" bestFit="1" customWidth="1"/>
    <col min="3" max="3" width="15.453125" style="66" bestFit="1" customWidth="1"/>
    <col min="4" max="4" width="36.453125" style="66" bestFit="1" customWidth="1"/>
    <col min="5" max="5" width="31.26953125" style="66" bestFit="1" customWidth="1"/>
    <col min="6" max="6" width="28.54296875" style="66" customWidth="1"/>
    <col min="7" max="16384" width="9.1796875" style="66"/>
  </cols>
  <sheetData>
    <row r="1" spans="1:6" s="128" customFormat="1" ht="21" x14ac:dyDescent="0.5">
      <c r="A1" s="128" t="s">
        <v>58</v>
      </c>
    </row>
    <row r="4" spans="1:6" x14ac:dyDescent="0.35">
      <c r="B4" s="59" t="s">
        <v>105</v>
      </c>
      <c r="C4" s="59" t="s">
        <v>96</v>
      </c>
      <c r="D4" s="59" t="s">
        <v>112</v>
      </c>
      <c r="E4" s="59" t="s">
        <v>83</v>
      </c>
      <c r="F4" s="59" t="s">
        <v>127</v>
      </c>
    </row>
    <row r="5" spans="1:6" x14ac:dyDescent="0.35">
      <c r="B5" s="66" t="s">
        <v>19</v>
      </c>
      <c r="C5" s="77" t="s">
        <v>113</v>
      </c>
      <c r="D5" s="77" t="s">
        <v>140</v>
      </c>
      <c r="E5" s="77" t="s">
        <v>140</v>
      </c>
      <c r="F5" s="66" t="s">
        <v>140</v>
      </c>
    </row>
    <row r="6" spans="1:6" x14ac:dyDescent="0.35">
      <c r="B6" s="66" t="s">
        <v>20</v>
      </c>
      <c r="C6" s="66" t="s">
        <v>21</v>
      </c>
      <c r="D6" s="66" t="s">
        <v>114</v>
      </c>
      <c r="E6" s="66" t="s">
        <v>91</v>
      </c>
      <c r="F6" s="66" t="s">
        <v>65</v>
      </c>
    </row>
    <row r="7" spans="1:6" x14ac:dyDescent="0.35">
      <c r="B7" s="66" t="s">
        <v>46</v>
      </c>
      <c r="C7" s="66" t="s">
        <v>10</v>
      </c>
      <c r="D7" s="66" t="s">
        <v>11</v>
      </c>
      <c r="E7" s="66" t="s">
        <v>66</v>
      </c>
      <c r="F7" s="66" t="s">
        <v>136</v>
      </c>
    </row>
    <row r="8" spans="1:6" x14ac:dyDescent="0.35">
      <c r="B8" s="66" t="s">
        <v>47</v>
      </c>
      <c r="C8" s="66" t="s">
        <v>59</v>
      </c>
      <c r="D8" s="66" t="s">
        <v>22</v>
      </c>
      <c r="E8" s="66" t="s">
        <v>265</v>
      </c>
      <c r="F8" s="66" t="s">
        <v>65</v>
      </c>
    </row>
    <row r="9" spans="1:6" x14ac:dyDescent="0.35">
      <c r="B9" s="66" t="s">
        <v>84</v>
      </c>
      <c r="C9" s="66" t="s">
        <v>141</v>
      </c>
      <c r="D9" s="66" t="s">
        <v>115</v>
      </c>
      <c r="E9" s="66" t="s">
        <v>63</v>
      </c>
      <c r="F9" s="66" t="s">
        <v>65</v>
      </c>
    </row>
    <row r="10" spans="1:6" x14ac:dyDescent="0.35">
      <c r="B10" s="66" t="s">
        <v>157</v>
      </c>
      <c r="C10" s="66" t="s">
        <v>128</v>
      </c>
      <c r="D10" s="66" t="s">
        <v>23</v>
      </c>
      <c r="E10" s="66" t="s">
        <v>33</v>
      </c>
      <c r="F10" s="66" t="s">
        <v>65</v>
      </c>
    </row>
    <row r="11" spans="1:6" x14ac:dyDescent="0.35">
      <c r="B11" s="66" t="s">
        <v>60</v>
      </c>
      <c r="C11" s="66" t="s">
        <v>61</v>
      </c>
      <c r="D11" s="66" t="s">
        <v>106</v>
      </c>
      <c r="E11" s="66" t="s">
        <v>116</v>
      </c>
      <c r="F11" s="66" t="s">
        <v>65</v>
      </c>
    </row>
    <row r="12" spans="1:6" x14ac:dyDescent="0.35">
      <c r="B12" s="66" t="s">
        <v>142</v>
      </c>
      <c r="C12" s="66" t="s">
        <v>129</v>
      </c>
      <c r="D12" s="66" t="s">
        <v>75</v>
      </c>
      <c r="E12" s="66" t="s">
        <v>264</v>
      </c>
      <c r="F12" s="66" t="s">
        <v>65</v>
      </c>
    </row>
    <row r="13" spans="1:6" x14ac:dyDescent="0.35">
      <c r="B13" s="66" t="s">
        <v>62</v>
      </c>
      <c r="C13" s="66" t="s">
        <v>76</v>
      </c>
      <c r="D13" s="66" t="s">
        <v>34</v>
      </c>
      <c r="E13" s="66" t="s">
        <v>117</v>
      </c>
      <c r="F13" s="66" t="s">
        <v>65</v>
      </c>
    </row>
    <row r="14" spans="1:6" x14ac:dyDescent="0.35">
      <c r="B14" s="66" t="s">
        <v>9</v>
      </c>
      <c r="C14" s="66" t="s">
        <v>118</v>
      </c>
      <c r="D14" s="66" t="s">
        <v>266</v>
      </c>
      <c r="E14" s="66" t="s">
        <v>4</v>
      </c>
      <c r="F14" s="66" t="s">
        <v>65</v>
      </c>
    </row>
    <row r="15" spans="1:6" x14ac:dyDescent="0.35">
      <c r="B15" s="66" t="s">
        <v>12</v>
      </c>
      <c r="C15" s="66" t="s">
        <v>48</v>
      </c>
      <c r="D15" s="66" t="s">
        <v>267</v>
      </c>
      <c r="F15" s="66" t="s">
        <v>136</v>
      </c>
    </row>
    <row r="16" spans="1:6" x14ac:dyDescent="0.35">
      <c r="B16" s="66" t="s">
        <v>92</v>
      </c>
      <c r="C16" s="66" t="s">
        <v>130</v>
      </c>
      <c r="D16" s="66" t="s">
        <v>5</v>
      </c>
      <c r="E16" s="66" t="s">
        <v>119</v>
      </c>
      <c r="F16" s="66" t="s">
        <v>65</v>
      </c>
    </row>
    <row r="17" spans="2:6" x14ac:dyDescent="0.35">
      <c r="B17" s="66" t="s">
        <v>32</v>
      </c>
      <c r="C17" s="66" t="s">
        <v>143</v>
      </c>
      <c r="D17" s="66" t="s">
        <v>158</v>
      </c>
      <c r="E17" s="66" t="s">
        <v>64</v>
      </c>
      <c r="F17" s="66" t="s">
        <v>65</v>
      </c>
    </row>
    <row r="18" spans="2:6" x14ac:dyDescent="0.35">
      <c r="B18" s="66" t="s">
        <v>144</v>
      </c>
      <c r="C18" s="66" t="s">
        <v>120</v>
      </c>
      <c r="D18" s="66" t="s">
        <v>6</v>
      </c>
      <c r="E18" s="66" t="s">
        <v>131</v>
      </c>
      <c r="F18" s="66" t="s">
        <v>65</v>
      </c>
    </row>
    <row r="19" spans="2:6" x14ac:dyDescent="0.35">
      <c r="B19" s="66" t="s">
        <v>82</v>
      </c>
      <c r="C19" s="66" t="s">
        <v>132</v>
      </c>
      <c r="D19" s="66" t="s">
        <v>122</v>
      </c>
      <c r="E19" s="66" t="s">
        <v>85</v>
      </c>
      <c r="F19" s="66" t="s">
        <v>136</v>
      </c>
    </row>
    <row r="20" spans="2:6" x14ac:dyDescent="0.35">
      <c r="B20" s="66" t="s">
        <v>145</v>
      </c>
      <c r="C20" s="66" t="s">
        <v>132</v>
      </c>
      <c r="D20" s="66" t="s">
        <v>24</v>
      </c>
      <c r="E20" s="66" t="s">
        <v>107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B9:L22"/>
  <sheetViews>
    <sheetView showGridLines="0" tabSelected="1" workbookViewId="0">
      <selection activeCell="D24" sqref="D24"/>
    </sheetView>
  </sheetViews>
  <sheetFormatPr defaultColWidth="9.1796875" defaultRowHeight="14.5" x14ac:dyDescent="0.35"/>
  <cols>
    <col min="1" max="1" width="9.1796875" style="66"/>
    <col min="2" max="2" width="20.7265625" style="66" customWidth="1"/>
    <col min="3" max="3" width="26.54296875" style="66" bestFit="1" customWidth="1"/>
    <col min="4" max="10" width="9.1796875" style="66"/>
    <col min="11" max="11" width="17.26953125" style="66" customWidth="1"/>
    <col min="12" max="12" width="1.26953125" style="66" customWidth="1"/>
    <col min="13" max="16384" width="9.1796875" style="66"/>
  </cols>
  <sheetData>
    <row r="9" spans="2:12" ht="46" x14ac:dyDescent="1">
      <c r="B9" s="102" t="str">
        <f>+'Income Statement'!B8</f>
        <v>Brattleboro Memorial Hospital</v>
      </c>
      <c r="C9" s="38"/>
      <c r="D9" s="38"/>
      <c r="E9" s="38"/>
      <c r="F9" s="38"/>
      <c r="G9" s="38"/>
      <c r="H9" s="38"/>
      <c r="I9" s="38"/>
      <c r="J9" s="38"/>
      <c r="K9" s="38"/>
      <c r="L9" s="115"/>
    </row>
    <row r="12" spans="2:12" ht="28.5" x14ac:dyDescent="0.65">
      <c r="B12" s="103" t="s">
        <v>203</v>
      </c>
      <c r="C12" s="39"/>
      <c r="D12" s="39"/>
      <c r="E12" s="39"/>
      <c r="F12" s="39"/>
      <c r="G12" s="39"/>
      <c r="H12" s="39"/>
      <c r="I12" s="39"/>
      <c r="J12" s="39"/>
      <c r="K12" s="39"/>
      <c r="L12" s="129"/>
    </row>
    <row r="15" spans="2:12" ht="20" x14ac:dyDescent="0.4">
      <c r="B15" s="132" t="s">
        <v>126</v>
      </c>
      <c r="C15" s="140" t="s">
        <v>302</v>
      </c>
    </row>
    <row r="16" spans="2:12" x14ac:dyDescent="0.35">
      <c r="B16" s="105" t="s">
        <v>303</v>
      </c>
    </row>
    <row r="19" spans="2:11" x14ac:dyDescent="0.35">
      <c r="B19" s="614"/>
      <c r="C19" s="614"/>
      <c r="D19" s="614"/>
      <c r="E19" s="614"/>
      <c r="F19" s="614"/>
      <c r="G19" s="614"/>
      <c r="H19" s="614"/>
      <c r="I19" s="614"/>
      <c r="J19" s="614"/>
      <c r="K19" s="614"/>
    </row>
    <row r="20" spans="2:11" x14ac:dyDescent="0.35">
      <c r="B20" s="614"/>
      <c r="C20" s="614"/>
      <c r="D20" s="614"/>
      <c r="E20" s="614"/>
      <c r="F20" s="614"/>
      <c r="G20" s="614"/>
      <c r="H20" s="614"/>
      <c r="I20" s="614"/>
      <c r="J20" s="614"/>
      <c r="K20" s="614"/>
    </row>
    <row r="21" spans="2:11" x14ac:dyDescent="0.35">
      <c r="B21" s="614"/>
      <c r="C21" s="614"/>
      <c r="D21" s="614"/>
      <c r="E21" s="614"/>
      <c r="F21" s="614"/>
      <c r="G21" s="614"/>
      <c r="H21" s="614"/>
      <c r="I21" s="614"/>
      <c r="J21" s="614"/>
      <c r="K21" s="614"/>
    </row>
    <row r="22" spans="2:11" x14ac:dyDescent="0.35">
      <c r="B22" s="614"/>
      <c r="C22" s="614"/>
      <c r="D22" s="614"/>
      <c r="E22" s="614"/>
      <c r="F22" s="614"/>
      <c r="G22" s="614"/>
      <c r="H22" s="614"/>
      <c r="I22" s="614"/>
      <c r="J22" s="614"/>
      <c r="K22" s="614"/>
    </row>
  </sheetData>
  <mergeCells count="1">
    <mergeCell ref="B19:K22"/>
  </mergeCells>
  <pageMargins left="0.7" right="0.7" top="0.75" bottom="0.75" header="0.3" footer="0.3"/>
  <pageSetup scale="84" orientation="landscape" r:id="rId1"/>
  <headerFooter>
    <oddFooter>&amp;LPage &amp;P&amp;R&amp;F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AL96"/>
  <sheetViews>
    <sheetView showGridLines="0" topLeftCell="A7" zoomScale="50" zoomScaleNormal="50" workbookViewId="0">
      <pane xSplit="2" ySplit="9" topLeftCell="AB34" activePane="bottomRight" state="frozen"/>
      <selection activeCell="A7" sqref="A7"/>
      <selection pane="topRight" activeCell="C7" sqref="C7"/>
      <selection pane="bottomLeft" activeCell="A16" sqref="A16"/>
      <selection pane="bottomRight" activeCell="AL58" sqref="AL58"/>
    </sheetView>
  </sheetViews>
  <sheetFormatPr defaultColWidth="9.1796875" defaultRowHeight="14.5" outlineLevelRow="1" outlineLevelCol="1" x14ac:dyDescent="0.35"/>
  <cols>
    <col min="1" max="1" width="3.26953125" style="227" customWidth="1"/>
    <col min="2" max="2" width="85" style="50" customWidth="1"/>
    <col min="3" max="3" width="41.54296875" style="62" customWidth="1"/>
    <col min="4" max="4" width="41.54296875" style="62" hidden="1" customWidth="1" outlineLevel="1"/>
    <col min="5" max="5" width="38.1796875" style="62" hidden="1" customWidth="1" outlineLevel="1" collapsed="1"/>
    <col min="6" max="6" width="37.26953125" style="62" customWidth="1" collapsed="1"/>
    <col min="7" max="7" width="37.26953125" style="62" customWidth="1"/>
    <col min="8" max="19" width="41.54296875" style="62" hidden="1" customWidth="1" outlineLevel="1"/>
    <col min="20" max="20" width="35.7265625" style="62" customWidth="1" collapsed="1"/>
    <col min="21" max="30" width="37" style="62" customWidth="1"/>
    <col min="31" max="32" width="37" style="62" customWidth="1" outlineLevel="1"/>
    <col min="33" max="33" width="41" style="62" customWidth="1"/>
    <col min="34" max="34" width="35" style="62" customWidth="1"/>
    <col min="35" max="35" width="40.54296875" style="62" customWidth="1"/>
    <col min="36" max="36" width="37.1796875" style="62" customWidth="1"/>
    <col min="37" max="37" width="35" style="156" customWidth="1"/>
    <col min="38" max="38" width="39" style="62" bestFit="1" customWidth="1"/>
    <col min="39" max="16384" width="9.1796875" style="62"/>
  </cols>
  <sheetData>
    <row r="1" spans="1:38" s="50" customFormat="1" hidden="1" outlineLevel="1" x14ac:dyDescent="0.35">
      <c r="A1" s="227"/>
      <c r="AK1" s="156"/>
    </row>
    <row r="2" spans="1:38" s="50" customFormat="1" hidden="1" outlineLevel="1" x14ac:dyDescent="0.35">
      <c r="A2" s="227"/>
      <c r="C2" s="36" t="s">
        <v>88</v>
      </c>
      <c r="D2" s="36" t="s">
        <v>151</v>
      </c>
      <c r="E2" s="36" t="s">
        <v>151</v>
      </c>
      <c r="F2" s="36" t="s">
        <v>151</v>
      </c>
      <c r="G2" s="36" t="s">
        <v>222</v>
      </c>
      <c r="H2" s="16" t="s">
        <v>184</v>
      </c>
      <c r="I2" s="16" t="s">
        <v>185</v>
      </c>
      <c r="J2" s="16" t="s">
        <v>186</v>
      </c>
      <c r="K2" s="16" t="s">
        <v>187</v>
      </c>
      <c r="L2" s="16" t="s">
        <v>188</v>
      </c>
      <c r="M2" s="16" t="s">
        <v>189</v>
      </c>
      <c r="N2" s="16" t="s">
        <v>190</v>
      </c>
      <c r="O2" s="16" t="s">
        <v>191</v>
      </c>
      <c r="P2" s="16" t="s">
        <v>192</v>
      </c>
      <c r="Q2" s="16" t="s">
        <v>193</v>
      </c>
      <c r="R2" s="16" t="s">
        <v>194</v>
      </c>
      <c r="S2" s="16" t="s">
        <v>195</v>
      </c>
      <c r="T2" s="16" t="s">
        <v>0</v>
      </c>
      <c r="U2" s="16" t="s">
        <v>0</v>
      </c>
      <c r="V2" s="16"/>
      <c r="W2" s="16"/>
      <c r="X2" s="16"/>
      <c r="Y2" s="16"/>
      <c r="Z2" s="16"/>
      <c r="AA2" s="16"/>
      <c r="AB2" s="16"/>
      <c r="AC2" s="16"/>
      <c r="AD2" s="16"/>
      <c r="AE2" s="16"/>
      <c r="AF2" s="16"/>
      <c r="AG2" s="36"/>
      <c r="AH2" s="36"/>
      <c r="AK2" s="156"/>
    </row>
    <row r="3" spans="1:38" s="50" customFormat="1" hidden="1" outlineLevel="1" x14ac:dyDescent="0.35">
      <c r="A3" s="227"/>
      <c r="AK3" s="156"/>
    </row>
    <row r="4" spans="1:38" s="92" customFormat="1" hidden="1" outlineLevel="1" x14ac:dyDescent="0.35">
      <c r="A4" s="227" t="s">
        <v>70</v>
      </c>
      <c r="C4" s="24" t="s">
        <v>44</v>
      </c>
      <c r="D4" s="24" t="s">
        <v>110</v>
      </c>
      <c r="E4" s="24" t="s">
        <v>0</v>
      </c>
      <c r="F4" s="24" t="s">
        <v>0</v>
      </c>
      <c r="G4" s="24" t="s">
        <v>0</v>
      </c>
      <c r="H4" s="24" t="s">
        <v>110</v>
      </c>
      <c r="I4" s="24" t="s">
        <v>110</v>
      </c>
      <c r="J4" s="24" t="s">
        <v>110</v>
      </c>
      <c r="K4" s="24" t="s">
        <v>110</v>
      </c>
      <c r="L4" s="24" t="s">
        <v>110</v>
      </c>
      <c r="M4" s="24" t="s">
        <v>110</v>
      </c>
      <c r="N4" s="24" t="s">
        <v>110</v>
      </c>
      <c r="O4" s="24" t="s">
        <v>110</v>
      </c>
      <c r="P4" s="24" t="s">
        <v>110</v>
      </c>
      <c r="Q4" s="24" t="s">
        <v>110</v>
      </c>
      <c r="R4" s="24" t="s">
        <v>110</v>
      </c>
      <c r="S4" s="24" t="s">
        <v>110</v>
      </c>
      <c r="T4" s="24" t="s">
        <v>0</v>
      </c>
      <c r="U4" s="20"/>
      <c r="V4" s="20"/>
      <c r="W4" s="20"/>
      <c r="X4" s="20"/>
      <c r="Y4" s="20"/>
      <c r="Z4" s="20"/>
      <c r="AA4" s="20"/>
      <c r="AB4" s="20"/>
      <c r="AC4" s="20"/>
      <c r="AD4" s="20"/>
      <c r="AE4" s="20"/>
      <c r="AF4" s="20"/>
      <c r="AG4" s="20"/>
      <c r="AH4" s="20"/>
      <c r="AK4" s="156"/>
    </row>
    <row r="5" spans="1:38" s="92" customFormat="1" ht="28.5" hidden="1" customHeight="1" outlineLevel="1" x14ac:dyDescent="0.35">
      <c r="A5" s="227" t="s">
        <v>43</v>
      </c>
      <c r="C5" s="24" t="s">
        <v>82</v>
      </c>
      <c r="D5" s="24" t="s">
        <v>82</v>
      </c>
      <c r="E5" s="24" t="s">
        <v>0</v>
      </c>
      <c r="F5" s="24" t="s">
        <v>0</v>
      </c>
      <c r="G5" s="24" t="s">
        <v>0</v>
      </c>
      <c r="H5" s="24" t="s">
        <v>82</v>
      </c>
      <c r="I5" s="24" t="s">
        <v>82</v>
      </c>
      <c r="J5" s="24" t="s">
        <v>82</v>
      </c>
      <c r="K5" s="24" t="s">
        <v>82</v>
      </c>
      <c r="L5" s="24" t="s">
        <v>82</v>
      </c>
      <c r="M5" s="24" t="s">
        <v>82</v>
      </c>
      <c r="N5" s="24" t="s">
        <v>82</v>
      </c>
      <c r="O5" s="24" t="s">
        <v>82</v>
      </c>
      <c r="P5" s="24" t="s">
        <v>82</v>
      </c>
      <c r="Q5" s="24" t="s">
        <v>82</v>
      </c>
      <c r="R5" s="24" t="s">
        <v>82</v>
      </c>
      <c r="S5" s="24" t="s">
        <v>82</v>
      </c>
      <c r="T5" s="24" t="s">
        <v>0</v>
      </c>
      <c r="U5" s="20"/>
      <c r="V5" s="20"/>
      <c r="W5" s="20"/>
      <c r="X5" s="20"/>
      <c r="Y5" s="20"/>
      <c r="Z5" s="20"/>
      <c r="AA5" s="20"/>
      <c r="AB5" s="20"/>
      <c r="AC5" s="20"/>
      <c r="AD5" s="20"/>
      <c r="AE5" s="20"/>
      <c r="AF5" s="20"/>
      <c r="AG5" s="20"/>
      <c r="AH5" s="20"/>
      <c r="AK5" s="156"/>
    </row>
    <row r="6" spans="1:38" s="92" customFormat="1" hidden="1" outlineLevel="1" x14ac:dyDescent="0.35">
      <c r="A6" s="227" t="s">
        <v>152</v>
      </c>
      <c r="C6" s="24" t="s">
        <v>88</v>
      </c>
      <c r="D6" s="24" t="s">
        <v>151</v>
      </c>
      <c r="E6" s="24" t="s">
        <v>151</v>
      </c>
      <c r="F6" s="24" t="s">
        <v>151</v>
      </c>
      <c r="G6" s="24" t="s">
        <v>222</v>
      </c>
      <c r="H6" s="24" t="s">
        <v>184</v>
      </c>
      <c r="I6" s="24" t="s">
        <v>185</v>
      </c>
      <c r="J6" s="24" t="s">
        <v>186</v>
      </c>
      <c r="K6" s="24" t="s">
        <v>187</v>
      </c>
      <c r="L6" s="24" t="s">
        <v>188</v>
      </c>
      <c r="M6" s="24" t="s">
        <v>189</v>
      </c>
      <c r="N6" s="24" t="s">
        <v>190</v>
      </c>
      <c r="O6" s="24" t="s">
        <v>191</v>
      </c>
      <c r="P6" s="24" t="s">
        <v>192</v>
      </c>
      <c r="Q6" s="24" t="s">
        <v>193</v>
      </c>
      <c r="R6" s="24" t="s">
        <v>194</v>
      </c>
      <c r="S6" s="24" t="s">
        <v>195</v>
      </c>
      <c r="T6" s="24" t="s">
        <v>0</v>
      </c>
      <c r="U6" s="20"/>
      <c r="V6" s="20"/>
      <c r="W6" s="20"/>
      <c r="X6" s="20"/>
      <c r="Y6" s="20"/>
      <c r="Z6" s="20"/>
      <c r="AA6" s="20"/>
      <c r="AB6" s="20"/>
      <c r="AC6" s="20"/>
      <c r="AD6" s="20"/>
      <c r="AE6" s="20"/>
      <c r="AF6" s="20"/>
      <c r="AG6" s="20"/>
      <c r="AH6" s="123"/>
      <c r="AK6" s="156"/>
    </row>
    <row r="7" spans="1:38" s="90" customFormat="1" ht="15" collapsed="1" thickBot="1" x14ac:dyDescent="0.4">
      <c r="A7" s="228"/>
      <c r="AK7" s="156"/>
    </row>
    <row r="8" spans="1:38" s="41" customFormat="1" ht="31" x14ac:dyDescent="0.7">
      <c r="A8" s="229"/>
      <c r="B8" s="266" t="s">
        <v>20</v>
      </c>
      <c r="C8" s="22"/>
      <c r="D8" s="28" t="s">
        <v>0</v>
      </c>
      <c r="E8" s="28" t="s">
        <v>0</v>
      </c>
      <c r="F8" s="225" t="s">
        <v>0</v>
      </c>
      <c r="G8" s="225" t="s">
        <v>0</v>
      </c>
      <c r="H8" s="28" t="s">
        <v>0</v>
      </c>
      <c r="I8" s="28" t="s">
        <v>0</v>
      </c>
      <c r="J8" s="28" t="s">
        <v>0</v>
      </c>
      <c r="K8" s="28" t="s">
        <v>0</v>
      </c>
      <c r="L8" s="28" t="s">
        <v>0</v>
      </c>
      <c r="M8" s="28" t="s">
        <v>0</v>
      </c>
      <c r="N8" s="28" t="s">
        <v>0</v>
      </c>
      <c r="O8" s="28" t="s">
        <v>0</v>
      </c>
      <c r="P8" s="28" t="s">
        <v>0</v>
      </c>
      <c r="Q8" s="28" t="s">
        <v>0</v>
      </c>
      <c r="R8" s="28" t="s">
        <v>0</v>
      </c>
      <c r="S8" s="28" t="s">
        <v>0</v>
      </c>
      <c r="T8" s="28"/>
      <c r="U8" s="22"/>
      <c r="V8" s="22"/>
      <c r="W8" s="22"/>
      <c r="X8" s="22"/>
      <c r="Y8" s="22"/>
      <c r="Z8" s="22"/>
      <c r="AA8" s="22"/>
      <c r="AB8" s="22"/>
      <c r="AC8" s="22"/>
      <c r="AD8" s="22"/>
      <c r="AE8" s="22"/>
      <c r="AF8" s="22"/>
      <c r="AG8" s="22"/>
      <c r="AH8" s="22"/>
      <c r="AI8" s="22"/>
      <c r="AJ8" s="268"/>
      <c r="AK8" s="156"/>
    </row>
    <row r="9" spans="1:38" s="40" customFormat="1" ht="31" x14ac:dyDescent="0.7">
      <c r="A9" s="230"/>
      <c r="B9" s="110" t="str">
        <f>CEO_CFOs!D6</f>
        <v>Steven Gordon</v>
      </c>
      <c r="C9" s="23"/>
      <c r="D9" s="23"/>
      <c r="F9" s="575" t="str">
        <f>CEO_CFOs!E6</f>
        <v>Andre Bissonnette</v>
      </c>
      <c r="G9" s="29"/>
      <c r="H9" s="29"/>
      <c r="I9" s="29"/>
      <c r="J9" s="29"/>
      <c r="K9" s="29"/>
      <c r="L9" s="29"/>
      <c r="M9" s="29"/>
      <c r="N9" s="29"/>
      <c r="O9" s="29"/>
      <c r="P9" s="29"/>
      <c r="Q9" s="29"/>
      <c r="R9" s="29"/>
      <c r="S9" s="29"/>
      <c r="T9" s="29"/>
      <c r="U9" s="23"/>
      <c r="V9" s="23"/>
      <c r="W9" s="23"/>
      <c r="X9" s="23"/>
      <c r="Y9" s="23"/>
      <c r="Z9" s="23"/>
      <c r="AA9" s="23"/>
      <c r="AB9" s="23"/>
      <c r="AC9" s="23"/>
      <c r="AD9" s="23"/>
      <c r="AE9" s="23"/>
      <c r="AF9" s="23"/>
      <c r="AG9" s="23"/>
      <c r="AH9" s="23"/>
      <c r="AI9" s="23" t="str">
        <f>"Budget Entered is "&amp;CEO_CFOs!F6</f>
        <v>Budget Entered is Not Seasonal</v>
      </c>
      <c r="AJ9" s="269"/>
      <c r="AK9" s="156"/>
    </row>
    <row r="10" spans="1:38" s="41" customFormat="1" ht="31" x14ac:dyDescent="0.7">
      <c r="A10" s="229"/>
      <c r="B10" s="108" t="str">
        <f>+Cover!B12</f>
        <v>Fiscal Year 2021 YTD Summary</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t="str">
        <f>+Cover!C15</f>
        <v>Through July</v>
      </c>
      <c r="AH10" s="10">
        <f>31+30+31+28+31+31+30+31+30+31</f>
        <v>304</v>
      </c>
      <c r="AI10" s="135" t="s">
        <v>42</v>
      </c>
      <c r="AJ10" s="270"/>
      <c r="AK10" s="156"/>
    </row>
    <row r="11" spans="1:38" s="82" customFormat="1" ht="31" x14ac:dyDescent="0.7">
      <c r="A11" s="231"/>
      <c r="B11" s="88"/>
      <c r="C11" s="2"/>
      <c r="D11" s="2"/>
      <c r="E11" s="2"/>
      <c r="F11" s="267"/>
      <c r="G11" s="267"/>
      <c r="H11" s="2"/>
      <c r="I11" s="2"/>
      <c r="J11" s="2"/>
      <c r="K11" s="2"/>
      <c r="L11" s="2"/>
      <c r="M11" s="2"/>
      <c r="N11" s="2"/>
      <c r="O11" s="2"/>
      <c r="P11" s="2"/>
      <c r="Q11" s="2"/>
      <c r="R11" s="2"/>
      <c r="S11" s="2"/>
      <c r="T11" s="2"/>
      <c r="U11" s="2"/>
      <c r="V11" s="2"/>
      <c r="W11" s="2"/>
      <c r="X11" s="2"/>
      <c r="Y11" s="2"/>
      <c r="Z11" s="2"/>
      <c r="AA11" s="2"/>
      <c r="AB11" s="2"/>
      <c r="AC11" s="2"/>
      <c r="AD11" s="2"/>
      <c r="AE11" s="2"/>
      <c r="AF11" s="2"/>
      <c r="AG11" s="2"/>
      <c r="AH11" s="118">
        <f>AH10/365</f>
        <v>0.83287671232876714</v>
      </c>
      <c r="AI11" s="147" t="s">
        <v>18</v>
      </c>
      <c r="AJ11" s="271"/>
      <c r="AK11" s="156"/>
    </row>
    <row r="12" spans="1:38" s="134" customFormat="1" ht="26" hidden="1" outlineLevel="1" x14ac:dyDescent="0.6">
      <c r="A12" s="232"/>
      <c r="B12" s="615"/>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7"/>
      <c r="AK12" s="156"/>
    </row>
    <row r="13" spans="1:38" s="82" customFormat="1" ht="27" hidden="1" customHeight="1" outlineLevel="1" x14ac:dyDescent="0.6">
      <c r="A13" s="231"/>
      <c r="B13" s="618"/>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20"/>
      <c r="AK13" s="156"/>
    </row>
    <row r="14" spans="1:38" s="82" customFormat="1" ht="3.75" customHeight="1" collapsed="1" x14ac:dyDescent="0.6">
      <c r="A14" s="231"/>
      <c r="B14" s="88"/>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71"/>
      <c r="AK14" s="156"/>
    </row>
    <row r="15" spans="1:38" s="119" customFormat="1" ht="86.25" customHeight="1" thickBot="1" x14ac:dyDescent="0.4">
      <c r="A15" s="233"/>
      <c r="B15" s="299" t="s">
        <v>150</v>
      </c>
      <c r="C15" s="300" t="s">
        <v>199</v>
      </c>
      <c r="D15" s="301" t="s">
        <v>104</v>
      </c>
      <c r="E15" s="300" t="s">
        <v>206</v>
      </c>
      <c r="F15" s="300" t="s">
        <v>196</v>
      </c>
      <c r="G15" s="300" t="s">
        <v>216</v>
      </c>
      <c r="H15" s="300" t="s">
        <v>184</v>
      </c>
      <c r="I15" s="300" t="s">
        <v>185</v>
      </c>
      <c r="J15" s="300" t="s">
        <v>186</v>
      </c>
      <c r="K15" s="300" t="s">
        <v>187</v>
      </c>
      <c r="L15" s="300" t="s">
        <v>188</v>
      </c>
      <c r="M15" s="300" t="s">
        <v>189</v>
      </c>
      <c r="N15" s="300" t="s">
        <v>190</v>
      </c>
      <c r="O15" s="300" t="s">
        <v>191</v>
      </c>
      <c r="P15" s="300" t="s">
        <v>192</v>
      </c>
      <c r="Q15" s="300" t="s">
        <v>193</v>
      </c>
      <c r="R15" s="300" t="s">
        <v>194</v>
      </c>
      <c r="S15" s="300" t="s">
        <v>195</v>
      </c>
      <c r="T15" s="302" t="s">
        <v>300</v>
      </c>
      <c r="U15" s="576" t="s">
        <v>184</v>
      </c>
      <c r="V15" s="576" t="s">
        <v>185</v>
      </c>
      <c r="W15" s="576" t="s">
        <v>186</v>
      </c>
      <c r="X15" s="576" t="s">
        <v>187</v>
      </c>
      <c r="Y15" s="576" t="s">
        <v>188</v>
      </c>
      <c r="Z15" s="576" t="s">
        <v>189</v>
      </c>
      <c r="AA15" s="576" t="s">
        <v>190</v>
      </c>
      <c r="AB15" s="576" t="s">
        <v>191</v>
      </c>
      <c r="AC15" s="576" t="s">
        <v>192</v>
      </c>
      <c r="AD15" s="576" t="s">
        <v>193</v>
      </c>
      <c r="AE15" s="576" t="s">
        <v>194</v>
      </c>
      <c r="AF15" s="576" t="s">
        <v>195</v>
      </c>
      <c r="AG15" s="577" t="s">
        <v>301</v>
      </c>
      <c r="AH15" s="578" t="s">
        <v>200</v>
      </c>
      <c r="AI15" s="301" t="s">
        <v>204</v>
      </c>
      <c r="AJ15" s="303" t="str">
        <f>MID(F15,1,6)&amp;"-"&amp;MID(AH15,1,6)</f>
        <v>2020 A-2021 P</v>
      </c>
      <c r="AK15" s="156"/>
      <c r="AL15" s="100"/>
    </row>
    <row r="16" spans="1:38" s="40" customFormat="1" ht="31" x14ac:dyDescent="0.7">
      <c r="A16" s="230"/>
      <c r="B16" s="98" t="s">
        <v>149</v>
      </c>
      <c r="C16" s="74"/>
      <c r="D16" s="12"/>
      <c r="E16" s="471"/>
      <c r="F16" s="470"/>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74"/>
      <c r="AH16" s="12"/>
      <c r="AI16" s="12"/>
      <c r="AJ16" s="272"/>
      <c r="AK16" s="156"/>
    </row>
    <row r="17" spans="1:38" s="41" customFormat="1" ht="30" customHeight="1" x14ac:dyDescent="0.7">
      <c r="A17" s="229"/>
      <c r="B17" s="101" t="s">
        <v>41</v>
      </c>
      <c r="C17" s="464">
        <v>182085238.03000009</v>
      </c>
      <c r="D17" s="3">
        <v>188074028</v>
      </c>
      <c r="E17" s="464">
        <v>174103645</v>
      </c>
      <c r="F17" s="464">
        <v>172517296</v>
      </c>
      <c r="G17" s="464">
        <v>195374454</v>
      </c>
      <c r="H17" s="464">
        <v>16281204.5</v>
      </c>
      <c r="I17" s="464">
        <v>16281204.5</v>
      </c>
      <c r="J17" s="464">
        <v>16281204.5</v>
      </c>
      <c r="K17" s="464">
        <v>16281204.5</v>
      </c>
      <c r="L17" s="464">
        <v>16281204.5</v>
      </c>
      <c r="M17" s="464">
        <v>16281204.5</v>
      </c>
      <c r="N17" s="464">
        <v>16281204.5</v>
      </c>
      <c r="O17" s="464">
        <v>16281204.5</v>
      </c>
      <c r="P17" s="464">
        <v>16281204.5</v>
      </c>
      <c r="Q17" s="464">
        <v>16281204.5</v>
      </c>
      <c r="R17" s="464">
        <v>16281204.5</v>
      </c>
      <c r="S17" s="464">
        <v>16281204.5</v>
      </c>
      <c r="T17" s="464">
        <f>SUM(H17:Q17)</f>
        <v>162812045</v>
      </c>
      <c r="U17" s="464">
        <v>16255268</v>
      </c>
      <c r="V17" s="464">
        <v>14103109</v>
      </c>
      <c r="W17" s="464">
        <v>15698323</v>
      </c>
      <c r="X17" s="464">
        <v>16328479</v>
      </c>
      <c r="Y17" s="464">
        <v>14453048</v>
      </c>
      <c r="Z17" s="464">
        <f>17578967.45</f>
        <v>17578967.449999999</v>
      </c>
      <c r="AA17" s="464">
        <v>16885045.449999999</v>
      </c>
      <c r="AB17" s="600">
        <f>128223246-SUM(U17:AA17)</f>
        <v>16921006.099999994</v>
      </c>
      <c r="AC17" s="464">
        <v>17399955</v>
      </c>
      <c r="AD17" s="464">
        <f>162597781-SUM(U17:AC17)</f>
        <v>16974580</v>
      </c>
      <c r="AE17" s="464"/>
      <c r="AF17" s="464"/>
      <c r="AG17" s="464">
        <f t="shared" ref="AG17:AG29" si="0">SUM(U17:AF17)</f>
        <v>162597781</v>
      </c>
      <c r="AH17" s="600">
        <f>AVERAGE(Z17:AD17)*2+AG17</f>
        <v>196901602.59999999</v>
      </c>
      <c r="AI17" s="53">
        <f>+AG17/T17-1</f>
        <v>-1.316020568379983E-3</v>
      </c>
      <c r="AJ17" s="273">
        <f>AH17/F17-1</f>
        <v>0.14134412702596499</v>
      </c>
      <c r="AK17" s="157"/>
      <c r="AL17" s="40"/>
    </row>
    <row r="18" spans="1:38" s="73" customFormat="1" ht="15" customHeight="1" x14ac:dyDescent="0.7">
      <c r="A18" s="234"/>
      <c r="B18" s="85"/>
      <c r="C18" s="465"/>
      <c r="D18" s="4"/>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67"/>
      <c r="AJ18" s="274"/>
      <c r="AK18" s="157"/>
      <c r="AL18" s="40"/>
    </row>
    <row r="19" spans="1:38" s="40" customFormat="1" ht="30" customHeight="1" x14ac:dyDescent="0.7">
      <c r="A19" s="230" t="s">
        <v>40</v>
      </c>
      <c r="B19" s="89" t="s">
        <v>40</v>
      </c>
      <c r="C19" s="466">
        <v>585323.00000000012</v>
      </c>
      <c r="D19" s="9">
        <v>530861.00000000012</v>
      </c>
      <c r="E19" s="466">
        <v>532377.00000000012</v>
      </c>
      <c r="F19" s="466">
        <v>532029.99999999988</v>
      </c>
      <c r="G19" s="466">
        <v>530861.00000000012</v>
      </c>
      <c r="H19" s="466">
        <v>44238.416666666664</v>
      </c>
      <c r="I19" s="466">
        <v>44238.416666666664</v>
      </c>
      <c r="J19" s="466">
        <v>44238.416666666664</v>
      </c>
      <c r="K19" s="466">
        <v>44238.416666666664</v>
      </c>
      <c r="L19" s="466">
        <v>44238.416666666664</v>
      </c>
      <c r="M19" s="466">
        <v>44238.416666666664</v>
      </c>
      <c r="N19" s="466">
        <v>44238.416666666664</v>
      </c>
      <c r="O19" s="466">
        <v>44238.416666666664</v>
      </c>
      <c r="P19" s="466">
        <v>44238.416666666664</v>
      </c>
      <c r="Q19" s="466">
        <v>44238.416666666664</v>
      </c>
      <c r="R19" s="466">
        <v>44238.416666666664</v>
      </c>
      <c r="S19" s="466">
        <v>44238.416666666664</v>
      </c>
      <c r="T19" s="466">
        <f t="shared" ref="T19:T40" si="1">SUM(H19:Q19)</f>
        <v>442384.16666666674</v>
      </c>
      <c r="U19" s="466">
        <v>71429</v>
      </c>
      <c r="V19" s="466">
        <v>49883</v>
      </c>
      <c r="W19" s="466">
        <v>52123</v>
      </c>
      <c r="X19" s="466">
        <v>52123</v>
      </c>
      <c r="Y19" s="466">
        <v>47079</v>
      </c>
      <c r="Z19" s="466">
        <f>52123-2+0.45</f>
        <v>52121.45</v>
      </c>
      <c r="AA19" s="466">
        <v>50441</v>
      </c>
      <c r="AB19" s="601">
        <f>427322-SUM(U19:AA19)</f>
        <v>52122.549999999988</v>
      </c>
      <c r="AC19" s="466">
        <v>50441</v>
      </c>
      <c r="AD19" s="466">
        <f>529644-SUM(U19:AC19)</f>
        <v>51881</v>
      </c>
      <c r="AE19" s="466"/>
      <c r="AF19" s="466"/>
      <c r="AG19" s="466">
        <f t="shared" si="0"/>
        <v>529644</v>
      </c>
      <c r="AH19" s="604">
        <f>AVERAGE(Z19:AD19)*2+AG19</f>
        <v>632446.80000000005</v>
      </c>
      <c r="AI19" s="46">
        <f t="shared" ref="AI19:AI25" si="2">+AG19/T19-1</f>
        <v>0.19724899738349566</v>
      </c>
      <c r="AJ19" s="275">
        <f t="shared" ref="AJ19:AJ27" si="3">AH19/F19-1</f>
        <v>0.18874274007104908</v>
      </c>
      <c r="AK19" s="157"/>
    </row>
    <row r="20" spans="1:38" s="40" customFormat="1" ht="30" customHeight="1" x14ac:dyDescent="0.7">
      <c r="A20" s="230" t="s">
        <v>53</v>
      </c>
      <c r="B20" s="117" t="s">
        <v>39</v>
      </c>
      <c r="C20" s="466">
        <v>0</v>
      </c>
      <c r="D20" s="9">
        <v>0</v>
      </c>
      <c r="E20" s="466">
        <v>0</v>
      </c>
      <c r="F20" s="466">
        <v>0</v>
      </c>
      <c r="G20" s="466">
        <v>0</v>
      </c>
      <c r="H20" s="466">
        <v>0</v>
      </c>
      <c r="I20" s="466">
        <v>0</v>
      </c>
      <c r="J20" s="466">
        <v>0</v>
      </c>
      <c r="K20" s="466">
        <v>0</v>
      </c>
      <c r="L20" s="466">
        <v>0</v>
      </c>
      <c r="M20" s="466">
        <v>0</v>
      </c>
      <c r="N20" s="466">
        <v>0</v>
      </c>
      <c r="O20" s="466">
        <v>0</v>
      </c>
      <c r="P20" s="466">
        <v>0</v>
      </c>
      <c r="Q20" s="466">
        <v>0</v>
      </c>
      <c r="R20" s="466">
        <v>0</v>
      </c>
      <c r="S20" s="466">
        <v>0</v>
      </c>
      <c r="T20" s="466">
        <f t="shared" si="1"/>
        <v>0</v>
      </c>
      <c r="U20" s="466"/>
      <c r="V20" s="466"/>
      <c r="W20" s="466"/>
      <c r="X20" s="466"/>
      <c r="Y20" s="466"/>
      <c r="Z20" s="466"/>
      <c r="AA20" s="466"/>
      <c r="AB20" s="466"/>
      <c r="AC20" s="466"/>
      <c r="AD20" s="466"/>
      <c r="AE20" s="466"/>
      <c r="AF20" s="466"/>
      <c r="AG20" s="466">
        <f t="shared" si="0"/>
        <v>0</v>
      </c>
      <c r="AH20" s="604">
        <v>0</v>
      </c>
      <c r="AI20" s="46" t="e">
        <f t="shared" si="2"/>
        <v>#DIV/0!</v>
      </c>
      <c r="AJ20" s="275" t="e">
        <f t="shared" si="3"/>
        <v>#DIV/0!</v>
      </c>
      <c r="AK20" s="157"/>
    </row>
    <row r="21" spans="1:38" s="94" customFormat="1" ht="24" customHeight="1" x14ac:dyDescent="0.7">
      <c r="A21" s="235" t="s">
        <v>1</v>
      </c>
      <c r="B21" s="104" t="s">
        <v>1</v>
      </c>
      <c r="C21" s="466">
        <v>-3300013.0000000005</v>
      </c>
      <c r="D21" s="26">
        <v>-3535830</v>
      </c>
      <c r="E21" s="466">
        <v>-1995545.0000000007</v>
      </c>
      <c r="F21" s="466">
        <v>-2185136.0000000005</v>
      </c>
      <c r="G21" s="466">
        <v>-3388273.9999999995</v>
      </c>
      <c r="H21" s="466">
        <v>-282356.16666666669</v>
      </c>
      <c r="I21" s="466">
        <v>-282356.16666666669</v>
      </c>
      <c r="J21" s="466">
        <v>-282356.16666666669</v>
      </c>
      <c r="K21" s="466">
        <v>-282356.16666666669</v>
      </c>
      <c r="L21" s="466">
        <v>-282356.16666666669</v>
      </c>
      <c r="M21" s="466">
        <v>-282356.16666666669</v>
      </c>
      <c r="N21" s="466">
        <v>-282356.16666666669</v>
      </c>
      <c r="O21" s="466">
        <v>-282356.16666666669</v>
      </c>
      <c r="P21" s="466">
        <v>-282356.16666666669</v>
      </c>
      <c r="Q21" s="466">
        <v>-282356.16666666669</v>
      </c>
      <c r="R21" s="466">
        <v>-282356.16666666669</v>
      </c>
      <c r="S21" s="466">
        <v>-282356.16666666669</v>
      </c>
      <c r="T21" s="466">
        <f t="shared" si="1"/>
        <v>-2823561.6666666665</v>
      </c>
      <c r="U21" s="466">
        <v>-330325</v>
      </c>
      <c r="V21" s="466">
        <v>-24325</v>
      </c>
      <c r="W21" s="466">
        <v>-258963</v>
      </c>
      <c r="X21" s="466">
        <v>-507510</v>
      </c>
      <c r="Y21" s="466">
        <v>-1005967</v>
      </c>
      <c r="Z21" s="466">
        <f>-388998+0.45</f>
        <v>-388997.55</v>
      </c>
      <c r="AA21" s="466">
        <v>703339</v>
      </c>
      <c r="AB21" s="601">
        <f>-1696277-SUM(U21:AA21)</f>
        <v>116471.54999999981</v>
      </c>
      <c r="AC21" s="466">
        <v>-101650</v>
      </c>
      <c r="AD21" s="466">
        <f>-2098159-SUM(U21:AC21)</f>
        <v>-300232</v>
      </c>
      <c r="AE21" s="466"/>
      <c r="AF21" s="466"/>
      <c r="AG21" s="466">
        <f t="shared" si="0"/>
        <v>-2098159</v>
      </c>
      <c r="AH21" s="604">
        <f>AVERAGE(Z21:AD21)*2+AG21</f>
        <v>-2086586.6</v>
      </c>
      <c r="AI21" s="46">
        <f>+AG21/T21-1</f>
        <v>-0.25691050959869244</v>
      </c>
      <c r="AJ21" s="275">
        <f t="shared" si="3"/>
        <v>-4.5099893095899013E-2</v>
      </c>
      <c r="AK21" s="157"/>
      <c r="AL21" s="40"/>
    </row>
    <row r="22" spans="1:38" s="94" customFormat="1" ht="30" customHeight="1" x14ac:dyDescent="0.7">
      <c r="A22" s="235" t="s">
        <v>87</v>
      </c>
      <c r="B22" s="104" t="s">
        <v>87</v>
      </c>
      <c r="C22" s="466">
        <v>-2164512</v>
      </c>
      <c r="D22" s="26">
        <v>-2883927</v>
      </c>
      <c r="E22" s="466">
        <v>-2742831</v>
      </c>
      <c r="F22" s="466">
        <v>-2545756</v>
      </c>
      <c r="G22" s="466">
        <v>-2930617.0000000005</v>
      </c>
      <c r="H22" s="466">
        <v>-244218.08333333337</v>
      </c>
      <c r="I22" s="466">
        <v>-244218.08333333337</v>
      </c>
      <c r="J22" s="466">
        <v>-244218.08333333337</v>
      </c>
      <c r="K22" s="466">
        <v>-244218.08333333337</v>
      </c>
      <c r="L22" s="466">
        <v>-244218.08333333337</v>
      </c>
      <c r="M22" s="466">
        <v>-244218.08333333337</v>
      </c>
      <c r="N22" s="466">
        <v>-244218.08333333337</v>
      </c>
      <c r="O22" s="466">
        <v>-244218.08333333337</v>
      </c>
      <c r="P22" s="466">
        <v>-244218.08333333337</v>
      </c>
      <c r="Q22" s="466">
        <v>-244218.08333333337</v>
      </c>
      <c r="R22" s="466">
        <v>-244218.08333333337</v>
      </c>
      <c r="S22" s="466">
        <v>-244218.08333333337</v>
      </c>
      <c r="T22" s="466">
        <f t="shared" si="1"/>
        <v>-2442180.8333333344</v>
      </c>
      <c r="U22" s="466">
        <v>-47755</v>
      </c>
      <c r="V22" s="466">
        <v>-50122</v>
      </c>
      <c r="W22" s="466">
        <v>-82763</v>
      </c>
      <c r="X22" s="466">
        <v>-68576</v>
      </c>
      <c r="Y22" s="466">
        <v>-86385</v>
      </c>
      <c r="Z22" s="466">
        <f>-137995+0.45</f>
        <v>-137994.54999999999</v>
      </c>
      <c r="AA22" s="466">
        <v>-49957</v>
      </c>
      <c r="AB22" s="601">
        <f>-632005-SUM(U22:AA22)</f>
        <v>-108452.45000000001</v>
      </c>
      <c r="AC22" s="466">
        <v>-42964</v>
      </c>
      <c r="AD22" s="466">
        <f>-714228-SUM(U22:AC22)</f>
        <v>-39259</v>
      </c>
      <c r="AE22" s="466"/>
      <c r="AF22" s="466"/>
      <c r="AG22" s="466">
        <f t="shared" si="0"/>
        <v>-714228</v>
      </c>
      <c r="AH22" s="604">
        <f>AVERAGE(Z22:AD22)*2+AG22</f>
        <v>-865678.8</v>
      </c>
      <c r="AI22" s="46">
        <f>+AG22/T22-1</f>
        <v>-0.70754499820345007</v>
      </c>
      <c r="AJ22" s="275">
        <f t="shared" si="3"/>
        <v>-0.65995217137856099</v>
      </c>
      <c r="AK22" s="157"/>
      <c r="AL22" s="40"/>
    </row>
    <row r="23" spans="1:38" s="94" customFormat="1" ht="30" customHeight="1" x14ac:dyDescent="0.7">
      <c r="A23" s="235" t="s">
        <v>17</v>
      </c>
      <c r="B23" s="104" t="s">
        <v>17</v>
      </c>
      <c r="C23" s="466">
        <v>-104062599.99999996</v>
      </c>
      <c r="D23" s="26">
        <v>-105041779.00000006</v>
      </c>
      <c r="E23" s="466">
        <v>-104625755</v>
      </c>
      <c r="F23" s="466">
        <v>-107163710</v>
      </c>
      <c r="G23" s="466">
        <v>-110623821</v>
      </c>
      <c r="H23" s="466">
        <v>-9218651.75</v>
      </c>
      <c r="I23" s="466">
        <v>-9218651.75</v>
      </c>
      <c r="J23" s="466">
        <v>-9218651.75</v>
      </c>
      <c r="K23" s="466">
        <v>-9218651.75</v>
      </c>
      <c r="L23" s="466">
        <v>-9218651.75</v>
      </c>
      <c r="M23" s="466">
        <v>-9218651.75</v>
      </c>
      <c r="N23" s="466">
        <v>-9218651.75</v>
      </c>
      <c r="O23" s="466">
        <v>-9218651.75</v>
      </c>
      <c r="P23" s="466">
        <v>-9218651.75</v>
      </c>
      <c r="Q23" s="466">
        <v>-9218651.75</v>
      </c>
      <c r="R23" s="466">
        <v>-9218651.75</v>
      </c>
      <c r="S23" s="466">
        <v>-9218651.75</v>
      </c>
      <c r="T23" s="466">
        <f t="shared" si="1"/>
        <v>-92186517.5</v>
      </c>
      <c r="U23" s="466">
        <v>-10124179</v>
      </c>
      <c r="V23" s="466">
        <v>-8784663</v>
      </c>
      <c r="W23" s="466">
        <v>-9514453</v>
      </c>
      <c r="X23" s="466">
        <v>-9565227</v>
      </c>
      <c r="Y23" s="466">
        <v>-7733711</v>
      </c>
      <c r="Z23" s="466">
        <f>-9750470+0.45</f>
        <v>-9750469.5500000007</v>
      </c>
      <c r="AA23" s="466">
        <v>-11298032.550000001</v>
      </c>
      <c r="AB23" s="466">
        <f>-77187811-SUM(U23:AA23)</f>
        <v>-10417075.900000006</v>
      </c>
      <c r="AC23" s="466">
        <v>-11015736</v>
      </c>
      <c r="AD23" s="466">
        <f>-98639923-SUM(U23:AC23)</f>
        <v>-10436376</v>
      </c>
      <c r="AE23" s="466"/>
      <c r="AF23" s="466"/>
      <c r="AG23" s="466">
        <f t="shared" si="0"/>
        <v>-98639923</v>
      </c>
      <c r="AH23" s="604">
        <f>AVERAGE(Z23:AD23)*2+AG23</f>
        <v>-119806999</v>
      </c>
      <c r="AI23" s="46">
        <f>+AG23/T23-1</f>
        <v>7.0003788786142218E-2</v>
      </c>
      <c r="AJ23" s="275">
        <f t="shared" si="3"/>
        <v>0.11798106840459321</v>
      </c>
      <c r="AK23" s="157"/>
      <c r="AL23" s="40"/>
    </row>
    <row r="24" spans="1:38" s="41" customFormat="1" ht="30" customHeight="1" x14ac:dyDescent="0.7">
      <c r="A24" s="229" t="s">
        <v>254</v>
      </c>
      <c r="B24" s="83" t="s">
        <v>68</v>
      </c>
      <c r="C24" s="464">
        <v>73143436.030000076</v>
      </c>
      <c r="D24" s="3">
        <v>77143352.999999955</v>
      </c>
      <c r="E24" s="464">
        <v>65271891.000000045</v>
      </c>
      <c r="F24" s="464">
        <v>61154724.000000045</v>
      </c>
      <c r="G24" s="464">
        <v>78962603.000000015</v>
      </c>
      <c r="H24" s="464">
        <v>6580216.916666666</v>
      </c>
      <c r="I24" s="464">
        <v>6580216.916666666</v>
      </c>
      <c r="J24" s="464">
        <v>6580216.916666666</v>
      </c>
      <c r="K24" s="464">
        <v>6580216.916666666</v>
      </c>
      <c r="L24" s="464">
        <v>6580216.916666666</v>
      </c>
      <c r="M24" s="464">
        <v>6580216.916666666</v>
      </c>
      <c r="N24" s="464">
        <v>6580216.916666666</v>
      </c>
      <c r="O24" s="464">
        <v>6580216.916666666</v>
      </c>
      <c r="P24" s="464">
        <v>6580216.916666666</v>
      </c>
      <c r="Q24" s="464">
        <v>6580216.916666666</v>
      </c>
      <c r="R24" s="464">
        <v>6580216.916666666</v>
      </c>
      <c r="S24" s="464">
        <v>6580216.916666666</v>
      </c>
      <c r="T24" s="464">
        <f t="shared" si="1"/>
        <v>65802169.166666649</v>
      </c>
      <c r="U24" s="464">
        <f t="shared" ref="U24:AF24" si="4">SUM(U17:U23)</f>
        <v>5824438</v>
      </c>
      <c r="V24" s="464">
        <f t="shared" si="4"/>
        <v>5293882</v>
      </c>
      <c r="W24" s="464">
        <f t="shared" si="4"/>
        <v>5894267</v>
      </c>
      <c r="X24" s="464">
        <f t="shared" si="4"/>
        <v>6239289</v>
      </c>
      <c r="Y24" s="464">
        <f t="shared" si="4"/>
        <v>5674064</v>
      </c>
      <c r="Z24" s="464">
        <f t="shared" si="4"/>
        <v>7353627.2499999963</v>
      </c>
      <c r="AA24" s="464">
        <f t="shared" si="4"/>
        <v>6290835.8999999985</v>
      </c>
      <c r="AB24" s="464">
        <f t="shared" si="4"/>
        <v>6564071.8499999903</v>
      </c>
      <c r="AC24" s="464">
        <f t="shared" si="4"/>
        <v>6290046</v>
      </c>
      <c r="AD24" s="464">
        <f t="shared" si="4"/>
        <v>6250594</v>
      </c>
      <c r="AE24" s="464">
        <f t="shared" si="4"/>
        <v>0</v>
      </c>
      <c r="AF24" s="464">
        <f t="shared" si="4"/>
        <v>0</v>
      </c>
      <c r="AG24" s="464">
        <f t="shared" si="0"/>
        <v>61675114.999999985</v>
      </c>
      <c r="AH24" s="464">
        <f>SUM(AH17:AH23)</f>
        <v>74774785</v>
      </c>
      <c r="AI24" s="53">
        <f t="shared" si="2"/>
        <v>-6.2719120341055645E-2</v>
      </c>
      <c r="AJ24" s="273">
        <f t="shared" si="3"/>
        <v>0.22271478160869385</v>
      </c>
      <c r="AK24" s="157"/>
      <c r="AL24" s="40"/>
    </row>
    <row r="25" spans="1:38" s="40" customFormat="1" ht="30" customHeight="1" x14ac:dyDescent="0.7">
      <c r="A25" s="230" t="s">
        <v>78</v>
      </c>
      <c r="B25" s="89" t="s">
        <v>78</v>
      </c>
      <c r="C25" s="466">
        <v>10850821</v>
      </c>
      <c r="D25" s="9">
        <v>11001739</v>
      </c>
      <c r="E25" s="466">
        <v>12999058.000000006</v>
      </c>
      <c r="F25" s="466">
        <v>15439129.999999994</v>
      </c>
      <c r="G25" s="466">
        <v>13839826.000000002</v>
      </c>
      <c r="H25" s="466">
        <v>1153318.8333333333</v>
      </c>
      <c r="I25" s="466">
        <v>1153318.8333333333</v>
      </c>
      <c r="J25" s="466">
        <v>1153318.8333333333</v>
      </c>
      <c r="K25" s="466">
        <v>1153318.8333333333</v>
      </c>
      <c r="L25" s="466">
        <v>1153318.8333333333</v>
      </c>
      <c r="M25" s="466">
        <v>1153318.8333333333</v>
      </c>
      <c r="N25" s="466">
        <v>1153318.8333333333</v>
      </c>
      <c r="O25" s="466">
        <v>1153318.8333333333</v>
      </c>
      <c r="P25" s="466">
        <v>1153318.8333333333</v>
      </c>
      <c r="Q25" s="466">
        <v>1153318.8333333333</v>
      </c>
      <c r="R25" s="466">
        <v>1153318.8333333333</v>
      </c>
      <c r="S25" s="466">
        <v>1153318.8333333333</v>
      </c>
      <c r="T25" s="466">
        <f t="shared" si="1"/>
        <v>11533188.333333334</v>
      </c>
      <c r="U25" s="466">
        <v>1281809</v>
      </c>
      <c r="V25" s="466">
        <v>1267988</v>
      </c>
      <c r="W25" s="466">
        <v>1286291</v>
      </c>
      <c r="X25" s="466">
        <v>1191260</v>
      </c>
      <c r="Y25" s="466">
        <v>1043768</v>
      </c>
      <c r="Z25" s="466">
        <f>1029030+0.45</f>
        <v>1029030.45</v>
      </c>
      <c r="AA25" s="466">
        <v>1041276.5</v>
      </c>
      <c r="AB25" s="601">
        <f>9179762-SUM(U25:AA25)</f>
        <v>1038339.0499999998</v>
      </c>
      <c r="AC25" s="466">
        <v>1157586</v>
      </c>
      <c r="AD25" s="466">
        <f>11392542-SUM(U25:AC25)</f>
        <v>1055194</v>
      </c>
      <c r="AE25" s="466"/>
      <c r="AF25" s="466"/>
      <c r="AG25" s="466">
        <f t="shared" si="0"/>
        <v>11392542</v>
      </c>
      <c r="AH25" s="604">
        <f>AVERAGE(Z25:AD25)*2+AG25</f>
        <v>13521112.4</v>
      </c>
      <c r="AI25" s="46">
        <f t="shared" si="2"/>
        <v>-1.2194922103789474E-2</v>
      </c>
      <c r="AJ25" s="275">
        <f t="shared" si="3"/>
        <v>-0.12423093788315753</v>
      </c>
      <c r="AK25" s="157"/>
    </row>
    <row r="26" spans="1:38" s="40" customFormat="1" ht="30" customHeight="1" x14ac:dyDescent="0.7">
      <c r="A26" s="230" t="s">
        <v>178</v>
      </c>
      <c r="B26" s="117" t="s">
        <v>178</v>
      </c>
      <c r="C26" s="466">
        <v>0</v>
      </c>
      <c r="D26" s="9">
        <v>0</v>
      </c>
      <c r="E26" s="466">
        <v>0</v>
      </c>
      <c r="F26" s="466">
        <v>0</v>
      </c>
      <c r="G26" s="466">
        <v>0</v>
      </c>
      <c r="H26" s="466">
        <v>0</v>
      </c>
      <c r="I26" s="466">
        <v>0</v>
      </c>
      <c r="J26" s="466">
        <v>0</v>
      </c>
      <c r="K26" s="466">
        <v>0</v>
      </c>
      <c r="L26" s="466">
        <v>0</v>
      </c>
      <c r="M26" s="466">
        <v>0</v>
      </c>
      <c r="N26" s="466">
        <v>0</v>
      </c>
      <c r="O26" s="466">
        <v>0</v>
      </c>
      <c r="P26" s="466">
        <v>0</v>
      </c>
      <c r="Q26" s="466">
        <v>0</v>
      </c>
      <c r="R26" s="466">
        <v>0</v>
      </c>
      <c r="S26" s="466">
        <v>0</v>
      </c>
      <c r="T26" s="466">
        <f t="shared" si="1"/>
        <v>0</v>
      </c>
      <c r="U26" s="466"/>
      <c r="V26" s="466"/>
      <c r="W26" s="466"/>
      <c r="X26" s="466"/>
      <c r="Y26" s="466"/>
      <c r="Z26" s="466"/>
      <c r="AA26" s="466"/>
      <c r="AB26" s="466"/>
      <c r="AC26" s="466"/>
      <c r="AD26" s="466"/>
      <c r="AE26" s="466"/>
      <c r="AF26" s="466"/>
      <c r="AG26" s="466">
        <f t="shared" si="0"/>
        <v>0</v>
      </c>
      <c r="AH26" s="604">
        <v>0</v>
      </c>
      <c r="AI26" s="46" t="e">
        <f>+AG26/T26-1</f>
        <v>#DIV/0!</v>
      </c>
      <c r="AJ26" s="275" t="e">
        <f t="shared" si="3"/>
        <v>#DIV/0!</v>
      </c>
      <c r="AK26" s="157"/>
    </row>
    <row r="27" spans="1:38" s="94" customFormat="1" ht="24" customHeight="1" x14ac:dyDescent="0.7">
      <c r="A27" s="235" t="s">
        <v>35</v>
      </c>
      <c r="B27" s="104" t="s">
        <v>35</v>
      </c>
      <c r="C27" s="466">
        <v>0</v>
      </c>
      <c r="D27" s="26">
        <v>0</v>
      </c>
      <c r="E27" s="466">
        <v>0</v>
      </c>
      <c r="F27" s="466">
        <v>0</v>
      </c>
      <c r="G27" s="466">
        <v>0</v>
      </c>
      <c r="H27" s="466">
        <v>0</v>
      </c>
      <c r="I27" s="466">
        <v>0</v>
      </c>
      <c r="J27" s="466">
        <v>0</v>
      </c>
      <c r="K27" s="466">
        <v>0</v>
      </c>
      <c r="L27" s="466">
        <v>0</v>
      </c>
      <c r="M27" s="466">
        <v>0</v>
      </c>
      <c r="N27" s="466">
        <v>0</v>
      </c>
      <c r="O27" s="466">
        <v>0</v>
      </c>
      <c r="P27" s="466">
        <v>0</v>
      </c>
      <c r="Q27" s="466">
        <v>0</v>
      </c>
      <c r="R27" s="466">
        <v>0</v>
      </c>
      <c r="S27" s="466">
        <v>0</v>
      </c>
      <c r="T27" s="466">
        <f t="shared" si="1"/>
        <v>0</v>
      </c>
      <c r="U27" s="466"/>
      <c r="V27" s="466"/>
      <c r="W27" s="466"/>
      <c r="X27" s="466"/>
      <c r="Y27" s="466"/>
      <c r="Z27" s="466"/>
      <c r="AA27" s="466"/>
      <c r="AB27" s="466"/>
      <c r="AC27" s="466"/>
      <c r="AD27" s="466"/>
      <c r="AE27" s="466"/>
      <c r="AF27" s="466"/>
      <c r="AG27" s="466">
        <f t="shared" si="0"/>
        <v>0</v>
      </c>
      <c r="AH27" s="604">
        <v>0</v>
      </c>
      <c r="AI27" s="46" t="e">
        <f>+AG27/T27-1</f>
        <v>#DIV/0!</v>
      </c>
      <c r="AJ27" s="275" t="e">
        <f t="shared" si="3"/>
        <v>#DIV/0!</v>
      </c>
      <c r="AK27" s="157"/>
      <c r="AL27" s="40"/>
    </row>
    <row r="28" spans="1:38" s="41" customFormat="1" ht="30" customHeight="1" x14ac:dyDescent="0.7">
      <c r="A28" s="229"/>
      <c r="B28" s="226" t="s">
        <v>99</v>
      </c>
      <c r="C28" s="464">
        <v>10850821</v>
      </c>
      <c r="D28" s="3">
        <v>11001739</v>
      </c>
      <c r="E28" s="464">
        <v>12999058.000000006</v>
      </c>
      <c r="F28" s="464">
        <v>15439129.999999994</v>
      </c>
      <c r="G28" s="464">
        <v>13839826.000000002</v>
      </c>
      <c r="H28" s="464">
        <v>1153318.8333333333</v>
      </c>
      <c r="I28" s="464">
        <v>1153318.8333333333</v>
      </c>
      <c r="J28" s="464">
        <v>1153318.8333333333</v>
      </c>
      <c r="K28" s="464">
        <v>1153318.8333333333</v>
      </c>
      <c r="L28" s="464">
        <v>1153318.8333333333</v>
      </c>
      <c r="M28" s="464">
        <v>1153318.8333333333</v>
      </c>
      <c r="N28" s="464">
        <v>1153318.8333333333</v>
      </c>
      <c r="O28" s="464">
        <v>1153318.8333333333</v>
      </c>
      <c r="P28" s="464">
        <v>1153318.8333333333</v>
      </c>
      <c r="Q28" s="464">
        <v>1153318.8333333333</v>
      </c>
      <c r="R28" s="464">
        <v>1153318.8333333333</v>
      </c>
      <c r="S28" s="464">
        <v>1153318.8333333333</v>
      </c>
      <c r="T28" s="464">
        <f t="shared" si="1"/>
        <v>11533188.333333334</v>
      </c>
      <c r="U28" s="464">
        <f>SUM(U25:U27)</f>
        <v>1281809</v>
      </c>
      <c r="V28" s="464">
        <f t="shared" ref="V28:AH28" si="5">SUM(V25:V27)</f>
        <v>1267988</v>
      </c>
      <c r="W28" s="464">
        <f t="shared" si="5"/>
        <v>1286291</v>
      </c>
      <c r="X28" s="464">
        <f t="shared" si="5"/>
        <v>1191260</v>
      </c>
      <c r="Y28" s="464">
        <f t="shared" si="5"/>
        <v>1043768</v>
      </c>
      <c r="Z28" s="464">
        <f t="shared" si="5"/>
        <v>1029030.45</v>
      </c>
      <c r="AA28" s="464">
        <f t="shared" si="5"/>
        <v>1041276.5</v>
      </c>
      <c r="AB28" s="464">
        <f t="shared" si="5"/>
        <v>1038339.0499999998</v>
      </c>
      <c r="AC28" s="464">
        <f t="shared" si="5"/>
        <v>1157586</v>
      </c>
      <c r="AD28" s="464">
        <f t="shared" si="5"/>
        <v>1055194</v>
      </c>
      <c r="AE28" s="464">
        <f t="shared" si="5"/>
        <v>0</v>
      </c>
      <c r="AF28" s="464">
        <f t="shared" si="5"/>
        <v>0</v>
      </c>
      <c r="AG28" s="464">
        <f t="shared" si="0"/>
        <v>11392542</v>
      </c>
      <c r="AH28" s="464">
        <f t="shared" si="5"/>
        <v>13521112.4</v>
      </c>
      <c r="AI28" s="53">
        <f>+AG28/T28-1</f>
        <v>-1.2194922103789474E-2</v>
      </c>
      <c r="AJ28" s="273">
        <f>AH28/F28-1</f>
        <v>-0.12423093788315753</v>
      </c>
      <c r="AK28" s="157"/>
      <c r="AL28" s="40"/>
    </row>
    <row r="29" spans="1:38" s="40" customFormat="1" ht="30" customHeight="1" x14ac:dyDescent="0.7">
      <c r="A29" s="230"/>
      <c r="B29" s="215" t="s">
        <v>79</v>
      </c>
      <c r="C29" s="467">
        <v>83994257.030000076</v>
      </c>
      <c r="D29" s="1">
        <v>88145091.999999955</v>
      </c>
      <c r="E29" s="467">
        <v>78270949.000000045</v>
      </c>
      <c r="F29" s="467">
        <v>76593854.000000045</v>
      </c>
      <c r="G29" s="467">
        <v>92802429</v>
      </c>
      <c r="H29" s="467">
        <v>7733535.7499999991</v>
      </c>
      <c r="I29" s="467">
        <v>7733535.7499999991</v>
      </c>
      <c r="J29" s="467">
        <v>7733535.7499999991</v>
      </c>
      <c r="K29" s="467">
        <v>7733535.7499999991</v>
      </c>
      <c r="L29" s="467">
        <v>7733535.7499999991</v>
      </c>
      <c r="M29" s="467">
        <v>7733535.7499999991</v>
      </c>
      <c r="N29" s="467">
        <v>7733535.7499999991</v>
      </c>
      <c r="O29" s="467">
        <v>7733535.7499999991</v>
      </c>
      <c r="P29" s="467">
        <v>7733535.7499999991</v>
      </c>
      <c r="Q29" s="467">
        <v>7733535.7499999991</v>
      </c>
      <c r="R29" s="467">
        <v>7733535.7499999991</v>
      </c>
      <c r="S29" s="467">
        <v>7733535.7499999991</v>
      </c>
      <c r="T29" s="467">
        <f t="shared" si="1"/>
        <v>77335357.499999985</v>
      </c>
      <c r="U29" s="467">
        <f t="shared" ref="U29:AF29" si="6">U24+U28</f>
        <v>7106247</v>
      </c>
      <c r="V29" s="467">
        <f t="shared" si="6"/>
        <v>6561870</v>
      </c>
      <c r="W29" s="467">
        <f t="shared" si="6"/>
        <v>7180558</v>
      </c>
      <c r="X29" s="467">
        <f t="shared" si="6"/>
        <v>7430549</v>
      </c>
      <c r="Y29" s="467">
        <f t="shared" si="6"/>
        <v>6717832</v>
      </c>
      <c r="Z29" s="467">
        <f t="shared" si="6"/>
        <v>8382657.6999999965</v>
      </c>
      <c r="AA29" s="467">
        <f t="shared" si="6"/>
        <v>7332112.3999999985</v>
      </c>
      <c r="AB29" s="467">
        <f t="shared" si="6"/>
        <v>7602410.8999999901</v>
      </c>
      <c r="AC29" s="467">
        <f t="shared" si="6"/>
        <v>7447632</v>
      </c>
      <c r="AD29" s="467">
        <f t="shared" si="6"/>
        <v>7305788</v>
      </c>
      <c r="AE29" s="467">
        <f t="shared" si="6"/>
        <v>0</v>
      </c>
      <c r="AF29" s="467">
        <f t="shared" si="6"/>
        <v>0</v>
      </c>
      <c r="AG29" s="467">
        <f t="shared" si="0"/>
        <v>73067656.999999985</v>
      </c>
      <c r="AH29" s="467">
        <f>AH24+AH28</f>
        <v>88295897.400000006</v>
      </c>
      <c r="AI29" s="37">
        <f>+AG29/T29-1</f>
        <v>-5.518433790132804E-2</v>
      </c>
      <c r="AJ29" s="276">
        <f t="shared" ref="AJ29:AJ40" si="7">AH29/F29-1</f>
        <v>0.1527804489378477</v>
      </c>
      <c r="AK29" s="157"/>
    </row>
    <row r="30" spans="1:38" s="73" customFormat="1" ht="30" customHeight="1" x14ac:dyDescent="0.7">
      <c r="A30" s="234"/>
      <c r="B30" s="130" t="s">
        <v>38</v>
      </c>
      <c r="C30" s="465">
        <v>1658276.9999999998</v>
      </c>
      <c r="D30" s="4">
        <v>1695000</v>
      </c>
      <c r="E30" s="465">
        <v>1731692.9999999998</v>
      </c>
      <c r="F30" s="465">
        <v>1855151</v>
      </c>
      <c r="G30" s="465">
        <v>1637168.0000000002</v>
      </c>
      <c r="H30" s="465">
        <v>136430.66666666666</v>
      </c>
      <c r="I30" s="465">
        <v>136430.66666666666</v>
      </c>
      <c r="J30" s="465">
        <v>136430.66666666666</v>
      </c>
      <c r="K30" s="465">
        <v>136430.66666666666</v>
      </c>
      <c r="L30" s="465">
        <v>136430.66666666666</v>
      </c>
      <c r="M30" s="465">
        <v>136430.66666666666</v>
      </c>
      <c r="N30" s="465">
        <v>136430.66666666666</v>
      </c>
      <c r="O30" s="465">
        <v>136430.66666666666</v>
      </c>
      <c r="P30" s="465">
        <v>136430.66666666666</v>
      </c>
      <c r="Q30" s="465">
        <v>136430.66666666666</v>
      </c>
      <c r="R30" s="465">
        <v>136430.66666666666</v>
      </c>
      <c r="S30" s="465">
        <v>136430.66666666666</v>
      </c>
      <c r="T30" s="465">
        <f t="shared" si="1"/>
        <v>1364306.6666666667</v>
      </c>
      <c r="U30" s="465">
        <v>235748</v>
      </c>
      <c r="V30" s="465">
        <v>196397</v>
      </c>
      <c r="W30" s="465">
        <v>315019</v>
      </c>
      <c r="X30" s="465">
        <v>139432</v>
      </c>
      <c r="Y30" s="465">
        <v>132360</v>
      </c>
      <c r="Z30" s="465">
        <v>147579</v>
      </c>
      <c r="AA30" s="465">
        <v>74780</v>
      </c>
      <c r="AB30" s="465">
        <f>1339601-SUM(U30:AA30)</f>
        <v>98286</v>
      </c>
      <c r="AC30" s="465">
        <v>104361</v>
      </c>
      <c r="AD30" s="465">
        <f>1569527-SUM(U30:AC30)</f>
        <v>125565</v>
      </c>
      <c r="AE30" s="465"/>
      <c r="AF30" s="465"/>
      <c r="AG30" s="465">
        <f t="shared" ref="AG30:AG39" si="8">SUM(U30:AF30)</f>
        <v>1569527</v>
      </c>
      <c r="AH30" s="604">
        <f>AVERAGE(Z30:AD30)*2+AG30</f>
        <v>1789755.4</v>
      </c>
      <c r="AI30" s="67">
        <f>+AG30/T30-1</f>
        <v>0.15042097084721906</v>
      </c>
      <c r="AJ30" s="274">
        <f t="shared" si="7"/>
        <v>-3.525082324835016E-2</v>
      </c>
      <c r="AK30" s="157"/>
      <c r="AL30" s="40"/>
    </row>
    <row r="31" spans="1:38" s="73" customFormat="1" ht="30" customHeight="1" x14ac:dyDescent="0.7">
      <c r="A31" s="234"/>
      <c r="B31" s="130" t="s">
        <v>179</v>
      </c>
      <c r="C31" s="465">
        <v>0</v>
      </c>
      <c r="D31" s="4">
        <v>0</v>
      </c>
      <c r="E31" s="465">
        <v>11761207.000000006</v>
      </c>
      <c r="F31" s="465">
        <v>12484405.999999998</v>
      </c>
      <c r="G31" s="465">
        <v>0</v>
      </c>
      <c r="H31" s="465">
        <v>0</v>
      </c>
      <c r="I31" s="465">
        <v>0</v>
      </c>
      <c r="J31" s="465">
        <v>0</v>
      </c>
      <c r="K31" s="465">
        <v>0</v>
      </c>
      <c r="L31" s="465">
        <v>0</v>
      </c>
      <c r="M31" s="465">
        <v>0</v>
      </c>
      <c r="N31" s="465">
        <v>0</v>
      </c>
      <c r="O31" s="465">
        <v>0</v>
      </c>
      <c r="P31" s="465">
        <v>0</v>
      </c>
      <c r="Q31" s="465">
        <v>0</v>
      </c>
      <c r="R31" s="465">
        <v>0</v>
      </c>
      <c r="S31" s="465">
        <v>0</v>
      </c>
      <c r="T31" s="465">
        <f t="shared" si="1"/>
        <v>0</v>
      </c>
      <c r="U31" s="465"/>
      <c r="V31" s="465"/>
      <c r="W31" s="465"/>
      <c r="X31" s="465"/>
      <c r="Y31" s="465"/>
      <c r="Z31" s="465">
        <v>109089</v>
      </c>
      <c r="AA31" s="465"/>
      <c r="AB31" s="465">
        <f>109089-SUM(U31:AA31)</f>
        <v>0</v>
      </c>
      <c r="AC31" s="465">
        <v>0</v>
      </c>
      <c r="AD31" s="465">
        <v>0</v>
      </c>
      <c r="AE31" s="465"/>
      <c r="AF31" s="465"/>
      <c r="AG31" s="465">
        <f t="shared" si="8"/>
        <v>109089</v>
      </c>
      <c r="AH31" s="604">
        <f t="shared" ref="AH31:AH38" si="9">AVERAGE(Z31:AD31)*2+AG31</f>
        <v>163633.5</v>
      </c>
      <c r="AI31" s="67" t="e">
        <f t="shared" ref="AI31:AI38" si="10">+AG31/T31-1</f>
        <v>#DIV/0!</v>
      </c>
      <c r="AJ31" s="274">
        <f t="shared" si="7"/>
        <v>-0.98689296871633303</v>
      </c>
      <c r="AK31" s="157"/>
      <c r="AL31" s="40"/>
    </row>
    <row r="32" spans="1:38" s="73" customFormat="1" ht="30" customHeight="1" x14ac:dyDescent="0.7">
      <c r="A32" s="234"/>
      <c r="B32" s="130" t="s">
        <v>148</v>
      </c>
      <c r="C32" s="465">
        <v>0</v>
      </c>
      <c r="D32" s="4">
        <v>0</v>
      </c>
      <c r="E32" s="465">
        <v>0</v>
      </c>
      <c r="F32" s="465">
        <v>0</v>
      </c>
      <c r="G32" s="465">
        <v>0</v>
      </c>
      <c r="H32" s="465">
        <v>0</v>
      </c>
      <c r="I32" s="465">
        <v>0</v>
      </c>
      <c r="J32" s="465">
        <v>0</v>
      </c>
      <c r="K32" s="465">
        <v>0</v>
      </c>
      <c r="L32" s="465">
        <v>0</v>
      </c>
      <c r="M32" s="465">
        <v>0</v>
      </c>
      <c r="N32" s="465">
        <v>0</v>
      </c>
      <c r="O32" s="465">
        <v>0</v>
      </c>
      <c r="P32" s="465">
        <v>0</v>
      </c>
      <c r="Q32" s="465">
        <v>0</v>
      </c>
      <c r="R32" s="465">
        <v>0</v>
      </c>
      <c r="S32" s="465">
        <v>0</v>
      </c>
      <c r="T32" s="465">
        <f t="shared" si="1"/>
        <v>0</v>
      </c>
      <c r="U32" s="465"/>
      <c r="V32" s="465"/>
      <c r="W32" s="465"/>
      <c r="X32" s="465"/>
      <c r="Y32" s="465"/>
      <c r="Z32" s="465"/>
      <c r="AA32" s="465"/>
      <c r="AB32" s="465"/>
      <c r="AC32" s="465"/>
      <c r="AD32" s="465"/>
      <c r="AE32" s="465"/>
      <c r="AF32" s="465"/>
      <c r="AG32" s="465">
        <f t="shared" si="8"/>
        <v>0</v>
      </c>
      <c r="AH32" s="604">
        <v>0</v>
      </c>
      <c r="AI32" s="67" t="e">
        <f t="shared" si="10"/>
        <v>#DIV/0!</v>
      </c>
      <c r="AJ32" s="274" t="e">
        <f t="shared" si="7"/>
        <v>#DIV/0!</v>
      </c>
      <c r="AK32" s="157"/>
      <c r="AL32" s="40"/>
    </row>
    <row r="33" spans="1:38" s="73" customFormat="1" ht="30" customHeight="1" x14ac:dyDescent="0.7">
      <c r="A33" s="234"/>
      <c r="B33" s="130" t="s">
        <v>29</v>
      </c>
      <c r="C33" s="465">
        <v>0</v>
      </c>
      <c r="D33" s="4">
        <v>0</v>
      </c>
      <c r="E33" s="465">
        <v>0</v>
      </c>
      <c r="F33" s="465">
        <v>0</v>
      </c>
      <c r="G33" s="465">
        <v>0</v>
      </c>
      <c r="H33" s="465">
        <v>0</v>
      </c>
      <c r="I33" s="465">
        <v>0</v>
      </c>
      <c r="J33" s="465">
        <v>0</v>
      </c>
      <c r="K33" s="465">
        <v>0</v>
      </c>
      <c r="L33" s="465">
        <v>0</v>
      </c>
      <c r="M33" s="465">
        <v>0</v>
      </c>
      <c r="N33" s="465">
        <v>0</v>
      </c>
      <c r="O33" s="465">
        <v>0</v>
      </c>
      <c r="P33" s="465">
        <v>0</v>
      </c>
      <c r="Q33" s="465">
        <v>0</v>
      </c>
      <c r="R33" s="465">
        <v>0</v>
      </c>
      <c r="S33" s="465">
        <v>0</v>
      </c>
      <c r="T33" s="465">
        <f t="shared" si="1"/>
        <v>0</v>
      </c>
      <c r="U33" s="465"/>
      <c r="V33" s="465"/>
      <c r="W33" s="465"/>
      <c r="X33" s="465"/>
      <c r="Y33" s="465"/>
      <c r="Z33" s="465"/>
      <c r="AA33" s="465"/>
      <c r="AB33" s="465"/>
      <c r="AC33" s="465"/>
      <c r="AD33" s="465"/>
      <c r="AE33" s="465"/>
      <c r="AF33" s="465"/>
      <c r="AG33" s="465">
        <f t="shared" si="8"/>
        <v>0</v>
      </c>
      <c r="AH33" s="604">
        <v>0</v>
      </c>
      <c r="AI33" s="67" t="e">
        <f t="shared" si="10"/>
        <v>#DIV/0!</v>
      </c>
      <c r="AJ33" s="274" t="e">
        <f t="shared" si="7"/>
        <v>#DIV/0!</v>
      </c>
      <c r="AK33" s="157"/>
      <c r="AL33" s="40"/>
    </row>
    <row r="34" spans="1:38" s="73" customFormat="1" ht="30" customHeight="1" x14ac:dyDescent="0.7">
      <c r="A34" s="234"/>
      <c r="B34" s="130" t="s">
        <v>98</v>
      </c>
      <c r="C34" s="465">
        <v>354447.30999999988</v>
      </c>
      <c r="D34" s="4">
        <v>356000.00000000006</v>
      </c>
      <c r="E34" s="465">
        <v>288791</v>
      </c>
      <c r="F34" s="465">
        <v>258577.99999999997</v>
      </c>
      <c r="G34" s="465">
        <v>356000.00000000006</v>
      </c>
      <c r="H34" s="465">
        <v>29666.666666666668</v>
      </c>
      <c r="I34" s="465">
        <v>29666.666666666668</v>
      </c>
      <c r="J34" s="465">
        <v>29666.666666666668</v>
      </c>
      <c r="K34" s="465">
        <v>29666.666666666668</v>
      </c>
      <c r="L34" s="465">
        <v>29666.666666666668</v>
      </c>
      <c r="M34" s="465">
        <v>29666.666666666668</v>
      </c>
      <c r="N34" s="465">
        <v>29666.666666666668</v>
      </c>
      <c r="O34" s="465">
        <v>29666.666666666668</v>
      </c>
      <c r="P34" s="465">
        <v>29666.666666666668</v>
      </c>
      <c r="Q34" s="465">
        <v>29666.666666666668</v>
      </c>
      <c r="R34" s="465">
        <v>29666.666666666668</v>
      </c>
      <c r="S34" s="465">
        <v>29666.666666666668</v>
      </c>
      <c r="T34" s="465">
        <f t="shared" si="1"/>
        <v>296666.66666666669</v>
      </c>
      <c r="U34" s="465">
        <v>25861</v>
      </c>
      <c r="V34" s="465">
        <v>23786</v>
      </c>
      <c r="W34" s="465">
        <v>24284</v>
      </c>
      <c r="X34" s="465">
        <v>23290</v>
      </c>
      <c r="Y34" s="465">
        <v>21584</v>
      </c>
      <c r="Z34" s="465">
        <v>24864</v>
      </c>
      <c r="AA34" s="465">
        <v>24620</v>
      </c>
      <c r="AB34" s="465">
        <f>191372-SUM(U34:AA34)</f>
        <v>23083</v>
      </c>
      <c r="AC34" s="465">
        <v>25377</v>
      </c>
      <c r="AD34" s="465">
        <f>239211-SUM(U34:AC34)</f>
        <v>22462</v>
      </c>
      <c r="AE34" s="465"/>
      <c r="AF34" s="465"/>
      <c r="AG34" s="465">
        <f t="shared" si="8"/>
        <v>239211</v>
      </c>
      <c r="AH34" s="604">
        <f t="shared" si="9"/>
        <v>287373.40000000002</v>
      </c>
      <c r="AI34" s="67">
        <f t="shared" si="10"/>
        <v>-0.19367078651685399</v>
      </c>
      <c r="AJ34" s="274">
        <f t="shared" si="7"/>
        <v>0.1113605952555905</v>
      </c>
      <c r="AK34" s="157"/>
      <c r="AL34" s="40"/>
    </row>
    <row r="35" spans="1:38" s="73" customFormat="1" ht="30" customHeight="1" x14ac:dyDescent="0.7">
      <c r="A35" s="234"/>
      <c r="B35" s="130" t="s">
        <v>28</v>
      </c>
      <c r="C35" s="465">
        <v>1118488.9999999998</v>
      </c>
      <c r="D35" s="4">
        <v>1158994.9999999998</v>
      </c>
      <c r="E35" s="465">
        <v>1208579</v>
      </c>
      <c r="F35" s="465">
        <v>1533248</v>
      </c>
      <c r="G35" s="465">
        <v>1350760</v>
      </c>
      <c r="H35" s="465">
        <v>112563.33333333331</v>
      </c>
      <c r="I35" s="465">
        <v>112563.33333333331</v>
      </c>
      <c r="J35" s="465">
        <v>112563.33333333331</v>
      </c>
      <c r="K35" s="465">
        <v>112563.33333333331</v>
      </c>
      <c r="L35" s="465">
        <v>112563.33333333331</v>
      </c>
      <c r="M35" s="465">
        <v>112563.33333333331</v>
      </c>
      <c r="N35" s="465">
        <v>112563.33333333331</v>
      </c>
      <c r="O35" s="465">
        <v>112563.33333333331</v>
      </c>
      <c r="P35" s="465">
        <v>112563.33333333331</v>
      </c>
      <c r="Q35" s="465">
        <v>112563.33333333331</v>
      </c>
      <c r="R35" s="465">
        <v>112563.33333333331</v>
      </c>
      <c r="S35" s="465">
        <v>112563.33333333331</v>
      </c>
      <c r="T35" s="465">
        <f t="shared" si="1"/>
        <v>1125633.3333333328</v>
      </c>
      <c r="U35" s="465">
        <v>127993</v>
      </c>
      <c r="V35" s="465">
        <v>98460</v>
      </c>
      <c r="W35" s="465">
        <v>78583</v>
      </c>
      <c r="X35" s="465">
        <v>137320</v>
      </c>
      <c r="Y35" s="465">
        <v>167763</v>
      </c>
      <c r="Z35" s="465">
        <f>138777-50540</f>
        <v>88237</v>
      </c>
      <c r="AA35" s="465">
        <v>154649</v>
      </c>
      <c r="AB35" s="465">
        <f>971015-SUM(U35:AA35)</f>
        <v>118010</v>
      </c>
      <c r="AC35" s="465">
        <v>103252</v>
      </c>
      <c r="AD35" s="465">
        <f>1219685-SUM(U35:AC35)</f>
        <v>145418</v>
      </c>
      <c r="AE35" s="465"/>
      <c r="AF35" s="465"/>
      <c r="AG35" s="465">
        <f t="shared" si="8"/>
        <v>1219685</v>
      </c>
      <c r="AH35" s="604">
        <f t="shared" si="9"/>
        <v>1463511.4</v>
      </c>
      <c r="AI35" s="67">
        <f t="shared" si="10"/>
        <v>8.355444342444307E-2</v>
      </c>
      <c r="AJ35" s="274">
        <f t="shared" si="7"/>
        <v>-4.5482922527862457E-2</v>
      </c>
      <c r="AK35" s="157"/>
      <c r="AL35" s="40"/>
    </row>
    <row r="36" spans="1:38" s="73" customFormat="1" ht="30" customHeight="1" x14ac:dyDescent="0.7">
      <c r="A36" s="234"/>
      <c r="B36" s="130" t="s">
        <v>27</v>
      </c>
      <c r="C36" s="465">
        <v>0</v>
      </c>
      <c r="D36" s="4">
        <v>0</v>
      </c>
      <c r="E36" s="465">
        <v>0</v>
      </c>
      <c r="F36" s="465">
        <v>0</v>
      </c>
      <c r="G36" s="465">
        <v>0</v>
      </c>
      <c r="H36" s="465">
        <v>0</v>
      </c>
      <c r="I36" s="465">
        <v>0</v>
      </c>
      <c r="J36" s="465">
        <v>0</v>
      </c>
      <c r="K36" s="465">
        <v>0</v>
      </c>
      <c r="L36" s="465">
        <v>0</v>
      </c>
      <c r="M36" s="465">
        <v>0</v>
      </c>
      <c r="N36" s="465">
        <v>0</v>
      </c>
      <c r="O36" s="465">
        <v>0</v>
      </c>
      <c r="P36" s="465">
        <v>0</v>
      </c>
      <c r="Q36" s="465">
        <v>0</v>
      </c>
      <c r="R36" s="465">
        <v>0</v>
      </c>
      <c r="S36" s="465">
        <v>0</v>
      </c>
      <c r="T36" s="465">
        <f t="shared" si="1"/>
        <v>0</v>
      </c>
      <c r="U36" s="465"/>
      <c r="V36" s="465"/>
      <c r="W36" s="465"/>
      <c r="X36" s="465"/>
      <c r="Y36" s="465"/>
      <c r="Z36" s="465"/>
      <c r="AA36" s="465"/>
      <c r="AB36" s="465"/>
      <c r="AC36" s="465"/>
      <c r="AD36" s="465"/>
      <c r="AE36" s="465"/>
      <c r="AF36" s="465"/>
      <c r="AG36" s="465">
        <f t="shared" si="8"/>
        <v>0</v>
      </c>
      <c r="AH36" s="604">
        <v>0</v>
      </c>
      <c r="AI36" s="67" t="e">
        <f t="shared" si="10"/>
        <v>#DIV/0!</v>
      </c>
      <c r="AJ36" s="274" t="e">
        <f t="shared" si="7"/>
        <v>#DIV/0!</v>
      </c>
      <c r="AK36" s="157"/>
      <c r="AL36" s="40"/>
    </row>
    <row r="37" spans="1:38" s="73" customFormat="1" ht="30" customHeight="1" x14ac:dyDescent="0.7">
      <c r="A37" s="234"/>
      <c r="B37" s="130" t="s">
        <v>16</v>
      </c>
      <c r="C37" s="465">
        <v>0</v>
      </c>
      <c r="D37" s="4">
        <v>12000</v>
      </c>
      <c r="E37" s="465">
        <v>8499.9999999999982</v>
      </c>
      <c r="F37" s="465">
        <v>8499.9999999999982</v>
      </c>
      <c r="G37" s="465">
        <v>0</v>
      </c>
      <c r="H37" s="465">
        <v>0</v>
      </c>
      <c r="I37" s="465">
        <v>0</v>
      </c>
      <c r="J37" s="465">
        <v>0</v>
      </c>
      <c r="K37" s="465">
        <v>0</v>
      </c>
      <c r="L37" s="465">
        <v>0</v>
      </c>
      <c r="M37" s="465">
        <v>0</v>
      </c>
      <c r="N37" s="465">
        <v>0</v>
      </c>
      <c r="O37" s="465">
        <v>0</v>
      </c>
      <c r="P37" s="465">
        <v>0</v>
      </c>
      <c r="Q37" s="465">
        <v>0</v>
      </c>
      <c r="R37" s="465">
        <v>0</v>
      </c>
      <c r="S37" s="465">
        <v>0</v>
      </c>
      <c r="T37" s="465">
        <f t="shared" si="1"/>
        <v>0</v>
      </c>
      <c r="U37" s="465"/>
      <c r="V37" s="465"/>
      <c r="W37" s="465"/>
      <c r="X37" s="465"/>
      <c r="Y37" s="465">
        <v>8500</v>
      </c>
      <c r="Z37" s="465">
        <v>8500</v>
      </c>
      <c r="AA37" s="465">
        <v>8500</v>
      </c>
      <c r="AB37" s="465">
        <f>25500-SUM(U37:AA37)</f>
        <v>0</v>
      </c>
      <c r="AC37" s="465"/>
      <c r="AD37" s="465">
        <v>8500</v>
      </c>
      <c r="AE37" s="465"/>
      <c r="AF37" s="465"/>
      <c r="AG37" s="465">
        <f t="shared" si="8"/>
        <v>34000</v>
      </c>
      <c r="AH37" s="604">
        <f t="shared" si="9"/>
        <v>46750</v>
      </c>
      <c r="AI37" s="67" t="e">
        <f t="shared" si="10"/>
        <v>#DIV/0!</v>
      </c>
      <c r="AJ37" s="274">
        <f t="shared" si="7"/>
        <v>4.5000000000000009</v>
      </c>
      <c r="AK37" s="157"/>
      <c r="AL37" s="40"/>
    </row>
    <row r="38" spans="1:38" s="73" customFormat="1" ht="30" customHeight="1" x14ac:dyDescent="0.7">
      <c r="A38" s="234" t="s">
        <v>257</v>
      </c>
      <c r="B38" s="130" t="s">
        <v>26</v>
      </c>
      <c r="C38" s="465">
        <v>640375</v>
      </c>
      <c r="D38" s="4">
        <v>488638.00000000012</v>
      </c>
      <c r="E38" s="465">
        <v>422081.00000000017</v>
      </c>
      <c r="F38" s="465">
        <v>463278.99999999994</v>
      </c>
      <c r="G38" s="465">
        <v>350925.99999999994</v>
      </c>
      <c r="H38" s="465">
        <v>29243.833333333332</v>
      </c>
      <c r="I38" s="465">
        <v>29243.833333333332</v>
      </c>
      <c r="J38" s="465">
        <v>29243.833333333332</v>
      </c>
      <c r="K38" s="465">
        <v>29243.833333333332</v>
      </c>
      <c r="L38" s="465">
        <v>29243.833333333332</v>
      </c>
      <c r="M38" s="465">
        <v>29243.833333333332</v>
      </c>
      <c r="N38" s="465">
        <v>29243.833333333332</v>
      </c>
      <c r="O38" s="465">
        <v>29243.833333333332</v>
      </c>
      <c r="P38" s="465">
        <v>29243.833333333332</v>
      </c>
      <c r="Q38" s="465">
        <v>29243.833333333332</v>
      </c>
      <c r="R38" s="465">
        <v>29243.833333333332</v>
      </c>
      <c r="S38" s="465">
        <v>29243.833333333332</v>
      </c>
      <c r="T38" s="465">
        <f t="shared" si="1"/>
        <v>292438.33333333331</v>
      </c>
      <c r="U38" s="465">
        <v>13741</v>
      </c>
      <c r="V38" s="465">
        <v>18074</v>
      </c>
      <c r="W38" s="465">
        <v>41708</v>
      </c>
      <c r="X38" s="465">
        <v>72210</v>
      </c>
      <c r="Y38" s="465">
        <v>70085</v>
      </c>
      <c r="Z38" s="465">
        <f>141204+50540+7</f>
        <v>191751</v>
      </c>
      <c r="AA38" s="465">
        <v>115198</v>
      </c>
      <c r="AB38" s="465">
        <f>667029-31-SUM(U38:AA38)</f>
        <v>144231</v>
      </c>
      <c r="AC38" s="465">
        <f>817781-SUM(U38:AB38)</f>
        <v>150783</v>
      </c>
      <c r="AD38" s="465">
        <f>941498-SUM(U38:AC38)</f>
        <v>123717</v>
      </c>
      <c r="AE38" s="465"/>
      <c r="AF38" s="465"/>
      <c r="AG38" s="465">
        <f t="shared" si="8"/>
        <v>941498</v>
      </c>
      <c r="AH38" s="604">
        <f t="shared" si="9"/>
        <v>1231770</v>
      </c>
      <c r="AI38" s="67">
        <f t="shared" si="10"/>
        <v>2.2194753309814605</v>
      </c>
      <c r="AJ38" s="274">
        <f t="shared" si="7"/>
        <v>1.6588081911763757</v>
      </c>
      <c r="AK38" s="157"/>
      <c r="AL38" s="40"/>
    </row>
    <row r="39" spans="1:38" s="41" customFormat="1" ht="30" customHeight="1" x14ac:dyDescent="0.7">
      <c r="A39" s="229"/>
      <c r="B39" s="83" t="s">
        <v>109</v>
      </c>
      <c r="C39" s="464">
        <v>3771588.31</v>
      </c>
      <c r="D39" s="472">
        <v>3710632.9999999986</v>
      </c>
      <c r="E39" s="464">
        <v>15420851.000000007</v>
      </c>
      <c r="F39" s="464">
        <v>16603162.000000002</v>
      </c>
      <c r="G39" s="464">
        <v>3694853.9999999991</v>
      </c>
      <c r="H39" s="464">
        <v>307904.49999999994</v>
      </c>
      <c r="I39" s="464">
        <v>307904.49999999994</v>
      </c>
      <c r="J39" s="464">
        <v>307904.49999999994</v>
      </c>
      <c r="K39" s="464">
        <v>307904.49999999994</v>
      </c>
      <c r="L39" s="464">
        <v>307904.49999999994</v>
      </c>
      <c r="M39" s="464">
        <v>307904.49999999994</v>
      </c>
      <c r="N39" s="464">
        <v>307904.49999999994</v>
      </c>
      <c r="O39" s="464">
        <v>307904.49999999994</v>
      </c>
      <c r="P39" s="464">
        <v>307904.49999999994</v>
      </c>
      <c r="Q39" s="464">
        <v>307904.49999999994</v>
      </c>
      <c r="R39" s="464">
        <v>307904.49999999994</v>
      </c>
      <c r="S39" s="464">
        <v>307904.49999999994</v>
      </c>
      <c r="T39" s="464">
        <f t="shared" si="1"/>
        <v>3079044.9999999995</v>
      </c>
      <c r="U39" s="464">
        <f>SUM(U30:U38)</f>
        <v>403343</v>
      </c>
      <c r="V39" s="464">
        <f t="shared" ref="V39:AH39" si="11">SUM(V30:V38)</f>
        <v>336717</v>
      </c>
      <c r="W39" s="464">
        <f t="shared" si="11"/>
        <v>459594</v>
      </c>
      <c r="X39" s="464">
        <f t="shared" si="11"/>
        <v>372252</v>
      </c>
      <c r="Y39" s="464">
        <f t="shared" si="11"/>
        <v>400292</v>
      </c>
      <c r="Z39" s="464">
        <f t="shared" si="11"/>
        <v>570020</v>
      </c>
      <c r="AA39" s="464">
        <f t="shared" si="11"/>
        <v>377747</v>
      </c>
      <c r="AB39" s="464">
        <f t="shared" si="11"/>
        <v>383610</v>
      </c>
      <c r="AC39" s="464">
        <f t="shared" si="11"/>
        <v>383773</v>
      </c>
      <c r="AD39" s="464">
        <f t="shared" si="11"/>
        <v>425662</v>
      </c>
      <c r="AE39" s="464">
        <f t="shared" si="11"/>
        <v>0</v>
      </c>
      <c r="AF39" s="464">
        <f t="shared" si="11"/>
        <v>0</v>
      </c>
      <c r="AG39" s="464">
        <f t="shared" si="8"/>
        <v>4113010</v>
      </c>
      <c r="AH39" s="464">
        <f t="shared" si="11"/>
        <v>4982793.6999999993</v>
      </c>
      <c r="AI39" s="53">
        <f>+AG39/T39-1</f>
        <v>0.33580704406723538</v>
      </c>
      <c r="AJ39" s="273">
        <f t="shared" si="7"/>
        <v>-0.69988887056573934</v>
      </c>
      <c r="AK39" s="157"/>
      <c r="AL39" s="40"/>
    </row>
    <row r="40" spans="1:38" s="40" customFormat="1" ht="30" customHeight="1" x14ac:dyDescent="0.7">
      <c r="A40" s="230"/>
      <c r="B40" s="47" t="s">
        <v>86</v>
      </c>
      <c r="C40" s="467">
        <v>87765845.340000078</v>
      </c>
      <c r="D40" s="473">
        <v>91855724.999999955</v>
      </c>
      <c r="E40" s="467">
        <v>93691800.00000006</v>
      </c>
      <c r="F40" s="467">
        <v>93197016.000000045</v>
      </c>
      <c r="G40" s="467">
        <v>96497283</v>
      </c>
      <c r="H40" s="467">
        <v>8041440.2499999991</v>
      </c>
      <c r="I40" s="467">
        <v>8041440.2499999991</v>
      </c>
      <c r="J40" s="467">
        <v>8041440.2499999991</v>
      </c>
      <c r="K40" s="467">
        <v>8041440.2499999991</v>
      </c>
      <c r="L40" s="467">
        <v>8041440.2499999991</v>
      </c>
      <c r="M40" s="467">
        <v>8041440.2499999991</v>
      </c>
      <c r="N40" s="467">
        <v>8041440.2499999991</v>
      </c>
      <c r="O40" s="467">
        <v>8041440.2499999991</v>
      </c>
      <c r="P40" s="467">
        <v>8041440.2499999991</v>
      </c>
      <c r="Q40" s="467">
        <v>8041440.2499999991</v>
      </c>
      <c r="R40" s="467">
        <v>8041440.2499999991</v>
      </c>
      <c r="S40" s="467">
        <v>8041440.2499999991</v>
      </c>
      <c r="T40" s="467">
        <f t="shared" si="1"/>
        <v>80414402.499999985</v>
      </c>
      <c r="U40" s="467">
        <f t="shared" ref="U40:AF40" si="12">U29+U39</f>
        <v>7509590</v>
      </c>
      <c r="V40" s="467">
        <f t="shared" si="12"/>
        <v>6898587</v>
      </c>
      <c r="W40" s="467">
        <f t="shared" si="12"/>
        <v>7640152</v>
      </c>
      <c r="X40" s="467">
        <f t="shared" si="12"/>
        <v>7802801</v>
      </c>
      <c r="Y40" s="467">
        <f t="shared" si="12"/>
        <v>7118124</v>
      </c>
      <c r="Z40" s="467">
        <f t="shared" si="12"/>
        <v>8952677.6999999955</v>
      </c>
      <c r="AA40" s="467">
        <f t="shared" si="12"/>
        <v>7709859.3999999985</v>
      </c>
      <c r="AB40" s="467">
        <f t="shared" si="12"/>
        <v>7986020.8999999901</v>
      </c>
      <c r="AC40" s="467">
        <f t="shared" si="12"/>
        <v>7831405</v>
      </c>
      <c r="AD40" s="467">
        <f t="shared" si="12"/>
        <v>7731450</v>
      </c>
      <c r="AE40" s="467">
        <f t="shared" si="12"/>
        <v>0</v>
      </c>
      <c r="AF40" s="467">
        <f t="shared" si="12"/>
        <v>0</v>
      </c>
      <c r="AG40" s="467">
        <f>SUM(U40:AF40)</f>
        <v>77180666.999999985</v>
      </c>
      <c r="AH40" s="467">
        <f>AH29+AH39</f>
        <v>93278691.100000009</v>
      </c>
      <c r="AI40" s="37">
        <f>+AG40/T40-1</f>
        <v>-4.0213387147905455E-2</v>
      </c>
      <c r="AJ40" s="276">
        <f t="shared" si="7"/>
        <v>8.7637033357346183E-4</v>
      </c>
      <c r="AK40" s="157"/>
    </row>
    <row r="41" spans="1:38" s="40" customFormat="1" ht="31" x14ac:dyDescent="0.7">
      <c r="A41" s="230"/>
      <c r="B41" s="217" t="s">
        <v>201</v>
      </c>
      <c r="C41" s="469"/>
      <c r="D41" s="474"/>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218"/>
      <c r="AJ41" s="277"/>
      <c r="AK41" s="156"/>
    </row>
    <row r="42" spans="1:38" s="40" customFormat="1" ht="58.5" customHeight="1" x14ac:dyDescent="0.7">
      <c r="A42" s="230"/>
      <c r="B42" s="219" t="s">
        <v>198</v>
      </c>
      <c r="C42" s="465">
        <v>52926957.63000001</v>
      </c>
      <c r="D42" s="475">
        <v>57523600.999999993</v>
      </c>
      <c r="E42" s="465">
        <v>57561267</v>
      </c>
      <c r="F42" s="465">
        <v>58500530.51000002</v>
      </c>
      <c r="G42" s="465">
        <v>61338171</v>
      </c>
      <c r="H42" s="465">
        <v>5111514.25</v>
      </c>
      <c r="I42" s="465">
        <v>5111514.25</v>
      </c>
      <c r="J42" s="465">
        <v>5111514.25</v>
      </c>
      <c r="K42" s="465">
        <v>5111514.25</v>
      </c>
      <c r="L42" s="465">
        <v>5111514.25</v>
      </c>
      <c r="M42" s="465">
        <v>5111514.25</v>
      </c>
      <c r="N42" s="465">
        <v>5111514.25</v>
      </c>
      <c r="O42" s="465">
        <v>5111514.25</v>
      </c>
      <c r="P42" s="465">
        <v>5111514.25</v>
      </c>
      <c r="Q42" s="465">
        <v>5111514.25</v>
      </c>
      <c r="R42" s="465">
        <v>5111514.25</v>
      </c>
      <c r="S42" s="465">
        <v>5111514.25</v>
      </c>
      <c r="T42" s="465">
        <f t="shared" ref="T42:T52" si="13">SUM(H42:Q42)</f>
        <v>51115142.5</v>
      </c>
      <c r="U42" s="465">
        <v>5169269</v>
      </c>
      <c r="V42" s="465">
        <v>5067221</v>
      </c>
      <c r="W42" s="465">
        <v>5208982</v>
      </c>
      <c r="X42" s="465">
        <v>5471087</v>
      </c>
      <c r="Y42" s="465">
        <v>4428768</v>
      </c>
      <c r="Z42" s="465">
        <v>5288491</v>
      </c>
      <c r="AA42" s="465">
        <v>4782875</v>
      </c>
      <c r="AB42" s="465">
        <f>40597508-SUM(U42:AA42)</f>
        <v>5180815</v>
      </c>
      <c r="AC42" s="465">
        <v>4915058</v>
      </c>
      <c r="AD42" s="465">
        <f>50438892-SUM(U42:AC42)</f>
        <v>4926326</v>
      </c>
      <c r="AE42" s="465"/>
      <c r="AF42" s="465"/>
      <c r="AG42" s="465">
        <f t="shared" ref="AG42:AG52" si="14">SUM(U42:AF42)</f>
        <v>50438892</v>
      </c>
      <c r="AH42" s="604">
        <f t="shared" ref="AH42:AH51" si="15">AVERAGE(Z42:AD42)*2+AG42</f>
        <v>60476318</v>
      </c>
      <c r="AI42" s="72">
        <f>+AG42/T42-1</f>
        <v>-1.322994453160331E-2</v>
      </c>
      <c r="AJ42" s="278">
        <f t="shared" ref="AJ42:AJ52" si="16">AH42/F42-1</f>
        <v>3.3773838848559556E-2</v>
      </c>
      <c r="AK42" s="157"/>
    </row>
    <row r="43" spans="1:38" s="40" customFormat="1" ht="30" customHeight="1" x14ac:dyDescent="0.7">
      <c r="A43" s="230"/>
      <c r="B43" s="130" t="s">
        <v>108</v>
      </c>
      <c r="C43" s="465">
        <v>4742584.4500000011</v>
      </c>
      <c r="D43" s="475">
        <v>5038058</v>
      </c>
      <c r="E43" s="465">
        <v>5014868</v>
      </c>
      <c r="F43" s="465">
        <v>5006381.5</v>
      </c>
      <c r="G43" s="465">
        <v>5517700</v>
      </c>
      <c r="H43" s="465">
        <v>459808.33333333331</v>
      </c>
      <c r="I43" s="465">
        <v>459808.33333333331</v>
      </c>
      <c r="J43" s="465">
        <v>459808.33333333331</v>
      </c>
      <c r="K43" s="465">
        <v>459808.33333333331</v>
      </c>
      <c r="L43" s="465">
        <v>459808.33333333331</v>
      </c>
      <c r="M43" s="465">
        <v>459808.33333333331</v>
      </c>
      <c r="N43" s="465">
        <v>459808.33333333331</v>
      </c>
      <c r="O43" s="465">
        <v>459808.33333333331</v>
      </c>
      <c r="P43" s="465">
        <v>459808.33333333331</v>
      </c>
      <c r="Q43" s="465">
        <v>459808.33333333331</v>
      </c>
      <c r="R43" s="465">
        <v>459808.33333333331</v>
      </c>
      <c r="S43" s="465">
        <v>459808.33333333331</v>
      </c>
      <c r="T43" s="465">
        <f t="shared" si="13"/>
        <v>4598083.333333334</v>
      </c>
      <c r="U43" s="465">
        <v>433199</v>
      </c>
      <c r="V43" s="465">
        <v>433199</v>
      </c>
      <c r="W43" s="465">
        <v>433199</v>
      </c>
      <c r="X43" s="465">
        <v>419303</v>
      </c>
      <c r="Y43" s="465">
        <v>419303</v>
      </c>
      <c r="Z43" s="465">
        <v>419303</v>
      </c>
      <c r="AA43" s="465">
        <v>273970</v>
      </c>
      <c r="AB43" s="465">
        <f>3105446-SUM(U43:AA43)</f>
        <v>273970</v>
      </c>
      <c r="AC43" s="465">
        <v>273970</v>
      </c>
      <c r="AD43" s="465">
        <f>3813213-SUM(U43:AC43)</f>
        <v>433797</v>
      </c>
      <c r="AE43" s="465"/>
      <c r="AF43" s="465"/>
      <c r="AG43" s="465">
        <f t="shared" si="14"/>
        <v>3813213</v>
      </c>
      <c r="AH43" s="604">
        <f t="shared" si="15"/>
        <v>4483217</v>
      </c>
      <c r="AI43" s="72">
        <f t="shared" ref="AI43:AI51" si="17">+AG43/T43-1</f>
        <v>-0.17069510846910863</v>
      </c>
      <c r="AJ43" s="278">
        <f t="shared" si="16"/>
        <v>-0.10449952725336653</v>
      </c>
      <c r="AK43" s="157"/>
    </row>
    <row r="44" spans="1:38" s="40" customFormat="1" ht="30" customHeight="1" x14ac:dyDescent="0.7">
      <c r="A44" s="230"/>
      <c r="B44" s="130" t="s">
        <v>7</v>
      </c>
      <c r="C44" s="465">
        <v>4217560.6100000003</v>
      </c>
      <c r="D44" s="475">
        <v>4280871</v>
      </c>
      <c r="E44" s="465">
        <v>4286911.9999999991</v>
      </c>
      <c r="F44" s="465">
        <v>4237777.0000000009</v>
      </c>
      <c r="G44" s="465">
        <v>4500340.0000000009</v>
      </c>
      <c r="H44" s="465">
        <v>375028.33333333337</v>
      </c>
      <c r="I44" s="465">
        <v>375028.33333333337</v>
      </c>
      <c r="J44" s="465">
        <v>375028.33333333337</v>
      </c>
      <c r="K44" s="465">
        <v>375028.33333333337</v>
      </c>
      <c r="L44" s="465">
        <v>375028.33333333337</v>
      </c>
      <c r="M44" s="465">
        <v>375028.33333333337</v>
      </c>
      <c r="N44" s="465">
        <v>375028.33333333337</v>
      </c>
      <c r="O44" s="465">
        <v>375028.33333333337</v>
      </c>
      <c r="P44" s="465">
        <v>375028.33333333337</v>
      </c>
      <c r="Q44" s="465">
        <v>375028.33333333337</v>
      </c>
      <c r="R44" s="465">
        <v>375028.33333333337</v>
      </c>
      <c r="S44" s="465">
        <v>375028.33333333337</v>
      </c>
      <c r="T44" s="465">
        <f t="shared" si="13"/>
        <v>3750283.3333333344</v>
      </c>
      <c r="U44" s="465">
        <v>339007</v>
      </c>
      <c r="V44" s="465">
        <v>327450</v>
      </c>
      <c r="W44" s="465">
        <v>336666</v>
      </c>
      <c r="X44" s="465">
        <v>337988</v>
      </c>
      <c r="Y44" s="465">
        <v>304037</v>
      </c>
      <c r="Z44" s="465">
        <v>334151</v>
      </c>
      <c r="AA44" s="465">
        <v>322110</v>
      </c>
      <c r="AB44" s="465">
        <f>2625527-SUM(U44:AA44)</f>
        <v>324118</v>
      </c>
      <c r="AC44" s="465">
        <v>320847</v>
      </c>
      <c r="AD44" s="465">
        <f>3274277-SUM(U44:AC44)</f>
        <v>327903</v>
      </c>
      <c r="AE44" s="465"/>
      <c r="AF44" s="465"/>
      <c r="AG44" s="465">
        <f t="shared" si="14"/>
        <v>3274277</v>
      </c>
      <c r="AH44" s="604">
        <f t="shared" si="15"/>
        <v>3925928.6</v>
      </c>
      <c r="AI44" s="72">
        <f t="shared" si="17"/>
        <v>-0.12692543230067088</v>
      </c>
      <c r="AJ44" s="278">
        <f t="shared" si="16"/>
        <v>-7.358773243613359E-2</v>
      </c>
      <c r="AK44" s="157"/>
    </row>
    <row r="45" spans="1:38" s="40" customFormat="1" ht="30" customHeight="1" x14ac:dyDescent="0.7">
      <c r="A45" s="230"/>
      <c r="B45" s="130" t="s">
        <v>52</v>
      </c>
      <c r="C45" s="465">
        <v>122297.08000000005</v>
      </c>
      <c r="D45" s="475">
        <v>546938.00000000012</v>
      </c>
      <c r="E45" s="465">
        <v>226733.99999999997</v>
      </c>
      <c r="F45" s="465">
        <v>136985.00000000003</v>
      </c>
      <c r="G45" s="465">
        <v>463314.99999999994</v>
      </c>
      <c r="H45" s="465">
        <v>38609.583333333336</v>
      </c>
      <c r="I45" s="465">
        <v>38609.583333333336</v>
      </c>
      <c r="J45" s="465">
        <v>38609.583333333336</v>
      </c>
      <c r="K45" s="465">
        <v>38609.583333333336</v>
      </c>
      <c r="L45" s="465">
        <v>38609.583333333336</v>
      </c>
      <c r="M45" s="465">
        <v>38609.583333333336</v>
      </c>
      <c r="N45" s="465">
        <v>38609.583333333336</v>
      </c>
      <c r="O45" s="465">
        <v>38609.583333333336</v>
      </c>
      <c r="P45" s="465">
        <v>38609.583333333336</v>
      </c>
      <c r="Q45" s="465">
        <v>38609.583333333336</v>
      </c>
      <c r="R45" s="465">
        <v>38609.583333333336</v>
      </c>
      <c r="S45" s="465">
        <v>38609.583333333336</v>
      </c>
      <c r="T45" s="465">
        <f t="shared" si="13"/>
        <v>386095.83333333331</v>
      </c>
      <c r="U45" s="465">
        <v>9384</v>
      </c>
      <c r="V45" s="465">
        <v>9117</v>
      </c>
      <c r="W45" s="465">
        <v>9439</v>
      </c>
      <c r="X45" s="465">
        <v>9780</v>
      </c>
      <c r="Y45" s="465">
        <v>9143</v>
      </c>
      <c r="Z45" s="465">
        <v>9678</v>
      </c>
      <c r="AA45" s="465">
        <v>12400.45</v>
      </c>
      <c r="AB45" s="465">
        <f>80238-SUM(U45:AA45)</f>
        <v>11296.550000000003</v>
      </c>
      <c r="AC45" s="465">
        <v>13049</v>
      </c>
      <c r="AD45" s="465">
        <f>104365-SUM(U45:AC45)</f>
        <v>11078</v>
      </c>
      <c r="AE45" s="465"/>
      <c r="AF45" s="465"/>
      <c r="AG45" s="465">
        <f t="shared" si="14"/>
        <v>104365</v>
      </c>
      <c r="AH45" s="604">
        <f t="shared" si="15"/>
        <v>127365.8</v>
      </c>
      <c r="AI45" s="72">
        <f t="shared" si="17"/>
        <v>-0.72969146261182993</v>
      </c>
      <c r="AJ45" s="278">
        <f t="shared" si="16"/>
        <v>-7.0220827097857597E-2</v>
      </c>
      <c r="AK45" s="157"/>
    </row>
    <row r="46" spans="1:38" s="40" customFormat="1" ht="30" customHeight="1" x14ac:dyDescent="0.7">
      <c r="A46" s="230"/>
      <c r="B46" s="89" t="s">
        <v>180</v>
      </c>
      <c r="C46" s="465">
        <v>0</v>
      </c>
      <c r="D46" s="475">
        <v>0</v>
      </c>
      <c r="E46" s="491">
        <v>0</v>
      </c>
      <c r="F46" s="491">
        <v>279102</v>
      </c>
      <c r="G46" s="491">
        <v>427122</v>
      </c>
      <c r="H46" s="491">
        <v>35593.5</v>
      </c>
      <c r="I46" s="491">
        <v>35593.5</v>
      </c>
      <c r="J46" s="491">
        <v>35593.5</v>
      </c>
      <c r="K46" s="491">
        <v>35593.5</v>
      </c>
      <c r="L46" s="491">
        <v>35593.5</v>
      </c>
      <c r="M46" s="491">
        <v>35593.5</v>
      </c>
      <c r="N46" s="491">
        <v>35593.5</v>
      </c>
      <c r="O46" s="491">
        <v>35593.5</v>
      </c>
      <c r="P46" s="491">
        <v>35593.5</v>
      </c>
      <c r="Q46" s="491">
        <v>35593.5</v>
      </c>
      <c r="R46" s="491">
        <v>35593.5</v>
      </c>
      <c r="S46" s="491">
        <v>35593.5</v>
      </c>
      <c r="T46" s="491">
        <f t="shared" si="13"/>
        <v>355935</v>
      </c>
      <c r="U46" s="491">
        <v>16041</v>
      </c>
      <c r="V46" s="491">
        <v>16041</v>
      </c>
      <c r="W46" s="491">
        <v>15123</v>
      </c>
      <c r="X46" s="491">
        <v>19843</v>
      </c>
      <c r="Y46" s="491">
        <v>34213</v>
      </c>
      <c r="Z46" s="491">
        <v>27028</v>
      </c>
      <c r="AA46" s="491">
        <v>27028</v>
      </c>
      <c r="AB46" s="491">
        <f>182345-SUM(U46:AA46)</f>
        <v>27028</v>
      </c>
      <c r="AC46" s="491">
        <v>55483</v>
      </c>
      <c r="AD46" s="491">
        <f>269597-SUM(U46:AC46)</f>
        <v>31769</v>
      </c>
      <c r="AE46" s="491"/>
      <c r="AF46" s="491"/>
      <c r="AG46" s="465">
        <f t="shared" si="14"/>
        <v>269597</v>
      </c>
      <c r="AH46" s="604">
        <f t="shared" si="15"/>
        <v>336931.4</v>
      </c>
      <c r="AI46" s="72">
        <f t="shared" si="17"/>
        <v>-0.24256676078497474</v>
      </c>
      <c r="AJ46" s="278">
        <f t="shared" si="16"/>
        <v>0.20719808528781591</v>
      </c>
      <c r="AK46" s="157"/>
    </row>
    <row r="47" spans="1:38" s="40" customFormat="1" ht="30" customHeight="1" x14ac:dyDescent="0.7">
      <c r="A47" s="230"/>
      <c r="B47" s="89" t="s">
        <v>67</v>
      </c>
      <c r="C47" s="465">
        <v>0</v>
      </c>
      <c r="D47" s="475">
        <v>0</v>
      </c>
      <c r="E47" s="491">
        <v>0</v>
      </c>
      <c r="F47" s="491">
        <v>0</v>
      </c>
      <c r="G47" s="491">
        <v>0</v>
      </c>
      <c r="H47" s="491">
        <v>0</v>
      </c>
      <c r="I47" s="491">
        <v>0</v>
      </c>
      <c r="J47" s="491">
        <v>0</v>
      </c>
      <c r="K47" s="491">
        <v>0</v>
      </c>
      <c r="L47" s="491">
        <v>0</v>
      </c>
      <c r="M47" s="491">
        <v>0</v>
      </c>
      <c r="N47" s="491">
        <v>0</v>
      </c>
      <c r="O47" s="491">
        <v>0</v>
      </c>
      <c r="P47" s="491">
        <v>0</v>
      </c>
      <c r="Q47" s="491">
        <v>0</v>
      </c>
      <c r="R47" s="491">
        <v>0</v>
      </c>
      <c r="S47" s="491">
        <v>0</v>
      </c>
      <c r="T47" s="491">
        <f t="shared" si="13"/>
        <v>0</v>
      </c>
      <c r="U47" s="491"/>
      <c r="V47" s="491"/>
      <c r="W47" s="491"/>
      <c r="X47" s="491"/>
      <c r="Y47" s="491"/>
      <c r="Z47" s="491"/>
      <c r="AA47" s="491"/>
      <c r="AB47" s="491"/>
      <c r="AC47" s="491"/>
      <c r="AD47" s="491"/>
      <c r="AE47" s="491"/>
      <c r="AF47" s="491"/>
      <c r="AG47" s="465">
        <f t="shared" si="14"/>
        <v>0</v>
      </c>
      <c r="AH47" s="610">
        <v>0</v>
      </c>
      <c r="AI47" s="72" t="e">
        <f t="shared" si="17"/>
        <v>#DIV/0!</v>
      </c>
      <c r="AJ47" s="278" t="e">
        <f t="shared" si="16"/>
        <v>#DIV/0!</v>
      </c>
      <c r="AK47" s="157"/>
    </row>
    <row r="48" spans="1:38" s="40" customFormat="1" ht="30" customHeight="1" x14ac:dyDescent="0.7">
      <c r="A48" s="230"/>
      <c r="B48" s="89" t="s">
        <v>181</v>
      </c>
      <c r="C48" s="465">
        <v>0</v>
      </c>
      <c r="D48" s="475">
        <v>0</v>
      </c>
      <c r="E48" s="491">
        <v>0</v>
      </c>
      <c r="F48" s="491">
        <v>4750852.4899999993</v>
      </c>
      <c r="G48" s="491">
        <v>0</v>
      </c>
      <c r="H48" s="491">
        <v>0</v>
      </c>
      <c r="I48" s="491">
        <v>0</v>
      </c>
      <c r="J48" s="491">
        <v>0</v>
      </c>
      <c r="K48" s="491">
        <v>0</v>
      </c>
      <c r="L48" s="491">
        <v>0</v>
      </c>
      <c r="M48" s="491">
        <v>0</v>
      </c>
      <c r="N48" s="491">
        <v>0</v>
      </c>
      <c r="O48" s="491">
        <v>0</v>
      </c>
      <c r="P48" s="491">
        <v>0</v>
      </c>
      <c r="Q48" s="491">
        <v>0</v>
      </c>
      <c r="R48" s="491">
        <v>0</v>
      </c>
      <c r="S48" s="491">
        <v>0</v>
      </c>
      <c r="T48" s="491">
        <f t="shared" si="13"/>
        <v>0</v>
      </c>
      <c r="U48" s="491">
        <v>462659</v>
      </c>
      <c r="V48" s="491">
        <v>342690</v>
      </c>
      <c r="W48" s="491">
        <v>414370</v>
      </c>
      <c r="X48" s="491">
        <v>458040</v>
      </c>
      <c r="Y48" s="491">
        <v>479379</v>
      </c>
      <c r="Z48" s="491">
        <f>489189-2</f>
        <v>489187</v>
      </c>
      <c r="AA48" s="491">
        <v>537718.44999999995</v>
      </c>
      <c r="AB48" s="491">
        <f>3584214-SUM(U48:AA48)</f>
        <v>400170.54999999981</v>
      </c>
      <c r="AC48" s="491">
        <v>434501</v>
      </c>
      <c r="AD48" s="491">
        <f>4490284-SUM(U48:AC48)</f>
        <v>471569</v>
      </c>
      <c r="AE48" s="491"/>
      <c r="AF48" s="491"/>
      <c r="AG48" s="465">
        <f t="shared" si="14"/>
        <v>4490284</v>
      </c>
      <c r="AH48" s="604">
        <f t="shared" si="15"/>
        <v>5423542.4000000004</v>
      </c>
      <c r="AI48" s="72" t="e">
        <f t="shared" si="17"/>
        <v>#DIV/0!</v>
      </c>
      <c r="AJ48" s="278">
        <f t="shared" si="16"/>
        <v>0.14159351640909423</v>
      </c>
      <c r="AK48" s="157"/>
    </row>
    <row r="49" spans="1:38" s="40" customFormat="1" ht="30" customHeight="1" x14ac:dyDescent="0.7">
      <c r="A49" s="230"/>
      <c r="B49" s="89" t="s">
        <v>182</v>
      </c>
      <c r="C49" s="465">
        <v>0</v>
      </c>
      <c r="D49" s="475">
        <v>0</v>
      </c>
      <c r="E49" s="491">
        <v>0</v>
      </c>
      <c r="F49" s="491">
        <v>0</v>
      </c>
      <c r="G49" s="491">
        <v>0</v>
      </c>
      <c r="H49" s="491">
        <v>0</v>
      </c>
      <c r="I49" s="491">
        <v>0</v>
      </c>
      <c r="J49" s="491">
        <v>0</v>
      </c>
      <c r="K49" s="491">
        <v>0</v>
      </c>
      <c r="L49" s="491">
        <v>0</v>
      </c>
      <c r="M49" s="491">
        <v>0</v>
      </c>
      <c r="N49" s="491">
        <v>0</v>
      </c>
      <c r="O49" s="491">
        <v>0</v>
      </c>
      <c r="P49" s="491">
        <v>0</v>
      </c>
      <c r="Q49" s="491">
        <v>0</v>
      </c>
      <c r="R49" s="491">
        <v>0</v>
      </c>
      <c r="S49" s="491">
        <v>0</v>
      </c>
      <c r="T49" s="491">
        <f t="shared" si="13"/>
        <v>0</v>
      </c>
      <c r="U49" s="491"/>
      <c r="V49" s="491"/>
      <c r="W49" s="491"/>
      <c r="X49" s="491"/>
      <c r="Y49" s="491"/>
      <c r="Z49" s="491"/>
      <c r="AA49" s="491"/>
      <c r="AB49" s="491"/>
      <c r="AC49" s="491"/>
      <c r="AD49" s="491"/>
      <c r="AE49" s="491"/>
      <c r="AF49" s="491"/>
      <c r="AG49" s="465">
        <f t="shared" si="14"/>
        <v>0</v>
      </c>
      <c r="AH49" s="610">
        <v>0</v>
      </c>
      <c r="AI49" s="72" t="e">
        <f t="shared" si="17"/>
        <v>#DIV/0!</v>
      </c>
      <c r="AJ49" s="278" t="e">
        <f t="shared" si="16"/>
        <v>#DIV/0!</v>
      </c>
      <c r="AK49" s="157"/>
    </row>
    <row r="50" spans="1:38" s="40" customFormat="1" ht="30" customHeight="1" x14ac:dyDescent="0.7">
      <c r="A50" s="230"/>
      <c r="B50" s="89" t="s">
        <v>183</v>
      </c>
      <c r="C50" s="465">
        <v>0</v>
      </c>
      <c r="D50" s="475">
        <v>0</v>
      </c>
      <c r="E50" s="491">
        <v>965828</v>
      </c>
      <c r="F50" s="491">
        <v>927749.49</v>
      </c>
      <c r="G50" s="491">
        <v>300000</v>
      </c>
      <c r="H50" s="491">
        <v>25000</v>
      </c>
      <c r="I50" s="491">
        <v>25000</v>
      </c>
      <c r="J50" s="491">
        <v>25000</v>
      </c>
      <c r="K50" s="491">
        <v>25000</v>
      </c>
      <c r="L50" s="491">
        <v>25000</v>
      </c>
      <c r="M50" s="491">
        <v>25000</v>
      </c>
      <c r="N50" s="491">
        <v>25000</v>
      </c>
      <c r="O50" s="491">
        <v>25000</v>
      </c>
      <c r="P50" s="491">
        <v>25000</v>
      </c>
      <c r="Q50" s="491">
        <v>25000</v>
      </c>
      <c r="R50" s="491">
        <v>25000</v>
      </c>
      <c r="S50" s="491">
        <v>25000</v>
      </c>
      <c r="T50" s="491">
        <f t="shared" si="13"/>
        <v>250000</v>
      </c>
      <c r="U50" s="491">
        <v>11049</v>
      </c>
      <c r="V50" s="491">
        <v>4946</v>
      </c>
      <c r="W50" s="491">
        <v>10490</v>
      </c>
      <c r="X50" s="491">
        <v>3682</v>
      </c>
      <c r="Y50" s="491">
        <v>0</v>
      </c>
      <c r="Z50" s="491">
        <f>15620+2</f>
        <v>15622</v>
      </c>
      <c r="AA50" s="491">
        <v>11360</v>
      </c>
      <c r="AB50" s="491">
        <f>69219-SUM(U50:AA50)</f>
        <v>12070</v>
      </c>
      <c r="AC50" s="491">
        <v>17825</v>
      </c>
      <c r="AD50" s="491">
        <f>140012-SUM(U50:AC50)</f>
        <v>52968</v>
      </c>
      <c r="AE50" s="491"/>
      <c r="AF50" s="491"/>
      <c r="AG50" s="465">
        <f t="shared" si="14"/>
        <v>140012</v>
      </c>
      <c r="AH50" s="604">
        <f t="shared" si="15"/>
        <v>183950</v>
      </c>
      <c r="AI50" s="72">
        <f t="shared" si="17"/>
        <v>-0.43995200000000001</v>
      </c>
      <c r="AJ50" s="278">
        <f t="shared" si="16"/>
        <v>-0.80172449353758202</v>
      </c>
      <c r="AK50" s="157"/>
    </row>
    <row r="51" spans="1:38" s="40" customFormat="1" ht="30" customHeight="1" x14ac:dyDescent="0.7">
      <c r="A51" s="230" t="s">
        <v>258</v>
      </c>
      <c r="B51" s="111" t="s">
        <v>51</v>
      </c>
      <c r="C51" s="465">
        <v>25085867.030000001</v>
      </c>
      <c r="D51" s="475">
        <v>23990691.000000015</v>
      </c>
      <c r="E51" s="491">
        <v>23242701.999999985</v>
      </c>
      <c r="F51" s="491">
        <v>18842275.999999996</v>
      </c>
      <c r="G51" s="491">
        <v>23508446</v>
      </c>
      <c r="H51" s="491">
        <v>1959037.1666666667</v>
      </c>
      <c r="I51" s="491">
        <v>1959037.1666666667</v>
      </c>
      <c r="J51" s="491">
        <v>1959037.1666666667</v>
      </c>
      <c r="K51" s="491">
        <v>1959037.1666666667</v>
      </c>
      <c r="L51" s="491">
        <v>1959037.1666666667</v>
      </c>
      <c r="M51" s="491">
        <v>1959037.1666666667</v>
      </c>
      <c r="N51" s="491">
        <v>1959037.1666666667</v>
      </c>
      <c r="O51" s="491">
        <v>1959037.1666666667</v>
      </c>
      <c r="P51" s="491">
        <v>1959037.1666666667</v>
      </c>
      <c r="Q51" s="491">
        <v>1959037.1666666667</v>
      </c>
      <c r="R51" s="491">
        <v>1959037.1666666667</v>
      </c>
      <c r="S51" s="491">
        <v>1959037.1666666667</v>
      </c>
      <c r="T51" s="491">
        <f t="shared" si="13"/>
        <v>19590371.666666668</v>
      </c>
      <c r="U51" s="491">
        <v>1656466</v>
      </c>
      <c r="V51" s="491">
        <v>1592596</v>
      </c>
      <c r="W51" s="491">
        <v>1766118</v>
      </c>
      <c r="X51" s="491">
        <v>1359186</v>
      </c>
      <c r="Y51" s="491">
        <v>1829196</v>
      </c>
      <c r="Z51" s="491">
        <f>2067508+2</f>
        <v>2067510</v>
      </c>
      <c r="AA51" s="491">
        <v>1493933</v>
      </c>
      <c r="AB51" s="491">
        <f>13348973-SUM(U51:AA51)</f>
        <v>1583968</v>
      </c>
      <c r="AC51" s="491">
        <f>14974797+25-SUM(U51:AB51)</f>
        <v>1625849</v>
      </c>
      <c r="AD51" s="491">
        <f>16590539-SUM(U51:AC51)</f>
        <v>1615717</v>
      </c>
      <c r="AE51" s="491"/>
      <c r="AF51" s="491"/>
      <c r="AG51" s="465">
        <f t="shared" si="14"/>
        <v>16590539</v>
      </c>
      <c r="AH51" s="604">
        <f t="shared" si="15"/>
        <v>19945329.800000001</v>
      </c>
      <c r="AI51" s="72">
        <f t="shared" si="17"/>
        <v>-0.15312790985843983</v>
      </c>
      <c r="AJ51" s="278">
        <f t="shared" si="16"/>
        <v>5.8541430982117282E-2</v>
      </c>
      <c r="AK51" s="157"/>
    </row>
    <row r="52" spans="1:38" s="41" customFormat="1" ht="31" x14ac:dyDescent="0.7">
      <c r="A52" s="229"/>
      <c r="B52" s="217" t="s">
        <v>202</v>
      </c>
      <c r="C52" s="484">
        <v>87095266.800000012</v>
      </c>
      <c r="D52" s="476">
        <v>91380159</v>
      </c>
      <c r="E52" s="492">
        <v>91298311</v>
      </c>
      <c r="F52" s="492">
        <v>92681653.989999995</v>
      </c>
      <c r="G52" s="492">
        <v>96055094</v>
      </c>
      <c r="H52" s="492">
        <v>8004591.166666666</v>
      </c>
      <c r="I52" s="492">
        <v>8004591.166666666</v>
      </c>
      <c r="J52" s="492">
        <v>8004591.166666666</v>
      </c>
      <c r="K52" s="492">
        <v>8004591.166666666</v>
      </c>
      <c r="L52" s="492">
        <v>8004591.166666666</v>
      </c>
      <c r="M52" s="492">
        <v>8004591.166666666</v>
      </c>
      <c r="N52" s="492">
        <v>8004591.166666666</v>
      </c>
      <c r="O52" s="492">
        <v>8004591.166666666</v>
      </c>
      <c r="P52" s="492">
        <v>8004591.166666666</v>
      </c>
      <c r="Q52" s="492">
        <v>8004591.166666666</v>
      </c>
      <c r="R52" s="492">
        <v>8004591.166666666</v>
      </c>
      <c r="S52" s="492">
        <v>8004591.166666666</v>
      </c>
      <c r="T52" s="492">
        <f t="shared" si="13"/>
        <v>80045911.666666657</v>
      </c>
      <c r="U52" s="492">
        <f>SUM(U42:U51)</f>
        <v>8097074</v>
      </c>
      <c r="V52" s="492">
        <f t="shared" ref="V52:AH52" si="18">SUM(V42:V51)</f>
        <v>7793260</v>
      </c>
      <c r="W52" s="492">
        <f t="shared" si="18"/>
        <v>8194387</v>
      </c>
      <c r="X52" s="492">
        <f t="shared" si="18"/>
        <v>8078909</v>
      </c>
      <c r="Y52" s="492">
        <f t="shared" si="18"/>
        <v>7504039</v>
      </c>
      <c r="Z52" s="492">
        <f t="shared" si="18"/>
        <v>8650970</v>
      </c>
      <c r="AA52" s="492">
        <f t="shared" si="18"/>
        <v>7461394.9000000004</v>
      </c>
      <c r="AB52" s="492">
        <f t="shared" si="18"/>
        <v>7813436.0999999996</v>
      </c>
      <c r="AC52" s="492">
        <f t="shared" si="18"/>
        <v>7656582</v>
      </c>
      <c r="AD52" s="492">
        <f t="shared" si="18"/>
        <v>7871127</v>
      </c>
      <c r="AE52" s="492">
        <f t="shared" si="18"/>
        <v>0</v>
      </c>
      <c r="AF52" s="492">
        <f t="shared" si="18"/>
        <v>0</v>
      </c>
      <c r="AG52" s="492">
        <f t="shared" si="14"/>
        <v>79121179</v>
      </c>
      <c r="AH52" s="605">
        <f t="shared" si="18"/>
        <v>94902583</v>
      </c>
      <c r="AI52" s="239">
        <f>+AG52/T52-1</f>
        <v>-1.1552528385428307E-2</v>
      </c>
      <c r="AJ52" s="279">
        <f t="shared" si="16"/>
        <v>2.3962984197925863E-2</v>
      </c>
      <c r="AK52" s="220"/>
    </row>
    <row r="53" spans="1:38" s="40" customFormat="1" ht="30" customHeight="1" x14ac:dyDescent="0.7">
      <c r="A53" s="230"/>
      <c r="B53" s="112"/>
      <c r="C53" s="485"/>
      <c r="D53" s="477"/>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606"/>
      <c r="AI53" s="72"/>
      <c r="AJ53" s="278"/>
      <c r="AK53" s="157"/>
    </row>
    <row r="54" spans="1:38" s="40" customFormat="1" ht="30" customHeight="1" x14ac:dyDescent="0.7">
      <c r="A54" s="230"/>
      <c r="B54" s="47" t="s">
        <v>15</v>
      </c>
      <c r="C54" s="467">
        <f>C40-C52</f>
        <v>670578.54000006616</v>
      </c>
      <c r="D54" s="15">
        <f>D40-D52</f>
        <v>475565.9999999553</v>
      </c>
      <c r="E54" s="494">
        <v>2393489</v>
      </c>
      <c r="F54" s="494">
        <v>515362.00999999046</v>
      </c>
      <c r="G54" s="494">
        <v>442188.9999999851</v>
      </c>
      <c r="H54" s="494">
        <f t="shared" ref="H54:S54" si="19">H40-H52</f>
        <v>36849.083333333023</v>
      </c>
      <c r="I54" s="494">
        <f t="shared" si="19"/>
        <v>36849.083333333023</v>
      </c>
      <c r="J54" s="494">
        <f t="shared" si="19"/>
        <v>36849.083333333023</v>
      </c>
      <c r="K54" s="494">
        <f t="shared" si="19"/>
        <v>36849.083333333023</v>
      </c>
      <c r="L54" s="494">
        <f t="shared" si="19"/>
        <v>36849.083333333023</v>
      </c>
      <c r="M54" s="494">
        <f t="shared" si="19"/>
        <v>36849.083333333023</v>
      </c>
      <c r="N54" s="494">
        <f t="shared" si="19"/>
        <v>36849.083333333023</v>
      </c>
      <c r="O54" s="494">
        <f t="shared" si="19"/>
        <v>36849.083333333023</v>
      </c>
      <c r="P54" s="494">
        <f t="shared" si="19"/>
        <v>36849.083333333023</v>
      </c>
      <c r="Q54" s="494">
        <f t="shared" si="19"/>
        <v>36849.083333333023</v>
      </c>
      <c r="R54" s="494">
        <f t="shared" si="19"/>
        <v>36849.083333333023</v>
      </c>
      <c r="S54" s="494">
        <f t="shared" si="19"/>
        <v>36849.083333333023</v>
      </c>
      <c r="T54" s="494">
        <f>SUM(H54:Q54)</f>
        <v>368490.83333333023</v>
      </c>
      <c r="U54" s="494">
        <f>U40-U52</f>
        <v>-587484</v>
      </c>
      <c r="V54" s="494">
        <f t="shared" ref="V54:AF54" si="20">V40-V52</f>
        <v>-894673</v>
      </c>
      <c r="W54" s="494">
        <f t="shared" si="20"/>
        <v>-554235</v>
      </c>
      <c r="X54" s="494">
        <f t="shared" si="20"/>
        <v>-276108</v>
      </c>
      <c r="Y54" s="494">
        <f t="shared" si="20"/>
        <v>-385915</v>
      </c>
      <c r="Z54" s="494">
        <f t="shared" si="20"/>
        <v>301707.69999999553</v>
      </c>
      <c r="AA54" s="494">
        <f t="shared" si="20"/>
        <v>248464.49999999814</v>
      </c>
      <c r="AB54" s="494">
        <f t="shared" si="20"/>
        <v>172584.7999999905</v>
      </c>
      <c r="AC54" s="494">
        <f t="shared" si="20"/>
        <v>174823</v>
      </c>
      <c r="AD54" s="494">
        <f t="shared" si="20"/>
        <v>-139677</v>
      </c>
      <c r="AE54" s="494">
        <f t="shared" si="20"/>
        <v>0</v>
      </c>
      <c r="AF54" s="494">
        <f t="shared" si="20"/>
        <v>0</v>
      </c>
      <c r="AG54" s="607">
        <f>AG40-AG52</f>
        <v>-1940512.0000000149</v>
      </c>
      <c r="AH54" s="607">
        <f>AH40-AH52</f>
        <v>-1623891.8999999911</v>
      </c>
      <c r="AI54" s="37">
        <f>+AG54/T54-1</f>
        <v>-6.2661065743382069</v>
      </c>
      <c r="AJ54" s="276">
        <f>AH54/F54-1</f>
        <v>-4.1509732352992437</v>
      </c>
      <c r="AK54" s="157"/>
    </row>
    <row r="55" spans="1:38" s="80" customFormat="1" ht="30" customHeight="1" x14ac:dyDescent="0.7">
      <c r="A55" s="236"/>
      <c r="B55" s="121"/>
      <c r="C55" s="486"/>
      <c r="D55" s="478"/>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608"/>
      <c r="AI55" s="61"/>
      <c r="AJ55" s="280"/>
      <c r="AK55" s="157"/>
      <c r="AL55" s="40"/>
    </row>
    <row r="56" spans="1:38" s="41" customFormat="1" ht="30" customHeight="1" x14ac:dyDescent="0.7">
      <c r="A56" s="229"/>
      <c r="B56" s="121" t="s">
        <v>124</v>
      </c>
      <c r="C56" s="487">
        <v>782350</v>
      </c>
      <c r="D56" s="479">
        <v>765000</v>
      </c>
      <c r="E56" s="496">
        <v>7994025.9999999991</v>
      </c>
      <c r="F56" s="496">
        <v>9204560</v>
      </c>
      <c r="G56" s="496">
        <v>700000.00000000012</v>
      </c>
      <c r="H56" s="496">
        <v>58333.333333333336</v>
      </c>
      <c r="I56" s="496">
        <v>58333.333333333336</v>
      </c>
      <c r="J56" s="496">
        <v>58333.333333333336</v>
      </c>
      <c r="K56" s="496">
        <v>58333.333333333336</v>
      </c>
      <c r="L56" s="496">
        <v>58333.333333333336</v>
      </c>
      <c r="M56" s="496">
        <v>58333.333333333336</v>
      </c>
      <c r="N56" s="496">
        <v>58333.333333333336</v>
      </c>
      <c r="O56" s="496">
        <v>58333.333333333336</v>
      </c>
      <c r="P56" s="496">
        <v>58333.333333333336</v>
      </c>
      <c r="Q56" s="496">
        <v>58333.333333333336</v>
      </c>
      <c r="R56" s="496">
        <v>58333.333333333336</v>
      </c>
      <c r="S56" s="496">
        <v>58333.333333333336</v>
      </c>
      <c r="T56" s="496">
        <f>SUM(H56:Q56)</f>
        <v>583333.33333333337</v>
      </c>
      <c r="U56" s="496">
        <v>-390124</v>
      </c>
      <c r="V56" s="496">
        <v>1995768</v>
      </c>
      <c r="W56" s="496">
        <v>821092</v>
      </c>
      <c r="X56" s="496">
        <v>-89758</v>
      </c>
      <c r="Y56" s="496">
        <f>571953+6</f>
        <v>571959</v>
      </c>
      <c r="Z56" s="496">
        <f>717313-19</f>
        <v>717294</v>
      </c>
      <c r="AA56" s="496">
        <v>1023923</v>
      </c>
      <c r="AB56" s="496">
        <f>4833481-SUM(U56:AA56)</f>
        <v>183327</v>
      </c>
      <c r="AC56" s="496">
        <v>619961</v>
      </c>
      <c r="AD56" s="496">
        <f>5784760-SUM(U56:AC56)</f>
        <v>331318</v>
      </c>
      <c r="AE56" s="496"/>
      <c r="AF56" s="496"/>
      <c r="AG56" s="496">
        <f>SUM(U56:AF56)</f>
        <v>5784760</v>
      </c>
      <c r="AH56" s="609">
        <f>+AG56</f>
        <v>5784760</v>
      </c>
      <c r="AI56" s="86">
        <f>+AG56/T56-1</f>
        <v>8.9167314285714276</v>
      </c>
      <c r="AJ56" s="281">
        <f>AH56/F56-1</f>
        <v>-0.371533240046238</v>
      </c>
      <c r="AK56" s="157"/>
      <c r="AL56" s="40"/>
    </row>
    <row r="57" spans="1:38" s="80" customFormat="1" ht="30" customHeight="1" x14ac:dyDescent="0.7">
      <c r="A57" s="236"/>
      <c r="B57" s="121"/>
      <c r="C57" s="486"/>
      <c r="D57" s="478"/>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608"/>
      <c r="AI57" s="61"/>
      <c r="AJ57" s="280"/>
      <c r="AK57" s="157"/>
      <c r="AL57" s="40"/>
    </row>
    <row r="58" spans="1:38" s="40" customFormat="1" ht="30" customHeight="1" x14ac:dyDescent="0.7">
      <c r="A58" s="230"/>
      <c r="B58" s="47" t="s">
        <v>37</v>
      </c>
      <c r="C58" s="467">
        <v>1452928.5400000217</v>
      </c>
      <c r="D58" s="473">
        <v>1240565.9999999851</v>
      </c>
      <c r="E58" s="494">
        <v>10387515</v>
      </c>
      <c r="F58" s="494">
        <v>9719922.0099999905</v>
      </c>
      <c r="G58" s="494">
        <v>1142188.9999999851</v>
      </c>
      <c r="H58" s="494">
        <v>95182.416666666366</v>
      </c>
      <c r="I58" s="494">
        <v>95182.416666666366</v>
      </c>
      <c r="J58" s="494">
        <v>95182.416666666366</v>
      </c>
      <c r="K58" s="494">
        <v>95182.416666666366</v>
      </c>
      <c r="L58" s="494">
        <v>95182.416666666366</v>
      </c>
      <c r="M58" s="494">
        <v>95182.416666666366</v>
      </c>
      <c r="N58" s="494">
        <v>95182.416666666366</v>
      </c>
      <c r="O58" s="494">
        <v>95182.416666666366</v>
      </c>
      <c r="P58" s="494">
        <v>95182.416666666366</v>
      </c>
      <c r="Q58" s="494">
        <v>95182.416666666366</v>
      </c>
      <c r="R58" s="494">
        <v>95182.416666666366</v>
      </c>
      <c r="S58" s="494">
        <v>95182.416666666366</v>
      </c>
      <c r="T58" s="494">
        <f>SUM(H58:Q58)</f>
        <v>951824.16666666383</v>
      </c>
      <c r="U58" s="494">
        <f t="shared" ref="U58:AF58" si="21">U54+U56</f>
        <v>-977608</v>
      </c>
      <c r="V58" s="494">
        <f t="shared" si="21"/>
        <v>1101095</v>
      </c>
      <c r="W58" s="494">
        <f t="shared" si="21"/>
        <v>266857</v>
      </c>
      <c r="X58" s="494">
        <f t="shared" si="21"/>
        <v>-365866</v>
      </c>
      <c r="Y58" s="494">
        <f t="shared" si="21"/>
        <v>186044</v>
      </c>
      <c r="Z58" s="494">
        <f t="shared" si="21"/>
        <v>1019001.6999999955</v>
      </c>
      <c r="AA58" s="494">
        <f t="shared" si="21"/>
        <v>1272387.4999999981</v>
      </c>
      <c r="AB58" s="494">
        <f t="shared" si="21"/>
        <v>355911.7999999905</v>
      </c>
      <c r="AC58" s="494">
        <f t="shared" si="21"/>
        <v>794784</v>
      </c>
      <c r="AD58" s="494">
        <f t="shared" si="21"/>
        <v>191641</v>
      </c>
      <c r="AE58" s="494">
        <f t="shared" si="21"/>
        <v>0</v>
      </c>
      <c r="AF58" s="494">
        <f t="shared" si="21"/>
        <v>0</v>
      </c>
      <c r="AG58" s="613">
        <f>+AG54+AG56</f>
        <v>3844247.9999999851</v>
      </c>
      <c r="AH58" s="494">
        <f>SUM(V58:AG58)</f>
        <v>8666103.9999999702</v>
      </c>
      <c r="AI58" s="37">
        <f>+AG58/T58-1</f>
        <v>3.0388215960756018</v>
      </c>
      <c r="AJ58" s="276">
        <f>AH58/F58-1</f>
        <v>-0.10841836065308319</v>
      </c>
      <c r="AK58" s="157"/>
    </row>
    <row r="59" spans="1:38" s="40" customFormat="1" ht="30" customHeight="1" x14ac:dyDescent="0.7">
      <c r="A59" s="230"/>
      <c r="B59" s="113"/>
      <c r="C59" s="488"/>
      <c r="D59" s="480"/>
      <c r="E59" s="14"/>
      <c r="F59" s="480"/>
      <c r="G59" s="14"/>
      <c r="H59" s="14"/>
      <c r="I59" s="14"/>
      <c r="J59" s="14"/>
      <c r="K59" s="14"/>
      <c r="L59" s="14"/>
      <c r="M59" s="14"/>
      <c r="N59" s="14"/>
      <c r="O59" s="14"/>
      <c r="P59" s="14"/>
      <c r="Q59" s="14"/>
      <c r="R59" s="14"/>
      <c r="S59" s="14"/>
      <c r="T59" s="14"/>
      <c r="U59" s="56"/>
      <c r="V59" s="14"/>
      <c r="W59" s="14"/>
      <c r="X59" s="14"/>
      <c r="Y59" s="14"/>
      <c r="Z59" s="14"/>
      <c r="AA59" s="14"/>
      <c r="AB59" s="14"/>
      <c r="AC59" s="56"/>
      <c r="AD59" s="14"/>
      <c r="AE59" s="56"/>
      <c r="AF59" s="14"/>
      <c r="AG59" s="14"/>
      <c r="AH59" s="14"/>
      <c r="AI59" s="71"/>
      <c r="AJ59" s="282"/>
      <c r="AK59" s="156"/>
    </row>
    <row r="60" spans="1:38" s="40" customFormat="1" ht="30" customHeight="1" x14ac:dyDescent="0.7">
      <c r="A60" s="230"/>
      <c r="B60" s="47" t="s">
        <v>123</v>
      </c>
      <c r="C60" s="468"/>
      <c r="D60" s="481"/>
      <c r="E60" s="25"/>
      <c r="F60" s="481"/>
      <c r="G60" s="25"/>
      <c r="H60" s="25"/>
      <c r="I60" s="25"/>
      <c r="J60" s="25"/>
      <c r="K60" s="25"/>
      <c r="L60" s="25"/>
      <c r="M60" s="25"/>
      <c r="N60" s="25"/>
      <c r="O60" s="25"/>
      <c r="P60" s="25"/>
      <c r="Q60" s="25"/>
      <c r="R60" s="25"/>
      <c r="S60" s="25"/>
      <c r="T60" s="25"/>
      <c r="U60" s="15"/>
      <c r="V60" s="1"/>
      <c r="W60" s="1"/>
      <c r="X60" s="1"/>
      <c r="Y60" s="1"/>
      <c r="Z60" s="1"/>
      <c r="AA60" s="1"/>
      <c r="AB60" s="1"/>
      <c r="AC60" s="15"/>
      <c r="AD60" s="1"/>
      <c r="AE60" s="15"/>
      <c r="AF60" s="1"/>
      <c r="AG60" s="1"/>
      <c r="AH60" s="1"/>
      <c r="AI60" s="81"/>
      <c r="AJ60" s="283"/>
      <c r="AK60" s="156"/>
    </row>
    <row r="61" spans="1:38" s="41" customFormat="1" ht="30" customHeight="1" x14ac:dyDescent="0.7">
      <c r="A61" s="229"/>
      <c r="B61" s="107" t="s">
        <v>50</v>
      </c>
      <c r="C61" s="489">
        <v>7.6405410031913541E-3</v>
      </c>
      <c r="D61" s="482">
        <v>5.1773147509312605E-3</v>
      </c>
      <c r="E61" s="17">
        <v>2.5546408543757278E-2</v>
      </c>
      <c r="F61" s="482">
        <v>5.5298123493566602E-3</v>
      </c>
      <c r="G61" s="17">
        <v>4.5823984494981589E-3</v>
      </c>
      <c r="H61" s="17">
        <v>4.582398449498276E-3</v>
      </c>
      <c r="I61" s="17">
        <v>4.582398449498276E-3</v>
      </c>
      <c r="J61" s="17">
        <v>4.582398449498276E-3</v>
      </c>
      <c r="K61" s="17">
        <v>4.582398449498276E-3</v>
      </c>
      <c r="L61" s="17">
        <v>4.582398449498276E-3</v>
      </c>
      <c r="M61" s="17">
        <v>4.582398449498276E-3</v>
      </c>
      <c r="N61" s="17">
        <v>4.582398449498276E-3</v>
      </c>
      <c r="O61" s="17">
        <v>4.582398449498276E-3</v>
      </c>
      <c r="P61" s="17">
        <v>4.582398449498276E-3</v>
      </c>
      <c r="Q61" s="17">
        <v>4.582398449498276E-3</v>
      </c>
      <c r="R61" s="17">
        <v>4.582398449498276E-3</v>
      </c>
      <c r="S61" s="17">
        <v>4.582398449498276E-3</v>
      </c>
      <c r="T61" s="17">
        <f>T54/T40</f>
        <v>4.582398449498276E-3</v>
      </c>
      <c r="U61" s="43">
        <f>U54/U40</f>
        <v>-7.8231168412656343E-2</v>
      </c>
      <c r="V61" s="43">
        <f t="shared" ref="V61:AG61" si="22">V54/V40</f>
        <v>-0.12968931173876622</v>
      </c>
      <c r="W61" s="43">
        <f t="shared" si="22"/>
        <v>-7.2542404915504302E-2</v>
      </c>
      <c r="X61" s="43">
        <f t="shared" si="22"/>
        <v>-3.5385754423315423E-2</v>
      </c>
      <c r="Y61" s="43">
        <f t="shared" si="22"/>
        <v>-5.4215829901249263E-2</v>
      </c>
      <c r="Z61" s="43">
        <f t="shared" si="22"/>
        <v>3.3700274946790017E-2</v>
      </c>
      <c r="AA61" s="43">
        <f t="shared" si="22"/>
        <v>3.2226852282156819E-2</v>
      </c>
      <c r="AB61" s="43">
        <f t="shared" si="22"/>
        <v>2.1610862551084822E-2</v>
      </c>
      <c r="AC61" s="43">
        <f t="shared" si="22"/>
        <v>2.232332512492969E-2</v>
      </c>
      <c r="AD61" s="43">
        <f t="shared" si="22"/>
        <v>-1.8066080748113226E-2</v>
      </c>
      <c r="AE61" s="43" t="e">
        <f t="shared" si="22"/>
        <v>#DIV/0!</v>
      </c>
      <c r="AF61" s="43" t="e">
        <f t="shared" si="22"/>
        <v>#DIV/0!</v>
      </c>
      <c r="AG61" s="43">
        <f t="shared" si="22"/>
        <v>-2.5142462166076063E-2</v>
      </c>
      <c r="AH61" s="43">
        <f>AH54/AH40</f>
        <v>-1.7409033948161724E-2</v>
      </c>
      <c r="AI61" s="71"/>
      <c r="AJ61" s="282"/>
      <c r="AK61" s="156"/>
      <c r="AL61" s="40"/>
    </row>
    <row r="62" spans="1:38" s="126" customFormat="1" ht="30" customHeight="1" thickBot="1" x14ac:dyDescent="0.75">
      <c r="A62" s="237"/>
      <c r="B62" s="221" t="s">
        <v>25</v>
      </c>
      <c r="C62" s="490">
        <v>1.6408335984953573E-2</v>
      </c>
      <c r="D62" s="483">
        <v>1.3394043287827706E-2</v>
      </c>
      <c r="E62" s="223">
        <v>0.10215302769925864</v>
      </c>
      <c r="F62" s="483">
        <v>9.4919652506129257E-2</v>
      </c>
      <c r="G62" s="223">
        <v>1.1751244116566356E-2</v>
      </c>
      <c r="H62" s="223">
        <v>1.1751244116566474E-2</v>
      </c>
      <c r="I62" s="223">
        <v>1.1751244116566474E-2</v>
      </c>
      <c r="J62" s="223">
        <v>1.1751244116566474E-2</v>
      </c>
      <c r="K62" s="223">
        <v>1.1751244116566474E-2</v>
      </c>
      <c r="L62" s="223">
        <v>1.1751244116566474E-2</v>
      </c>
      <c r="M62" s="223">
        <v>1.1751244116566474E-2</v>
      </c>
      <c r="N62" s="223">
        <v>1.1751244116566474E-2</v>
      </c>
      <c r="O62" s="223">
        <v>1.1751244116566474E-2</v>
      </c>
      <c r="P62" s="223">
        <v>1.1751244116566474E-2</v>
      </c>
      <c r="Q62" s="223">
        <v>1.1751244116566474E-2</v>
      </c>
      <c r="R62" s="223">
        <v>1.1751244116566474E-2</v>
      </c>
      <c r="S62" s="223">
        <v>1.1751244116566474E-2</v>
      </c>
      <c r="T62" s="223">
        <f>T58/(T40+T56)</f>
        <v>1.1751244116566478E-2</v>
      </c>
      <c r="U62" s="222">
        <f>U58/(U40+U56)</f>
        <v>-0.13731479299149685</v>
      </c>
      <c r="V62" s="222">
        <f t="shared" ref="V62:AG62" si="23">V58/(V40+V56)</f>
        <v>0.12379706004538833</v>
      </c>
      <c r="W62" s="222">
        <f t="shared" si="23"/>
        <v>3.1538743002801954E-2</v>
      </c>
      <c r="X62" s="222">
        <f t="shared" si="23"/>
        <v>-4.7434715455365671E-2</v>
      </c>
      <c r="Y62" s="222">
        <f t="shared" si="23"/>
        <v>2.4192716775618676E-2</v>
      </c>
      <c r="Z62" s="222">
        <f t="shared" si="23"/>
        <v>0.10537794024774612</v>
      </c>
      <c r="AA62" s="222">
        <f t="shared" si="23"/>
        <v>0.14568573405263663</v>
      </c>
      <c r="AB62" s="222">
        <f t="shared" si="23"/>
        <v>4.356673315381647E-2</v>
      </c>
      <c r="AC62" s="222">
        <f t="shared" si="23"/>
        <v>9.40420755650625E-2</v>
      </c>
      <c r="AD62" s="222">
        <f t="shared" si="23"/>
        <v>2.3768636279749088E-2</v>
      </c>
      <c r="AE62" s="222" t="e">
        <f t="shared" si="23"/>
        <v>#DIV/0!</v>
      </c>
      <c r="AF62" s="222" t="e">
        <f t="shared" si="23"/>
        <v>#DIV/0!</v>
      </c>
      <c r="AG62" s="222">
        <f t="shared" si="23"/>
        <v>4.6335541670869548E-2</v>
      </c>
      <c r="AH62" s="222">
        <f>AH58/(AH40+AH56)</f>
        <v>8.7480336125701247E-2</v>
      </c>
      <c r="AI62" s="224"/>
      <c r="AJ62" s="284"/>
      <c r="AK62" s="156"/>
      <c r="AL62" s="40"/>
    </row>
    <row r="63" spans="1:38" s="40" customFormat="1" ht="30" customHeight="1" x14ac:dyDescent="0.7">
      <c r="A63" s="230"/>
      <c r="B63" s="7"/>
      <c r="AI63" s="78"/>
      <c r="AJ63" s="78"/>
      <c r="AK63" s="156"/>
    </row>
    <row r="64" spans="1:38" s="40" customFormat="1" ht="30" customHeight="1" x14ac:dyDescent="0.7">
      <c r="A64" s="230"/>
      <c r="B64" s="7"/>
      <c r="AI64" s="78"/>
      <c r="AJ64" s="78"/>
      <c r="AK64" s="156"/>
    </row>
    <row r="65" spans="1:37" ht="30" customHeight="1" x14ac:dyDescent="0.35">
      <c r="AI65" s="79"/>
      <c r="AJ65" s="79"/>
    </row>
    <row r="66" spans="1:37" ht="30" customHeight="1" x14ac:dyDescent="0.35">
      <c r="AI66" s="79"/>
      <c r="AJ66" s="79"/>
    </row>
    <row r="67" spans="1:37" s="186" customFormat="1" ht="30" customHeight="1" x14ac:dyDescent="0.65">
      <c r="A67" s="238"/>
      <c r="B67" s="213" t="s">
        <v>197</v>
      </c>
      <c r="C67" s="186">
        <f t="shared" ref="C67:AH67" si="24">+C17+SUM(C19:C23)+SUM(C25:C27)+SUM(C30:C38)-SUM(C42:C51)+C56-C58</f>
        <v>1.0407529771327972E-7</v>
      </c>
      <c r="D67" s="186">
        <f t="shared" si="24"/>
        <v>-5.9604644775390625E-8</v>
      </c>
      <c r="E67" s="186">
        <f t="shared" si="24"/>
        <v>1.4901161193847656E-8</v>
      </c>
      <c r="F67" s="186">
        <f t="shared" si="24"/>
        <v>0</v>
      </c>
      <c r="H67" s="186">
        <f t="shared" si="24"/>
        <v>0</v>
      </c>
      <c r="I67" s="186">
        <f t="shared" si="24"/>
        <v>0</v>
      </c>
      <c r="J67" s="186">
        <f t="shared" si="24"/>
        <v>0</v>
      </c>
      <c r="K67" s="186">
        <f t="shared" si="24"/>
        <v>0</v>
      </c>
      <c r="L67" s="186">
        <f t="shared" si="24"/>
        <v>0</v>
      </c>
      <c r="M67" s="186">
        <f t="shared" si="24"/>
        <v>0</v>
      </c>
      <c r="N67" s="186">
        <f t="shared" si="24"/>
        <v>0</v>
      </c>
      <c r="O67" s="186">
        <f t="shared" si="24"/>
        <v>0</v>
      </c>
      <c r="P67" s="186">
        <f t="shared" si="24"/>
        <v>0</v>
      </c>
      <c r="Q67" s="186">
        <f t="shared" si="24"/>
        <v>0</v>
      </c>
      <c r="R67" s="186">
        <f t="shared" si="24"/>
        <v>0</v>
      </c>
      <c r="S67" s="186">
        <f t="shared" si="24"/>
        <v>0</v>
      </c>
      <c r="T67" s="186">
        <f t="shared" si="24"/>
        <v>-2.0954757928848267E-9</v>
      </c>
      <c r="U67" s="186">
        <f t="shared" si="24"/>
        <v>0</v>
      </c>
      <c r="V67" s="186">
        <f t="shared" si="24"/>
        <v>0</v>
      </c>
      <c r="W67" s="186">
        <f t="shared" si="24"/>
        <v>0</v>
      </c>
      <c r="X67" s="186">
        <f t="shared" si="24"/>
        <v>0</v>
      </c>
      <c r="Y67" s="186">
        <f t="shared" si="24"/>
        <v>0</v>
      </c>
      <c r="Z67" s="186">
        <f t="shared" si="24"/>
        <v>3.7252902984619141E-9</v>
      </c>
      <c r="AA67" s="186">
        <f t="shared" si="24"/>
        <v>0</v>
      </c>
      <c r="AB67" s="186">
        <f t="shared" si="24"/>
        <v>-1.862645149230957E-9</v>
      </c>
      <c r="AC67" s="186">
        <f t="shared" si="24"/>
        <v>0</v>
      </c>
      <c r="AD67" s="186">
        <f t="shared" si="24"/>
        <v>0</v>
      </c>
      <c r="AE67" s="186">
        <f t="shared" si="24"/>
        <v>0</v>
      </c>
      <c r="AF67" s="186">
        <f t="shared" si="24"/>
        <v>0</v>
      </c>
      <c r="AG67" s="186">
        <f t="shared" si="24"/>
        <v>1.4901161193847656E-8</v>
      </c>
      <c r="AH67" s="186">
        <f t="shared" si="24"/>
        <v>-4505235.8999999613</v>
      </c>
      <c r="AI67" s="214"/>
      <c r="AJ67" s="214"/>
      <c r="AK67" s="157"/>
    </row>
    <row r="68" spans="1:37" s="82" customFormat="1" ht="30" customHeight="1" x14ac:dyDescent="0.6">
      <c r="A68" s="231"/>
      <c r="B68" s="461" t="s">
        <v>197</v>
      </c>
      <c r="C68" s="82">
        <f>+C29+C39-C52+C56-C58</f>
        <v>4.4470652937889099E-8</v>
      </c>
      <c r="E68" s="82">
        <f>+E29+E39-E52+E56-E58</f>
        <v>5.9604644775390625E-8</v>
      </c>
      <c r="F68" s="82">
        <f t="shared" ref="F68:AH68" si="25">+F29+F39-F52+F56-F58</f>
        <v>5.9604644775390625E-8</v>
      </c>
      <c r="G68" s="82">
        <f t="shared" si="25"/>
        <v>1.4901161193847656E-8</v>
      </c>
      <c r="H68" s="82">
        <f t="shared" si="25"/>
        <v>0</v>
      </c>
      <c r="I68" s="82">
        <f t="shared" si="25"/>
        <v>0</v>
      </c>
      <c r="J68" s="82">
        <f t="shared" si="25"/>
        <v>0</v>
      </c>
      <c r="K68" s="82">
        <f t="shared" si="25"/>
        <v>0</v>
      </c>
      <c r="L68" s="82">
        <f t="shared" si="25"/>
        <v>0</v>
      </c>
      <c r="M68" s="82">
        <f t="shared" si="25"/>
        <v>0</v>
      </c>
      <c r="N68" s="82">
        <f t="shared" si="25"/>
        <v>0</v>
      </c>
      <c r="O68" s="82">
        <f t="shared" si="25"/>
        <v>0</v>
      </c>
      <c r="P68" s="82">
        <f t="shared" si="25"/>
        <v>0</v>
      </c>
      <c r="Q68" s="82">
        <f t="shared" si="25"/>
        <v>0</v>
      </c>
      <c r="R68" s="82">
        <f t="shared" si="25"/>
        <v>0</v>
      </c>
      <c r="S68" s="82">
        <f t="shared" si="25"/>
        <v>0</v>
      </c>
      <c r="T68" s="82">
        <f t="shared" si="25"/>
        <v>-2.0954757928848267E-9</v>
      </c>
      <c r="U68" s="82">
        <f t="shared" si="25"/>
        <v>0</v>
      </c>
      <c r="V68" s="82">
        <f t="shared" si="25"/>
        <v>0</v>
      </c>
      <c r="W68" s="82">
        <f t="shared" si="25"/>
        <v>0</v>
      </c>
      <c r="X68" s="82">
        <f t="shared" si="25"/>
        <v>0</v>
      </c>
      <c r="Y68" s="82">
        <f t="shared" si="25"/>
        <v>0</v>
      </c>
      <c r="Z68" s="82">
        <f t="shared" si="25"/>
        <v>0</v>
      </c>
      <c r="AA68" s="82">
        <f t="shared" si="25"/>
        <v>0</v>
      </c>
      <c r="AB68" s="82">
        <f t="shared" si="25"/>
        <v>0</v>
      </c>
      <c r="AC68" s="82">
        <f t="shared" si="25"/>
        <v>0</v>
      </c>
      <c r="AD68" s="82">
        <f t="shared" si="25"/>
        <v>0</v>
      </c>
      <c r="AE68" s="82">
        <f t="shared" si="25"/>
        <v>0</v>
      </c>
      <c r="AF68" s="82">
        <f t="shared" si="25"/>
        <v>0</v>
      </c>
      <c r="AG68" s="82">
        <f t="shared" si="25"/>
        <v>0</v>
      </c>
      <c r="AH68" s="82">
        <f t="shared" si="25"/>
        <v>-4505235.8999999613</v>
      </c>
      <c r="AI68" s="462"/>
      <c r="AJ68" s="462"/>
      <c r="AK68" s="463"/>
    </row>
    <row r="69" spans="1:37" s="75" customFormat="1" ht="30" customHeight="1" x14ac:dyDescent="0.55000000000000004">
      <c r="A69" s="457"/>
      <c r="B69" s="458" t="s">
        <v>255</v>
      </c>
      <c r="C69" s="75">
        <f>SUM(C17:C23)+SUM(C25:C27)+SUM(C30:C38)-SUM(C42:C51)+C56-C58</f>
        <v>1.0407529771327972E-7</v>
      </c>
      <c r="D69" s="75">
        <f t="shared" ref="D69:AH69" si="26">SUM(D17:D23)+SUM(D25:D27)+SUM(D30:D38)-SUM(D42:D51)+D56-D58</f>
        <v>-5.9604644775390625E-8</v>
      </c>
      <c r="E69" s="75">
        <f t="shared" si="26"/>
        <v>1.4901161193847656E-8</v>
      </c>
      <c r="F69" s="75">
        <f t="shared" si="26"/>
        <v>0</v>
      </c>
      <c r="G69" s="75">
        <f t="shared" si="26"/>
        <v>1.4901161193847656E-8</v>
      </c>
      <c r="H69" s="75">
        <f t="shared" si="26"/>
        <v>0</v>
      </c>
      <c r="I69" s="75">
        <f t="shared" si="26"/>
        <v>0</v>
      </c>
      <c r="J69" s="75">
        <f t="shared" si="26"/>
        <v>0</v>
      </c>
      <c r="K69" s="75">
        <f t="shared" si="26"/>
        <v>0</v>
      </c>
      <c r="L69" s="75">
        <f t="shared" si="26"/>
        <v>0</v>
      </c>
      <c r="M69" s="75">
        <f t="shared" si="26"/>
        <v>0</v>
      </c>
      <c r="N69" s="75">
        <f t="shared" si="26"/>
        <v>0</v>
      </c>
      <c r="O69" s="75">
        <f t="shared" si="26"/>
        <v>0</v>
      </c>
      <c r="P69" s="75">
        <f t="shared" si="26"/>
        <v>0</v>
      </c>
      <c r="Q69" s="75">
        <f t="shared" si="26"/>
        <v>0</v>
      </c>
      <c r="R69" s="75">
        <f t="shared" si="26"/>
        <v>0</v>
      </c>
      <c r="S69" s="75">
        <f t="shared" si="26"/>
        <v>0</v>
      </c>
      <c r="T69" s="75">
        <f t="shared" si="26"/>
        <v>-1.6996636986732483E-8</v>
      </c>
      <c r="U69" s="75">
        <f t="shared" si="26"/>
        <v>0</v>
      </c>
      <c r="V69" s="75">
        <f t="shared" si="26"/>
        <v>0</v>
      </c>
      <c r="W69" s="75">
        <f t="shared" si="26"/>
        <v>0</v>
      </c>
      <c r="X69" s="75">
        <f t="shared" si="26"/>
        <v>0</v>
      </c>
      <c r="Y69" s="75">
        <f t="shared" si="26"/>
        <v>0</v>
      </c>
      <c r="Z69" s="75">
        <f t="shared" si="26"/>
        <v>0</v>
      </c>
      <c r="AA69" s="75">
        <f t="shared" si="26"/>
        <v>0</v>
      </c>
      <c r="AB69" s="75">
        <f t="shared" si="26"/>
        <v>0</v>
      </c>
      <c r="AC69" s="75">
        <f t="shared" si="26"/>
        <v>0</v>
      </c>
      <c r="AD69" s="75">
        <f t="shared" si="26"/>
        <v>0</v>
      </c>
      <c r="AE69" s="75">
        <f t="shared" si="26"/>
        <v>0</v>
      </c>
      <c r="AF69" s="75">
        <f t="shared" si="26"/>
        <v>0</v>
      </c>
      <c r="AG69" s="75">
        <f t="shared" si="26"/>
        <v>1.4901161193847656E-8</v>
      </c>
      <c r="AH69" s="75">
        <f t="shared" si="26"/>
        <v>-4505235.8999999613</v>
      </c>
      <c r="AI69" s="459"/>
      <c r="AJ69" s="459"/>
      <c r="AK69" s="460"/>
    </row>
    <row r="70" spans="1:37" ht="30" customHeight="1" x14ac:dyDescent="0.35">
      <c r="AI70" s="79"/>
      <c r="AJ70" s="79"/>
    </row>
    <row r="71" spans="1:37" ht="30" customHeight="1" x14ac:dyDescent="0.35">
      <c r="AI71" s="79"/>
      <c r="AJ71" s="79"/>
    </row>
    <row r="72" spans="1:37" ht="30" customHeight="1" x14ac:dyDescent="0.35"/>
    <row r="73" spans="1:37" ht="30" customHeight="1" x14ac:dyDescent="0.35"/>
    <row r="74" spans="1:37" ht="30" customHeight="1" x14ac:dyDescent="0.35"/>
    <row r="75" spans="1:37" ht="30" customHeight="1" x14ac:dyDescent="0.35"/>
    <row r="76" spans="1:37" ht="30" customHeight="1" x14ac:dyDescent="0.35"/>
    <row r="77" spans="1:37" ht="30" customHeight="1" x14ac:dyDescent="0.35"/>
    <row r="78" spans="1:37" ht="30" customHeight="1" x14ac:dyDescent="0.35"/>
    <row r="79" spans="1:37" ht="30" customHeight="1" x14ac:dyDescent="0.35"/>
    <row r="80" spans="1:37" ht="30" customHeight="1" x14ac:dyDescent="0.35"/>
    <row r="81" spans="1:37" ht="30" customHeight="1" x14ac:dyDescent="0.35"/>
    <row r="82" spans="1:37" ht="30" customHeight="1" x14ac:dyDescent="0.35"/>
    <row r="83" spans="1:37" ht="30" customHeight="1" x14ac:dyDescent="0.35"/>
    <row r="84" spans="1:37" ht="30" customHeight="1" x14ac:dyDescent="0.35"/>
    <row r="85" spans="1:37" ht="30" customHeight="1" x14ac:dyDescent="0.35"/>
    <row r="86" spans="1:37" ht="30" customHeight="1" x14ac:dyDescent="0.35"/>
    <row r="87" spans="1:37" ht="30" customHeight="1" x14ac:dyDescent="0.35"/>
    <row r="88" spans="1:37" ht="30" customHeight="1" x14ac:dyDescent="0.35"/>
    <row r="89" spans="1:37" ht="30" customHeight="1" x14ac:dyDescent="0.35"/>
    <row r="95" spans="1:37" s="8" customFormat="1" x14ac:dyDescent="0.35">
      <c r="A95" s="227"/>
      <c r="B95" s="137" t="s">
        <v>49</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K95" s="156"/>
    </row>
    <row r="96" spans="1:37" x14ac:dyDescent="0.35">
      <c r="B96" s="44"/>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sheetData>
  <mergeCells count="2">
    <mergeCell ref="B12:AJ12"/>
    <mergeCell ref="B13:AJ13"/>
  </mergeCells>
  <pageMargins left="0.45" right="0.45" top="0.25" bottom="0.5" header="0.3" footer="0.3"/>
  <pageSetup scale="20" orientation="landscape" r:id="rId1"/>
  <headerFooter>
    <oddFooter>&amp;L&amp;16&amp;D, Page &amp;P&amp;C&amp;16Green Mountain Care Board&amp;R&amp;16&amp;F, &amp;A</oddFooter>
  </headerFooter>
  <customProperties>
    <customPr name="AdaptiveCustomXmlPartId" r:id="rId2"/>
    <customPr name="AdaptiveReportingSheetKey" r:id="rId3"/>
    <customPr name="CurrentId"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B1:W56"/>
  <sheetViews>
    <sheetView showGridLines="0" topLeftCell="A4" zoomScale="50" zoomScaleNormal="50" workbookViewId="0">
      <pane xSplit="2" ySplit="7" topLeftCell="H12" activePane="bottomRight" state="frozen"/>
      <selection activeCell="A4" sqref="A4"/>
      <selection pane="topRight" activeCell="C4" sqref="C4"/>
      <selection pane="bottomLeft" activeCell="A11" sqref="A11"/>
      <selection pane="bottomRight" activeCell="T38" sqref="T38"/>
    </sheetView>
  </sheetViews>
  <sheetFormatPr defaultColWidth="9.1796875" defaultRowHeight="14.5" outlineLevelRow="1" outlineLevelCol="1" x14ac:dyDescent="0.35"/>
  <cols>
    <col min="1" max="1" width="4.26953125" style="84" customWidth="1"/>
    <col min="2" max="2" width="79.26953125" style="84" customWidth="1"/>
    <col min="3" max="3" width="41.54296875" style="84" customWidth="1"/>
    <col min="4" max="4" width="30.81640625" style="84" hidden="1" customWidth="1" outlineLevel="1"/>
    <col min="5" max="5" width="41.54296875" style="84" hidden="1" customWidth="1" outlineLevel="1" collapsed="1"/>
    <col min="6" max="6" width="41.54296875" style="84" customWidth="1" collapsed="1"/>
    <col min="7" max="7" width="41.54296875" style="84" customWidth="1"/>
    <col min="8" max="17" width="31.54296875" style="84" customWidth="1"/>
    <col min="18" max="19" width="31.54296875" style="84" customWidth="1" outlineLevel="1"/>
    <col min="20" max="22" width="31.54296875" style="84" customWidth="1"/>
    <col min="23" max="23" width="32.26953125" style="149" customWidth="1"/>
    <col min="24" max="24" width="40.26953125" style="84" customWidth="1"/>
    <col min="25" max="16384" width="9.1796875" style="84"/>
  </cols>
  <sheetData>
    <row r="1" spans="2:23" hidden="1" outlineLevel="1" x14ac:dyDescent="0.35">
      <c r="C1" s="21" t="s">
        <v>44</v>
      </c>
      <c r="D1" s="21"/>
      <c r="E1" s="21"/>
      <c r="F1" s="21" t="s">
        <v>110</v>
      </c>
      <c r="G1" s="21"/>
      <c r="H1" s="21"/>
      <c r="I1" s="21"/>
      <c r="J1" s="21"/>
      <c r="K1" s="21"/>
      <c r="L1" s="21"/>
      <c r="M1" s="21"/>
      <c r="N1" s="21"/>
      <c r="O1" s="21"/>
      <c r="P1" s="21"/>
      <c r="Q1" s="21"/>
      <c r="R1" s="21"/>
      <c r="S1" s="21"/>
      <c r="T1" s="21"/>
      <c r="U1" s="13" t="s">
        <v>74</v>
      </c>
      <c r="V1" s="13" t="s">
        <v>74</v>
      </c>
    </row>
    <row r="2" spans="2:23" hidden="1" outlineLevel="1" x14ac:dyDescent="0.35">
      <c r="C2" s="21" t="s">
        <v>88</v>
      </c>
      <c r="D2" s="21" t="s">
        <v>110</v>
      </c>
      <c r="E2" s="21" t="s">
        <v>207</v>
      </c>
      <c r="F2" s="21" t="s">
        <v>151</v>
      </c>
      <c r="G2" s="21" t="s">
        <v>208</v>
      </c>
      <c r="H2" s="21" t="s">
        <v>0</v>
      </c>
      <c r="I2" s="21"/>
      <c r="J2" s="21"/>
      <c r="K2" s="21"/>
      <c r="L2" s="21"/>
      <c r="M2" s="21"/>
      <c r="N2" s="21"/>
      <c r="O2" s="21"/>
      <c r="P2" s="21"/>
      <c r="Q2" s="21"/>
      <c r="R2" s="21"/>
      <c r="S2" s="21"/>
      <c r="T2" s="21"/>
      <c r="U2" s="21" t="s">
        <v>88</v>
      </c>
      <c r="V2" s="21" t="s">
        <v>88</v>
      </c>
    </row>
    <row r="3" spans="2:23" hidden="1" outlineLevel="1" x14ac:dyDescent="0.35">
      <c r="C3" s="21" t="s">
        <v>20</v>
      </c>
      <c r="D3" s="21" t="s">
        <v>20</v>
      </c>
      <c r="E3" s="21" t="s">
        <v>20</v>
      </c>
      <c r="F3" s="21" t="s">
        <v>20</v>
      </c>
      <c r="G3" s="21" t="s">
        <v>20</v>
      </c>
      <c r="H3" s="21"/>
      <c r="I3" s="21"/>
      <c r="J3" s="21"/>
      <c r="K3" s="21"/>
      <c r="L3" s="21"/>
      <c r="M3" s="21"/>
      <c r="N3" s="21"/>
      <c r="O3" s="21"/>
      <c r="P3" s="21"/>
      <c r="Q3" s="21"/>
      <c r="R3" s="21"/>
      <c r="S3" s="21"/>
      <c r="T3" s="21"/>
      <c r="U3" s="13" t="s">
        <v>82</v>
      </c>
      <c r="V3" s="13" t="s">
        <v>82</v>
      </c>
    </row>
    <row r="4" spans="2:23" ht="15" collapsed="1" thickBot="1" x14ac:dyDescent="0.4"/>
    <row r="5" spans="2:23" s="127" customFormat="1" ht="31" x14ac:dyDescent="0.7">
      <c r="B5" s="285" t="str">
        <f>F3</f>
        <v>Brattleboro Memorial Hospital</v>
      </c>
      <c r="C5" s="286"/>
      <c r="D5" s="286"/>
      <c r="E5" s="286"/>
      <c r="F5" s="286"/>
      <c r="G5" s="286"/>
      <c r="H5" s="286"/>
      <c r="I5" s="286"/>
      <c r="J5" s="286"/>
      <c r="K5" s="286"/>
      <c r="L5" s="286"/>
      <c r="M5" s="286"/>
      <c r="N5" s="286"/>
      <c r="O5" s="286"/>
      <c r="P5" s="286"/>
      <c r="Q5" s="286"/>
      <c r="R5" s="286"/>
      <c r="S5" s="286"/>
      <c r="T5" s="286"/>
      <c r="U5" s="286"/>
      <c r="V5" s="287"/>
      <c r="W5" s="150"/>
    </row>
    <row r="6" spans="2:23" s="127" customFormat="1" ht="31" x14ac:dyDescent="0.7">
      <c r="B6" s="288" t="str">
        <f>+'Income Statement'!B9</f>
        <v>Steven Gordon</v>
      </c>
      <c r="C6" s="289"/>
      <c r="D6" s="290" t="str">
        <f>+'Income Statement'!F9</f>
        <v>Andre Bissonnette</v>
      </c>
      <c r="E6" s="289"/>
      <c r="F6" s="289"/>
      <c r="G6" s="289"/>
      <c r="H6" s="289"/>
      <c r="I6" s="289"/>
      <c r="J6" s="289"/>
      <c r="K6" s="289"/>
      <c r="L6" s="289"/>
      <c r="M6" s="289"/>
      <c r="N6" s="289"/>
      <c r="O6" s="289"/>
      <c r="P6" s="289"/>
      <c r="Q6" s="289"/>
      <c r="R6" s="289"/>
      <c r="S6" s="289"/>
      <c r="T6" s="289"/>
      <c r="U6" s="289"/>
      <c r="V6" s="291"/>
      <c r="W6" s="150"/>
    </row>
    <row r="7" spans="2:23" s="127" customFormat="1" ht="31" x14ac:dyDescent="0.7">
      <c r="B7" s="292" t="str">
        <f>+Cover!B12</f>
        <v>Fiscal Year 2021 YTD Summary</v>
      </c>
      <c r="C7" s="293"/>
      <c r="D7" s="293"/>
      <c r="E7" s="293"/>
      <c r="F7" s="294"/>
      <c r="G7" s="294"/>
      <c r="H7" s="294"/>
      <c r="I7" s="294"/>
      <c r="J7" s="294"/>
      <c r="K7" s="294"/>
      <c r="L7" s="294"/>
      <c r="M7" s="294"/>
      <c r="N7" s="294"/>
      <c r="O7" s="294"/>
      <c r="P7" s="294"/>
      <c r="Q7" s="294"/>
      <c r="R7" s="294"/>
      <c r="S7" s="294"/>
      <c r="T7" s="294" t="str">
        <f>+Cover!C15</f>
        <v>Through July</v>
      </c>
      <c r="U7" s="294"/>
      <c r="V7" s="295"/>
      <c r="W7" s="150"/>
    </row>
    <row r="8" spans="2:23" s="127" customFormat="1" ht="31" x14ac:dyDescent="0.7">
      <c r="B8" s="76"/>
      <c r="C8" s="6"/>
      <c r="D8" s="6"/>
      <c r="E8" s="6"/>
      <c r="F8" s="267"/>
      <c r="G8" s="6"/>
      <c r="H8" s="6"/>
      <c r="I8" s="6"/>
      <c r="J8" s="6"/>
      <c r="K8" s="6"/>
      <c r="L8" s="6"/>
      <c r="M8" s="6"/>
      <c r="N8" s="6"/>
      <c r="O8" s="6"/>
      <c r="P8" s="6"/>
      <c r="Q8" s="6"/>
      <c r="R8" s="6"/>
      <c r="S8" s="6"/>
      <c r="T8" s="6"/>
      <c r="U8" s="146"/>
      <c r="V8" s="122"/>
      <c r="W8" s="624"/>
    </row>
    <row r="9" spans="2:23" s="131" customFormat="1" ht="33.5" x14ac:dyDescent="0.7">
      <c r="B9" s="296" t="s">
        <v>139</v>
      </c>
      <c r="C9" s="57" t="s">
        <v>36</v>
      </c>
      <c r="D9" s="57" t="s">
        <v>104</v>
      </c>
      <c r="E9" s="57" t="s">
        <v>206</v>
      </c>
      <c r="F9" s="297" t="s">
        <v>196</v>
      </c>
      <c r="G9" s="297" t="s">
        <v>216</v>
      </c>
      <c r="H9" s="579" t="s">
        <v>184</v>
      </c>
      <c r="I9" s="579" t="s">
        <v>185</v>
      </c>
      <c r="J9" s="579" t="s">
        <v>186</v>
      </c>
      <c r="K9" s="579" t="s">
        <v>187</v>
      </c>
      <c r="L9" s="579" t="s">
        <v>188</v>
      </c>
      <c r="M9" s="579" t="s">
        <v>189</v>
      </c>
      <c r="N9" s="579" t="s">
        <v>190</v>
      </c>
      <c r="O9" s="579" t="s">
        <v>191</v>
      </c>
      <c r="P9" s="579" t="s">
        <v>192</v>
      </c>
      <c r="Q9" s="579" t="s">
        <v>193</v>
      </c>
      <c r="R9" s="579" t="s">
        <v>194</v>
      </c>
      <c r="S9" s="579" t="s">
        <v>195</v>
      </c>
      <c r="T9" s="579" t="s">
        <v>200</v>
      </c>
      <c r="U9" s="297" t="s">
        <v>217</v>
      </c>
      <c r="V9" s="298" t="s">
        <v>218</v>
      </c>
      <c r="W9" s="624"/>
    </row>
    <row r="10" spans="2:23" s="133" customFormat="1" ht="16.5" customHeight="1" x14ac:dyDescent="0.65">
      <c r="B10" s="97"/>
      <c r="C10" s="33"/>
      <c r="D10" s="33"/>
      <c r="E10" s="33"/>
      <c r="F10" s="33"/>
      <c r="G10" s="33"/>
      <c r="H10" s="33"/>
      <c r="I10" s="33"/>
      <c r="J10" s="33"/>
      <c r="K10" s="33"/>
      <c r="L10" s="33"/>
      <c r="M10" s="33"/>
      <c r="N10" s="33"/>
      <c r="O10" s="33"/>
      <c r="P10" s="33"/>
      <c r="Q10" s="33"/>
      <c r="R10" s="33"/>
      <c r="S10" s="33"/>
      <c r="T10" s="33"/>
      <c r="U10" s="136"/>
      <c r="V10" s="142"/>
      <c r="W10" s="154"/>
    </row>
    <row r="11" spans="2:23" s="133" customFormat="1" ht="28.5" x14ac:dyDescent="0.65">
      <c r="B11" s="52" t="s">
        <v>90</v>
      </c>
      <c r="C11" s="19">
        <v>1786357</v>
      </c>
      <c r="D11" s="19">
        <v>3600000</v>
      </c>
      <c r="E11" s="19">
        <v>25818252</v>
      </c>
      <c r="F11" s="19">
        <v>20789147</v>
      </c>
      <c r="G11" s="240">
        <v>2456906</v>
      </c>
      <c r="H11" s="5">
        <v>19812633</v>
      </c>
      <c r="I11" s="5">
        <v>18651556</v>
      </c>
      <c r="J11" s="5">
        <f>19807743-0.45</f>
        <v>19807742.550000001</v>
      </c>
      <c r="K11" s="5">
        <v>18838676</v>
      </c>
      <c r="L11" s="5">
        <v>17335403</v>
      </c>
      <c r="M11" s="5">
        <f>16434997+0.45</f>
        <v>16434997.449999999</v>
      </c>
      <c r="N11" s="5">
        <v>15668467</v>
      </c>
      <c r="O11" s="5">
        <v>14739523</v>
      </c>
      <c r="P11" s="5">
        <v>12551880</v>
      </c>
      <c r="Q11" s="5">
        <v>10497771</v>
      </c>
      <c r="R11" s="5"/>
      <c r="S11" s="5"/>
      <c r="T11" s="5">
        <v>10390379</v>
      </c>
      <c r="U11" s="68">
        <f t="shared" ref="U11:U16" si="0">(T11/G11)-1</f>
        <v>3.2290502770557765</v>
      </c>
      <c r="V11" s="69">
        <f t="shared" ref="V11:V16" si="1">(T11/F11)-1</f>
        <v>-0.50020176392999671</v>
      </c>
      <c r="W11" s="151"/>
    </row>
    <row r="12" spans="2:23" s="133" customFormat="1" ht="28.5" x14ac:dyDescent="0.65">
      <c r="B12" s="52" t="s">
        <v>156</v>
      </c>
      <c r="C12" s="19">
        <v>11538110</v>
      </c>
      <c r="D12" s="19">
        <v>12819673</v>
      </c>
      <c r="E12" s="19">
        <v>11110385</v>
      </c>
      <c r="F12" s="19">
        <v>8400283</v>
      </c>
      <c r="G12" s="240">
        <v>12483048</v>
      </c>
      <c r="H12" s="5">
        <v>8240073</v>
      </c>
      <c r="I12" s="5">
        <v>8239025</v>
      </c>
      <c r="J12" s="5">
        <f>8088950-0.45</f>
        <v>8088949.5499999998</v>
      </c>
      <c r="K12" s="5">
        <v>9387051</v>
      </c>
      <c r="L12" s="5">
        <v>9182140</v>
      </c>
      <c r="M12" s="5">
        <f>10380657</f>
        <v>10380657</v>
      </c>
      <c r="N12" s="5">
        <v>10263692</v>
      </c>
      <c r="O12" s="5">
        <v>10858832</v>
      </c>
      <c r="P12" s="5">
        <v>11510522</v>
      </c>
      <c r="Q12" s="5">
        <v>11585049</v>
      </c>
      <c r="R12" s="5"/>
      <c r="S12" s="5"/>
      <c r="T12" s="5">
        <f>16182507-4077452</f>
        <v>12105055</v>
      </c>
      <c r="U12" s="68">
        <f t="shared" si="0"/>
        <v>-3.0280505209945519E-2</v>
      </c>
      <c r="V12" s="69">
        <f t="shared" si="1"/>
        <v>0.44102942722286853</v>
      </c>
      <c r="W12" s="151"/>
    </row>
    <row r="13" spans="2:23" s="133" customFormat="1" ht="28.5" x14ac:dyDescent="0.65">
      <c r="B13" s="52" t="s">
        <v>209</v>
      </c>
      <c r="C13" s="19">
        <v>0</v>
      </c>
      <c r="D13" s="19">
        <v>0</v>
      </c>
      <c r="E13" s="19">
        <v>0</v>
      </c>
      <c r="F13" s="19">
        <v>0</v>
      </c>
      <c r="G13" s="240">
        <v>0</v>
      </c>
      <c r="H13" s="5"/>
      <c r="I13" s="5"/>
      <c r="J13" s="5"/>
      <c r="K13" s="5"/>
      <c r="L13" s="5"/>
      <c r="M13" s="5"/>
      <c r="N13" s="5"/>
      <c r="O13" s="5"/>
      <c r="P13" s="5"/>
      <c r="Q13" s="5"/>
      <c r="R13" s="5"/>
      <c r="S13" s="5"/>
      <c r="T13" s="5"/>
      <c r="U13" s="68" t="e">
        <f t="shared" si="0"/>
        <v>#DIV/0!</v>
      </c>
      <c r="V13" s="69" t="e">
        <f t="shared" si="1"/>
        <v>#DIV/0!</v>
      </c>
      <c r="W13" s="151"/>
    </row>
    <row r="14" spans="2:23" s="133" customFormat="1" ht="28.5" x14ac:dyDescent="0.65">
      <c r="B14" s="87" t="s">
        <v>103</v>
      </c>
      <c r="C14" s="19">
        <v>0</v>
      </c>
      <c r="D14" s="19">
        <v>0</v>
      </c>
      <c r="E14" s="19">
        <v>0</v>
      </c>
      <c r="F14" s="19">
        <v>0</v>
      </c>
      <c r="G14" s="240">
        <v>0</v>
      </c>
      <c r="H14" s="5"/>
      <c r="I14" s="5"/>
      <c r="J14" s="5"/>
      <c r="K14" s="5"/>
      <c r="L14" s="5"/>
      <c r="M14" s="5"/>
      <c r="N14" s="5"/>
      <c r="O14" s="5"/>
      <c r="P14" s="5"/>
      <c r="Q14" s="5"/>
      <c r="R14" s="5"/>
      <c r="S14" s="5"/>
      <c r="T14" s="5"/>
      <c r="U14" s="68" t="e">
        <f t="shared" si="0"/>
        <v>#DIV/0!</v>
      </c>
      <c r="V14" s="69" t="e">
        <f t="shared" si="1"/>
        <v>#DIV/0!</v>
      </c>
      <c r="W14" s="151"/>
    </row>
    <row r="15" spans="2:23" s="133" customFormat="1" ht="28.5" x14ac:dyDescent="0.65">
      <c r="B15" s="87" t="s">
        <v>138</v>
      </c>
      <c r="C15" s="19">
        <v>5602425</v>
      </c>
      <c r="D15" s="19">
        <v>2993057</v>
      </c>
      <c r="E15" s="19">
        <v>3030215</v>
      </c>
      <c r="F15" s="19">
        <v>3680806</v>
      </c>
      <c r="G15" s="240">
        <v>3128397</v>
      </c>
      <c r="H15" s="5">
        <v>3997331</v>
      </c>
      <c r="I15" s="5">
        <f>4328510+0.45</f>
        <v>4328510.45</v>
      </c>
      <c r="J15" s="5">
        <f>4962635-0.45</f>
        <v>4962634.55</v>
      </c>
      <c r="K15" s="5">
        <v>4814189</v>
      </c>
      <c r="L15" s="5">
        <v>4596895</v>
      </c>
      <c r="M15" s="5">
        <v>3868769</v>
      </c>
      <c r="N15" s="5">
        <v>4101763</v>
      </c>
      <c r="O15" s="5">
        <v>3788912</v>
      </c>
      <c r="P15" s="5">
        <v>3683706</v>
      </c>
      <c r="Q15" s="5">
        <v>3480955</v>
      </c>
      <c r="R15" s="5"/>
      <c r="S15" s="5"/>
      <c r="T15" s="5">
        <v>3752111</v>
      </c>
      <c r="U15" s="68">
        <f t="shared" si="0"/>
        <v>0.19937175492752357</v>
      </c>
      <c r="V15" s="68">
        <f t="shared" si="1"/>
        <v>1.9372115781163046E-2</v>
      </c>
      <c r="W15" s="151"/>
    </row>
    <row r="16" spans="2:23" s="133" customFormat="1" ht="31.5" customHeight="1" x14ac:dyDescent="0.65">
      <c r="B16" s="54" t="s">
        <v>102</v>
      </c>
      <c r="C16" s="18">
        <v>18926892</v>
      </c>
      <c r="D16" s="18">
        <v>19412730</v>
      </c>
      <c r="E16" s="18">
        <v>39958852</v>
      </c>
      <c r="F16" s="18">
        <v>32870236</v>
      </c>
      <c r="G16" s="241">
        <v>18068351</v>
      </c>
      <c r="H16" s="241">
        <f t="shared" ref="H16:Q16" si="2">SUBTOTAL(9,H10:H15)</f>
        <v>32050037</v>
      </c>
      <c r="I16" s="241">
        <f t="shared" si="2"/>
        <v>31219091.449999999</v>
      </c>
      <c r="J16" s="241">
        <f t="shared" si="2"/>
        <v>32859326.650000002</v>
      </c>
      <c r="K16" s="241">
        <f t="shared" si="2"/>
        <v>33039916</v>
      </c>
      <c r="L16" s="241">
        <f t="shared" si="2"/>
        <v>31114438</v>
      </c>
      <c r="M16" s="241">
        <f t="shared" si="2"/>
        <v>30684423.449999999</v>
      </c>
      <c r="N16" s="241">
        <f t="shared" si="2"/>
        <v>30033922</v>
      </c>
      <c r="O16" s="241">
        <f t="shared" si="2"/>
        <v>29387267</v>
      </c>
      <c r="P16" s="241">
        <f t="shared" si="2"/>
        <v>27746108</v>
      </c>
      <c r="Q16" s="241">
        <f t="shared" si="2"/>
        <v>25563775</v>
      </c>
      <c r="R16" s="241">
        <f>SUM(R11:R15)</f>
        <v>0</v>
      </c>
      <c r="S16" s="241">
        <f>SUM(S11:S15)</f>
        <v>0</v>
      </c>
      <c r="T16" s="241">
        <f t="shared" ref="T16" si="3">SUBTOTAL(9,T10:T15)</f>
        <v>26247545</v>
      </c>
      <c r="U16" s="64">
        <f t="shared" si="0"/>
        <v>0.45268071225758244</v>
      </c>
      <c r="V16" s="64">
        <f t="shared" si="1"/>
        <v>-0.20147987376786702</v>
      </c>
      <c r="W16" s="151"/>
    </row>
    <row r="17" spans="2:23" s="247" customFormat="1" ht="18" customHeight="1" x14ac:dyDescent="0.65">
      <c r="B17" s="244"/>
      <c r="C17" s="245"/>
      <c r="D17" s="245"/>
      <c r="E17" s="245"/>
      <c r="F17" s="245"/>
      <c r="G17" s="151"/>
      <c r="H17" s="151"/>
      <c r="I17" s="151"/>
      <c r="J17" s="151"/>
      <c r="K17" s="151"/>
      <c r="L17" s="151"/>
      <c r="M17" s="151"/>
      <c r="N17" s="151"/>
      <c r="O17" s="151"/>
      <c r="P17" s="151"/>
      <c r="Q17" s="151"/>
      <c r="R17" s="151"/>
      <c r="S17" s="151"/>
      <c r="T17" s="151"/>
      <c r="U17" s="246"/>
      <c r="V17" s="246"/>
      <c r="W17" s="151"/>
    </row>
    <row r="18" spans="2:23" s="133" customFormat="1" ht="28.5" x14ac:dyDescent="0.65">
      <c r="B18" s="52" t="s">
        <v>133</v>
      </c>
      <c r="C18" s="19">
        <v>33846415</v>
      </c>
      <c r="D18" s="19">
        <v>25409477</v>
      </c>
      <c r="E18" s="19">
        <v>40839452</v>
      </c>
      <c r="F18" s="19">
        <v>42711182</v>
      </c>
      <c r="G18" s="240">
        <v>41344641</v>
      </c>
      <c r="H18" s="5">
        <v>42288953</v>
      </c>
      <c r="I18" s="5">
        <v>44509197</v>
      </c>
      <c r="J18" s="5">
        <f>45179879-0.45</f>
        <v>45179878.549999997</v>
      </c>
      <c r="K18" s="5">
        <v>45017233</v>
      </c>
      <c r="L18" s="5">
        <v>45566497</v>
      </c>
      <c r="M18" s="5">
        <f>46289059.45</f>
        <v>46289059.450000003</v>
      </c>
      <c r="N18" s="5">
        <v>47333601</v>
      </c>
      <c r="O18" s="5">
        <v>47518566</v>
      </c>
      <c r="P18" s="5">
        <v>47989080</v>
      </c>
      <c r="Q18" s="5">
        <v>48336224</v>
      </c>
      <c r="R18" s="5"/>
      <c r="S18" s="5"/>
      <c r="T18" s="5">
        <v>44968662</v>
      </c>
      <c r="U18" s="68">
        <f>(T18/G18)-1</f>
        <v>8.7653947702678092E-2</v>
      </c>
      <c r="V18" s="68">
        <f>(T18/F18)-1</f>
        <v>5.2854542868890908E-2</v>
      </c>
      <c r="W18" s="151"/>
    </row>
    <row r="19" spans="2:23" s="133" customFormat="1" ht="28.5" x14ac:dyDescent="0.65">
      <c r="B19" s="52" t="s">
        <v>57</v>
      </c>
      <c r="C19" s="19">
        <v>26612219.479999993</v>
      </c>
      <c r="D19" s="19">
        <v>48253862</v>
      </c>
      <c r="E19" s="19">
        <v>25724940</v>
      </c>
      <c r="F19" s="19">
        <v>25502814</v>
      </c>
      <c r="G19" s="240">
        <v>39997144</v>
      </c>
      <c r="H19" s="5">
        <v>25289610</v>
      </c>
      <c r="I19" s="5">
        <v>25266144</v>
      </c>
      <c r="J19" s="5">
        <f>25291874-0.45</f>
        <v>25291873.550000001</v>
      </c>
      <c r="K19" s="5">
        <v>25080818</v>
      </c>
      <c r="L19" s="5">
        <v>25792487</v>
      </c>
      <c r="M19" s="5">
        <v>25618794</v>
      </c>
      <c r="N19" s="5">
        <v>26476799</v>
      </c>
      <c r="O19" s="5">
        <v>26460945</v>
      </c>
      <c r="P19" s="5">
        <v>27515032</v>
      </c>
      <c r="Q19" s="5">
        <v>28200928</v>
      </c>
      <c r="R19" s="5"/>
      <c r="S19" s="5"/>
      <c r="T19" s="5">
        <v>33633981</v>
      </c>
      <c r="U19" s="68">
        <f>(T19/G19)-1</f>
        <v>-0.15909043405699164</v>
      </c>
      <c r="V19" s="68">
        <f>(T19/F19)-1</f>
        <v>0.31883410983587934</v>
      </c>
      <c r="W19" s="151"/>
    </row>
    <row r="20" spans="2:23" s="133" customFormat="1" ht="28.5" x14ac:dyDescent="0.65">
      <c r="B20" s="52" t="s">
        <v>101</v>
      </c>
      <c r="C20" s="19">
        <v>0</v>
      </c>
      <c r="D20" s="19">
        <v>0</v>
      </c>
      <c r="E20" s="19">
        <v>0</v>
      </c>
      <c r="F20" s="19">
        <v>0</v>
      </c>
      <c r="G20" s="240">
        <v>0</v>
      </c>
      <c r="H20" s="5"/>
      <c r="I20" s="5"/>
      <c r="J20" s="5"/>
      <c r="K20" s="5"/>
      <c r="L20" s="5"/>
      <c r="M20" s="5"/>
      <c r="N20" s="5"/>
      <c r="O20" s="5"/>
      <c r="P20" s="5"/>
      <c r="Q20" s="5"/>
      <c r="R20" s="5"/>
      <c r="S20" s="5"/>
      <c r="T20" s="5"/>
      <c r="U20" s="68" t="e">
        <f>(T20/G20)-1</f>
        <v>#DIV/0!</v>
      </c>
      <c r="V20" s="68" t="e">
        <f>(T20/F20)-1</f>
        <v>#DIV/0!</v>
      </c>
      <c r="W20" s="151"/>
    </row>
    <row r="21" spans="2:23" s="133" customFormat="1" ht="31.5" customHeight="1" thickBot="1" x14ac:dyDescent="0.7">
      <c r="B21" s="252" t="s">
        <v>31</v>
      </c>
      <c r="C21" s="253">
        <f>SUM(C16:C20)</f>
        <v>79385526.479999989</v>
      </c>
      <c r="D21" s="253">
        <v>93076069</v>
      </c>
      <c r="E21" s="253">
        <v>106523244</v>
      </c>
      <c r="F21" s="253">
        <v>101084232</v>
      </c>
      <c r="G21" s="254">
        <v>99410136</v>
      </c>
      <c r="H21" s="254">
        <f t="shared" ref="H21:Q21" si="4">SUBTOTAL(9,H10:H20)</f>
        <v>99628600</v>
      </c>
      <c r="I21" s="254">
        <f t="shared" si="4"/>
        <v>100994432.45</v>
      </c>
      <c r="J21" s="254">
        <f t="shared" si="4"/>
        <v>103331078.75</v>
      </c>
      <c r="K21" s="254">
        <f t="shared" si="4"/>
        <v>103137967</v>
      </c>
      <c r="L21" s="254">
        <f t="shared" si="4"/>
        <v>102473422</v>
      </c>
      <c r="M21" s="254">
        <f t="shared" si="4"/>
        <v>102592276.90000001</v>
      </c>
      <c r="N21" s="254">
        <f t="shared" si="4"/>
        <v>103844322</v>
      </c>
      <c r="O21" s="254">
        <f t="shared" si="4"/>
        <v>103366778</v>
      </c>
      <c r="P21" s="254">
        <f t="shared" si="4"/>
        <v>103250220</v>
      </c>
      <c r="Q21" s="254">
        <f t="shared" si="4"/>
        <v>102100927</v>
      </c>
      <c r="R21" s="254">
        <f>SUM(R16:R20)</f>
        <v>0</v>
      </c>
      <c r="S21" s="254">
        <f>SUM(S16:S20)</f>
        <v>0</v>
      </c>
      <c r="T21" s="254">
        <f t="shared" ref="T21" si="5">SUBTOTAL(9,T10:T20)</f>
        <v>104850188</v>
      </c>
      <c r="U21" s="255">
        <f>(T21/G21)-1</f>
        <v>5.4723313123724138E-2</v>
      </c>
      <c r="V21" s="255">
        <f>(T21/F21)-1</f>
        <v>3.7255622617778705E-2</v>
      </c>
      <c r="W21" s="151"/>
    </row>
    <row r="22" spans="2:23" s="247" customFormat="1" ht="14.25" customHeight="1" thickTop="1" x14ac:dyDescent="0.65">
      <c r="B22" s="244"/>
      <c r="C22" s="245"/>
      <c r="D22" s="245"/>
      <c r="E22" s="245"/>
      <c r="F22" s="245"/>
      <c r="G22" s="151"/>
      <c r="H22" s="151"/>
      <c r="I22" s="151"/>
      <c r="J22" s="151"/>
      <c r="K22" s="151"/>
      <c r="L22" s="151"/>
      <c r="M22" s="151"/>
      <c r="N22" s="151"/>
      <c r="O22" s="151"/>
      <c r="P22" s="151"/>
      <c r="Q22" s="151"/>
      <c r="R22" s="151"/>
      <c r="S22" s="151"/>
      <c r="T22" s="151"/>
      <c r="U22" s="246"/>
      <c r="V22" s="246"/>
      <c r="W22" s="151"/>
    </row>
    <row r="23" spans="2:23" s="133" customFormat="1" ht="28.5" x14ac:dyDescent="0.65">
      <c r="B23" s="52" t="s">
        <v>73</v>
      </c>
      <c r="C23" s="19">
        <v>3666976</v>
      </c>
      <c r="D23" s="19">
        <v>4834392</v>
      </c>
      <c r="E23" s="19">
        <v>5774858</v>
      </c>
      <c r="F23" s="19">
        <v>8939686</v>
      </c>
      <c r="G23" s="240">
        <v>5804215</v>
      </c>
      <c r="H23" s="5">
        <v>7139520</v>
      </c>
      <c r="I23" s="5">
        <v>6638548</v>
      </c>
      <c r="J23" s="5">
        <f>6992964+0.45</f>
        <v>6992964.4500000002</v>
      </c>
      <c r="K23" s="5">
        <v>6664530</v>
      </c>
      <c r="L23" s="5">
        <v>7122188</v>
      </c>
      <c r="M23" s="5">
        <v>6846976</v>
      </c>
      <c r="N23" s="5">
        <v>6554381</v>
      </c>
      <c r="O23" s="5">
        <v>5474765</v>
      </c>
      <c r="P23" s="5">
        <v>5423659</v>
      </c>
      <c r="Q23" s="5">
        <v>5077224</v>
      </c>
      <c r="R23" s="5"/>
      <c r="S23" s="5"/>
      <c r="T23" s="5">
        <v>6162540</v>
      </c>
      <c r="U23" s="68">
        <f t="shared" ref="U23:U29" si="6">(T23/G23)-1</f>
        <v>6.1735307875397494E-2</v>
      </c>
      <c r="V23" s="68">
        <f t="shared" ref="V23:V29" si="7">(T23/F23)-1</f>
        <v>-0.31065364040750421</v>
      </c>
      <c r="W23" s="151"/>
    </row>
    <row r="24" spans="2:23" s="133" customFormat="1" ht="28.5" x14ac:dyDescent="0.65">
      <c r="B24" s="52" t="s">
        <v>210</v>
      </c>
      <c r="C24" s="19">
        <v>0</v>
      </c>
      <c r="D24" s="19">
        <v>0</v>
      </c>
      <c r="E24" s="19">
        <v>0</v>
      </c>
      <c r="F24" s="19">
        <v>0</v>
      </c>
      <c r="G24" s="240">
        <v>0</v>
      </c>
      <c r="H24" s="5">
        <v>6230193</v>
      </c>
      <c r="I24" s="5">
        <v>6230193</v>
      </c>
      <c r="J24" s="5">
        <f>6230193+0.45</f>
        <v>6230193.4500000002</v>
      </c>
      <c r="K24" s="5">
        <v>6230193</v>
      </c>
      <c r="L24" s="5">
        <v>6230193</v>
      </c>
      <c r="M24" s="5">
        <v>6230193</v>
      </c>
      <c r="N24" s="5">
        <v>6073086</v>
      </c>
      <c r="O24" s="5">
        <v>5714845</v>
      </c>
      <c r="P24" s="5">
        <v>5645599</v>
      </c>
      <c r="Q24" s="5">
        <v>5481680</v>
      </c>
      <c r="R24" s="5"/>
      <c r="S24" s="5"/>
      <c r="T24" s="5"/>
      <c r="U24" s="68" t="e">
        <f t="shared" si="6"/>
        <v>#DIV/0!</v>
      </c>
      <c r="V24" s="68" t="e">
        <f t="shared" si="7"/>
        <v>#DIV/0!</v>
      </c>
      <c r="W24" s="151"/>
    </row>
    <row r="25" spans="2:23" s="133" customFormat="1" ht="28.5" x14ac:dyDescent="0.65">
      <c r="B25" s="52" t="s">
        <v>155</v>
      </c>
      <c r="C25" s="19">
        <v>4069297</v>
      </c>
      <c r="D25" s="19">
        <v>5182765</v>
      </c>
      <c r="E25" s="19">
        <v>6813670</v>
      </c>
      <c r="F25" s="19">
        <v>4640686</v>
      </c>
      <c r="G25" s="240">
        <v>5542875</v>
      </c>
      <c r="H25" s="5">
        <v>5370475</v>
      </c>
      <c r="I25" s="5">
        <v>5884274</v>
      </c>
      <c r="J25" s="5">
        <f>6196096+0.45</f>
        <v>6196096.4500000002</v>
      </c>
      <c r="K25" s="5">
        <v>6647793</v>
      </c>
      <c r="L25" s="5">
        <v>5370639</v>
      </c>
      <c r="M25" s="5">
        <f>4351173+0.45</f>
        <v>4351173.45</v>
      </c>
      <c r="N25" s="5">
        <v>4857586</v>
      </c>
      <c r="O25" s="5">
        <v>5511814</v>
      </c>
      <c r="P25" s="5">
        <v>5736381</v>
      </c>
      <c r="Q25" s="5">
        <v>4486894</v>
      </c>
      <c r="R25" s="5"/>
      <c r="S25" s="5"/>
      <c r="T25" s="5">
        <v>7522270</v>
      </c>
      <c r="U25" s="68">
        <f t="shared" si="6"/>
        <v>0.35710619488983597</v>
      </c>
      <c r="V25" s="68">
        <f t="shared" si="7"/>
        <v>0.62093923182908739</v>
      </c>
      <c r="W25" s="151"/>
    </row>
    <row r="26" spans="2:23" s="133" customFormat="1" ht="28.5" x14ac:dyDescent="0.65">
      <c r="B26" s="52" t="s">
        <v>211</v>
      </c>
      <c r="C26" s="19">
        <v>1300000</v>
      </c>
      <c r="D26" s="19">
        <v>1000000</v>
      </c>
      <c r="E26" s="19">
        <v>7875193</v>
      </c>
      <c r="F26" s="19">
        <v>6710790</v>
      </c>
      <c r="G26" s="240">
        <v>1821766</v>
      </c>
      <c r="H26" s="5">
        <v>491014</v>
      </c>
      <c r="I26" s="5">
        <v>501431</v>
      </c>
      <c r="J26" s="5">
        <f>511848</f>
        <v>511848</v>
      </c>
      <c r="K26" s="5">
        <v>522265</v>
      </c>
      <c r="L26" s="5">
        <v>532682</v>
      </c>
      <c r="M26" s="5">
        <v>524306</v>
      </c>
      <c r="N26" s="5">
        <v>465478</v>
      </c>
      <c r="O26" s="5">
        <v>477382</v>
      </c>
      <c r="P26" s="5">
        <v>-560713</v>
      </c>
      <c r="Q26" s="5">
        <v>-169461</v>
      </c>
      <c r="R26" s="5"/>
      <c r="S26" s="5"/>
      <c r="T26" s="5">
        <v>4598086</v>
      </c>
      <c r="U26" s="68">
        <f t="shared" si="6"/>
        <v>1.5239717944016959</v>
      </c>
      <c r="V26" s="68">
        <f t="shared" si="7"/>
        <v>-0.31482195091785026</v>
      </c>
      <c r="W26" s="151"/>
    </row>
    <row r="27" spans="2:23" s="133" customFormat="1" ht="28.5" x14ac:dyDescent="0.65">
      <c r="B27" s="52" t="s">
        <v>72</v>
      </c>
      <c r="C27" s="19">
        <v>0</v>
      </c>
      <c r="D27" s="19">
        <v>0</v>
      </c>
      <c r="E27" s="19">
        <v>1095000</v>
      </c>
      <c r="F27" s="19">
        <v>391551</v>
      </c>
      <c r="G27" s="240">
        <v>1271766</v>
      </c>
      <c r="H27" s="5">
        <v>900000</v>
      </c>
      <c r="I27" s="5">
        <v>900000</v>
      </c>
      <c r="J27" s="5">
        <f>900000</f>
        <v>900000</v>
      </c>
      <c r="K27" s="5">
        <v>1010000</v>
      </c>
      <c r="L27" s="5">
        <v>1120000</v>
      </c>
      <c r="M27" s="5">
        <v>1230000</v>
      </c>
      <c r="N27" s="5">
        <v>1340000</v>
      </c>
      <c r="O27" s="5">
        <v>1450000</v>
      </c>
      <c r="P27" s="5">
        <v>1560000</v>
      </c>
      <c r="Q27" s="5">
        <v>1670000</v>
      </c>
      <c r="R27" s="5"/>
      <c r="S27" s="5"/>
      <c r="T27" s="5">
        <v>1000000</v>
      </c>
      <c r="U27" s="68">
        <f t="shared" si="6"/>
        <v>-0.21369182695558775</v>
      </c>
      <c r="V27" s="68">
        <f t="shared" si="7"/>
        <v>1.5539457184377001</v>
      </c>
      <c r="W27" s="151"/>
    </row>
    <row r="28" spans="2:23" s="133" customFormat="1" ht="28.5" x14ac:dyDescent="0.65">
      <c r="B28" s="52" t="s">
        <v>137</v>
      </c>
      <c r="C28" s="19">
        <v>2959952</v>
      </c>
      <c r="D28" s="19">
        <v>3103328</v>
      </c>
      <c r="E28" s="19">
        <v>2985035</v>
      </c>
      <c r="F28" s="19">
        <v>2521017</v>
      </c>
      <c r="G28" s="240">
        <v>3098259</v>
      </c>
      <c r="H28" s="5">
        <f>1512860+979370-0.49</f>
        <v>2492229.5099999998</v>
      </c>
      <c r="I28" s="5">
        <f>1597517+979370</f>
        <v>2576887</v>
      </c>
      <c r="J28" s="5">
        <f>2826194+979370+0.45</f>
        <v>3805564.45</v>
      </c>
      <c r="K28" s="5">
        <f>980263+2714514</f>
        <v>3694777</v>
      </c>
      <c r="L28" s="5">
        <v>3637166</v>
      </c>
      <c r="M28" s="5">
        <f>980263+2654789+0.45</f>
        <v>3635052.45</v>
      </c>
      <c r="N28" s="5">
        <v>3554444</v>
      </c>
      <c r="O28" s="5">
        <f>980263+2473282</f>
        <v>3453545</v>
      </c>
      <c r="P28" s="5">
        <f>980263+2460826</f>
        <v>3441089</v>
      </c>
      <c r="Q28" s="5">
        <f>980263+2435075</f>
        <v>3415338</v>
      </c>
      <c r="R28" s="5"/>
      <c r="S28" s="5"/>
      <c r="T28" s="5">
        <f>1261223+988659</f>
        <v>2249882</v>
      </c>
      <c r="U28" s="68">
        <f t="shared" si="6"/>
        <v>-0.27382378296972587</v>
      </c>
      <c r="V28" s="68">
        <f t="shared" si="7"/>
        <v>-0.10754984992167849</v>
      </c>
      <c r="W28" s="151"/>
    </row>
    <row r="29" spans="2:23" s="133" customFormat="1" ht="28.5" x14ac:dyDescent="0.65">
      <c r="B29" s="54" t="s">
        <v>81</v>
      </c>
      <c r="C29" s="18">
        <v>11996225</v>
      </c>
      <c r="D29" s="18">
        <v>14120485</v>
      </c>
      <c r="E29" s="18">
        <v>24543756</v>
      </c>
      <c r="F29" s="18">
        <v>23203730</v>
      </c>
      <c r="G29" s="241">
        <v>17538881</v>
      </c>
      <c r="H29" s="241">
        <f t="shared" ref="H29:Q29" si="8">SUBTOTAL(9,H23:H28)</f>
        <v>22623431.509999998</v>
      </c>
      <c r="I29" s="241">
        <f t="shared" si="8"/>
        <v>22731333</v>
      </c>
      <c r="J29" s="241">
        <f t="shared" si="8"/>
        <v>24636666.800000001</v>
      </c>
      <c r="K29" s="241">
        <f t="shared" si="8"/>
        <v>24769558</v>
      </c>
      <c r="L29" s="241">
        <f t="shared" si="8"/>
        <v>24012868</v>
      </c>
      <c r="M29" s="241">
        <f t="shared" si="8"/>
        <v>22817700.899999999</v>
      </c>
      <c r="N29" s="241">
        <f t="shared" si="8"/>
        <v>22844975</v>
      </c>
      <c r="O29" s="241">
        <f t="shared" si="8"/>
        <v>22082351</v>
      </c>
      <c r="P29" s="241">
        <f t="shared" si="8"/>
        <v>21246015</v>
      </c>
      <c r="Q29" s="241">
        <f t="shared" si="8"/>
        <v>19961675</v>
      </c>
      <c r="R29" s="241">
        <f>SUM(R23:R28)</f>
        <v>0</v>
      </c>
      <c r="S29" s="241">
        <f>SUM(S23:S28)</f>
        <v>0</v>
      </c>
      <c r="T29" s="241">
        <f t="shared" ref="T29" si="9">SUBTOTAL(9,T23:T28)</f>
        <v>21532778</v>
      </c>
      <c r="U29" s="64">
        <f t="shared" si="6"/>
        <v>0.22771675114278955</v>
      </c>
      <c r="V29" s="64">
        <f t="shared" si="7"/>
        <v>-7.2012215277457492E-2</v>
      </c>
      <c r="W29" s="151"/>
    </row>
    <row r="30" spans="2:23" s="247" customFormat="1" ht="15" customHeight="1" x14ac:dyDescent="0.65">
      <c r="B30" s="244"/>
      <c r="C30" s="245"/>
      <c r="D30" s="245"/>
      <c r="E30" s="245"/>
      <c r="F30" s="245"/>
      <c r="G30" s="151"/>
      <c r="H30" s="151"/>
      <c r="I30" s="151"/>
      <c r="J30" s="151"/>
      <c r="K30" s="151"/>
      <c r="L30" s="151"/>
      <c r="M30" s="151"/>
      <c r="N30" s="151"/>
      <c r="O30" s="151"/>
      <c r="P30" s="151"/>
      <c r="Q30" s="151"/>
      <c r="R30" s="151"/>
      <c r="S30" s="151"/>
      <c r="T30" s="151"/>
      <c r="U30" s="246"/>
      <c r="V30" s="246"/>
      <c r="W30" s="151"/>
    </row>
    <row r="31" spans="2:23" s="133" customFormat="1" ht="28.5" x14ac:dyDescent="0.65">
      <c r="B31" s="52" t="s">
        <v>212</v>
      </c>
      <c r="C31" s="19">
        <v>0</v>
      </c>
      <c r="D31" s="19">
        <v>0</v>
      </c>
      <c r="E31" s="19">
        <v>0</v>
      </c>
      <c r="F31" s="19">
        <v>0</v>
      </c>
      <c r="G31" s="240">
        <v>0</v>
      </c>
      <c r="H31" s="5">
        <v>0</v>
      </c>
      <c r="I31" s="5">
        <v>0</v>
      </c>
      <c r="J31" s="5">
        <v>0</v>
      </c>
      <c r="K31" s="5">
        <v>0</v>
      </c>
      <c r="L31" s="5">
        <v>0</v>
      </c>
      <c r="M31" s="5">
        <v>0</v>
      </c>
      <c r="N31" s="5">
        <v>0</v>
      </c>
      <c r="O31" s="5">
        <v>0</v>
      </c>
      <c r="P31" s="5">
        <v>0</v>
      </c>
      <c r="Q31" s="5">
        <v>0</v>
      </c>
      <c r="R31" s="5"/>
      <c r="S31" s="5"/>
      <c r="T31" s="5">
        <v>0</v>
      </c>
      <c r="U31" s="68" t="e">
        <f>(T31/G31)-1</f>
        <v>#DIV/0!</v>
      </c>
      <c r="V31" s="68" t="e">
        <f>(T31/F31)-1</f>
        <v>#DIV/0!</v>
      </c>
      <c r="W31" s="151"/>
    </row>
    <row r="32" spans="2:23" s="133" customFormat="1" ht="28.5" x14ac:dyDescent="0.65">
      <c r="B32" s="52" t="s">
        <v>30</v>
      </c>
      <c r="C32" s="19">
        <v>6553615</v>
      </c>
      <c r="D32" s="19">
        <v>17464986</v>
      </c>
      <c r="E32" s="19">
        <v>10579716</v>
      </c>
      <c r="F32" s="19">
        <v>7324893</v>
      </c>
      <c r="G32" s="240">
        <v>9329297</v>
      </c>
      <c r="H32" s="5">
        <f>7264636-0.49</f>
        <v>7264635.5099999998</v>
      </c>
      <c r="I32" s="5">
        <v>7355311</v>
      </c>
      <c r="J32" s="5">
        <f>7495984-0.49</f>
        <v>7495983.5099999998</v>
      </c>
      <c r="K32" s="5">
        <v>7601254</v>
      </c>
      <c r="L32" s="5">
        <v>7521743</v>
      </c>
      <c r="M32" s="5">
        <v>7805389</v>
      </c>
      <c r="N32" s="5">
        <f>7725672-0.45</f>
        <v>7725671.5499999998</v>
      </c>
      <c r="O32" s="5">
        <v>7645566</v>
      </c>
      <c r="P32" s="5">
        <v>7565615</v>
      </c>
      <c r="Q32" s="5">
        <v>7485281</v>
      </c>
      <c r="R32" s="5"/>
      <c r="S32" s="5"/>
      <c r="T32" s="5">
        <v>11983906</v>
      </c>
      <c r="U32" s="68">
        <f>(T32/G32)-1</f>
        <v>0.28454544860132547</v>
      </c>
      <c r="V32" s="68">
        <f>(T32/F32)-1</f>
        <v>0.6360520215107579</v>
      </c>
      <c r="W32" s="151"/>
    </row>
    <row r="33" spans="2:23" s="133" customFormat="1" ht="28.5" x14ac:dyDescent="0.65">
      <c r="B33" s="52" t="s">
        <v>56</v>
      </c>
      <c r="C33" s="19">
        <v>0</v>
      </c>
      <c r="D33" s="19">
        <v>0</v>
      </c>
      <c r="E33" s="19">
        <v>208211</v>
      </c>
      <c r="F33" s="19">
        <v>0</v>
      </c>
      <c r="G33" s="240">
        <v>208211</v>
      </c>
      <c r="H33" s="5">
        <f>177927-0.49</f>
        <v>177926.51</v>
      </c>
      <c r="I33" s="5">
        <v>173619</v>
      </c>
      <c r="J33" s="5">
        <f>168310+0.45</f>
        <v>168310.45</v>
      </c>
      <c r="K33" s="5">
        <v>155415</v>
      </c>
      <c r="L33" s="5">
        <f>120409+0.49</f>
        <v>120409.49</v>
      </c>
      <c r="M33" s="5">
        <v>108796</v>
      </c>
      <c r="N33" s="5">
        <v>107656</v>
      </c>
      <c r="O33" s="5">
        <v>112318</v>
      </c>
      <c r="P33" s="5">
        <v>105572</v>
      </c>
      <c r="Q33" s="5">
        <v>115732</v>
      </c>
      <c r="R33" s="5"/>
      <c r="S33" s="5"/>
      <c r="T33" s="5">
        <v>107656</v>
      </c>
      <c r="U33" s="68">
        <f>(T33/G33)-1</f>
        <v>-0.48294758682298244</v>
      </c>
      <c r="V33" s="68" t="e">
        <f>(T33/F33)-1</f>
        <v>#DIV/0!</v>
      </c>
      <c r="W33" s="151"/>
    </row>
    <row r="34" spans="2:23" s="133" customFormat="1" ht="28.5" x14ac:dyDescent="0.65">
      <c r="B34" s="54" t="s">
        <v>30</v>
      </c>
      <c r="C34" s="18">
        <f>SUM(C31:C33)</f>
        <v>6553615</v>
      </c>
      <c r="D34" s="18">
        <f>SUM(D31:D33)</f>
        <v>17464986</v>
      </c>
      <c r="E34" s="18">
        <f>SUM(E31:E33)</f>
        <v>10787927</v>
      </c>
      <c r="F34" s="18">
        <f>SUM(F31:F33)</f>
        <v>7324893</v>
      </c>
      <c r="G34" s="18">
        <f>SUM(G31:G33)</f>
        <v>9537508</v>
      </c>
      <c r="H34" s="18">
        <f t="shared" ref="H34:Q34" si="10">SUBTOTAL(9,H31:H33)</f>
        <v>7442562.0199999996</v>
      </c>
      <c r="I34" s="18">
        <f t="shared" si="10"/>
        <v>7528930</v>
      </c>
      <c r="J34" s="18">
        <f t="shared" si="10"/>
        <v>7664293.96</v>
      </c>
      <c r="K34" s="18">
        <f t="shared" si="10"/>
        <v>7756669</v>
      </c>
      <c r="L34" s="18">
        <f t="shared" si="10"/>
        <v>7642152.4900000002</v>
      </c>
      <c r="M34" s="18">
        <f t="shared" si="10"/>
        <v>7914185</v>
      </c>
      <c r="N34" s="18">
        <f t="shared" si="10"/>
        <v>7833327.5499999998</v>
      </c>
      <c r="O34" s="18">
        <f t="shared" si="10"/>
        <v>7757884</v>
      </c>
      <c r="P34" s="18">
        <f t="shared" si="10"/>
        <v>7671187</v>
      </c>
      <c r="Q34" s="18">
        <f t="shared" si="10"/>
        <v>7601013</v>
      </c>
      <c r="R34" s="18">
        <f>SUM(R31:R33)</f>
        <v>0</v>
      </c>
      <c r="S34" s="18">
        <f>SUM(S31:S33)</f>
        <v>0</v>
      </c>
      <c r="T34" s="18">
        <f t="shared" ref="T34" si="11">SUBTOTAL(9,T31:T33)</f>
        <v>12091562</v>
      </c>
      <c r="U34" s="64">
        <f>(T34/G34)-1</f>
        <v>0.26779049621767026</v>
      </c>
      <c r="V34" s="64">
        <f>(T34/F34)-1</f>
        <v>0.65074930104781048</v>
      </c>
      <c r="W34" s="151"/>
    </row>
    <row r="35" spans="2:23" s="133" customFormat="1" ht="29" thickBot="1" x14ac:dyDescent="0.7">
      <c r="B35" s="248" t="s">
        <v>213</v>
      </c>
      <c r="C35" s="249">
        <v>18549840</v>
      </c>
      <c r="D35" s="249">
        <v>31585471</v>
      </c>
      <c r="E35" s="249">
        <v>35331683</v>
      </c>
      <c r="F35" s="249">
        <v>30528623</v>
      </c>
      <c r="G35" s="250">
        <v>27076389</v>
      </c>
      <c r="H35" s="250">
        <f t="shared" ref="H35:Q35" si="12">SUBTOTAL(9,H23:H34)</f>
        <v>30065993.529999997</v>
      </c>
      <c r="I35" s="250">
        <f t="shared" si="12"/>
        <v>30260263</v>
      </c>
      <c r="J35" s="250">
        <f t="shared" si="12"/>
        <v>32300960.760000002</v>
      </c>
      <c r="K35" s="250">
        <f t="shared" si="12"/>
        <v>32526227</v>
      </c>
      <c r="L35" s="250">
        <f t="shared" si="12"/>
        <v>31655020.489999998</v>
      </c>
      <c r="M35" s="250">
        <f t="shared" si="12"/>
        <v>30731885.899999999</v>
      </c>
      <c r="N35" s="250">
        <f t="shared" si="12"/>
        <v>30678302.550000001</v>
      </c>
      <c r="O35" s="250">
        <f t="shared" si="12"/>
        <v>29840235</v>
      </c>
      <c r="P35" s="250">
        <f t="shared" si="12"/>
        <v>28917202</v>
      </c>
      <c r="Q35" s="250">
        <f t="shared" si="12"/>
        <v>27562688</v>
      </c>
      <c r="R35" s="250"/>
      <c r="S35" s="250"/>
      <c r="T35" s="250">
        <f t="shared" ref="T35" si="13">SUBTOTAL(9,T23:T34)</f>
        <v>33624340</v>
      </c>
      <c r="U35" s="251">
        <f>(T35/G35)-1</f>
        <v>0.24183250580422677</v>
      </c>
      <c r="V35" s="251">
        <f>(T35/F35)-1</f>
        <v>0.10140375476483166</v>
      </c>
      <c r="W35" s="151"/>
    </row>
    <row r="36" spans="2:23" s="133" customFormat="1" ht="18" customHeight="1" x14ac:dyDescent="0.65">
      <c r="B36" s="52"/>
      <c r="C36" s="19"/>
      <c r="D36" s="19"/>
      <c r="E36" s="19"/>
      <c r="F36" s="19"/>
      <c r="G36" s="240"/>
      <c r="H36" s="240"/>
      <c r="I36" s="240"/>
      <c r="J36" s="240"/>
      <c r="K36" s="240"/>
      <c r="L36" s="240"/>
      <c r="M36" s="240"/>
      <c r="N36" s="240"/>
      <c r="O36" s="240"/>
      <c r="P36" s="240"/>
      <c r="Q36" s="240"/>
      <c r="R36" s="240"/>
      <c r="S36" s="240"/>
      <c r="T36" s="240"/>
      <c r="U36" s="68"/>
      <c r="V36" s="69"/>
      <c r="W36" s="151"/>
    </row>
    <row r="37" spans="2:23" s="133" customFormat="1" ht="28.5" x14ac:dyDescent="0.65">
      <c r="B37" s="52" t="s">
        <v>214</v>
      </c>
      <c r="C37" s="19">
        <v>59382758</v>
      </c>
      <c r="D37" s="19">
        <v>60250032</v>
      </c>
      <c r="E37" s="19">
        <v>60804045</v>
      </c>
      <c r="F37" s="19">
        <v>60835687</v>
      </c>
      <c r="G37" s="240">
        <v>71191560</v>
      </c>
      <c r="H37" s="5">
        <f>69604261+935954-0.49</f>
        <v>70540214.510000005</v>
      </c>
      <c r="I37" s="5">
        <f>69604261+1006422-0.45</f>
        <v>70610682.549999997</v>
      </c>
      <c r="J37" s="5">
        <f>69604261+1035513-0.49</f>
        <v>70639773.510000005</v>
      </c>
      <c r="K37" s="5">
        <v>70587262</v>
      </c>
      <c r="L37" s="5">
        <f>69604261+1003618+0.49</f>
        <v>70607879.489999995</v>
      </c>
      <c r="M37" s="5">
        <f>69604261+1026606</f>
        <v>70630867</v>
      </c>
      <c r="N37" s="5">
        <v>70664108.5</v>
      </c>
      <c r="O37" s="5">
        <v>70668720</v>
      </c>
      <c r="P37" s="5">
        <v>70680411</v>
      </c>
      <c r="Q37" s="5">
        <f>70693118+873</f>
        <v>70693991</v>
      </c>
      <c r="R37" s="5"/>
      <c r="S37" s="5"/>
      <c r="T37" s="5">
        <f>+Q37</f>
        <v>70693991</v>
      </c>
      <c r="U37" s="68">
        <f>(T37/G37)-1</f>
        <v>-6.9891571416611509E-3</v>
      </c>
      <c r="V37" s="69">
        <f>(T37/F37)-1</f>
        <v>0.162048042623403</v>
      </c>
      <c r="W37" s="151"/>
    </row>
    <row r="38" spans="2:23" s="133" customFormat="1" ht="28.5" x14ac:dyDescent="0.65">
      <c r="B38" s="52" t="s">
        <v>215</v>
      </c>
      <c r="C38" s="19">
        <v>1452928.5400000324</v>
      </c>
      <c r="D38" s="19">
        <v>1240565.9999999776</v>
      </c>
      <c r="E38" s="19">
        <v>10387514.999999993</v>
      </c>
      <c r="F38" s="19">
        <v>9719922.0099999979</v>
      </c>
      <c r="G38" s="240">
        <v>1142188.9999999965</v>
      </c>
      <c r="H38" s="5">
        <f>+'Income Statement'!U58</f>
        <v>-977608</v>
      </c>
      <c r="I38" s="5">
        <f>SUM('Income Statement'!U58:V58)</f>
        <v>123487</v>
      </c>
      <c r="J38" s="5">
        <f>SUM('Income Statement'!$U58:W58)</f>
        <v>390344</v>
      </c>
      <c r="K38" s="5">
        <f>SUM('Income Statement'!$U58:X58)</f>
        <v>24478</v>
      </c>
      <c r="L38" s="5">
        <f>SUM('Income Statement'!$U58:Y58)</f>
        <v>210522</v>
      </c>
      <c r="M38" s="5">
        <f>SUM('Income Statement'!$U58:Z58)</f>
        <v>1229523.6999999955</v>
      </c>
      <c r="N38" s="5">
        <f>SUM('Income Statement'!$U58:AA58)</f>
        <v>2501911.1999999937</v>
      </c>
      <c r="O38" s="5">
        <f>SUM('Income Statement'!$U58:AB58)</f>
        <v>2857822.9999999842</v>
      </c>
      <c r="P38" s="5">
        <f>SUM('Income Statement'!$U58:AC58)</f>
        <v>3652606.9999999842</v>
      </c>
      <c r="Q38" s="5">
        <f>+'Income Statement'!AG58</f>
        <v>3844247.9999999851</v>
      </c>
      <c r="R38" s="5"/>
      <c r="S38" s="5"/>
      <c r="T38" s="5">
        <f>+'Income Statement'!AH58</f>
        <v>8666103.9999999702</v>
      </c>
      <c r="U38" s="68">
        <f>(T38/G38)-1</f>
        <v>6.5872767116475437</v>
      </c>
      <c r="V38" s="69">
        <f>(T38/F38)-1</f>
        <v>-0.10841836065308386</v>
      </c>
      <c r="W38" s="151"/>
    </row>
    <row r="39" spans="2:23" s="133" customFormat="1" ht="28.5" x14ac:dyDescent="0.65">
      <c r="B39" s="54" t="s">
        <v>89</v>
      </c>
      <c r="C39" s="18">
        <v>60835686.540000029</v>
      </c>
      <c r="D39" s="18">
        <v>61490597.999999978</v>
      </c>
      <c r="E39" s="18">
        <v>71191560</v>
      </c>
      <c r="F39" s="18">
        <v>70555609.00999999</v>
      </c>
      <c r="G39" s="241">
        <v>72333749</v>
      </c>
      <c r="H39" s="241">
        <f t="shared" ref="H39:Q39" si="14">SUBTOTAL(9,H36:H38)</f>
        <v>69562606.510000005</v>
      </c>
      <c r="I39" s="241">
        <f t="shared" si="14"/>
        <v>70734169.549999997</v>
      </c>
      <c r="J39" s="241">
        <f t="shared" si="14"/>
        <v>71030117.510000005</v>
      </c>
      <c r="K39" s="241">
        <f t="shared" si="14"/>
        <v>70611740</v>
      </c>
      <c r="L39" s="241">
        <f t="shared" si="14"/>
        <v>70818401.489999995</v>
      </c>
      <c r="M39" s="241">
        <f t="shared" si="14"/>
        <v>71860390.699999988</v>
      </c>
      <c r="N39" s="241">
        <f t="shared" si="14"/>
        <v>73166019.699999988</v>
      </c>
      <c r="O39" s="241">
        <f t="shared" si="14"/>
        <v>73526542.999999985</v>
      </c>
      <c r="P39" s="241">
        <f t="shared" si="14"/>
        <v>74333017.999999985</v>
      </c>
      <c r="Q39" s="241">
        <f t="shared" si="14"/>
        <v>74538238.999999985</v>
      </c>
      <c r="R39" s="241"/>
      <c r="S39" s="241"/>
      <c r="T39" s="241">
        <f t="shared" ref="T39" si="15">SUBTOTAL(9,T36:T38)</f>
        <v>79360094.99999997</v>
      </c>
      <c r="U39" s="64">
        <f>(T39/G39)-1</f>
        <v>9.7137865756135033E-2</v>
      </c>
      <c r="V39" s="63">
        <f>(T39/F39)-1</f>
        <v>0.12478789586738737</v>
      </c>
      <c r="W39" s="151"/>
    </row>
    <row r="40" spans="2:23" s="133" customFormat="1" ht="28.5" x14ac:dyDescent="0.65">
      <c r="B40" s="52"/>
      <c r="C40" s="19"/>
      <c r="D40" s="19"/>
      <c r="E40" s="19"/>
      <c r="F40" s="19"/>
      <c r="G40" s="240"/>
      <c r="H40" s="240"/>
      <c r="I40" s="240"/>
      <c r="J40" s="240"/>
      <c r="K40" s="240"/>
      <c r="L40" s="240"/>
      <c r="M40" s="240"/>
      <c r="N40" s="240"/>
      <c r="O40" s="240"/>
      <c r="P40" s="240"/>
      <c r="Q40" s="240"/>
      <c r="R40" s="240"/>
      <c r="S40" s="240"/>
      <c r="T40" s="240"/>
      <c r="U40" s="68"/>
      <c r="V40" s="69"/>
      <c r="W40" s="151"/>
    </row>
    <row r="41" spans="2:23" s="133" customFormat="1" ht="29" thickBot="1" x14ac:dyDescent="0.7">
      <c r="B41" s="252" t="s">
        <v>80</v>
      </c>
      <c r="C41" s="253">
        <v>79385526.540000036</v>
      </c>
      <c r="D41" s="253">
        <v>93076068.999999955</v>
      </c>
      <c r="E41" s="253">
        <v>106523243</v>
      </c>
      <c r="F41" s="253">
        <v>101084232.01000001</v>
      </c>
      <c r="G41" s="254">
        <v>99410138</v>
      </c>
      <c r="H41" s="254">
        <f t="shared" ref="H41:P41" si="16">SUBTOTAL(9,H22:H40)</f>
        <v>99628600.040000007</v>
      </c>
      <c r="I41" s="254">
        <f t="shared" si="16"/>
        <v>100994432.55</v>
      </c>
      <c r="J41" s="254">
        <f t="shared" si="16"/>
        <v>103331078.27000001</v>
      </c>
      <c r="K41" s="254">
        <f t="shared" si="16"/>
        <v>103137967</v>
      </c>
      <c r="L41" s="254">
        <f t="shared" si="16"/>
        <v>102473421.97999999</v>
      </c>
      <c r="M41" s="254">
        <f t="shared" si="16"/>
        <v>102592276.59999999</v>
      </c>
      <c r="N41" s="254">
        <f t="shared" si="16"/>
        <v>103844322.24999999</v>
      </c>
      <c r="O41" s="254">
        <f t="shared" si="16"/>
        <v>103366777.99999999</v>
      </c>
      <c r="P41" s="254">
        <f t="shared" si="16"/>
        <v>103250219.99999999</v>
      </c>
      <c r="Q41" s="254">
        <f t="shared" ref="Q41" si="17">SUBTOTAL(9,Q22:Q40)</f>
        <v>102100926.99999999</v>
      </c>
      <c r="R41" s="254">
        <f>SUM(R29:R39)</f>
        <v>0</v>
      </c>
      <c r="S41" s="254">
        <f>SUM(S29:S39)</f>
        <v>0</v>
      </c>
      <c r="T41" s="254">
        <f>+Q41</f>
        <v>102100926.99999999</v>
      </c>
      <c r="U41" s="255">
        <f>(T41/G41)-1</f>
        <v>2.7067551198852513E-2</v>
      </c>
      <c r="V41" s="256">
        <f>(T41/F41)-1</f>
        <v>1.0057898940157184E-2</v>
      </c>
      <c r="W41" s="151"/>
    </row>
    <row r="42" spans="2:23" s="133" customFormat="1" ht="29" thickTop="1" x14ac:dyDescent="0.65">
      <c r="B42" s="70"/>
      <c r="C42" s="582">
        <f>+C41-C21</f>
        <v>6.0000047087669373E-2</v>
      </c>
      <c r="D42" s="49"/>
      <c r="E42" s="582">
        <f>+E41-E21</f>
        <v>-1</v>
      </c>
      <c r="F42" s="582">
        <f>+F41-F21</f>
        <v>1.000000536441803E-2</v>
      </c>
      <c r="G42" s="582">
        <f>+G41-G21</f>
        <v>2</v>
      </c>
      <c r="H42" s="582">
        <f t="shared" ref="H42:P42" si="18">+H41-H21</f>
        <v>4.0000006556510925E-2</v>
      </c>
      <c r="I42" s="582">
        <f t="shared" si="18"/>
        <v>9.9999994039535522E-2</v>
      </c>
      <c r="J42" s="582">
        <f t="shared" si="18"/>
        <v>-0.47999998927116394</v>
      </c>
      <c r="K42" s="582">
        <f t="shared" si="18"/>
        <v>0</v>
      </c>
      <c r="L42" s="582">
        <f t="shared" si="18"/>
        <v>-2.000001072883606E-2</v>
      </c>
      <c r="M42" s="582">
        <f t="shared" si="18"/>
        <v>-0.30000001192092896</v>
      </c>
      <c r="N42" s="599">
        <f t="shared" si="18"/>
        <v>0.24999998509883881</v>
      </c>
      <c r="O42" s="599">
        <f t="shared" si="18"/>
        <v>0</v>
      </c>
      <c r="P42" s="599">
        <f t="shared" si="18"/>
        <v>0</v>
      </c>
      <c r="Q42" s="599">
        <f t="shared" ref="Q42" si="19">+Q41-Q21</f>
        <v>0</v>
      </c>
      <c r="R42" s="35"/>
      <c r="S42" s="35"/>
      <c r="T42" s="599">
        <f t="shared" ref="T42" si="20">+T41-T21</f>
        <v>-2749261.0000000149</v>
      </c>
      <c r="U42" s="49"/>
      <c r="V42" s="95"/>
      <c r="W42" s="152"/>
    </row>
    <row r="43" spans="2:23" s="133" customFormat="1" ht="28.5" x14ac:dyDescent="0.65">
      <c r="B43" s="54" t="s">
        <v>71</v>
      </c>
      <c r="C43" s="60"/>
      <c r="D43" s="60"/>
      <c r="E43" s="60"/>
      <c r="F43" s="60"/>
      <c r="G43" s="242"/>
      <c r="H43" s="242"/>
      <c r="I43" s="242"/>
      <c r="J43" s="242"/>
      <c r="K43" s="242"/>
      <c r="L43" s="242"/>
      <c r="M43" s="242"/>
      <c r="N43" s="242"/>
      <c r="O43" s="242"/>
      <c r="P43" s="242"/>
      <c r="Q43" s="242"/>
      <c r="R43" s="242"/>
      <c r="S43" s="242"/>
      <c r="T43" s="242"/>
      <c r="U43" s="621" t="s">
        <v>45</v>
      </c>
      <c r="V43" s="622"/>
      <c r="W43" s="153"/>
    </row>
    <row r="44" spans="2:23" s="133" customFormat="1" ht="28.5" x14ac:dyDescent="0.65">
      <c r="B44" s="52" t="s">
        <v>55</v>
      </c>
      <c r="C44" s="58">
        <v>156.92955775324407</v>
      </c>
      <c r="D44" s="58">
        <v>121.56768841784331</v>
      </c>
      <c r="E44" s="58">
        <v>279.61924804817812</v>
      </c>
      <c r="F44" s="58">
        <v>219.50435310739533</v>
      </c>
      <c r="G44" s="58">
        <v>170.99159940946376</v>
      </c>
      <c r="H44" s="27">
        <f>+'MOR Ratios'!C11</f>
        <v>248.14804589854666</v>
      </c>
      <c r="I44" s="27">
        <f>+'MOR Ratios'!D11</f>
        <v>253.07652794357179</v>
      </c>
      <c r="J44" s="27">
        <f>+'MOR Ratios'!E11</f>
        <v>259.03150818240573</v>
      </c>
      <c r="K44" s="27">
        <f>+'MOR Ratios'!F11</f>
        <v>254.82267711474199</v>
      </c>
      <c r="L44" s="27">
        <f>+'MOR Ratios'!G11</f>
        <v>249.80423838808582</v>
      </c>
      <c r="M44" s="27">
        <f>+'MOR Ratios'!H11</f>
        <v>246.35176840671448</v>
      </c>
      <c r="N44" s="27">
        <f>+'MOR Ratios'!I11</f>
        <v>249.75283940032648</v>
      </c>
      <c r="O44" s="27">
        <f>+'MOR Ratios'!J11</f>
        <v>248.14213638468991</v>
      </c>
      <c r="P44" s="27">
        <f>+'MOR Ratios'!K11</f>
        <v>241.97353003450269</v>
      </c>
      <c r="Q44" s="27">
        <f>+'MOR Ratios'!L11</f>
        <v>235.81100886625532</v>
      </c>
      <c r="R44" s="27"/>
      <c r="S44" s="27"/>
      <c r="T44" s="27"/>
      <c r="U44" s="120">
        <f>T44-G44</f>
        <v>-170.99159940946376</v>
      </c>
      <c r="V44" s="106">
        <f>T44-F44</f>
        <v>-219.50435310739533</v>
      </c>
      <c r="W44" s="155"/>
    </row>
    <row r="45" spans="2:23" s="133" customFormat="1" ht="28.5" x14ac:dyDescent="0.65">
      <c r="B45" s="52" t="s">
        <v>154</v>
      </c>
      <c r="C45" s="58">
        <v>3.5476910125084102</v>
      </c>
      <c r="D45" s="58">
        <v>2.8662770650273988</v>
      </c>
      <c r="E45" s="58">
        <v>4.9807394021643105</v>
      </c>
      <c r="F45" s="58">
        <v>4.3960596572418895</v>
      </c>
      <c r="G45" s="243">
        <v>3.112936160509133</v>
      </c>
      <c r="H45" s="497">
        <v>13.7</v>
      </c>
      <c r="I45" s="497">
        <v>8.4</v>
      </c>
      <c r="J45" s="497">
        <v>35</v>
      </c>
      <c r="K45" s="497">
        <f>+'MOR Ratios'!F24</f>
        <v>49.040926027251928</v>
      </c>
      <c r="L45" s="497">
        <f>+'MOR Ratios'!G24</f>
        <v>52.210485319271626</v>
      </c>
      <c r="M45" s="497">
        <f>+'MOR Ratios'!H24</f>
        <v>45.480968437621769</v>
      </c>
      <c r="N45" s="497">
        <f>+'MOR Ratios'!I24</f>
        <v>38.773478596773288</v>
      </c>
      <c r="O45" s="497">
        <f>+'MOR Ratios'!J24</f>
        <v>38.846189678274705</v>
      </c>
      <c r="P45" s="497">
        <f>+'MOR Ratios'!K24</f>
        <v>40.348284973530191</v>
      </c>
      <c r="Q45" s="497">
        <f>+'MOR Ratios'!L24</f>
        <v>43.007492707177022</v>
      </c>
      <c r="R45" s="497"/>
      <c r="S45" s="497"/>
      <c r="T45" s="497"/>
      <c r="U45" s="120">
        <f>T45-G45</f>
        <v>-3.112936160509133</v>
      </c>
      <c r="V45" s="106">
        <f>T45-F45</f>
        <v>-4.3960596572418895</v>
      </c>
      <c r="W45" s="155"/>
    </row>
    <row r="46" spans="2:23" s="133" customFormat="1" ht="28.5" x14ac:dyDescent="0.65">
      <c r="B46" s="87" t="s">
        <v>8</v>
      </c>
      <c r="C46" s="58">
        <v>9.7250080505879646E-2</v>
      </c>
      <c r="D46" s="58">
        <v>0.22120013702894031</v>
      </c>
      <c r="E46" s="58">
        <v>0.1293818137312667</v>
      </c>
      <c r="F46" s="58">
        <v>9.4052976174440556E-2</v>
      </c>
      <c r="G46" s="58">
        <v>0.114241354651405</v>
      </c>
      <c r="H46" s="27">
        <v>0.1</v>
      </c>
      <c r="I46" s="27">
        <v>0.2</v>
      </c>
      <c r="J46" s="27">
        <v>0.1</v>
      </c>
      <c r="K46" s="27">
        <f>+'MOR Ratios'!F31</f>
        <v>0.10984956609198414</v>
      </c>
      <c r="L46" s="27">
        <f>+'MOR Ratios'!G31</f>
        <v>0.10791195973378642</v>
      </c>
      <c r="M46" s="27">
        <f>+'MOR Ratios'!H31</f>
        <v>0.11013278557084162</v>
      </c>
      <c r="N46" s="27">
        <f>+'MOR Ratios'!I31</f>
        <v>0.10706237105856943</v>
      </c>
      <c r="O46" s="27">
        <f>+'MOR Ratios'!J31</f>
        <v>0.10551133894599127</v>
      </c>
      <c r="P46" s="27">
        <f>+'MOR Ratios'!K31</f>
        <v>0.10320026290335745</v>
      </c>
      <c r="Q46" s="27">
        <f>+'MOR Ratios'!L31</f>
        <v>0.10197467906372193</v>
      </c>
      <c r="R46" s="27"/>
      <c r="S46" s="27"/>
      <c r="T46" s="27"/>
      <c r="U46" s="120">
        <f>T46-G46</f>
        <v>-0.114241354651405</v>
      </c>
      <c r="V46" s="106">
        <f>T46-F46</f>
        <v>-9.4052976174440556E-2</v>
      </c>
      <c r="W46" s="155"/>
    </row>
    <row r="47" spans="2:23" s="133" customFormat="1" ht="28.5" x14ac:dyDescent="0.65">
      <c r="B47" s="52" t="s">
        <v>54</v>
      </c>
      <c r="C47" s="58">
        <v>52.832327610055437</v>
      </c>
      <c r="D47" s="58">
        <v>59.173583887390677</v>
      </c>
      <c r="E47" s="58">
        <v>102.95744055327739</v>
      </c>
      <c r="F47" s="58">
        <v>95.759726260729124</v>
      </c>
      <c r="G47" s="58">
        <v>69.922000609602421</v>
      </c>
      <c r="H47" s="27">
        <v>90.4</v>
      </c>
      <c r="I47" s="27">
        <v>91.1</v>
      </c>
      <c r="J47" s="27">
        <v>98.2</v>
      </c>
      <c r="K47" s="27">
        <f>+'MOR Ratios'!F38</f>
        <v>98.845121451624379</v>
      </c>
      <c r="L47" s="27">
        <f>+'MOR Ratios'!G38</f>
        <v>95.363036764448097</v>
      </c>
      <c r="M47" s="27">
        <f>+'MOR Ratios'!H38</f>
        <v>89.617624329565331</v>
      </c>
      <c r="N47" s="27">
        <f>+'MOR Ratios'!I38</f>
        <v>90.562064919511428</v>
      </c>
      <c r="O47" s="27">
        <f>+'MOR Ratios'!J38</f>
        <v>88.013651584079199</v>
      </c>
      <c r="P47" s="27">
        <f>+'MOR Ratios'!K38</f>
        <v>84.917273342147112</v>
      </c>
      <c r="Q47" s="27">
        <f>+'MOR Ratios'!L38</f>
        <v>80.007871646491239</v>
      </c>
      <c r="R47" s="27"/>
      <c r="S47" s="27"/>
      <c r="T47" s="27"/>
      <c r="U47" s="120">
        <f>T47-G47</f>
        <v>-69.922000609602421</v>
      </c>
      <c r="V47" s="106">
        <f>T47-F47</f>
        <v>-95.759726260729124</v>
      </c>
      <c r="W47" s="155"/>
    </row>
    <row r="48" spans="2:23" s="133" customFormat="1" ht="29" thickBot="1" x14ac:dyDescent="0.7">
      <c r="B48" s="124" t="s">
        <v>153</v>
      </c>
      <c r="C48" s="55">
        <v>57.57741744963517</v>
      </c>
      <c r="D48" s="55">
        <v>60.655655517073555</v>
      </c>
      <c r="E48" s="55">
        <v>62.129202369822515</v>
      </c>
      <c r="F48" s="55">
        <v>50.136818457393382</v>
      </c>
      <c r="G48" s="55">
        <v>57.702157057816329</v>
      </c>
      <c r="H48" s="32">
        <f>+'MOR Ratios'!C48</f>
        <v>43.856980364457485</v>
      </c>
      <c r="I48" s="32">
        <f>+'MOR Ratios'!D48</f>
        <v>45.202919595766268</v>
      </c>
      <c r="J48" s="32">
        <f>+'MOR Ratios'!E48</f>
        <v>43.743103773694145</v>
      </c>
      <c r="K48" s="32">
        <f>+'MOR Ratios'!F48</f>
        <v>49.656521177043949</v>
      </c>
      <c r="L48" s="32">
        <f>+'MOR Ratios'!G48</f>
        <v>47.932863720245564</v>
      </c>
      <c r="M48" s="32">
        <f>+'MOR Ratios'!H48</f>
        <v>52.075581855238362</v>
      </c>
      <c r="N48" s="32">
        <f>+'MOR Ratios'!I48</f>
        <v>51.113039647123948</v>
      </c>
      <c r="O48" s="32">
        <f>+'MOR Ratios'!J48</f>
        <v>53.703558977683201</v>
      </c>
      <c r="P48" s="32">
        <f>+'MOR Ratios'!K48</f>
        <v>56.696430556431885</v>
      </c>
      <c r="Q48" s="32">
        <f>+'MOR Ratios'!L48</f>
        <v>57.103337318463062</v>
      </c>
      <c r="R48" s="32"/>
      <c r="S48" s="32"/>
      <c r="T48" s="32"/>
      <c r="U48" s="145">
        <f>T48-G48</f>
        <v>-57.702157057816329</v>
      </c>
      <c r="V48" s="96">
        <f>T48-F48</f>
        <v>-50.136818457393382</v>
      </c>
      <c r="W48" s="155"/>
    </row>
    <row r="50" spans="2:23" ht="15" customHeight="1" x14ac:dyDescent="0.65">
      <c r="C50" s="623"/>
      <c r="D50" s="623"/>
      <c r="E50" s="623"/>
      <c r="F50" s="623"/>
      <c r="G50" s="212"/>
      <c r="H50" s="456"/>
      <c r="I50" s="456"/>
      <c r="J50" s="456"/>
      <c r="K50" s="456"/>
      <c r="L50" s="456"/>
      <c r="M50" s="456"/>
      <c r="N50" s="456"/>
      <c r="O50" s="456"/>
      <c r="P50" s="456"/>
      <c r="Q50" s="456"/>
      <c r="R50" s="456"/>
      <c r="S50" s="456"/>
      <c r="T50" s="456"/>
    </row>
    <row r="51" spans="2:23" ht="15" customHeight="1" x14ac:dyDescent="0.65">
      <c r="C51" s="623"/>
      <c r="D51" s="623"/>
      <c r="E51" s="623"/>
      <c r="F51" s="623"/>
      <c r="G51" s="212"/>
      <c r="H51" s="456"/>
      <c r="I51" s="456"/>
      <c r="J51" s="456"/>
      <c r="K51" s="456"/>
      <c r="L51" s="456"/>
      <c r="M51" s="456"/>
      <c r="N51" s="456"/>
      <c r="O51" s="456"/>
      <c r="P51" s="456"/>
      <c r="Q51" s="456"/>
      <c r="R51" s="456"/>
      <c r="S51" s="456"/>
      <c r="T51" s="456"/>
    </row>
    <row r="54" spans="2:23" s="133" customFormat="1" ht="28.5" x14ac:dyDescent="0.65">
      <c r="B54" s="257" t="s">
        <v>220</v>
      </c>
      <c r="C54" s="258">
        <f t="shared" ref="C54:T54" si="21">+C21-C41</f>
        <v>-6.0000047087669373E-2</v>
      </c>
      <c r="D54" s="258">
        <f t="shared" si="21"/>
        <v>0</v>
      </c>
      <c r="E54" s="258">
        <f t="shared" si="21"/>
        <v>1</v>
      </c>
      <c r="F54" s="258">
        <f t="shared" si="21"/>
        <v>-1.000000536441803E-2</v>
      </c>
      <c r="G54" s="258">
        <f t="shared" si="21"/>
        <v>-2</v>
      </c>
      <c r="H54" s="258">
        <f t="shared" si="21"/>
        <v>-4.0000006556510925E-2</v>
      </c>
      <c r="I54" s="258">
        <f t="shared" si="21"/>
        <v>-9.9999994039535522E-2</v>
      </c>
      <c r="J54" s="258">
        <f t="shared" si="21"/>
        <v>0.47999998927116394</v>
      </c>
      <c r="K54" s="258">
        <f t="shared" si="21"/>
        <v>0</v>
      </c>
      <c r="L54" s="258">
        <f t="shared" si="21"/>
        <v>2.000001072883606E-2</v>
      </c>
      <c r="M54" s="258">
        <f t="shared" si="21"/>
        <v>0.30000001192092896</v>
      </c>
      <c r="N54" s="258">
        <f t="shared" si="21"/>
        <v>-0.24999998509883881</v>
      </c>
      <c r="O54" s="258">
        <f t="shared" si="21"/>
        <v>0</v>
      </c>
      <c r="P54" s="258">
        <f t="shared" si="21"/>
        <v>0</v>
      </c>
      <c r="Q54" s="258">
        <f t="shared" si="21"/>
        <v>0</v>
      </c>
      <c r="R54" s="258">
        <f t="shared" si="21"/>
        <v>0</v>
      </c>
      <c r="S54" s="258">
        <f t="shared" si="21"/>
        <v>0</v>
      </c>
      <c r="T54" s="258">
        <f t="shared" si="21"/>
        <v>2749261.0000000149</v>
      </c>
      <c r="U54" s="120"/>
      <c r="V54" s="106"/>
      <c r="W54" s="155"/>
    </row>
    <row r="55" spans="2:23" s="133" customFormat="1" ht="28.5" x14ac:dyDescent="0.65">
      <c r="B55" s="257" t="s">
        <v>219</v>
      </c>
      <c r="C55" s="258">
        <f>+C38-'Income Statement'!C58</f>
        <v>1.0710209608078003E-8</v>
      </c>
      <c r="D55" s="258"/>
      <c r="E55" s="258">
        <f>+E38-'Income Statement'!E58</f>
        <v>0</v>
      </c>
      <c r="F55" s="258">
        <f>+F38-'Income Statement'!F58</f>
        <v>0</v>
      </c>
      <c r="G55" s="258">
        <f>+G38-'Income Statement'!G58</f>
        <v>1.1408701539039612E-8</v>
      </c>
      <c r="H55" s="258">
        <f>+H$38-SUM('Income Statement'!$U58:U58)</f>
        <v>0</v>
      </c>
      <c r="I55" s="258">
        <f>+I$38-SUM('Income Statement'!$U58:V58)</f>
        <v>0</v>
      </c>
      <c r="J55" s="258">
        <f>+J$38-SUM('Income Statement'!$U58:W58)</f>
        <v>0</v>
      </c>
      <c r="K55" s="258">
        <f>+K$38-SUM('Income Statement'!$U58:X58)</f>
        <v>0</v>
      </c>
      <c r="L55" s="258">
        <f>+L$38-SUM('Income Statement'!$U58:Y58)</f>
        <v>0</v>
      </c>
      <c r="M55" s="258">
        <f>+M$38-SUM('Income Statement'!$U58:Z58)</f>
        <v>0</v>
      </c>
      <c r="N55" s="258">
        <f>+N$38-SUM('Income Statement'!$U58:AA58)</f>
        <v>0</v>
      </c>
      <c r="O55" s="258">
        <f>+O$38-SUM('Income Statement'!$U58:AB58)</f>
        <v>0</v>
      </c>
      <c r="P55" s="258">
        <f>+P38-'Income Statement'!AC58</f>
        <v>2857822.9999999842</v>
      </c>
      <c r="Q55" s="258">
        <f>+Q38-'Income Statement'!AD58</f>
        <v>3652606.9999999851</v>
      </c>
      <c r="R55" s="258">
        <f>+R38-'Income Statement'!AE58</f>
        <v>0</v>
      </c>
      <c r="S55" s="258">
        <f>+S38-'Income Statement'!AF58</f>
        <v>0</v>
      </c>
      <c r="T55" s="258">
        <f>+T$38-SUM('Income Statement'!$U58:AG58)</f>
        <v>977608.00000000093</v>
      </c>
      <c r="U55" s="120"/>
      <c r="V55" s="106"/>
      <c r="W55" s="155"/>
    </row>
    <row r="56" spans="2:23" s="133" customFormat="1" ht="28.5" x14ac:dyDescent="0.65">
      <c r="B56" s="257" t="s">
        <v>256</v>
      </c>
      <c r="C56" s="258">
        <f>SUM(C11:C15,C18:C20)-SUM(C23:C28,C31:C33,C37:C38)</f>
        <v>-6.0000047087669373E-2</v>
      </c>
      <c r="D56" s="258">
        <f t="shared" ref="D56:T56" si="22">SUM(D11:D15,D18:D20)-SUM(D23:D28,D31:D33,D37:D38)</f>
        <v>0</v>
      </c>
      <c r="E56" s="258">
        <f t="shared" si="22"/>
        <v>1</v>
      </c>
      <c r="F56" s="258">
        <f t="shared" si="22"/>
        <v>-9.9999904632568359E-3</v>
      </c>
      <c r="G56" s="258">
        <f t="shared" si="22"/>
        <v>-2</v>
      </c>
      <c r="H56" s="258">
        <f t="shared" si="22"/>
        <v>-4.0000006556510925E-2</v>
      </c>
      <c r="I56" s="258">
        <f t="shared" si="22"/>
        <v>-9.9999994039535522E-2</v>
      </c>
      <c r="J56" s="258">
        <f t="shared" si="22"/>
        <v>0.47999998927116394</v>
      </c>
      <c r="K56" s="258">
        <f t="shared" si="22"/>
        <v>0</v>
      </c>
      <c r="L56" s="258">
        <f t="shared" si="22"/>
        <v>2.000001072883606E-2</v>
      </c>
      <c r="M56" s="258">
        <f t="shared" si="22"/>
        <v>0.30000001192092896</v>
      </c>
      <c r="N56" s="258">
        <f t="shared" si="22"/>
        <v>-0.24999998509883881</v>
      </c>
      <c r="O56" s="258">
        <f t="shared" si="22"/>
        <v>0</v>
      </c>
      <c r="P56" s="258">
        <f t="shared" si="22"/>
        <v>0</v>
      </c>
      <c r="Q56" s="258">
        <f t="shared" si="22"/>
        <v>0</v>
      </c>
      <c r="R56" s="258">
        <f t="shared" si="22"/>
        <v>0</v>
      </c>
      <c r="S56" s="258">
        <f t="shared" si="22"/>
        <v>0</v>
      </c>
      <c r="T56" s="258">
        <f t="shared" si="22"/>
        <v>-8134246.9999999702</v>
      </c>
      <c r="U56" s="120"/>
      <c r="V56" s="106"/>
      <c r="W56" s="155"/>
    </row>
  </sheetData>
  <mergeCells count="3">
    <mergeCell ref="U43:V43"/>
    <mergeCell ref="C50:F51"/>
    <mergeCell ref="W8:W9"/>
  </mergeCells>
  <pageMargins left="0.7" right="0.7" top="0.75" bottom="0.75" header="0.3" footer="0.3"/>
  <pageSetup scale="26" orientation="landscape" r:id="rId1"/>
  <headerFooter>
    <oddFooter>&amp;L&amp;16&amp;D, Page &amp;P&amp;C&amp;16Green Mountain Care Board&amp;R&amp;16&amp;F, &amp;A</oddFooter>
  </headerFooter>
  <customProperties>
    <customPr name="AdaptiveCustomXmlPartId" r:id="rId2"/>
    <customPr name="AdaptiveReportingSheetKey" r:id="rId3"/>
    <customPr name="CurrentId"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B1:AG35"/>
  <sheetViews>
    <sheetView showGridLines="0" topLeftCell="A6" zoomScale="50" workbookViewId="0">
      <pane xSplit="2" ySplit="8" topLeftCell="H14" activePane="bottomRight" state="frozen"/>
      <selection activeCell="A6" sqref="A6"/>
      <selection pane="topRight" activeCell="C6" sqref="C6"/>
      <selection pane="bottomLeft" activeCell="A14" sqref="A14"/>
      <selection pane="bottomRight" activeCell="U14" sqref="U14"/>
    </sheetView>
  </sheetViews>
  <sheetFormatPr defaultColWidth="9.1796875" defaultRowHeight="14.5" outlineLevelRow="1" outlineLevelCol="1" x14ac:dyDescent="0.35"/>
  <cols>
    <col min="1" max="1" width="3.7265625" style="309" customWidth="1"/>
    <col min="2" max="2" width="50.7265625" style="50" customWidth="1"/>
    <col min="3" max="3" width="34.7265625" style="62" customWidth="1"/>
    <col min="4" max="4" width="50.7265625" style="62" hidden="1" customWidth="1" outlineLevel="1"/>
    <col min="5" max="5" width="39.81640625" style="62" hidden="1" customWidth="1" outlineLevel="1" collapsed="1"/>
    <col min="6" max="6" width="45.453125" style="62" customWidth="1" collapsed="1"/>
    <col min="7" max="7" width="38.1796875" style="62" customWidth="1"/>
    <col min="8" max="8" width="50.7265625" style="62" customWidth="1"/>
    <col min="9" max="17" width="36.453125" style="62" customWidth="1"/>
    <col min="18" max="19" width="36.453125" style="62" hidden="1" customWidth="1" outlineLevel="1"/>
    <col min="20" max="20" width="38.7265625" style="159" customWidth="1" collapsed="1"/>
    <col min="21" max="21" width="39" style="211" customWidth="1"/>
    <col min="22" max="22" width="31.453125" hidden="1" customWidth="1" outlineLevel="1"/>
    <col min="23" max="24" width="24.26953125" hidden="1" customWidth="1" outlineLevel="1"/>
    <col min="25" max="25" width="28" hidden="1" customWidth="1" outlineLevel="1" collapsed="1"/>
    <col min="26" max="26" width="8.81640625" style="364" customWidth="1" collapsed="1"/>
    <col min="27" max="33" width="8.81640625" style="364" customWidth="1"/>
    <col min="34" max="16384" width="9.1796875" style="309"/>
  </cols>
  <sheetData>
    <row r="1" spans="2:33" s="304" customFormat="1" hidden="1" outlineLevel="1" x14ac:dyDescent="0.35">
      <c r="B1" s="50"/>
      <c r="C1" s="50"/>
      <c r="D1" s="50"/>
      <c r="E1" s="50"/>
      <c r="F1" s="50"/>
      <c r="G1" s="50"/>
      <c r="H1" s="50"/>
      <c r="I1" s="50"/>
      <c r="J1" s="50"/>
      <c r="K1" s="50"/>
      <c r="L1" s="50"/>
      <c r="M1" s="50"/>
      <c r="N1" s="50"/>
      <c r="O1" s="50"/>
      <c r="P1" s="50"/>
      <c r="Q1" s="50"/>
      <c r="R1" s="50"/>
      <c r="S1" s="50"/>
      <c r="T1" s="159"/>
      <c r="U1" s="158"/>
      <c r="V1"/>
      <c r="W1"/>
      <c r="X1"/>
      <c r="Y1"/>
      <c r="Z1" s="364"/>
      <c r="AA1" s="364"/>
      <c r="AB1" s="364"/>
      <c r="AC1" s="364"/>
      <c r="AD1" s="364"/>
      <c r="AE1" s="364"/>
      <c r="AF1" s="364"/>
      <c r="AG1" s="364"/>
    </row>
    <row r="2" spans="2:33" s="304" customFormat="1" hidden="1" outlineLevel="1" x14ac:dyDescent="0.35">
      <c r="B2" s="50"/>
      <c r="C2" s="50"/>
      <c r="D2" s="50"/>
      <c r="E2" s="50"/>
      <c r="F2" s="50" t="s">
        <v>227</v>
      </c>
      <c r="G2" s="50"/>
      <c r="H2" s="50"/>
      <c r="I2" s="50"/>
      <c r="J2" s="50"/>
      <c r="K2" s="50"/>
      <c r="L2" s="50"/>
      <c r="M2" s="50"/>
      <c r="N2" s="50"/>
      <c r="O2" s="50"/>
      <c r="P2" s="50"/>
      <c r="Q2" s="50"/>
      <c r="R2" s="50"/>
      <c r="S2" s="50"/>
      <c r="T2" s="159"/>
      <c r="U2" s="158"/>
      <c r="V2"/>
      <c r="W2"/>
      <c r="X2"/>
      <c r="Y2"/>
      <c r="Z2" s="364"/>
      <c r="AA2" s="364"/>
      <c r="AB2" s="364"/>
      <c r="AC2" s="364"/>
      <c r="AD2" s="364"/>
      <c r="AE2" s="364"/>
      <c r="AF2" s="364"/>
      <c r="AG2" s="364"/>
    </row>
    <row r="3" spans="2:33" s="305" customFormat="1" hidden="1" outlineLevel="1" x14ac:dyDescent="0.35">
      <c r="B3" s="20"/>
      <c r="C3" s="160" t="s">
        <v>44</v>
      </c>
      <c r="D3" s="160" t="s">
        <v>110</v>
      </c>
      <c r="E3" s="160" t="s">
        <v>207</v>
      </c>
      <c r="F3" s="160" t="s">
        <v>44</v>
      </c>
      <c r="G3" s="160" t="s">
        <v>207</v>
      </c>
      <c r="H3" s="160" t="s">
        <v>44</v>
      </c>
      <c r="I3" s="160" t="s">
        <v>44</v>
      </c>
      <c r="J3" s="160" t="s">
        <v>44</v>
      </c>
      <c r="K3" s="160" t="s">
        <v>44</v>
      </c>
      <c r="L3" s="160" t="s">
        <v>44</v>
      </c>
      <c r="M3" s="160" t="s">
        <v>44</v>
      </c>
      <c r="N3" s="160" t="s">
        <v>44</v>
      </c>
      <c r="O3" s="160" t="s">
        <v>44</v>
      </c>
      <c r="P3" s="160" t="s">
        <v>44</v>
      </c>
      <c r="Q3" s="160" t="s">
        <v>44</v>
      </c>
      <c r="R3" s="160" t="s">
        <v>44</v>
      </c>
      <c r="S3" s="160" t="s">
        <v>44</v>
      </c>
      <c r="T3" s="123"/>
      <c r="U3" s="161"/>
      <c r="V3"/>
      <c r="W3"/>
      <c r="X3"/>
      <c r="Y3"/>
      <c r="Z3" s="364"/>
      <c r="AA3" s="364"/>
      <c r="AB3" s="364"/>
      <c r="AC3" s="364"/>
      <c r="AD3" s="364"/>
      <c r="AE3" s="364"/>
      <c r="AF3" s="364"/>
      <c r="AG3" s="364"/>
    </row>
    <row r="4" spans="2:33" s="305" customFormat="1" hidden="1" outlineLevel="1" x14ac:dyDescent="0.35">
      <c r="B4" s="20"/>
      <c r="C4" s="160" t="s">
        <v>20</v>
      </c>
      <c r="D4" s="160" t="s">
        <v>20</v>
      </c>
      <c r="E4" s="160" t="s">
        <v>20</v>
      </c>
      <c r="F4" s="160" t="s">
        <v>20</v>
      </c>
      <c r="G4" s="160" t="s">
        <v>20</v>
      </c>
      <c r="H4" s="160" t="s">
        <v>20</v>
      </c>
      <c r="I4" s="160" t="s">
        <v>20</v>
      </c>
      <c r="J4" s="160" t="s">
        <v>20</v>
      </c>
      <c r="K4" s="160" t="s">
        <v>20</v>
      </c>
      <c r="L4" s="160" t="s">
        <v>20</v>
      </c>
      <c r="M4" s="160" t="s">
        <v>20</v>
      </c>
      <c r="N4" s="160" t="s">
        <v>20</v>
      </c>
      <c r="O4" s="160" t="s">
        <v>20</v>
      </c>
      <c r="P4" s="160" t="s">
        <v>20</v>
      </c>
      <c r="Q4" s="160" t="s">
        <v>20</v>
      </c>
      <c r="R4" s="160" t="s">
        <v>20</v>
      </c>
      <c r="S4" s="160" t="s">
        <v>20</v>
      </c>
      <c r="T4" s="123"/>
      <c r="U4" s="161"/>
      <c r="V4"/>
      <c r="W4"/>
      <c r="X4"/>
      <c r="Y4"/>
      <c r="Z4" s="364"/>
      <c r="AA4" s="364"/>
      <c r="AB4" s="364"/>
      <c r="AC4" s="364"/>
      <c r="AD4" s="364"/>
      <c r="AE4" s="364"/>
      <c r="AF4" s="364"/>
      <c r="AG4" s="364"/>
    </row>
    <row r="5" spans="2:33" s="305" customFormat="1" ht="60" hidden="1" customHeight="1" outlineLevel="1" x14ac:dyDescent="0.35">
      <c r="B5" s="162"/>
      <c r="C5" s="160" t="s">
        <v>88</v>
      </c>
      <c r="D5" s="160" t="s">
        <v>151</v>
      </c>
      <c r="E5" s="160" t="s">
        <v>151</v>
      </c>
      <c r="F5" s="160" t="s">
        <v>151</v>
      </c>
      <c r="G5" s="160" t="s">
        <v>222</v>
      </c>
      <c r="H5" s="160" t="s">
        <v>184</v>
      </c>
      <c r="I5" s="160" t="s">
        <v>185</v>
      </c>
      <c r="J5" s="160" t="s">
        <v>186</v>
      </c>
      <c r="K5" s="160" t="s">
        <v>187</v>
      </c>
      <c r="L5" s="160" t="s">
        <v>188</v>
      </c>
      <c r="M5" s="160" t="s">
        <v>189</v>
      </c>
      <c r="N5" s="160" t="s">
        <v>190</v>
      </c>
      <c r="O5" s="160" t="s">
        <v>191</v>
      </c>
      <c r="P5" s="160" t="s">
        <v>192</v>
      </c>
      <c r="Q5" s="160" t="s">
        <v>193</v>
      </c>
      <c r="R5" s="160" t="s">
        <v>194</v>
      </c>
      <c r="S5" s="160" t="s">
        <v>195</v>
      </c>
      <c r="T5" s="123"/>
      <c r="U5" s="161"/>
      <c r="V5"/>
      <c r="W5"/>
      <c r="X5"/>
      <c r="Y5"/>
      <c r="Z5" s="364"/>
      <c r="AA5" s="364"/>
      <c r="AB5" s="364"/>
      <c r="AC5" s="364"/>
      <c r="AD5" s="364"/>
      <c r="AE5" s="364"/>
      <c r="AF5" s="364"/>
      <c r="AG5" s="364"/>
    </row>
    <row r="6" spans="2:33" s="305" customFormat="1" ht="24" customHeight="1" collapsed="1" thickBot="1" x14ac:dyDescent="0.4">
      <c r="B6" s="162"/>
      <c r="C6" s="160" t="s">
        <v>0</v>
      </c>
      <c r="D6" s="160" t="s">
        <v>0</v>
      </c>
      <c r="E6" s="160" t="s">
        <v>0</v>
      </c>
      <c r="F6" s="160" t="s">
        <v>0</v>
      </c>
      <c r="G6" s="160" t="s">
        <v>0</v>
      </c>
      <c r="H6" s="160" t="s">
        <v>0</v>
      </c>
      <c r="I6" s="160" t="s">
        <v>0</v>
      </c>
      <c r="J6" s="160" t="s">
        <v>0</v>
      </c>
      <c r="K6" s="160" t="s">
        <v>0</v>
      </c>
      <c r="L6" s="160" t="s">
        <v>0</v>
      </c>
      <c r="M6" s="160" t="s">
        <v>0</v>
      </c>
      <c r="N6" s="160" t="s">
        <v>0</v>
      </c>
      <c r="O6" s="160" t="s">
        <v>0</v>
      </c>
      <c r="P6" s="160" t="s">
        <v>0</v>
      </c>
      <c r="Q6" s="160" t="s">
        <v>0</v>
      </c>
      <c r="R6" s="160" t="s">
        <v>0</v>
      </c>
      <c r="S6" s="160" t="s">
        <v>0</v>
      </c>
      <c r="T6" s="123"/>
      <c r="U6" s="161"/>
      <c r="V6"/>
      <c r="W6"/>
      <c r="X6"/>
      <c r="Y6"/>
      <c r="Z6" s="364"/>
      <c r="AA6" s="364"/>
      <c r="AB6" s="364"/>
      <c r="AC6" s="364"/>
      <c r="AD6" s="364"/>
      <c r="AE6" s="364"/>
      <c r="AF6" s="364"/>
      <c r="AG6" s="364"/>
    </row>
    <row r="7" spans="2:33" s="305" customFormat="1" ht="34.5" customHeight="1" x14ac:dyDescent="0.7">
      <c r="B7" s="568" t="s">
        <v>20</v>
      </c>
      <c r="C7" s="572" t="s">
        <v>0</v>
      </c>
      <c r="D7" s="572" t="s">
        <v>0</v>
      </c>
      <c r="E7" s="572" t="s">
        <v>0</v>
      </c>
      <c r="F7" s="572" t="s">
        <v>0</v>
      </c>
      <c r="G7" s="572" t="s">
        <v>0</v>
      </c>
      <c r="H7" s="572" t="s">
        <v>0</v>
      </c>
      <c r="I7" s="572" t="s">
        <v>0</v>
      </c>
      <c r="J7" s="572" t="s">
        <v>0</v>
      </c>
      <c r="K7" s="572" t="s">
        <v>0</v>
      </c>
      <c r="L7" s="572" t="s">
        <v>0</v>
      </c>
      <c r="M7" s="572" t="s">
        <v>0</v>
      </c>
      <c r="N7" s="572" t="s">
        <v>0</v>
      </c>
      <c r="O7" s="572" t="s">
        <v>0</v>
      </c>
      <c r="P7" s="572" t="s">
        <v>0</v>
      </c>
      <c r="Q7" s="572" t="s">
        <v>0</v>
      </c>
      <c r="R7" s="572" t="s">
        <v>0</v>
      </c>
      <c r="S7" s="572" t="s">
        <v>0</v>
      </c>
      <c r="T7" s="573"/>
      <c r="U7" s="574"/>
      <c r="V7"/>
      <c r="W7"/>
      <c r="X7"/>
      <c r="Y7"/>
      <c r="Z7" s="364"/>
      <c r="AA7" s="364"/>
      <c r="AB7" s="364"/>
      <c r="AC7" s="364"/>
      <c r="AD7" s="364"/>
      <c r="AE7" s="364"/>
      <c r="AF7" s="364"/>
      <c r="AG7" s="364"/>
    </row>
    <row r="8" spans="2:33" s="150" customFormat="1" ht="31" hidden="1" outlineLevel="1" x14ac:dyDescent="0.7">
      <c r="B8" s="569" t="s">
        <v>0</v>
      </c>
      <c r="C8" s="570"/>
      <c r="D8" s="570"/>
      <c r="E8" s="570"/>
      <c r="F8" s="570"/>
      <c r="G8" s="570"/>
      <c r="H8" s="570"/>
      <c r="I8" s="570"/>
      <c r="J8" s="570"/>
      <c r="K8" s="570"/>
      <c r="L8" s="570"/>
      <c r="M8" s="570"/>
      <c r="N8" s="570"/>
      <c r="O8" s="570"/>
      <c r="P8" s="570"/>
      <c r="Q8" s="570"/>
      <c r="R8" s="570"/>
      <c r="S8" s="570"/>
      <c r="T8" s="570"/>
      <c r="U8" s="571"/>
      <c r="V8" s="315"/>
      <c r="W8" s="316"/>
      <c r="X8" s="317"/>
      <c r="Y8" s="127"/>
    </row>
    <row r="9" spans="2:33" s="150" customFormat="1" ht="31" collapsed="1" x14ac:dyDescent="0.7">
      <c r="B9" s="288" t="str">
        <f>+'Income Statement'!B9</f>
        <v>Steven Gordon</v>
      </c>
      <c r="C9" s="289"/>
      <c r="D9" s="290" t="str">
        <f>+'Income Statement'!F9</f>
        <v>Andre Bissonnette</v>
      </c>
      <c r="E9" s="289"/>
      <c r="F9" s="289"/>
      <c r="G9" s="289"/>
      <c r="H9" s="289"/>
      <c r="I9" s="289"/>
      <c r="J9" s="289"/>
      <c r="K9" s="289"/>
      <c r="L9" s="289"/>
      <c r="M9" s="289"/>
      <c r="N9" s="289"/>
      <c r="O9" s="289"/>
      <c r="P9" s="289"/>
      <c r="Q9" s="289"/>
      <c r="R9" s="289"/>
      <c r="S9" s="289"/>
      <c r="T9" s="289"/>
      <c r="U9" s="291"/>
      <c r="V9" s="318"/>
      <c r="W9" s="6"/>
      <c r="X9" s="141"/>
      <c r="Y9" s="127"/>
    </row>
    <row r="10" spans="2:33" s="150" customFormat="1" ht="31.5" thickBot="1" x14ac:dyDescent="0.75">
      <c r="B10" s="292" t="str">
        <f>+'Income Statement'!B10</f>
        <v>Fiscal Year 2021 YTD Summary</v>
      </c>
      <c r="C10" s="293"/>
      <c r="D10" s="293"/>
      <c r="E10" s="293"/>
      <c r="F10" s="294"/>
      <c r="G10" s="294"/>
      <c r="H10" s="294"/>
      <c r="I10" s="294"/>
      <c r="J10" s="294"/>
      <c r="K10" s="294"/>
      <c r="L10" s="294"/>
      <c r="M10" s="294"/>
      <c r="N10" s="294"/>
      <c r="O10" s="294"/>
      <c r="P10" s="294"/>
      <c r="Q10" s="294"/>
      <c r="R10" s="294"/>
      <c r="S10" s="294"/>
      <c r="T10" s="294" t="str">
        <f>+Cover!C15</f>
        <v>Through July</v>
      </c>
      <c r="U10" s="295"/>
      <c r="V10" s="318"/>
      <c r="W10" s="6"/>
      <c r="X10" s="141"/>
      <c r="Y10" s="127"/>
    </row>
    <row r="11" spans="2:33" s="306" customFormat="1" ht="83.25" customHeight="1" thickBot="1" x14ac:dyDescent="0.9">
      <c r="B11" s="319" t="s">
        <v>159</v>
      </c>
      <c r="C11" s="163" t="str">
        <f>RIGHT(C5,4)&amp;" A"</f>
        <v>2019 A</v>
      </c>
      <c r="D11" s="163" t="str">
        <f>RIGHT(D5,4)&amp;" B"</f>
        <v>2020 B</v>
      </c>
      <c r="E11" s="163" t="str">
        <f>RIGHT(E5,4)&amp;" P"</f>
        <v>2020 P</v>
      </c>
      <c r="F11" s="164" t="s">
        <v>196</v>
      </c>
      <c r="G11" s="352" t="str">
        <f>RIGHT(G5,4)&amp;" B"</f>
        <v>2021 B</v>
      </c>
      <c r="H11" s="580" t="str">
        <f t="shared" ref="H11:S11" si="0">RIGHT(H5,8)</f>
        <v>Oct-2020</v>
      </c>
      <c r="I11" s="580" t="str">
        <f t="shared" si="0"/>
        <v>Nov-2020</v>
      </c>
      <c r="J11" s="580" t="str">
        <f t="shared" si="0"/>
        <v>Dec-2020</v>
      </c>
      <c r="K11" s="580" t="str">
        <f t="shared" si="0"/>
        <v>Jan-2021</v>
      </c>
      <c r="L11" s="580" t="str">
        <f t="shared" si="0"/>
        <v>Feb-2021</v>
      </c>
      <c r="M11" s="580" t="str">
        <f t="shared" si="0"/>
        <v>Mar-2021</v>
      </c>
      <c r="N11" s="580" t="str">
        <f t="shared" si="0"/>
        <v>Apr-2021</v>
      </c>
      <c r="O11" s="580" t="str">
        <f t="shared" si="0"/>
        <v>May-2021</v>
      </c>
      <c r="P11" s="580" t="str">
        <f t="shared" si="0"/>
        <v>Jun-2021</v>
      </c>
      <c r="Q11" s="580" t="str">
        <f t="shared" si="0"/>
        <v>Jul-2021</v>
      </c>
      <c r="R11" s="580" t="str">
        <f t="shared" si="0"/>
        <v>Aug-2021</v>
      </c>
      <c r="S11" s="580" t="str">
        <f t="shared" si="0"/>
        <v>Sep-2021</v>
      </c>
      <c r="T11" s="580" t="s">
        <v>225</v>
      </c>
      <c r="U11" s="580" t="s">
        <v>200</v>
      </c>
      <c r="V11" s="164" t="s">
        <v>2</v>
      </c>
      <c r="W11" s="164" t="str">
        <f>MID(G11,1,6)&amp;"-"&amp;MID(U11,1,9)</f>
        <v>2021 B-2021 PROJ</v>
      </c>
      <c r="X11" s="320" t="str">
        <f>MID(F11,1,6)&amp;"-"&amp;MID(U11,1,9)</f>
        <v>2020 A-2021 PROJ</v>
      </c>
      <c r="Y11" s="164" t="s">
        <v>160</v>
      </c>
      <c r="Z11" s="365"/>
      <c r="AA11" s="365"/>
      <c r="AB11" s="365"/>
      <c r="AC11" s="365"/>
      <c r="AD11" s="365"/>
      <c r="AE11" s="365"/>
      <c r="AF11" s="365"/>
      <c r="AG11" s="365"/>
    </row>
    <row r="12" spans="2:33" s="307" customFormat="1" ht="24" thickBot="1" x14ac:dyDescent="0.4">
      <c r="B12" s="321"/>
      <c r="C12" s="165"/>
      <c r="D12" s="165"/>
      <c r="E12" s="165"/>
      <c r="F12" s="165"/>
      <c r="G12" s="353"/>
      <c r="H12" s="165"/>
      <c r="I12" s="165"/>
      <c r="J12" s="165"/>
      <c r="K12" s="165"/>
      <c r="L12" s="165"/>
      <c r="M12" s="165"/>
      <c r="N12" s="165"/>
      <c r="O12" s="165"/>
      <c r="P12" s="165"/>
      <c r="Q12" s="165"/>
      <c r="R12" s="165"/>
      <c r="S12" s="165"/>
      <c r="T12" s="165"/>
      <c r="U12" s="165"/>
      <c r="V12" s="322"/>
      <c r="W12" s="322"/>
      <c r="X12" s="323"/>
      <c r="Y12"/>
      <c r="Z12" s="364"/>
      <c r="AA12" s="364"/>
      <c r="AB12" s="364"/>
      <c r="AC12" s="364"/>
      <c r="AD12" s="364"/>
      <c r="AE12" s="364"/>
      <c r="AF12" s="364"/>
      <c r="AG12" s="364"/>
    </row>
    <row r="13" spans="2:33" s="184" customFormat="1" ht="40" customHeight="1" x14ac:dyDescent="0.8">
      <c r="B13" s="324" t="s">
        <v>253</v>
      </c>
      <c r="C13" s="167"/>
      <c r="D13" s="167"/>
      <c r="E13" s="167"/>
      <c r="F13" s="167"/>
      <c r="G13" s="167"/>
      <c r="H13" s="453" t="s">
        <v>253</v>
      </c>
      <c r="I13" s="167"/>
      <c r="J13" s="167"/>
      <c r="K13" s="167"/>
      <c r="L13" s="167"/>
      <c r="M13" s="167"/>
      <c r="N13" s="167"/>
      <c r="O13" s="167"/>
      <c r="P13" s="167"/>
      <c r="Q13" s="167"/>
      <c r="R13" s="167"/>
      <c r="S13" s="167"/>
      <c r="T13" s="167"/>
      <c r="U13" s="167"/>
      <c r="V13" s="166"/>
      <c r="W13" s="166"/>
      <c r="X13" s="325"/>
      <c r="Y13" s="168"/>
      <c r="Z13" s="265"/>
      <c r="AA13" s="265"/>
      <c r="AB13" s="265"/>
      <c r="AC13" s="265"/>
      <c r="AD13" s="265"/>
      <c r="AE13" s="265"/>
      <c r="AF13" s="265"/>
      <c r="AG13" s="265"/>
    </row>
    <row r="14" spans="2:33" s="184" customFormat="1" ht="39.75" customHeight="1" x14ac:dyDescent="0.8">
      <c r="B14" s="326" t="s">
        <v>161</v>
      </c>
      <c r="C14" s="170"/>
      <c r="D14" s="171"/>
      <c r="E14" s="171"/>
      <c r="F14" s="171"/>
      <c r="G14" s="354"/>
      <c r="H14" s="171">
        <v>12.1</v>
      </c>
      <c r="I14" s="171">
        <v>11.4</v>
      </c>
      <c r="J14" s="171">
        <v>14.3</v>
      </c>
      <c r="K14" s="597">
        <f>+K16/31</f>
        <v>13</v>
      </c>
      <c r="L14" s="597">
        <f>+L16/28</f>
        <v>12.964285714285714</v>
      </c>
      <c r="M14" s="597">
        <f>M16/31</f>
        <v>14.096774193548388</v>
      </c>
      <c r="N14" s="597">
        <f>N16/30</f>
        <v>16.766666666666666</v>
      </c>
      <c r="O14" s="171">
        <v>16.5</v>
      </c>
      <c r="P14" s="171">
        <v>15.4</v>
      </c>
      <c r="Q14" s="171">
        <f>Q16/31</f>
        <v>18</v>
      </c>
      <c r="R14" s="171"/>
      <c r="S14" s="171"/>
      <c r="T14" s="597">
        <f>+T16/'Income Statement'!AH10</f>
        <v>14.177631578947368</v>
      </c>
      <c r="U14" s="173">
        <f>U16/365</f>
        <v>15.745205479452055</v>
      </c>
      <c r="V14" s="174" t="e">
        <f>+T14/#REF!-1</f>
        <v>#REF!</v>
      </c>
      <c r="W14" s="175" t="e">
        <f>U14/G14-1</f>
        <v>#DIV/0!</v>
      </c>
      <c r="X14" s="327">
        <f>U14-F14</f>
        <v>15.745205479452055</v>
      </c>
      <c r="Y14" s="310" t="s">
        <v>162</v>
      </c>
      <c r="Z14" s="264"/>
      <c r="AA14" s="265"/>
      <c r="AB14" s="265"/>
      <c r="AC14" s="265"/>
      <c r="AD14" s="265"/>
      <c r="AE14" s="265"/>
      <c r="AF14" s="265"/>
      <c r="AG14" s="265"/>
    </row>
    <row r="15" spans="2:33" s="184" customFormat="1" ht="40" customHeight="1" x14ac:dyDescent="0.8">
      <c r="B15" s="328" t="s">
        <v>163</v>
      </c>
      <c r="C15" s="176">
        <v>2106.9999999999995</v>
      </c>
      <c r="D15" s="177">
        <v>2117.0000000000005</v>
      </c>
      <c r="E15" s="177">
        <v>2117.0000000000005</v>
      </c>
      <c r="F15" s="177">
        <v>1854.9999999999991</v>
      </c>
      <c r="G15" s="355">
        <v>2225.0000000000005</v>
      </c>
      <c r="H15" s="350">
        <v>134</v>
      </c>
      <c r="I15" s="350">
        <v>121</v>
      </c>
      <c r="J15" s="350">
        <v>147</v>
      </c>
      <c r="K15" s="350">
        <f>563-SUM($H15:J15)</f>
        <v>161</v>
      </c>
      <c r="L15" s="350">
        <v>108</v>
      </c>
      <c r="M15" s="350">
        <f>843-SUM(H15:L15)</f>
        <v>172</v>
      </c>
      <c r="N15" s="350">
        <f>1025-SUM(H15:M15)</f>
        <v>182</v>
      </c>
      <c r="O15" s="350">
        <f>157+5</f>
        <v>162</v>
      </c>
      <c r="P15" s="350">
        <f>1330-SUM(H15:O15)</f>
        <v>143</v>
      </c>
      <c r="Q15" s="350">
        <f>1548-SUM(H15:P15)</f>
        <v>218</v>
      </c>
      <c r="R15" s="350">
        <v>0</v>
      </c>
      <c r="S15" s="350">
        <v>0</v>
      </c>
      <c r="T15" s="351">
        <f t="shared" ref="T15:T25" si="1">SUM(H15:S15)</f>
        <v>1548</v>
      </c>
      <c r="U15" s="602">
        <f t="shared" ref="U15:U21" si="2">ROUND(T15/9*12,0)</f>
        <v>2064</v>
      </c>
      <c r="V15" s="174" t="e">
        <f>+T15/#REF!-1</f>
        <v>#REF!</v>
      </c>
      <c r="W15" s="175">
        <f>U15/G15-1</f>
        <v>-7.2359550561797992E-2</v>
      </c>
      <c r="X15" s="329">
        <f>U15/F15-1</f>
        <v>0.11266846361186045</v>
      </c>
      <c r="Y15" s="311" t="s">
        <v>164</v>
      </c>
      <c r="Z15" s="264"/>
      <c r="AA15" s="265"/>
      <c r="AB15" s="265"/>
      <c r="AC15" s="265"/>
      <c r="AD15" s="265"/>
      <c r="AE15" s="265"/>
      <c r="AF15" s="265"/>
      <c r="AG15" s="265"/>
    </row>
    <row r="16" spans="2:33" s="184" customFormat="1" ht="40" customHeight="1" x14ac:dyDescent="0.8">
      <c r="B16" s="326" t="s">
        <v>165</v>
      </c>
      <c r="C16" s="170">
        <v>6323.0000000000009</v>
      </c>
      <c r="D16" s="171">
        <v>5389</v>
      </c>
      <c r="E16" s="171">
        <v>5389</v>
      </c>
      <c r="F16" s="171">
        <v>5362</v>
      </c>
      <c r="G16" s="354">
        <v>5582.9999999999991</v>
      </c>
      <c r="H16" s="171">
        <v>374</v>
      </c>
      <c r="I16" s="171">
        <v>341</v>
      </c>
      <c r="J16" s="171">
        <v>444</v>
      </c>
      <c r="K16" s="350">
        <f>1562-SUM($H16:J16)</f>
        <v>403</v>
      </c>
      <c r="L16" s="171">
        <v>363</v>
      </c>
      <c r="M16" s="171">
        <f>2362-SUM(H16:L16)</f>
        <v>437</v>
      </c>
      <c r="N16" s="171">
        <f>2865-SUM(H16:M16)</f>
        <v>503</v>
      </c>
      <c r="O16" s="171">
        <f>510+2</f>
        <v>512</v>
      </c>
      <c r="P16" s="171">
        <f>3752-SUM(H16:O16)</f>
        <v>375</v>
      </c>
      <c r="Q16" s="171">
        <f>4310-SUM(H16:P16)</f>
        <v>558</v>
      </c>
      <c r="R16" s="171">
        <v>0</v>
      </c>
      <c r="S16" s="171">
        <v>0</v>
      </c>
      <c r="T16" s="171">
        <f t="shared" si="1"/>
        <v>4310</v>
      </c>
      <c r="U16" s="603">
        <f t="shared" si="2"/>
        <v>5747</v>
      </c>
      <c r="V16" s="178" t="e">
        <f>+T16/#REF!-1</f>
        <v>#REF!</v>
      </c>
      <c r="W16" s="179">
        <f>U16/G16-1</f>
        <v>2.9374888053018244E-2</v>
      </c>
      <c r="X16" s="330">
        <f>U16/F16-1</f>
        <v>7.1801566579634546E-2</v>
      </c>
      <c r="Y16" s="312" t="s">
        <v>164</v>
      </c>
      <c r="Z16" s="264"/>
      <c r="AA16" s="265"/>
      <c r="AB16" s="265"/>
      <c r="AC16" s="265"/>
      <c r="AD16" s="265"/>
      <c r="AE16" s="265"/>
      <c r="AF16" s="265"/>
      <c r="AG16" s="265"/>
    </row>
    <row r="17" spans="2:33" s="184" customFormat="1" ht="40" customHeight="1" x14ac:dyDescent="0.8">
      <c r="B17" s="331" t="s">
        <v>226</v>
      </c>
      <c r="C17" s="176">
        <v>2327</v>
      </c>
      <c r="D17" s="177">
        <v>2313</v>
      </c>
      <c r="E17" s="177">
        <v>2313</v>
      </c>
      <c r="F17" s="177">
        <v>2070.9999999999995</v>
      </c>
      <c r="G17" s="355">
        <v>2335</v>
      </c>
      <c r="H17" s="350">
        <v>199</v>
      </c>
      <c r="I17" s="350">
        <v>157</v>
      </c>
      <c r="J17" s="350">
        <v>183</v>
      </c>
      <c r="K17" s="350">
        <f>703-SUM($H17:J17)</f>
        <v>164</v>
      </c>
      <c r="L17" s="350">
        <v>174</v>
      </c>
      <c r="M17" s="350">
        <f>1084-SUM(H17:L17)</f>
        <v>207</v>
      </c>
      <c r="N17" s="171">
        <f>1281-SUM(H17:M17)</f>
        <v>197</v>
      </c>
      <c r="O17" s="350">
        <v>153</v>
      </c>
      <c r="P17" s="350">
        <v>205</v>
      </c>
      <c r="Q17" s="350">
        <f>1822-SUM(H17:P17)</f>
        <v>183</v>
      </c>
      <c r="R17" s="350">
        <v>0</v>
      </c>
      <c r="S17" s="350">
        <v>0</v>
      </c>
      <c r="T17" s="351">
        <f t="shared" si="1"/>
        <v>1822</v>
      </c>
      <c r="U17" s="603">
        <f t="shared" si="2"/>
        <v>2429</v>
      </c>
      <c r="V17" s="174" t="e">
        <f>+T17/#REF!-1</f>
        <v>#REF!</v>
      </c>
      <c r="W17" s="175">
        <f>U17/G17-1</f>
        <v>4.0256959314775242E-2</v>
      </c>
      <c r="X17" s="329">
        <f>U17/F17-1</f>
        <v>0.1728633510381461</v>
      </c>
      <c r="Y17" s="311" t="s">
        <v>164</v>
      </c>
      <c r="Z17" s="264"/>
      <c r="AA17" s="265"/>
      <c r="AB17" s="265"/>
      <c r="AC17" s="265"/>
      <c r="AD17" s="265"/>
      <c r="AE17" s="265"/>
      <c r="AF17" s="265"/>
      <c r="AG17" s="265"/>
    </row>
    <row r="18" spans="2:33" s="184" customFormat="1" ht="40" customHeight="1" x14ac:dyDescent="0.8">
      <c r="B18" s="332" t="s">
        <v>223</v>
      </c>
      <c r="C18" s="170">
        <v>7095</v>
      </c>
      <c r="D18" s="259">
        <v>7052.0000000000027</v>
      </c>
      <c r="E18" s="259">
        <v>7052.0000000000027</v>
      </c>
      <c r="F18" s="259">
        <v>6828</v>
      </c>
      <c r="G18" s="356">
        <v>7556.0000000000009</v>
      </c>
      <c r="H18" s="259">
        <v>625</v>
      </c>
      <c r="I18" s="259">
        <v>553</v>
      </c>
      <c r="J18" s="259">
        <v>626</v>
      </c>
      <c r="K18" s="350">
        <f>2382-SUM($H18:J18)</f>
        <v>578</v>
      </c>
      <c r="L18" s="259">
        <v>592</v>
      </c>
      <c r="M18" s="259">
        <f>3664-SUM(H18:L18)</f>
        <v>690</v>
      </c>
      <c r="N18" s="171">
        <f>4258-SUM(H18:M18)</f>
        <v>594</v>
      </c>
      <c r="O18" s="259">
        <v>702</v>
      </c>
      <c r="P18" s="259">
        <v>587</v>
      </c>
      <c r="Q18" s="259">
        <f>6160-SUM(H18:P18)</f>
        <v>613</v>
      </c>
      <c r="R18" s="259">
        <v>0</v>
      </c>
      <c r="S18" s="259">
        <v>0</v>
      </c>
      <c r="T18" s="171">
        <f t="shared" si="1"/>
        <v>6160</v>
      </c>
      <c r="U18" s="603">
        <f t="shared" si="2"/>
        <v>8213</v>
      </c>
      <c r="V18" s="262"/>
      <c r="W18" s="263"/>
      <c r="X18" s="333"/>
      <c r="Y18" s="313"/>
      <c r="Z18" s="264"/>
      <c r="AA18" s="265"/>
      <c r="AB18" s="265"/>
      <c r="AC18" s="265"/>
      <c r="AD18" s="265"/>
      <c r="AE18" s="265"/>
      <c r="AF18" s="265"/>
      <c r="AG18" s="265"/>
    </row>
    <row r="19" spans="2:33" s="184" customFormat="1" ht="40" customHeight="1" x14ac:dyDescent="0.8">
      <c r="B19" s="331" t="s">
        <v>224</v>
      </c>
      <c r="C19" s="176">
        <v>26940.999999999996</v>
      </c>
      <c r="D19" s="177">
        <v>27075.999999999996</v>
      </c>
      <c r="E19" s="177">
        <v>27075.999999999996</v>
      </c>
      <c r="F19" s="177">
        <v>23081.000000000004</v>
      </c>
      <c r="G19" s="355">
        <v>28422.999999999989</v>
      </c>
      <c r="H19" s="350">
        <v>1457</v>
      </c>
      <c r="I19" s="350">
        <v>1278</v>
      </c>
      <c r="J19" s="350">
        <v>1350</v>
      </c>
      <c r="K19" s="350">
        <f>5575-SUM($H19:J19)</f>
        <v>1490</v>
      </c>
      <c r="L19" s="350">
        <v>1310</v>
      </c>
      <c r="M19" s="350">
        <f>8464-SUM(H19:L19)</f>
        <v>1579</v>
      </c>
      <c r="N19" s="171">
        <f>10033-SUM(H19:M19)</f>
        <v>1569</v>
      </c>
      <c r="O19" s="350">
        <v>1554</v>
      </c>
      <c r="P19" s="350">
        <v>1574</v>
      </c>
      <c r="Q19" s="350">
        <f>14736-SUM(H19:P19)</f>
        <v>1575</v>
      </c>
      <c r="R19" s="350">
        <v>0</v>
      </c>
      <c r="S19" s="350">
        <v>0</v>
      </c>
      <c r="T19" s="351">
        <f t="shared" si="1"/>
        <v>14736</v>
      </c>
      <c r="U19" s="603">
        <f t="shared" si="2"/>
        <v>19648</v>
      </c>
      <c r="V19" s="174"/>
      <c r="W19" s="175"/>
      <c r="X19" s="329"/>
      <c r="Y19" s="311"/>
      <c r="Z19" s="264"/>
      <c r="AA19" s="265"/>
      <c r="AB19" s="265"/>
      <c r="AC19" s="265"/>
      <c r="AD19" s="265"/>
      <c r="AE19" s="265"/>
      <c r="AF19" s="265"/>
      <c r="AG19" s="265"/>
    </row>
    <row r="20" spans="2:33" s="184" customFormat="1" ht="40" customHeight="1" x14ac:dyDescent="0.8">
      <c r="B20" s="326" t="s">
        <v>166</v>
      </c>
      <c r="C20" s="170">
        <v>13701</v>
      </c>
      <c r="D20" s="171">
        <v>13770.000000000002</v>
      </c>
      <c r="E20" s="171">
        <v>13770.000000000002</v>
      </c>
      <c r="F20" s="171">
        <v>12331.000000000002</v>
      </c>
      <c r="G20" s="354">
        <v>14113.000000000004</v>
      </c>
      <c r="H20" s="171">
        <v>1084</v>
      </c>
      <c r="I20" s="171">
        <v>982</v>
      </c>
      <c r="J20" s="171">
        <v>937</v>
      </c>
      <c r="K20" s="350">
        <f>3978-SUM($H20:J20)</f>
        <v>975</v>
      </c>
      <c r="L20" s="171">
        <v>895</v>
      </c>
      <c r="M20" s="171">
        <f>5929-SUM(H20:L20)</f>
        <v>1056</v>
      </c>
      <c r="N20" s="171">
        <f>7024-SUM(H20:M20)</f>
        <v>1095</v>
      </c>
      <c r="O20" s="171">
        <v>1146</v>
      </c>
      <c r="P20" s="171">
        <v>1109</v>
      </c>
      <c r="Q20" s="171">
        <f>10455-SUM(H20:P20)</f>
        <v>1176</v>
      </c>
      <c r="R20" s="171">
        <v>0</v>
      </c>
      <c r="S20" s="171">
        <v>0</v>
      </c>
      <c r="T20" s="171">
        <f t="shared" si="1"/>
        <v>10455</v>
      </c>
      <c r="U20" s="603">
        <f t="shared" si="2"/>
        <v>13940</v>
      </c>
      <c r="V20" s="178" t="e">
        <f>+T20/#REF!-1</f>
        <v>#REF!</v>
      </c>
      <c r="W20" s="179">
        <f>U20/G20-1</f>
        <v>-1.2258201658046031E-2</v>
      </c>
      <c r="X20" s="330">
        <f>U20/F20-1</f>
        <v>0.13048414564917676</v>
      </c>
      <c r="Y20" s="312" t="s">
        <v>164</v>
      </c>
      <c r="Z20" s="264"/>
      <c r="AA20" s="265"/>
      <c r="AB20" s="265"/>
      <c r="AC20" s="265"/>
      <c r="AD20" s="265"/>
      <c r="AE20" s="265"/>
      <c r="AF20" s="265"/>
      <c r="AG20" s="265"/>
    </row>
    <row r="21" spans="2:33" s="184" customFormat="1" ht="40" customHeight="1" x14ac:dyDescent="0.8">
      <c r="B21" s="334" t="s">
        <v>167</v>
      </c>
      <c r="C21" s="176">
        <v>2181</v>
      </c>
      <c r="D21" s="180">
        <v>2168.9999999999995</v>
      </c>
      <c r="E21" s="180">
        <v>2168.9999999999995</v>
      </c>
      <c r="F21" s="180">
        <v>1404.9999999999998</v>
      </c>
      <c r="G21" s="357">
        <v>2211</v>
      </c>
      <c r="H21" s="350">
        <v>343</v>
      </c>
      <c r="I21" s="350">
        <v>271</v>
      </c>
      <c r="J21" s="350">
        <v>271</v>
      </c>
      <c r="K21" s="350">
        <f>658+543-SUM($H21:J21)</f>
        <v>316</v>
      </c>
      <c r="L21" s="350">
        <v>260</v>
      </c>
      <c r="M21" s="350">
        <f>(1041+773)-SUM(H21:L21)</f>
        <v>353</v>
      </c>
      <c r="N21" s="171">
        <f>(1233+887)-SUM(H21:M21)</f>
        <v>306</v>
      </c>
      <c r="O21" s="350">
        <v>331</v>
      </c>
      <c r="P21" s="350">
        <v>331</v>
      </c>
      <c r="Q21" s="350">
        <f>3106-SUM(H21:P21)</f>
        <v>324</v>
      </c>
      <c r="R21" s="350">
        <v>0</v>
      </c>
      <c r="S21" s="350">
        <v>0</v>
      </c>
      <c r="T21" s="351">
        <f t="shared" si="1"/>
        <v>3106</v>
      </c>
      <c r="U21" s="603">
        <f t="shared" si="2"/>
        <v>4141</v>
      </c>
      <c r="V21" s="181" t="e">
        <f>+T21/#REF!-1</f>
        <v>#REF!</v>
      </c>
      <c r="W21" s="182">
        <f>U21/G21-1</f>
        <v>0.87290818634102219</v>
      </c>
      <c r="X21" s="335">
        <f>U21/F21-1</f>
        <v>1.9473309608540932</v>
      </c>
      <c r="Y21" s="314" t="s">
        <v>164</v>
      </c>
      <c r="Z21" s="264"/>
      <c r="AA21" s="265"/>
      <c r="AB21" s="265"/>
      <c r="AC21" s="265"/>
      <c r="AD21" s="265"/>
      <c r="AE21" s="265"/>
      <c r="AF21" s="265"/>
      <c r="AG21" s="265"/>
    </row>
    <row r="22" spans="2:33" s="184" customFormat="1" ht="40" customHeight="1" x14ac:dyDescent="0.8">
      <c r="B22" s="326" t="s">
        <v>168</v>
      </c>
      <c r="C22" s="170">
        <v>0</v>
      </c>
      <c r="D22" s="171">
        <v>0</v>
      </c>
      <c r="E22" s="171">
        <v>0</v>
      </c>
      <c r="F22" s="171">
        <v>464.00000000000006</v>
      </c>
      <c r="G22" s="354">
        <v>0</v>
      </c>
      <c r="H22" s="171">
        <v>0</v>
      </c>
      <c r="I22" s="171">
        <v>0</v>
      </c>
      <c r="J22" s="171">
        <v>0</v>
      </c>
      <c r="K22" s="350"/>
      <c r="L22" s="171">
        <v>0</v>
      </c>
      <c r="M22" s="171">
        <v>0</v>
      </c>
      <c r="N22" s="171">
        <v>0</v>
      </c>
      <c r="O22" s="171">
        <v>0</v>
      </c>
      <c r="P22" s="171">
        <v>0</v>
      </c>
      <c r="Q22" s="171">
        <v>0</v>
      </c>
      <c r="R22" s="171">
        <v>0</v>
      </c>
      <c r="S22" s="171">
        <v>0</v>
      </c>
      <c r="T22" s="171">
        <f t="shared" si="1"/>
        <v>0</v>
      </c>
      <c r="U22" s="603"/>
      <c r="V22" s="178" t="e">
        <f>+T22/#REF!-1</f>
        <v>#REF!</v>
      </c>
      <c r="W22" s="179" t="e">
        <f>U22/G22-1</f>
        <v>#DIV/0!</v>
      </c>
      <c r="X22" s="330">
        <f>U22/F22-1</f>
        <v>-1</v>
      </c>
      <c r="Y22" s="312" t="s">
        <v>164</v>
      </c>
      <c r="Z22" s="264"/>
      <c r="AA22" s="265"/>
      <c r="AB22" s="265"/>
      <c r="AC22" s="265"/>
      <c r="AD22" s="265"/>
      <c r="AE22" s="265"/>
      <c r="AF22" s="265"/>
      <c r="AG22" s="265"/>
    </row>
    <row r="23" spans="2:33" s="184" customFormat="1" ht="40" customHeight="1" x14ac:dyDescent="0.8">
      <c r="B23" s="328" t="s">
        <v>171</v>
      </c>
      <c r="C23" s="176">
        <v>257686.00000000003</v>
      </c>
      <c r="D23" s="177">
        <v>258628.99999999997</v>
      </c>
      <c r="E23" s="177">
        <v>258628.99999999997</v>
      </c>
      <c r="F23" s="177">
        <v>103360</v>
      </c>
      <c r="G23" s="355">
        <v>237055.00000000003</v>
      </c>
      <c r="H23" s="350">
        <v>4577</v>
      </c>
      <c r="I23" s="350">
        <v>3845</v>
      </c>
      <c r="J23" s="350">
        <v>3807</v>
      </c>
      <c r="K23" s="350">
        <f>18652-SUM($H23:J23)</f>
        <v>6423</v>
      </c>
      <c r="L23" s="350">
        <v>4533</v>
      </c>
      <c r="M23" s="350">
        <f>28663-SUM(H23:L23)</f>
        <v>5478</v>
      </c>
      <c r="N23" s="171">
        <f>33806-SUM(H23:M23)</f>
        <v>5143</v>
      </c>
      <c r="O23" s="350">
        <v>4951</v>
      </c>
      <c r="P23" s="350">
        <v>5468</v>
      </c>
      <c r="Q23" s="350">
        <f>49067-SUM(H23:P23)</f>
        <v>4842</v>
      </c>
      <c r="R23" s="350">
        <v>0</v>
      </c>
      <c r="S23" s="350">
        <v>0</v>
      </c>
      <c r="T23" s="351">
        <f t="shared" si="1"/>
        <v>49067</v>
      </c>
      <c r="U23" s="603">
        <f>ROUND(T23/9*12,0)</f>
        <v>65423</v>
      </c>
      <c r="V23" s="174"/>
      <c r="W23" s="175"/>
      <c r="X23" s="329"/>
      <c r="Y23" s="311"/>
      <c r="Z23" s="264"/>
      <c r="AA23" s="265"/>
      <c r="AB23" s="265"/>
      <c r="AC23" s="265"/>
      <c r="AD23" s="265"/>
      <c r="AE23" s="265"/>
      <c r="AF23" s="265"/>
      <c r="AG23" s="265"/>
    </row>
    <row r="24" spans="2:33" s="184" customFormat="1" ht="40" customHeight="1" x14ac:dyDescent="0.8">
      <c r="B24" s="336" t="s">
        <v>169</v>
      </c>
      <c r="C24" s="170"/>
      <c r="D24" s="261"/>
      <c r="E24" s="261"/>
      <c r="F24" s="261"/>
      <c r="G24" s="358"/>
      <c r="H24" s="261">
        <v>2683</v>
      </c>
      <c r="I24" s="261">
        <v>2297</v>
      </c>
      <c r="J24" s="261">
        <v>2240</v>
      </c>
      <c r="K24" s="350">
        <f>714+560+1823+3288+2171-3+1608+1649-SUM($H24:J24)</f>
        <v>4590</v>
      </c>
      <c r="L24" s="261">
        <v>2853</v>
      </c>
      <c r="M24" s="261">
        <f>(997+916+2839+4963+3333-3+2418+2639)-SUM(H24:L24)</f>
        <v>3439</v>
      </c>
      <c r="N24" s="171">
        <f>(1206+1099+3400+5819+3862-3+2862+3054)-SUM(H24:M24)</f>
        <v>3197</v>
      </c>
      <c r="O24" s="261">
        <v>3173</v>
      </c>
      <c r="P24" s="261">
        <v>3566</v>
      </c>
      <c r="Q24" s="350">
        <f>31106-SUM(H24:P24)</f>
        <v>3068</v>
      </c>
      <c r="R24" s="261"/>
      <c r="S24" s="261"/>
      <c r="T24" s="171">
        <f t="shared" si="1"/>
        <v>31106</v>
      </c>
      <c r="U24" s="173">
        <f>+T24/T$23*U$23</f>
        <v>41474.877983165876</v>
      </c>
      <c r="V24" s="262" t="e">
        <f>+T24/#REF!-1</f>
        <v>#REF!</v>
      </c>
      <c r="W24" s="263" t="e">
        <f>U24/G24-1</f>
        <v>#DIV/0!</v>
      </c>
      <c r="X24" s="333" t="e">
        <f>U24/F24-1</f>
        <v>#DIV/0!</v>
      </c>
      <c r="Y24" s="313" t="s">
        <v>164</v>
      </c>
      <c r="Z24" s="264"/>
      <c r="AA24" s="265"/>
      <c r="AB24" s="265"/>
      <c r="AC24" s="265"/>
      <c r="AD24" s="265"/>
      <c r="AE24" s="265"/>
      <c r="AF24" s="265"/>
      <c r="AG24" s="265"/>
    </row>
    <row r="25" spans="2:33" s="184" customFormat="1" ht="40" customHeight="1" x14ac:dyDescent="0.8">
      <c r="B25" s="337" t="s">
        <v>170</v>
      </c>
      <c r="C25" s="176"/>
      <c r="D25" s="177"/>
      <c r="E25" s="177"/>
      <c r="F25" s="177"/>
      <c r="G25" s="355"/>
      <c r="H25" s="350">
        <v>1894</v>
      </c>
      <c r="I25" s="350">
        <v>1548</v>
      </c>
      <c r="J25" s="350">
        <v>1567</v>
      </c>
      <c r="K25" s="350">
        <f>827+1183+3593+954+285-SUM($H25:J25)</f>
        <v>1833</v>
      </c>
      <c r="L25" s="350">
        <v>1680</v>
      </c>
      <c r="M25" s="350">
        <f>M23-M24</f>
        <v>2039</v>
      </c>
      <c r="N25" s="171">
        <f>+N23-N24</f>
        <v>1946</v>
      </c>
      <c r="O25" s="350">
        <v>1778</v>
      </c>
      <c r="P25" s="350">
        <v>1902</v>
      </c>
      <c r="Q25" s="350">
        <f>17961-SUM(H25:P25)</f>
        <v>1774</v>
      </c>
      <c r="R25" s="350"/>
      <c r="S25" s="350"/>
      <c r="T25" s="351">
        <f t="shared" si="1"/>
        <v>17961</v>
      </c>
      <c r="U25" s="173">
        <f>+T25/T$23*U$23</f>
        <v>23948.122016834124</v>
      </c>
      <c r="V25" s="174" t="e">
        <f>+T25/#REF!-1</f>
        <v>#REF!</v>
      </c>
      <c r="W25" s="175" t="e">
        <f>U25/G25-1</f>
        <v>#DIV/0!</v>
      </c>
      <c r="X25" s="329" t="e">
        <f>U25/F25-1</f>
        <v>#DIV/0!</v>
      </c>
      <c r="Y25" s="311" t="s">
        <v>164</v>
      </c>
      <c r="Z25" s="264"/>
      <c r="AA25" s="265"/>
      <c r="AB25" s="265"/>
      <c r="AC25" s="265"/>
      <c r="AD25" s="265"/>
      <c r="AE25" s="265"/>
      <c r="AF25" s="265"/>
      <c r="AG25" s="265"/>
    </row>
    <row r="26" spans="2:33" s="308" customFormat="1" ht="25" customHeight="1" x14ac:dyDescent="0.75">
      <c r="B26" s="338"/>
      <c r="C26" s="185"/>
      <c r="D26" s="185"/>
      <c r="E26" s="185"/>
      <c r="F26" s="185"/>
      <c r="G26" s="359"/>
      <c r="H26" s="185">
        <f t="shared" ref="H26:N26" si="3">+H23-H24-H25</f>
        <v>0</v>
      </c>
      <c r="I26" s="185">
        <f t="shared" si="3"/>
        <v>0</v>
      </c>
      <c r="J26" s="185">
        <f t="shared" si="3"/>
        <v>0</v>
      </c>
      <c r="K26" s="185">
        <f t="shared" si="3"/>
        <v>0</v>
      </c>
      <c r="L26" s="185">
        <f t="shared" si="3"/>
        <v>0</v>
      </c>
      <c r="M26" s="185">
        <f t="shared" si="3"/>
        <v>0</v>
      </c>
      <c r="N26" s="185">
        <f t="shared" si="3"/>
        <v>0</v>
      </c>
      <c r="O26" s="185"/>
      <c r="P26" s="185"/>
      <c r="Q26" s="185"/>
      <c r="R26" s="185"/>
      <c r="S26" s="185"/>
      <c r="T26" s="185">
        <f>+T23-T24-T25</f>
        <v>0</v>
      </c>
      <c r="U26" s="185">
        <f>+U23-U24-U25</f>
        <v>0</v>
      </c>
      <c r="V26" s="339"/>
      <c r="W26" s="340"/>
      <c r="X26" s="341"/>
      <c r="Y26"/>
      <c r="Z26" s="364"/>
      <c r="AA26" s="364"/>
      <c r="AB26" s="364"/>
      <c r="AC26" s="364"/>
      <c r="AD26" s="364"/>
      <c r="AE26" s="364"/>
      <c r="AF26" s="364"/>
      <c r="AG26" s="364"/>
    </row>
    <row r="27" spans="2:33" s="308" customFormat="1" ht="25" customHeight="1" thickBot="1" x14ac:dyDescent="0.8">
      <c r="B27" s="342"/>
      <c r="C27" s="187"/>
      <c r="D27" s="187"/>
      <c r="E27" s="187"/>
      <c r="F27" s="187"/>
      <c r="G27" s="360"/>
      <c r="H27" s="187"/>
      <c r="I27" s="187"/>
      <c r="J27" s="187"/>
      <c r="K27" s="187"/>
      <c r="L27" s="187"/>
      <c r="M27" s="187"/>
      <c r="N27" s="187"/>
      <c r="O27" s="187"/>
      <c r="P27" s="187"/>
      <c r="Q27" s="187"/>
      <c r="R27" s="187"/>
      <c r="S27" s="187"/>
      <c r="T27" s="187"/>
      <c r="U27" s="187"/>
      <c r="V27" s="339"/>
      <c r="W27" s="340"/>
      <c r="X27" s="341"/>
      <c r="Y27"/>
      <c r="Z27" s="364"/>
      <c r="AA27" s="364"/>
      <c r="AB27" s="364"/>
      <c r="AC27" s="364"/>
      <c r="AD27" s="364"/>
      <c r="AE27" s="364"/>
      <c r="AF27" s="364"/>
      <c r="AG27" s="364"/>
    </row>
    <row r="28" spans="2:33" s="184" customFormat="1" ht="40" customHeight="1" x14ac:dyDescent="0.8">
      <c r="B28" s="324" t="s">
        <v>252</v>
      </c>
      <c r="C28" s="167"/>
      <c r="D28" s="167"/>
      <c r="E28" s="167"/>
      <c r="F28" s="167"/>
      <c r="G28" s="167"/>
      <c r="H28" s="453" t="s">
        <v>252</v>
      </c>
      <c r="I28" s="167"/>
      <c r="J28" s="167"/>
      <c r="K28" s="167"/>
      <c r="L28" s="167"/>
      <c r="M28" s="167"/>
      <c r="N28" s="167"/>
      <c r="O28" s="167"/>
      <c r="P28" s="167"/>
      <c r="Q28" s="167"/>
      <c r="R28" s="167"/>
      <c r="S28" s="167"/>
      <c r="T28" s="167"/>
      <c r="U28" s="167"/>
      <c r="V28" s="166"/>
      <c r="W28" s="167"/>
      <c r="X28" s="343"/>
      <c r="Y28" s="167"/>
      <c r="Z28" s="265"/>
      <c r="AA28" s="265"/>
      <c r="AB28" s="265"/>
      <c r="AC28" s="265"/>
      <c r="AD28" s="265"/>
      <c r="AE28" s="265"/>
      <c r="AF28" s="265"/>
      <c r="AG28" s="265"/>
    </row>
    <row r="29" spans="2:33" s="184" customFormat="1" ht="40" customHeight="1" x14ac:dyDescent="0.8">
      <c r="B29" s="326" t="s">
        <v>172</v>
      </c>
      <c r="C29" s="188">
        <v>461.92</v>
      </c>
      <c r="D29" s="189">
        <v>492.44000000000023</v>
      </c>
      <c r="E29" s="189">
        <v>492.44000000000023</v>
      </c>
      <c r="F29" s="189">
        <v>448.60000000000008</v>
      </c>
      <c r="G29" s="361">
        <v>0</v>
      </c>
      <c r="H29" s="189">
        <f>118.2+368.8</f>
        <v>487</v>
      </c>
      <c r="I29" s="189">
        <f>116.9+372</f>
        <v>488.9</v>
      </c>
      <c r="J29" s="189">
        <f>119.3+372.1</f>
        <v>491.40000000000003</v>
      </c>
      <c r="K29" s="189">
        <f>117.2+365.5</f>
        <v>482.7</v>
      </c>
      <c r="L29" s="189">
        <f>545.4-54.6</f>
        <v>490.79999999999995</v>
      </c>
      <c r="M29" s="189">
        <f>543.8-SUM(M30:M33)</f>
        <v>487.9</v>
      </c>
      <c r="N29" s="189">
        <f>543.5-SUM(N30:N33)</f>
        <v>487.7</v>
      </c>
      <c r="O29" s="189">
        <f>538.5-SUM(O30:O32)</f>
        <v>483.1</v>
      </c>
      <c r="P29" s="189">
        <f>530.2-SUM(P30:P33)</f>
        <v>474.80000000000007</v>
      </c>
      <c r="Q29" s="189">
        <f>532.7-SUM(Q30:Q33)</f>
        <v>476.90000000000003</v>
      </c>
      <c r="R29" s="189">
        <v>0</v>
      </c>
      <c r="S29" s="189">
        <v>0</v>
      </c>
      <c r="T29" s="172"/>
      <c r="U29" s="190"/>
      <c r="V29" s="191" t="e">
        <f>+T29/#REF!-1</f>
        <v>#REF!</v>
      </c>
      <c r="W29" s="192">
        <f>U29-G29</f>
        <v>0</v>
      </c>
      <c r="X29" s="344">
        <f>U29-F29</f>
        <v>-448.60000000000008</v>
      </c>
      <c r="Y29" s="193" t="s">
        <v>162</v>
      </c>
      <c r="Z29" s="265"/>
      <c r="AA29" s="265"/>
      <c r="AB29" s="265"/>
      <c r="AC29" s="265"/>
      <c r="AD29" s="265"/>
      <c r="AE29" s="265"/>
      <c r="AF29" s="265"/>
      <c r="AG29" s="265"/>
    </row>
    <row r="30" spans="2:33" s="184" customFormat="1" ht="40" customHeight="1" x14ac:dyDescent="0.8">
      <c r="B30" s="345" t="s">
        <v>173</v>
      </c>
      <c r="C30" s="194">
        <v>0</v>
      </c>
      <c r="D30" s="195">
        <v>0</v>
      </c>
      <c r="E30" s="195">
        <v>0</v>
      </c>
      <c r="F30" s="195">
        <v>21.5</v>
      </c>
      <c r="G30" s="362">
        <v>0</v>
      </c>
      <c r="H30" s="350">
        <v>25.1</v>
      </c>
      <c r="I30" s="350">
        <v>26.2</v>
      </c>
      <c r="J30" s="350">
        <v>26.4</v>
      </c>
      <c r="K30" s="350">
        <v>24.4</v>
      </c>
      <c r="L30" s="350">
        <v>24.3</v>
      </c>
      <c r="M30" s="350">
        <v>25.1</v>
      </c>
      <c r="N30" s="350">
        <v>24.9</v>
      </c>
      <c r="O30" s="350">
        <v>23.8</v>
      </c>
      <c r="P30" s="350">
        <v>24.1</v>
      </c>
      <c r="Q30" s="350">
        <v>24.5</v>
      </c>
      <c r="R30" s="350">
        <v>0</v>
      </c>
      <c r="S30" s="350">
        <v>0</v>
      </c>
      <c r="T30" s="351"/>
      <c r="U30" s="190"/>
      <c r="V30" s="196" t="e">
        <f>+T30/#REF!-1</f>
        <v>#REF!</v>
      </c>
      <c r="W30" s="197">
        <f>U30-G30</f>
        <v>0</v>
      </c>
      <c r="X30" s="346">
        <f>U30-F30</f>
        <v>-21.5</v>
      </c>
      <c r="Y30" s="198" t="s">
        <v>162</v>
      </c>
      <c r="Z30" s="265"/>
      <c r="AA30" s="265"/>
      <c r="AB30" s="265"/>
      <c r="AC30" s="265"/>
      <c r="AD30" s="265"/>
      <c r="AE30" s="265"/>
      <c r="AF30" s="265"/>
      <c r="AG30" s="265"/>
    </row>
    <row r="31" spans="2:33" s="184" customFormat="1" ht="40" customHeight="1" x14ac:dyDescent="0.8">
      <c r="B31" s="347" t="s">
        <v>174</v>
      </c>
      <c r="C31" s="188">
        <v>0</v>
      </c>
      <c r="D31" s="189">
        <v>0</v>
      </c>
      <c r="E31" s="189">
        <v>0</v>
      </c>
      <c r="F31" s="189">
        <v>0</v>
      </c>
      <c r="G31" s="361">
        <v>0</v>
      </c>
      <c r="H31" s="189">
        <v>0</v>
      </c>
      <c r="I31" s="189">
        <v>0</v>
      </c>
      <c r="J31" s="189">
        <v>0</v>
      </c>
      <c r="K31" s="189">
        <v>0</v>
      </c>
      <c r="L31" s="189">
        <v>0</v>
      </c>
      <c r="M31" s="189">
        <v>0</v>
      </c>
      <c r="N31" s="189">
        <v>0</v>
      </c>
      <c r="O31" s="189">
        <v>0</v>
      </c>
      <c r="P31" s="189">
        <v>0</v>
      </c>
      <c r="Q31" s="189">
        <v>0</v>
      </c>
      <c r="R31" s="189">
        <v>0</v>
      </c>
      <c r="S31" s="189">
        <v>0</v>
      </c>
      <c r="T31" s="172"/>
      <c r="U31" s="190"/>
      <c r="V31" s="191" t="e">
        <f>+T31/#REF!-1</f>
        <v>#REF!</v>
      </c>
      <c r="W31" s="192">
        <f>U31-G31</f>
        <v>0</v>
      </c>
      <c r="X31" s="344">
        <f>U31-F31</f>
        <v>0</v>
      </c>
      <c r="Y31" s="193" t="s">
        <v>162</v>
      </c>
      <c r="Z31" s="265"/>
      <c r="AA31" s="265"/>
      <c r="AB31" s="265"/>
      <c r="AC31" s="265"/>
      <c r="AD31" s="265"/>
      <c r="AE31" s="265"/>
      <c r="AF31" s="265"/>
      <c r="AG31" s="265"/>
    </row>
    <row r="32" spans="2:33" s="184" customFormat="1" ht="40" customHeight="1" x14ac:dyDescent="0.8">
      <c r="B32" s="345" t="s">
        <v>175</v>
      </c>
      <c r="C32" s="194">
        <v>49.05</v>
      </c>
      <c r="D32" s="195">
        <v>56.870000000000005</v>
      </c>
      <c r="E32" s="195">
        <v>56.870000000000005</v>
      </c>
      <c r="F32" s="195">
        <v>27</v>
      </c>
      <c r="G32" s="362">
        <v>0</v>
      </c>
      <c r="H32" s="350">
        <v>30.5</v>
      </c>
      <c r="I32" s="350">
        <v>29.1</v>
      </c>
      <c r="J32" s="350">
        <v>33.200000000000003</v>
      </c>
      <c r="K32" s="350">
        <v>31</v>
      </c>
      <c r="L32" s="350">
        <v>30.3</v>
      </c>
      <c r="M32" s="350">
        <v>30.8</v>
      </c>
      <c r="N32" s="350">
        <v>30.9</v>
      </c>
      <c r="O32" s="350">
        <v>31.6</v>
      </c>
      <c r="P32" s="350">
        <v>31.3</v>
      </c>
      <c r="Q32" s="350">
        <v>31.3</v>
      </c>
      <c r="R32" s="350">
        <v>0</v>
      </c>
      <c r="S32" s="350">
        <v>0</v>
      </c>
      <c r="T32" s="351"/>
      <c r="U32" s="190"/>
      <c r="V32" s="196" t="e">
        <f>+T32/#REF!-1</f>
        <v>#REF!</v>
      </c>
      <c r="W32" s="197">
        <f>U32-G32</f>
        <v>0</v>
      </c>
      <c r="X32" s="346">
        <f>U32-F32</f>
        <v>-27</v>
      </c>
      <c r="Y32" s="198" t="s">
        <v>162</v>
      </c>
      <c r="Z32" s="265"/>
      <c r="AA32" s="265"/>
      <c r="AB32" s="265"/>
      <c r="AC32" s="265"/>
      <c r="AD32" s="265"/>
      <c r="AE32" s="265"/>
      <c r="AF32" s="265"/>
      <c r="AG32" s="265"/>
    </row>
    <row r="33" spans="2:33" s="184" customFormat="1" ht="40" customHeight="1" thickBot="1" x14ac:dyDescent="0.85">
      <c r="B33" s="348" t="s">
        <v>176</v>
      </c>
      <c r="C33" s="199">
        <v>8.0999999999999979</v>
      </c>
      <c r="D33" s="200">
        <v>0</v>
      </c>
      <c r="E33" s="200">
        <v>0</v>
      </c>
      <c r="F33" s="200">
        <v>6.0999999999999988</v>
      </c>
      <c r="G33" s="363">
        <v>0</v>
      </c>
      <c r="H33" s="200">
        <v>0</v>
      </c>
      <c r="I33" s="200">
        <v>0</v>
      </c>
      <c r="J33" s="200">
        <v>0</v>
      </c>
      <c r="K33" s="200">
        <v>0</v>
      </c>
      <c r="L33" s="200">
        <v>0</v>
      </c>
      <c r="M33" s="200">
        <v>0</v>
      </c>
      <c r="N33" s="200">
        <v>0</v>
      </c>
      <c r="O33" s="200">
        <v>0</v>
      </c>
      <c r="P33" s="200">
        <v>0</v>
      </c>
      <c r="Q33" s="200">
        <v>0</v>
      </c>
      <c r="R33" s="200">
        <v>0</v>
      </c>
      <c r="S33" s="200">
        <v>0</v>
      </c>
      <c r="T33" s="183"/>
      <c r="U33" s="201"/>
      <c r="V33" s="202" t="e">
        <f>+T33/#REF!-1</f>
        <v>#REF!</v>
      </c>
      <c r="W33" s="203">
        <f>U33-G33</f>
        <v>0</v>
      </c>
      <c r="X33" s="349">
        <f>U33-F33</f>
        <v>-6.0999999999999988</v>
      </c>
      <c r="Y33" s="204" t="s">
        <v>162</v>
      </c>
      <c r="Z33" s="265"/>
      <c r="AA33" s="265"/>
      <c r="AB33" s="265"/>
      <c r="AC33" s="265"/>
      <c r="AD33" s="265"/>
      <c r="AE33" s="265"/>
      <c r="AF33" s="265"/>
      <c r="AG33" s="265"/>
    </row>
    <row r="34" spans="2:33" s="184" customFormat="1" ht="40" customHeight="1" x14ac:dyDescent="0.8">
      <c r="B34" s="205"/>
      <c r="C34" s="206"/>
      <c r="D34" s="206"/>
      <c r="E34" s="206"/>
      <c r="F34" s="206"/>
      <c r="G34" s="206"/>
      <c r="H34" s="206">
        <f t="shared" ref="H34:Q34" si="4">SUM(H29:H33)</f>
        <v>542.6</v>
      </c>
      <c r="I34" s="206">
        <f t="shared" si="4"/>
        <v>544.20000000000005</v>
      </c>
      <c r="J34" s="206">
        <f t="shared" si="4"/>
        <v>551.00000000000011</v>
      </c>
      <c r="K34" s="206">
        <f t="shared" si="4"/>
        <v>538.09999999999991</v>
      </c>
      <c r="L34" s="206">
        <f t="shared" si="4"/>
        <v>545.39999999999986</v>
      </c>
      <c r="M34" s="206">
        <f t="shared" si="4"/>
        <v>543.79999999999995</v>
      </c>
      <c r="N34" s="206">
        <f t="shared" si="4"/>
        <v>543.5</v>
      </c>
      <c r="O34" s="206">
        <f t="shared" si="4"/>
        <v>538.5</v>
      </c>
      <c r="P34" s="206">
        <f t="shared" si="4"/>
        <v>530.20000000000005</v>
      </c>
      <c r="Q34" s="206">
        <f t="shared" si="4"/>
        <v>532.70000000000005</v>
      </c>
      <c r="R34" s="206"/>
      <c r="S34" s="206"/>
      <c r="T34" s="206">
        <f>SUM(T29:T33)</f>
        <v>0</v>
      </c>
      <c r="U34" s="207"/>
      <c r="V34" s="208"/>
      <c r="W34" s="169"/>
      <c r="X34" s="169"/>
      <c r="Y34" s="169"/>
      <c r="Z34" s="265"/>
      <c r="AA34" s="265"/>
      <c r="AB34" s="265"/>
      <c r="AC34" s="265"/>
      <c r="AD34" s="265"/>
      <c r="AE34" s="265"/>
      <c r="AF34" s="265"/>
      <c r="AG34" s="265"/>
    </row>
    <row r="35" spans="2:33" s="184" customFormat="1" ht="20.149999999999999" customHeight="1" x14ac:dyDescent="0.8">
      <c r="B35" s="209"/>
      <c r="C35" s="210"/>
      <c r="D35" s="210"/>
      <c r="E35" s="210"/>
      <c r="F35" s="210"/>
      <c r="G35" s="210"/>
      <c r="H35" s="210"/>
      <c r="I35" s="210"/>
      <c r="J35" s="210"/>
      <c r="K35" s="210"/>
      <c r="L35" s="210"/>
      <c r="M35" s="210"/>
      <c r="N35" s="210"/>
      <c r="O35" s="210"/>
      <c r="P35" s="210"/>
      <c r="Q35" s="210"/>
      <c r="R35" s="210"/>
      <c r="S35" s="210"/>
      <c r="T35" s="210"/>
      <c r="U35" s="210"/>
      <c r="V35" s="208"/>
      <c r="W35" s="169"/>
      <c r="X35" s="169"/>
      <c r="Y35" s="169"/>
      <c r="Z35" s="265"/>
      <c r="AA35" s="265"/>
      <c r="AB35" s="265"/>
      <c r="AC35" s="265"/>
      <c r="AD35" s="265"/>
      <c r="AE35" s="265"/>
      <c r="AF35" s="265"/>
      <c r="AG35" s="265"/>
    </row>
  </sheetData>
  <pageMargins left="0.95" right="0.45" top="0.75" bottom="0.5" header="0.3" footer="0.3"/>
  <pageSetup scale="24" orientation="landscape" r:id="rId1"/>
  <headerFooter>
    <oddFooter>&amp;L&amp;16&amp;D, Page &amp;P&amp;C&amp;16Green Mountain Care Board&amp;R&amp;16&amp;F, &amp;A</oddFooter>
  </headerFooter>
  <rowBreaks count="1" manualBreakCount="1">
    <brk id="33" min="1" max="23" man="1"/>
  </rowBreaks>
  <customProperties>
    <customPr name="AdaptiveCustomXmlPartId" r:id="rId2"/>
    <customPr name="AdaptiveReportingSheetKey" r:id="rId3"/>
    <customPr name="Current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AH283"/>
  <sheetViews>
    <sheetView showGridLines="0" topLeftCell="A6" zoomScale="50" workbookViewId="0">
      <pane xSplit="2" ySplit="8" topLeftCell="C43" activePane="bottomRight" state="frozen"/>
      <selection activeCell="A6" sqref="A6"/>
      <selection pane="topRight" activeCell="C6" sqref="C6"/>
      <selection pane="bottomLeft" activeCell="A14" sqref="A14"/>
      <selection pane="bottomRight" activeCell="G59" sqref="G59"/>
    </sheetView>
  </sheetViews>
  <sheetFormatPr defaultColWidth="9.1796875" defaultRowHeight="14.5" outlineLevelRow="1" outlineLevelCol="1" x14ac:dyDescent="0.35"/>
  <cols>
    <col min="1" max="1" width="9.7265625" style="371" customWidth="1"/>
    <col min="2" max="2" width="92.1796875" style="50" customWidth="1"/>
    <col min="3" max="3" width="42.1796875" style="62" customWidth="1"/>
    <col min="4" max="4" width="50.7265625" style="62" hidden="1" customWidth="1" outlineLevel="1"/>
    <col min="5" max="5" width="42.1796875" style="62" hidden="1" customWidth="1" outlineLevel="1" collapsed="1"/>
    <col min="6" max="6" width="34.7265625" style="62" customWidth="1" collapsed="1"/>
    <col min="7" max="7" width="41.54296875" style="62" customWidth="1"/>
    <col min="8" max="8" width="3" style="62" customWidth="1"/>
    <col min="9" max="18" width="36.453125" style="62" hidden="1" customWidth="1"/>
    <col min="19" max="20" width="36.453125" style="62" hidden="1" customWidth="1" outlineLevel="1"/>
    <col min="21" max="21" width="36.453125" style="62" hidden="1" customWidth="1" collapsed="1"/>
    <col min="22" max="22" width="39" style="211" customWidth="1"/>
    <col min="23" max="23" width="31.453125" hidden="1" customWidth="1" outlineLevel="1"/>
    <col min="24" max="25" width="24.26953125" hidden="1" customWidth="1" outlineLevel="1"/>
    <col min="26" max="26" width="28" hidden="1" customWidth="1" outlineLevel="1" collapsed="1"/>
    <col min="27" max="27" width="8.81640625" style="364" customWidth="1" collapsed="1"/>
    <col min="28" max="34" width="8.81640625" style="364" customWidth="1"/>
    <col min="35" max="16384" width="9.1796875" style="309"/>
  </cols>
  <sheetData>
    <row r="1" spans="1:34" s="304" customFormat="1" hidden="1" outlineLevel="1" x14ac:dyDescent="0.35">
      <c r="A1" s="366"/>
      <c r="B1" s="50"/>
      <c r="C1" s="50"/>
      <c r="D1" s="50"/>
      <c r="E1" s="50"/>
      <c r="F1" s="50"/>
      <c r="G1" s="50"/>
      <c r="H1" s="50"/>
      <c r="I1" s="50"/>
      <c r="J1" s="50"/>
      <c r="K1" s="50"/>
      <c r="L1" s="50"/>
      <c r="M1" s="50"/>
      <c r="N1" s="50"/>
      <c r="O1" s="50"/>
      <c r="P1" s="50"/>
      <c r="Q1" s="50"/>
      <c r="R1" s="50"/>
      <c r="S1" s="50"/>
      <c r="T1" s="50"/>
      <c r="U1" s="50"/>
      <c r="V1" s="158"/>
      <c r="W1"/>
      <c r="X1"/>
      <c r="Y1"/>
      <c r="Z1"/>
      <c r="AA1" s="364"/>
      <c r="AB1" s="364"/>
      <c r="AC1" s="364"/>
      <c r="AD1" s="364"/>
      <c r="AE1" s="364"/>
      <c r="AF1" s="364"/>
      <c r="AG1" s="364"/>
      <c r="AH1" s="364"/>
    </row>
    <row r="2" spans="1:34" s="304" customFormat="1" hidden="1" outlineLevel="1" x14ac:dyDescent="0.35">
      <c r="A2" s="366"/>
      <c r="B2" s="50"/>
      <c r="C2" s="50" t="s">
        <v>259</v>
      </c>
      <c r="D2" s="50" t="s">
        <v>260</v>
      </c>
      <c r="E2" s="50" t="s">
        <v>261</v>
      </c>
      <c r="F2" s="50" t="s">
        <v>227</v>
      </c>
      <c r="G2" s="50"/>
      <c r="H2" s="50"/>
      <c r="I2" s="50"/>
      <c r="J2" s="50"/>
      <c r="K2" s="50"/>
      <c r="L2" s="50"/>
      <c r="M2" s="50"/>
      <c r="N2" s="50"/>
      <c r="O2" s="50"/>
      <c r="P2" s="50"/>
      <c r="Q2" s="50"/>
      <c r="R2" s="50"/>
      <c r="S2" s="50"/>
      <c r="T2" s="50"/>
      <c r="U2" s="50"/>
      <c r="V2" s="158"/>
      <c r="W2"/>
      <c r="X2"/>
      <c r="Y2"/>
      <c r="Z2"/>
      <c r="AA2" s="364"/>
      <c r="AB2" s="364"/>
      <c r="AC2" s="364"/>
      <c r="AD2" s="364"/>
      <c r="AE2" s="364"/>
      <c r="AF2" s="364"/>
      <c r="AG2" s="364"/>
      <c r="AH2" s="364"/>
    </row>
    <row r="3" spans="1:34" s="305" customFormat="1" hidden="1" outlineLevel="1" x14ac:dyDescent="0.35">
      <c r="A3" s="367"/>
      <c r="B3" s="20"/>
      <c r="C3" s="160" t="s">
        <v>44</v>
      </c>
      <c r="D3" s="160" t="s">
        <v>110</v>
      </c>
      <c r="E3" s="160" t="s">
        <v>207</v>
      </c>
      <c r="F3" s="160" t="s">
        <v>44</v>
      </c>
      <c r="G3" s="160" t="s">
        <v>207</v>
      </c>
      <c r="H3" s="160" t="s">
        <v>0</v>
      </c>
      <c r="I3" s="160" t="s">
        <v>44</v>
      </c>
      <c r="J3" s="160" t="s">
        <v>44</v>
      </c>
      <c r="K3" s="160" t="s">
        <v>44</v>
      </c>
      <c r="L3" s="160" t="s">
        <v>44</v>
      </c>
      <c r="M3" s="160" t="s">
        <v>44</v>
      </c>
      <c r="N3" s="160" t="s">
        <v>44</v>
      </c>
      <c r="O3" s="160" t="s">
        <v>44</v>
      </c>
      <c r="P3" s="160" t="s">
        <v>44</v>
      </c>
      <c r="Q3" s="160" t="s">
        <v>44</v>
      </c>
      <c r="R3" s="160" t="s">
        <v>44</v>
      </c>
      <c r="S3" s="160" t="s">
        <v>44</v>
      </c>
      <c r="T3" s="160" t="s">
        <v>44</v>
      </c>
      <c r="U3" s="160"/>
      <c r="V3" s="161"/>
      <c r="W3"/>
      <c r="X3"/>
      <c r="Y3"/>
      <c r="Z3"/>
      <c r="AA3" s="364"/>
      <c r="AB3" s="364"/>
      <c r="AC3" s="364"/>
      <c r="AD3" s="364"/>
      <c r="AE3" s="364"/>
      <c r="AF3" s="364"/>
      <c r="AG3" s="364"/>
      <c r="AH3" s="364"/>
    </row>
    <row r="4" spans="1:34" s="305" customFormat="1" hidden="1" outlineLevel="1" x14ac:dyDescent="0.35">
      <c r="A4" s="367"/>
      <c r="B4" s="20"/>
      <c r="C4" s="160" t="s">
        <v>20</v>
      </c>
      <c r="D4" s="160" t="s">
        <v>20</v>
      </c>
      <c r="E4" s="160" t="s">
        <v>20</v>
      </c>
      <c r="F4" s="160" t="s">
        <v>20</v>
      </c>
      <c r="G4" s="160" t="s">
        <v>20</v>
      </c>
      <c r="H4" s="160" t="s">
        <v>0</v>
      </c>
      <c r="I4" s="160" t="s">
        <v>20</v>
      </c>
      <c r="J4" s="160" t="s">
        <v>20</v>
      </c>
      <c r="K4" s="160" t="s">
        <v>20</v>
      </c>
      <c r="L4" s="160" t="s">
        <v>20</v>
      </c>
      <c r="M4" s="160" t="s">
        <v>20</v>
      </c>
      <c r="N4" s="160" t="s">
        <v>20</v>
      </c>
      <c r="O4" s="160" t="s">
        <v>20</v>
      </c>
      <c r="P4" s="160" t="s">
        <v>20</v>
      </c>
      <c r="Q4" s="160" t="s">
        <v>20</v>
      </c>
      <c r="R4" s="160" t="s">
        <v>20</v>
      </c>
      <c r="S4" s="160" t="s">
        <v>20</v>
      </c>
      <c r="T4" s="160" t="s">
        <v>20</v>
      </c>
      <c r="U4" s="160"/>
      <c r="V4" s="161"/>
      <c r="W4"/>
      <c r="X4"/>
      <c r="Y4"/>
      <c r="Z4"/>
      <c r="AA4" s="364"/>
      <c r="AB4" s="364"/>
      <c r="AC4" s="364"/>
      <c r="AD4" s="364"/>
      <c r="AE4" s="364"/>
      <c r="AF4" s="364"/>
      <c r="AG4" s="364"/>
      <c r="AH4" s="364"/>
    </row>
    <row r="5" spans="1:34" s="305" customFormat="1" ht="60" hidden="1" customHeight="1" outlineLevel="1" x14ac:dyDescent="0.35">
      <c r="A5" s="367"/>
      <c r="B5" s="162"/>
      <c r="C5" s="160" t="s">
        <v>88</v>
      </c>
      <c r="D5" s="160" t="s">
        <v>151</v>
      </c>
      <c r="E5" s="160" t="s">
        <v>151</v>
      </c>
      <c r="F5" s="160" t="s">
        <v>151</v>
      </c>
      <c r="G5" s="160" t="s">
        <v>222</v>
      </c>
      <c r="H5" s="160" t="s">
        <v>0</v>
      </c>
      <c r="I5" s="160" t="s">
        <v>184</v>
      </c>
      <c r="J5" s="160" t="s">
        <v>185</v>
      </c>
      <c r="K5" s="160" t="s">
        <v>186</v>
      </c>
      <c r="L5" s="160" t="s">
        <v>187</v>
      </c>
      <c r="M5" s="160" t="s">
        <v>188</v>
      </c>
      <c r="N5" s="160" t="s">
        <v>189</v>
      </c>
      <c r="O5" s="160" t="s">
        <v>190</v>
      </c>
      <c r="P5" s="160" t="s">
        <v>191</v>
      </c>
      <c r="Q5" s="160" t="s">
        <v>192</v>
      </c>
      <c r="R5" s="160" t="s">
        <v>193</v>
      </c>
      <c r="S5" s="160" t="s">
        <v>194</v>
      </c>
      <c r="T5" s="160" t="s">
        <v>195</v>
      </c>
      <c r="U5" s="160"/>
      <c r="V5" s="161"/>
      <c r="W5"/>
      <c r="X5"/>
      <c r="Y5"/>
      <c r="Z5"/>
      <c r="AA5" s="364"/>
      <c r="AB5" s="364"/>
      <c r="AC5" s="364"/>
      <c r="AD5" s="364"/>
      <c r="AE5" s="364"/>
      <c r="AF5" s="364"/>
      <c r="AG5" s="364"/>
      <c r="AH5" s="364"/>
    </row>
    <row r="6" spans="1:34" s="305" customFormat="1" ht="24" customHeight="1" collapsed="1" thickBot="1" x14ac:dyDescent="0.4">
      <c r="A6" s="367"/>
      <c r="B6" s="162"/>
      <c r="C6" s="160" t="s">
        <v>0</v>
      </c>
      <c r="D6" s="160" t="s">
        <v>0</v>
      </c>
      <c r="E6" s="160" t="s">
        <v>0</v>
      </c>
      <c r="F6" s="160" t="s">
        <v>0</v>
      </c>
      <c r="G6" s="160" t="s">
        <v>0</v>
      </c>
      <c r="H6" s="160" t="s">
        <v>0</v>
      </c>
      <c r="I6" s="160" t="s">
        <v>0</v>
      </c>
      <c r="J6" s="160" t="s">
        <v>0</v>
      </c>
      <c r="K6" s="160" t="s">
        <v>0</v>
      </c>
      <c r="L6" s="160" t="s">
        <v>0</v>
      </c>
      <c r="M6" s="160" t="s">
        <v>0</v>
      </c>
      <c r="N6" s="160" t="s">
        <v>0</v>
      </c>
      <c r="O6" s="160" t="s">
        <v>0</v>
      </c>
      <c r="P6" s="160" t="s">
        <v>0</v>
      </c>
      <c r="Q6" s="160" t="s">
        <v>0</v>
      </c>
      <c r="R6" s="160" t="s">
        <v>0</v>
      </c>
      <c r="S6" s="160" t="s">
        <v>0</v>
      </c>
      <c r="T6" s="160" t="s">
        <v>0</v>
      </c>
      <c r="U6" s="160"/>
      <c r="V6" s="161"/>
      <c r="W6"/>
      <c r="X6"/>
      <c r="Y6"/>
      <c r="Z6"/>
      <c r="AA6" s="364"/>
      <c r="AB6" s="364"/>
      <c r="AC6" s="364"/>
      <c r="AD6" s="364"/>
      <c r="AE6" s="364"/>
      <c r="AF6" s="364"/>
      <c r="AG6" s="364"/>
      <c r="AH6" s="364"/>
    </row>
    <row r="7" spans="1:34" s="150" customFormat="1" ht="31" x14ac:dyDescent="0.7">
      <c r="A7" s="368"/>
      <c r="B7" s="285" t="str">
        <f>F4</f>
        <v>Brattleboro Memorial Hospital</v>
      </c>
      <c r="C7" s="286"/>
      <c r="D7" s="286"/>
      <c r="E7" s="286"/>
      <c r="F7" s="286"/>
      <c r="G7" s="286"/>
      <c r="H7" s="286"/>
      <c r="I7" s="286"/>
      <c r="J7" s="286"/>
      <c r="K7" s="286"/>
      <c r="L7" s="286"/>
      <c r="M7" s="286"/>
      <c r="N7" s="286"/>
      <c r="O7" s="286"/>
      <c r="P7" s="286"/>
      <c r="Q7" s="286"/>
      <c r="R7" s="286"/>
      <c r="S7" s="286"/>
      <c r="T7" s="286"/>
      <c r="U7" s="286"/>
      <c r="V7" s="287"/>
      <c r="W7" s="315"/>
      <c r="X7" s="316"/>
      <c r="Y7" s="317"/>
      <c r="Z7" s="127"/>
    </row>
    <row r="8" spans="1:34" s="150" customFormat="1" ht="31" x14ac:dyDescent="0.7">
      <c r="A8" s="368"/>
      <c r="B8" s="288" t="str">
        <f>+'Income Statement'!B9</f>
        <v>Steven Gordon</v>
      </c>
      <c r="C8" s="289"/>
      <c r="E8" s="290" t="str">
        <f>+'Income Statement'!F9</f>
        <v>Andre Bissonnette</v>
      </c>
      <c r="F8" s="289"/>
      <c r="G8" s="289"/>
      <c r="H8" s="289"/>
      <c r="I8" s="289"/>
      <c r="J8" s="289"/>
      <c r="K8" s="289"/>
      <c r="L8" s="289"/>
      <c r="M8" s="289"/>
      <c r="N8" s="289"/>
      <c r="O8" s="289"/>
      <c r="P8" s="289"/>
      <c r="Q8" s="289"/>
      <c r="R8" s="289"/>
      <c r="S8" s="289"/>
      <c r="T8" s="289"/>
      <c r="U8" s="289"/>
      <c r="V8" s="291"/>
      <c r="W8" s="318"/>
      <c r="X8" s="6"/>
      <c r="Y8" s="141"/>
      <c r="Z8" s="127"/>
    </row>
    <row r="9" spans="1:34" s="150" customFormat="1" ht="31.5" thickBot="1" x14ac:dyDescent="0.75">
      <c r="A9" s="368"/>
      <c r="B9" s="292" t="str">
        <f>+'Income Statement'!B10</f>
        <v>Fiscal Year 2021 YTD Summary</v>
      </c>
      <c r="C9" s="293"/>
      <c r="D9" s="293"/>
      <c r="E9" s="293"/>
      <c r="F9" s="294"/>
      <c r="G9" s="294"/>
      <c r="H9" s="294"/>
      <c r="I9" s="294"/>
      <c r="J9" s="294"/>
      <c r="K9" s="294"/>
      <c r="L9" s="294"/>
      <c r="M9" s="294"/>
      <c r="N9" s="294"/>
      <c r="O9" s="294"/>
      <c r="P9" s="294"/>
      <c r="Q9" s="294"/>
      <c r="R9" s="294"/>
      <c r="S9" s="294"/>
      <c r="T9" s="294"/>
      <c r="U9" s="294" t="str">
        <f>+Cover!C15</f>
        <v>Through July</v>
      </c>
      <c r="V9" s="295"/>
      <c r="W9" s="318"/>
      <c r="X9" s="6"/>
      <c r="Y9" s="141"/>
      <c r="Z9" s="127"/>
    </row>
    <row r="10" spans="1:34" s="417" customFormat="1" ht="83.25" customHeight="1" thickBot="1" x14ac:dyDescent="0.8">
      <c r="A10" s="411"/>
      <c r="B10" s="412" t="s">
        <v>250</v>
      </c>
      <c r="C10" s="413" t="str">
        <f>RIGHT(C5,4)&amp;" A"</f>
        <v>2019 A</v>
      </c>
      <c r="D10" s="413" t="str">
        <f>RIGHT(D5,4)&amp;" B"</f>
        <v>2020 B</v>
      </c>
      <c r="E10" s="413" t="str">
        <f>RIGHT(E5,4)&amp;" P"</f>
        <v>2020 P</v>
      </c>
      <c r="F10" s="414" t="s">
        <v>196</v>
      </c>
      <c r="G10" s="415" t="str">
        <f>RIGHT(G5,4)&amp;" B"</f>
        <v>2021 B</v>
      </c>
      <c r="H10" s="415"/>
      <c r="I10" s="581" t="str">
        <f t="shared" ref="I10:T10" si="0">RIGHT(I5,8)</f>
        <v>Oct-2020</v>
      </c>
      <c r="J10" s="581" t="str">
        <f t="shared" si="0"/>
        <v>Nov-2020</v>
      </c>
      <c r="K10" s="581" t="str">
        <f t="shared" si="0"/>
        <v>Dec-2020</v>
      </c>
      <c r="L10" s="581" t="str">
        <f t="shared" si="0"/>
        <v>Jan-2021</v>
      </c>
      <c r="M10" s="581" t="str">
        <f t="shared" si="0"/>
        <v>Feb-2021</v>
      </c>
      <c r="N10" s="581" t="str">
        <f t="shared" si="0"/>
        <v>Mar-2021</v>
      </c>
      <c r="O10" s="581" t="str">
        <f t="shared" si="0"/>
        <v>Apr-2021</v>
      </c>
      <c r="P10" s="581" t="str">
        <f t="shared" si="0"/>
        <v>May-2021</v>
      </c>
      <c r="Q10" s="581" t="str">
        <f t="shared" si="0"/>
        <v>Jun-2021</v>
      </c>
      <c r="R10" s="581" t="str">
        <f t="shared" si="0"/>
        <v>Jul-2021</v>
      </c>
      <c r="S10" s="581" t="str">
        <f t="shared" si="0"/>
        <v>Aug-2021</v>
      </c>
      <c r="T10" s="581" t="str">
        <f t="shared" si="0"/>
        <v>Sep-2021</v>
      </c>
      <c r="U10" s="581" t="s">
        <v>225</v>
      </c>
      <c r="V10" s="581" t="s">
        <v>200</v>
      </c>
      <c r="W10" s="414" t="s">
        <v>2</v>
      </c>
      <c r="X10" s="414" t="str">
        <f>MID(G10,1,6)&amp;"-"&amp;MID(V10,1,9)</f>
        <v>2021 B-2021 PROJ</v>
      </c>
      <c r="Y10" s="416" t="str">
        <f>MID(F10,1,6)&amp;"-"&amp;MID(V10,1,9)</f>
        <v>2020 A-2021 PROJ</v>
      </c>
      <c r="Z10" s="414" t="s">
        <v>160</v>
      </c>
      <c r="AA10" s="382"/>
      <c r="AB10" s="382"/>
      <c r="AC10" s="382"/>
      <c r="AD10" s="382"/>
      <c r="AE10" s="382"/>
      <c r="AF10" s="382"/>
      <c r="AG10" s="382"/>
      <c r="AH10" s="382"/>
    </row>
    <row r="11" spans="1:34" s="307" customFormat="1" ht="24" thickBot="1" x14ac:dyDescent="0.4">
      <c r="A11" s="369"/>
      <c r="B11" s="321"/>
      <c r="C11" s="165"/>
      <c r="D11" s="165"/>
      <c r="E11" s="165"/>
      <c r="F11" s="165"/>
      <c r="G11" s="165"/>
      <c r="H11" s="165"/>
      <c r="I11" s="165"/>
      <c r="J11" s="165"/>
      <c r="K11" s="165"/>
      <c r="L11" s="165"/>
      <c r="M11" s="165"/>
      <c r="N11" s="165"/>
      <c r="O11" s="165"/>
      <c r="P11" s="165"/>
      <c r="Q11" s="165"/>
      <c r="R11" s="165"/>
      <c r="S11" s="165"/>
      <c r="T11" s="165"/>
      <c r="U11" s="165"/>
      <c r="V11" s="165"/>
      <c r="W11" s="322"/>
      <c r="X11" s="322"/>
      <c r="Y11" s="323"/>
      <c r="Z11"/>
      <c r="AA11" s="364"/>
      <c r="AB11" s="364"/>
      <c r="AC11" s="364"/>
      <c r="AD11" s="364"/>
      <c r="AE11" s="364"/>
      <c r="AF11" s="364"/>
      <c r="AG11" s="364"/>
      <c r="AH11" s="364"/>
    </row>
    <row r="12" spans="1:34" s="184" customFormat="1" ht="20.25" customHeight="1" x14ac:dyDescent="0.8">
      <c r="A12" s="370"/>
      <c r="B12" s="324"/>
      <c r="C12" s="167"/>
      <c r="D12" s="167"/>
      <c r="E12" s="167"/>
      <c r="F12" s="167"/>
      <c r="G12" s="167"/>
      <c r="H12" s="167"/>
      <c r="I12" s="167"/>
      <c r="J12" s="167"/>
      <c r="K12" s="167"/>
      <c r="L12" s="167"/>
      <c r="M12" s="167"/>
      <c r="N12" s="167"/>
      <c r="O12" s="167"/>
      <c r="P12" s="167"/>
      <c r="Q12" s="167"/>
      <c r="R12" s="167"/>
      <c r="S12" s="167"/>
      <c r="T12" s="167"/>
      <c r="U12" s="167"/>
      <c r="V12" s="167"/>
      <c r="W12" s="166"/>
      <c r="X12" s="166"/>
      <c r="Y12" s="325"/>
      <c r="Z12" s="168"/>
      <c r="AA12" s="265"/>
      <c r="AB12" s="265"/>
      <c r="AC12" s="265"/>
      <c r="AD12" s="265"/>
      <c r="AE12" s="265"/>
      <c r="AF12" s="265"/>
      <c r="AG12" s="265"/>
      <c r="AH12" s="265"/>
    </row>
    <row r="13" spans="1:34" s="184" customFormat="1" ht="14.25" customHeight="1" thickBot="1" x14ac:dyDescent="0.85">
      <c r="A13" s="370"/>
      <c r="B13" s="372"/>
      <c r="C13" s="373"/>
      <c r="D13" s="373"/>
      <c r="E13" s="373"/>
      <c r="F13" s="373"/>
      <c r="G13" s="373"/>
      <c r="H13" s="373"/>
      <c r="I13" s="373"/>
      <c r="J13" s="373"/>
      <c r="K13" s="373"/>
      <c r="L13" s="373"/>
      <c r="M13" s="373"/>
      <c r="N13" s="373"/>
      <c r="O13" s="373"/>
      <c r="P13" s="373"/>
      <c r="Q13" s="373"/>
      <c r="R13" s="373"/>
      <c r="S13" s="373"/>
      <c r="T13" s="373"/>
      <c r="U13" s="373"/>
      <c r="V13" s="373"/>
      <c r="W13" s="372"/>
      <c r="X13" s="372"/>
      <c r="Y13" s="374"/>
      <c r="Z13" s="375"/>
      <c r="AA13" s="265"/>
      <c r="AB13" s="265"/>
      <c r="AC13" s="265"/>
      <c r="AD13" s="265"/>
      <c r="AE13" s="265"/>
      <c r="AF13" s="265"/>
      <c r="AG13" s="265"/>
      <c r="AH13" s="265"/>
    </row>
    <row r="14" spans="1:34" s="391" customFormat="1" ht="40" customHeight="1" x14ac:dyDescent="0.7">
      <c r="A14" s="384"/>
      <c r="B14" s="455" t="s">
        <v>97</v>
      </c>
      <c r="C14" s="498">
        <v>182085238</v>
      </c>
      <c r="D14" s="498">
        <v>188074027.99999991</v>
      </c>
      <c r="E14" s="498">
        <v>174103644</v>
      </c>
      <c r="F14" s="498">
        <v>172517296.02000007</v>
      </c>
      <c r="G14" s="499">
        <v>195374451</v>
      </c>
      <c r="H14" s="500"/>
      <c r="I14" s="501">
        <f>+'Income Statement'!U17</f>
        <v>16255268</v>
      </c>
      <c r="J14" s="501">
        <f>+'Income Statement'!V17</f>
        <v>14103109</v>
      </c>
      <c r="K14" s="501">
        <f>+'Income Statement'!W17</f>
        <v>15698323</v>
      </c>
      <c r="L14" s="501">
        <f>+'Income Statement'!X17</f>
        <v>16328479</v>
      </c>
      <c r="M14" s="501">
        <f>+'Income Statement'!Y17</f>
        <v>14453048</v>
      </c>
      <c r="N14" s="501">
        <f>+'Income Statement'!Z17</f>
        <v>17578967.449999999</v>
      </c>
      <c r="O14" s="501">
        <f>+'Income Statement'!AA17</f>
        <v>16885045.449999999</v>
      </c>
      <c r="P14" s="501">
        <f>+'Income Statement'!AB17</f>
        <v>16921006.099999994</v>
      </c>
      <c r="Q14" s="501">
        <f>+'Income Statement'!AC17</f>
        <v>17399955</v>
      </c>
      <c r="R14" s="501">
        <f>+'Income Statement'!AD17</f>
        <v>16974580</v>
      </c>
      <c r="S14" s="501">
        <f>+'Income Statement'!AE17</f>
        <v>0</v>
      </c>
      <c r="T14" s="501">
        <f>+'Income Statement'!AF17</f>
        <v>0</v>
      </c>
      <c r="U14" s="498">
        <f>SUM(I14:T14)</f>
        <v>162597781</v>
      </c>
      <c r="V14" s="611">
        <f>AVERAGE(N14:R14)*2+U14</f>
        <v>196901602.59999999</v>
      </c>
      <c r="W14" s="385"/>
      <c r="X14" s="386"/>
      <c r="Y14" s="387"/>
      <c r="Z14" s="388"/>
      <c r="AA14" s="389"/>
      <c r="AB14" s="390"/>
      <c r="AC14" s="390"/>
      <c r="AD14" s="390"/>
      <c r="AE14" s="390"/>
      <c r="AF14" s="390"/>
      <c r="AG14" s="390"/>
      <c r="AH14" s="390"/>
    </row>
    <row r="15" spans="1:34" s="73" customFormat="1" ht="72.75" customHeight="1" x14ac:dyDescent="0.7">
      <c r="A15" s="392"/>
      <c r="B15" s="422" t="s">
        <v>248</v>
      </c>
      <c r="C15" s="502">
        <v>-109527124.99999994</v>
      </c>
      <c r="D15" s="502">
        <v>-111461536.00000006</v>
      </c>
      <c r="E15" s="502">
        <v>-109364131</v>
      </c>
      <c r="F15" s="502">
        <v>-111894603</v>
      </c>
      <c r="G15" s="503">
        <v>-116942712</v>
      </c>
      <c r="H15" s="504"/>
      <c r="I15" s="505">
        <f>+'Income Statement'!U23+'Income Statement'!U21+'Income Statement'!U22</f>
        <v>-10502259</v>
      </c>
      <c r="J15" s="505">
        <f>+'Income Statement'!V23+'Income Statement'!V21+'Income Statement'!V22</f>
        <v>-8859110</v>
      </c>
      <c r="K15" s="505">
        <f>+'Income Statement'!W23+'Income Statement'!W21+'Income Statement'!W22</f>
        <v>-9856179</v>
      </c>
      <c r="L15" s="505">
        <f>+'Income Statement'!X23+'Income Statement'!X21+'Income Statement'!X22</f>
        <v>-10141313</v>
      </c>
      <c r="M15" s="505">
        <f>+'Income Statement'!Y23+'Income Statement'!Y21+'Income Statement'!Y22</f>
        <v>-8826063</v>
      </c>
      <c r="N15" s="505">
        <f>+'Income Statement'!Z23+'Income Statement'!Z21+'Income Statement'!Z22</f>
        <v>-10277461.650000002</v>
      </c>
      <c r="O15" s="505">
        <f>+'Income Statement'!AA23+'Income Statement'!AA21+'Income Statement'!AA22</f>
        <v>-10644650.550000001</v>
      </c>
      <c r="P15" s="505">
        <f>+'Income Statement'!AB23+'Income Statement'!AB21+'Income Statement'!AB22</f>
        <v>-10409056.800000004</v>
      </c>
      <c r="Q15" s="505">
        <f>+'Income Statement'!AC23+'Income Statement'!AC21+'Income Statement'!AC22</f>
        <v>-11160350</v>
      </c>
      <c r="R15" s="505">
        <f>+'Income Statement'!AD23+'Income Statement'!AD21+'Income Statement'!AD22</f>
        <v>-10775867</v>
      </c>
      <c r="S15" s="505">
        <f>+'Income Statement'!AE23+'Income Statement'!AE21+'Income Statement'!AE22</f>
        <v>0</v>
      </c>
      <c r="T15" s="505">
        <f>+'Income Statement'!AF23+'Income Statement'!AF21+'Income Statement'!AF22</f>
        <v>0</v>
      </c>
      <c r="U15" s="502">
        <f t="shared" ref="U15:U22" si="1">SUM(I15:T15)</f>
        <v>-101452310</v>
      </c>
      <c r="V15" s="612">
        <f>AVERAGE(N15:R15)*2+U15</f>
        <v>-122759264.40000001</v>
      </c>
      <c r="W15" s="393"/>
      <c r="X15" s="394"/>
      <c r="Y15" s="395"/>
      <c r="Z15" s="396"/>
      <c r="AA15" s="397"/>
      <c r="AB15" s="398"/>
      <c r="AC15" s="398"/>
      <c r="AD15" s="398"/>
      <c r="AE15" s="398"/>
      <c r="AF15" s="398"/>
      <c r="AG15" s="398"/>
      <c r="AH15" s="398"/>
    </row>
    <row r="16" spans="1:34" s="73" customFormat="1" ht="40" customHeight="1" x14ac:dyDescent="0.7">
      <c r="A16" s="392" t="s">
        <v>262</v>
      </c>
      <c r="B16" s="423" t="s">
        <v>40</v>
      </c>
      <c r="C16" s="507">
        <v>585323.00000000012</v>
      </c>
      <c r="D16" s="507">
        <v>530861.00000000012</v>
      </c>
      <c r="E16" s="507">
        <v>532377.00000000012</v>
      </c>
      <c r="F16" s="507">
        <v>532029.99999999988</v>
      </c>
      <c r="G16" s="508">
        <v>530861.00000000012</v>
      </c>
      <c r="H16" s="509"/>
      <c r="I16" s="510">
        <f>+'Income Statement'!U19</f>
        <v>71429</v>
      </c>
      <c r="J16" s="510">
        <f>+'Income Statement'!V19</f>
        <v>49883</v>
      </c>
      <c r="K16" s="510">
        <f>+'Income Statement'!W19</f>
        <v>52123</v>
      </c>
      <c r="L16" s="510">
        <f>+'Income Statement'!X19</f>
        <v>52123</v>
      </c>
      <c r="M16" s="510">
        <f>+'Income Statement'!Y19</f>
        <v>47079</v>
      </c>
      <c r="N16" s="510">
        <f>+'Income Statement'!Z19</f>
        <v>52121.45</v>
      </c>
      <c r="O16" s="510">
        <f>+'Income Statement'!AA19</f>
        <v>50441</v>
      </c>
      <c r="P16" s="510">
        <f>+'Income Statement'!AB19</f>
        <v>52122.549999999988</v>
      </c>
      <c r="Q16" s="510">
        <f>+'Income Statement'!AC19</f>
        <v>50441</v>
      </c>
      <c r="R16" s="510">
        <f>+'Income Statement'!AD19</f>
        <v>51881</v>
      </c>
      <c r="S16" s="510">
        <f>+'Income Statement'!AE19</f>
        <v>0</v>
      </c>
      <c r="T16" s="510">
        <f>+'Income Statement'!AF19</f>
        <v>0</v>
      </c>
      <c r="U16" s="507">
        <f t="shared" si="1"/>
        <v>529644</v>
      </c>
      <c r="V16" s="511">
        <f>AVERAGE(N16:R16)*2+U16</f>
        <v>632446.80000000005</v>
      </c>
      <c r="W16" s="399"/>
      <c r="X16" s="400"/>
      <c r="Y16" s="401"/>
      <c r="Z16" s="402"/>
      <c r="AA16" s="397"/>
      <c r="AB16" s="398"/>
      <c r="AC16" s="398"/>
      <c r="AD16" s="398"/>
      <c r="AE16" s="398"/>
      <c r="AF16" s="398"/>
      <c r="AG16" s="398"/>
      <c r="AH16" s="398"/>
    </row>
    <row r="17" spans="1:34" s="73" customFormat="1" ht="39.75" customHeight="1" x14ac:dyDescent="0.7">
      <c r="A17" s="392"/>
      <c r="B17" s="424" t="s">
        <v>77</v>
      </c>
      <c r="C17" s="502">
        <v>0</v>
      </c>
      <c r="D17" s="502">
        <v>0</v>
      </c>
      <c r="E17" s="502">
        <v>0</v>
      </c>
      <c r="F17" s="502">
        <v>0</v>
      </c>
      <c r="G17" s="503">
        <v>0</v>
      </c>
      <c r="H17" s="504"/>
      <c r="I17" s="505">
        <f>+'Income Statement'!U20</f>
        <v>0</v>
      </c>
      <c r="J17" s="505">
        <f>+'Income Statement'!V20</f>
        <v>0</v>
      </c>
      <c r="K17" s="505">
        <f>+'Income Statement'!W20</f>
        <v>0</v>
      </c>
      <c r="L17" s="505">
        <f>+'Income Statement'!X20</f>
        <v>0</v>
      </c>
      <c r="M17" s="505">
        <f>+'Income Statement'!Y20</f>
        <v>0</v>
      </c>
      <c r="N17" s="505">
        <f>+'Income Statement'!Z20</f>
        <v>0</v>
      </c>
      <c r="O17" s="505">
        <f>+'Income Statement'!AA20</f>
        <v>0</v>
      </c>
      <c r="P17" s="505">
        <f>+'Income Statement'!AB20</f>
        <v>0</v>
      </c>
      <c r="Q17" s="505">
        <f>+'Income Statement'!AC20</f>
        <v>0</v>
      </c>
      <c r="R17" s="505">
        <f>+'Income Statement'!AD20</f>
        <v>0</v>
      </c>
      <c r="S17" s="505">
        <f>+'Income Statement'!AE20</f>
        <v>0</v>
      </c>
      <c r="T17" s="505">
        <f>+'Income Statement'!AF20</f>
        <v>0</v>
      </c>
      <c r="U17" s="502">
        <f t="shared" si="1"/>
        <v>0</v>
      </c>
      <c r="V17" s="506">
        <v>0</v>
      </c>
      <c r="W17" s="393"/>
      <c r="X17" s="394"/>
      <c r="Y17" s="395"/>
      <c r="Z17" s="396"/>
      <c r="AA17" s="397"/>
      <c r="AB17" s="398"/>
      <c r="AC17" s="398"/>
      <c r="AD17" s="398"/>
      <c r="AE17" s="398"/>
      <c r="AF17" s="398"/>
      <c r="AG17" s="398"/>
      <c r="AH17" s="398"/>
    </row>
    <row r="18" spans="1:34" s="391" customFormat="1" ht="40" customHeight="1" x14ac:dyDescent="0.7">
      <c r="A18" s="384"/>
      <c r="B18" s="425" t="s">
        <v>121</v>
      </c>
      <c r="C18" s="512">
        <v>73143436.000000045</v>
      </c>
      <c r="D18" s="512">
        <v>77143352.999999925</v>
      </c>
      <c r="E18" s="512">
        <v>65271889.99999997</v>
      </c>
      <c r="F18" s="512">
        <v>61154723.020000018</v>
      </c>
      <c r="G18" s="513">
        <v>78962599.999999985</v>
      </c>
      <c r="H18" s="514"/>
      <c r="I18" s="515">
        <f>+'Income Statement'!U24</f>
        <v>5824438</v>
      </c>
      <c r="J18" s="515">
        <f>+'Income Statement'!V24</f>
        <v>5293882</v>
      </c>
      <c r="K18" s="515">
        <f>+'Income Statement'!W24</f>
        <v>5894267</v>
      </c>
      <c r="L18" s="515">
        <f>+'Income Statement'!X24</f>
        <v>6239289</v>
      </c>
      <c r="M18" s="515">
        <f>+'Income Statement'!Y24</f>
        <v>5674064</v>
      </c>
      <c r="N18" s="515">
        <f>+'Income Statement'!Z24</f>
        <v>7353627.2499999963</v>
      </c>
      <c r="O18" s="515">
        <f>+'Income Statement'!AA24</f>
        <v>6290835.8999999985</v>
      </c>
      <c r="P18" s="515">
        <f>+'Income Statement'!AB24</f>
        <v>6564071.8499999903</v>
      </c>
      <c r="Q18" s="515">
        <f>+'Income Statement'!AC24</f>
        <v>6290046</v>
      </c>
      <c r="R18" s="515">
        <f>+'Income Statement'!AD24</f>
        <v>6250594</v>
      </c>
      <c r="S18" s="515">
        <f>+'Income Statement'!AE24</f>
        <v>0</v>
      </c>
      <c r="T18" s="515">
        <f>+'Income Statement'!AF24</f>
        <v>0</v>
      </c>
      <c r="U18" s="512">
        <f t="shared" si="1"/>
        <v>61675114.999999985</v>
      </c>
      <c r="V18" s="516">
        <f>SUM(V14:V17)</f>
        <v>74774784.999999985</v>
      </c>
      <c r="W18" s="385"/>
      <c r="X18" s="386"/>
      <c r="Y18" s="387"/>
      <c r="Z18" s="388"/>
      <c r="AA18" s="389"/>
      <c r="AB18" s="390"/>
      <c r="AC18" s="390"/>
      <c r="AD18" s="390"/>
      <c r="AE18" s="390"/>
      <c r="AF18" s="390"/>
      <c r="AG18" s="390"/>
      <c r="AH18" s="390"/>
    </row>
    <row r="19" spans="1:34" s="73" customFormat="1" ht="40" customHeight="1" x14ac:dyDescent="0.7">
      <c r="A19" s="392"/>
      <c r="B19" s="424" t="s">
        <v>78</v>
      </c>
      <c r="C19" s="502">
        <v>10850821</v>
      </c>
      <c r="D19" s="502">
        <v>11001739</v>
      </c>
      <c r="E19" s="502">
        <v>12999058.000000006</v>
      </c>
      <c r="F19" s="502">
        <v>15439129.999999994</v>
      </c>
      <c r="G19" s="503">
        <v>13839826.000000002</v>
      </c>
      <c r="H19" s="504"/>
      <c r="I19" s="505">
        <f>+'Income Statement'!U25</f>
        <v>1281809</v>
      </c>
      <c r="J19" s="505">
        <f>+'Income Statement'!V25</f>
        <v>1267988</v>
      </c>
      <c r="K19" s="505">
        <f>+'Income Statement'!W25</f>
        <v>1286291</v>
      </c>
      <c r="L19" s="505">
        <f>+'Income Statement'!X25</f>
        <v>1191260</v>
      </c>
      <c r="M19" s="505">
        <f>+'Income Statement'!Y25</f>
        <v>1043768</v>
      </c>
      <c r="N19" s="505">
        <f>+'Income Statement'!Z25</f>
        <v>1029030.45</v>
      </c>
      <c r="O19" s="505">
        <f>+'Income Statement'!AA25</f>
        <v>1041276.5</v>
      </c>
      <c r="P19" s="505">
        <f>+'Income Statement'!AB25</f>
        <v>1038339.0499999998</v>
      </c>
      <c r="Q19" s="505">
        <f>+'Income Statement'!AC25</f>
        <v>1157586</v>
      </c>
      <c r="R19" s="505">
        <f>+'Income Statement'!AD25</f>
        <v>1055194</v>
      </c>
      <c r="S19" s="505">
        <f>+'Income Statement'!AE25</f>
        <v>0</v>
      </c>
      <c r="T19" s="505">
        <f>+'Income Statement'!AF25</f>
        <v>0</v>
      </c>
      <c r="U19" s="502">
        <f t="shared" si="1"/>
        <v>11392542</v>
      </c>
      <c r="V19" s="612">
        <f>AVERAGE(N19:R19)*2+U19</f>
        <v>13521112.4</v>
      </c>
      <c r="W19" s="393"/>
      <c r="X19" s="394"/>
      <c r="Y19" s="395"/>
      <c r="Z19" s="396"/>
      <c r="AA19" s="397"/>
      <c r="AB19" s="398"/>
      <c r="AC19" s="398"/>
      <c r="AD19" s="398"/>
      <c r="AE19" s="398"/>
      <c r="AF19" s="398"/>
      <c r="AG19" s="398"/>
      <c r="AH19" s="398"/>
    </row>
    <row r="20" spans="1:34" s="73" customFormat="1" ht="40" customHeight="1" x14ac:dyDescent="0.7">
      <c r="A20" s="392" t="s">
        <v>263</v>
      </c>
      <c r="B20" s="423" t="s">
        <v>135</v>
      </c>
      <c r="C20" s="507">
        <v>0</v>
      </c>
      <c r="D20" s="507">
        <v>0</v>
      </c>
      <c r="E20" s="507">
        <v>0</v>
      </c>
      <c r="F20" s="507">
        <v>0</v>
      </c>
      <c r="G20" s="508">
        <v>0</v>
      </c>
      <c r="H20" s="509"/>
      <c r="I20" s="510">
        <f>+'Income Statement'!U26</f>
        <v>0</v>
      </c>
      <c r="J20" s="510">
        <f>+'Income Statement'!V26</f>
        <v>0</v>
      </c>
      <c r="K20" s="510">
        <f>+'Income Statement'!W26</f>
        <v>0</v>
      </c>
      <c r="L20" s="510">
        <f>+'Income Statement'!X26</f>
        <v>0</v>
      </c>
      <c r="M20" s="510">
        <f>+'Income Statement'!Y26</f>
        <v>0</v>
      </c>
      <c r="N20" s="510">
        <f>+'Income Statement'!Z26</f>
        <v>0</v>
      </c>
      <c r="O20" s="510">
        <f>+'Income Statement'!AA26</f>
        <v>0</v>
      </c>
      <c r="P20" s="510">
        <f>+'Income Statement'!AB26</f>
        <v>0</v>
      </c>
      <c r="Q20" s="510">
        <f>+'Income Statement'!AC26</f>
        <v>0</v>
      </c>
      <c r="R20" s="510">
        <f>+'Income Statement'!AD26</f>
        <v>0</v>
      </c>
      <c r="S20" s="510">
        <f>+'Income Statement'!AE26</f>
        <v>0</v>
      </c>
      <c r="T20" s="510">
        <f>+'Income Statement'!AF26</f>
        <v>0</v>
      </c>
      <c r="U20" s="507">
        <f t="shared" si="1"/>
        <v>0</v>
      </c>
      <c r="V20" s="511">
        <v>0</v>
      </c>
      <c r="W20" s="399"/>
      <c r="X20" s="400"/>
      <c r="Y20" s="401"/>
      <c r="Z20" s="402"/>
      <c r="AA20" s="397"/>
      <c r="AB20" s="398"/>
      <c r="AC20" s="398"/>
      <c r="AD20" s="398"/>
      <c r="AE20" s="398"/>
      <c r="AF20" s="398"/>
      <c r="AG20" s="398"/>
      <c r="AH20" s="398"/>
    </row>
    <row r="21" spans="1:34" s="73" customFormat="1" ht="40" customHeight="1" x14ac:dyDescent="0.7">
      <c r="A21" s="392"/>
      <c r="B21" s="424" t="s">
        <v>35</v>
      </c>
      <c r="C21" s="502">
        <v>0</v>
      </c>
      <c r="D21" s="502">
        <v>0</v>
      </c>
      <c r="E21" s="502">
        <v>0</v>
      </c>
      <c r="F21" s="502">
        <v>0</v>
      </c>
      <c r="G21" s="503">
        <v>0</v>
      </c>
      <c r="H21" s="504"/>
      <c r="I21" s="505">
        <f>+'Income Statement'!U27</f>
        <v>0</v>
      </c>
      <c r="J21" s="505">
        <f>+'Income Statement'!V27</f>
        <v>0</v>
      </c>
      <c r="K21" s="505">
        <f>+'Income Statement'!W27</f>
        <v>0</v>
      </c>
      <c r="L21" s="505">
        <f>+'Income Statement'!X27</f>
        <v>0</v>
      </c>
      <c r="M21" s="505">
        <f>+'Income Statement'!Y27</f>
        <v>0</v>
      </c>
      <c r="N21" s="505">
        <f>+'Income Statement'!Z27</f>
        <v>0</v>
      </c>
      <c r="O21" s="505">
        <f>+'Income Statement'!AA27</f>
        <v>0</v>
      </c>
      <c r="P21" s="505">
        <f>+'Income Statement'!AB27</f>
        <v>0</v>
      </c>
      <c r="Q21" s="505">
        <f>+'Income Statement'!AC27</f>
        <v>0</v>
      </c>
      <c r="R21" s="505">
        <f>+'Income Statement'!AD27</f>
        <v>0</v>
      </c>
      <c r="S21" s="505">
        <f>+'Income Statement'!AE27</f>
        <v>0</v>
      </c>
      <c r="T21" s="505">
        <f>+'Income Statement'!AF27</f>
        <v>0</v>
      </c>
      <c r="U21" s="502">
        <f t="shared" si="1"/>
        <v>0</v>
      </c>
      <c r="V21" s="506">
        <v>0</v>
      </c>
      <c r="W21" s="393"/>
      <c r="X21" s="394"/>
      <c r="Y21" s="395"/>
      <c r="Z21" s="396"/>
      <c r="AA21" s="397"/>
      <c r="AB21" s="398"/>
      <c r="AC21" s="398"/>
      <c r="AD21" s="398"/>
      <c r="AE21" s="398"/>
      <c r="AF21" s="398"/>
      <c r="AG21" s="398"/>
      <c r="AH21" s="398"/>
    </row>
    <row r="22" spans="1:34" s="391" customFormat="1" ht="72.75" customHeight="1" thickBot="1" x14ac:dyDescent="0.75">
      <c r="A22" s="384"/>
      <c r="B22" s="454" t="s">
        <v>13</v>
      </c>
      <c r="C22" s="517">
        <v>83994257.000000045</v>
      </c>
      <c r="D22" s="517">
        <v>88145091.999999925</v>
      </c>
      <c r="E22" s="517">
        <v>78270947.999999985</v>
      </c>
      <c r="F22" s="517">
        <v>76593853.019999996</v>
      </c>
      <c r="G22" s="518">
        <v>92802426</v>
      </c>
      <c r="H22" s="519"/>
      <c r="I22" s="520">
        <f>+'Income Statement'!U29</f>
        <v>7106247</v>
      </c>
      <c r="J22" s="520">
        <f>+'Income Statement'!V29</f>
        <v>6561870</v>
      </c>
      <c r="K22" s="520">
        <f>+'Income Statement'!W29</f>
        <v>7180558</v>
      </c>
      <c r="L22" s="520">
        <f>+'Income Statement'!X29</f>
        <v>7430549</v>
      </c>
      <c r="M22" s="520">
        <f>+'Income Statement'!Y29</f>
        <v>6717832</v>
      </c>
      <c r="N22" s="520">
        <f>+'Income Statement'!Z29</f>
        <v>8382657.6999999965</v>
      </c>
      <c r="O22" s="520">
        <f>+'Income Statement'!AA29</f>
        <v>7332112.3999999985</v>
      </c>
      <c r="P22" s="520">
        <f>+'Income Statement'!AB29</f>
        <v>7602410.8999999901</v>
      </c>
      <c r="Q22" s="520">
        <f>+'Income Statement'!AC29</f>
        <v>7447632</v>
      </c>
      <c r="R22" s="520">
        <f>+'Income Statement'!AD29</f>
        <v>7305788</v>
      </c>
      <c r="S22" s="520">
        <f>+'Income Statement'!AE29</f>
        <v>0</v>
      </c>
      <c r="T22" s="520">
        <f>+'Income Statement'!AF29</f>
        <v>0</v>
      </c>
      <c r="U22" s="517">
        <f t="shared" si="1"/>
        <v>73067656.999999985</v>
      </c>
      <c r="V22" s="521">
        <f>SUM(V18:V21)</f>
        <v>88295897.399999991</v>
      </c>
      <c r="W22" s="385"/>
      <c r="X22" s="386"/>
      <c r="Y22" s="387"/>
      <c r="Z22" s="388"/>
      <c r="AA22" s="389"/>
      <c r="AB22" s="390"/>
      <c r="AC22" s="390"/>
      <c r="AD22" s="390"/>
      <c r="AE22" s="390"/>
      <c r="AF22" s="390"/>
      <c r="AG22" s="390"/>
      <c r="AH22" s="390"/>
    </row>
    <row r="23" spans="1:34" s="73" customFormat="1" ht="40" customHeight="1" thickBot="1" x14ac:dyDescent="0.75">
      <c r="A23" s="392"/>
      <c r="B23" s="625" t="s">
        <v>251</v>
      </c>
      <c r="C23" s="625"/>
      <c r="D23" s="625"/>
      <c r="E23" s="625"/>
      <c r="F23" s="625"/>
      <c r="G23" s="625"/>
      <c r="H23" s="421"/>
      <c r="I23" s="626" t="s">
        <v>251</v>
      </c>
      <c r="J23" s="626"/>
      <c r="K23" s="626"/>
      <c r="L23" s="626"/>
      <c r="M23" s="626"/>
      <c r="N23" s="627"/>
      <c r="O23" s="628" t="s">
        <v>251</v>
      </c>
      <c r="P23" s="626"/>
      <c r="Q23" s="626"/>
      <c r="R23" s="626"/>
      <c r="S23" s="626"/>
      <c r="T23" s="627"/>
      <c r="U23" s="405"/>
      <c r="V23" s="405"/>
      <c r="W23" s="393"/>
      <c r="X23" s="394"/>
      <c r="Y23" s="395"/>
      <c r="Z23" s="396"/>
      <c r="AA23" s="397"/>
      <c r="AB23" s="398"/>
      <c r="AC23" s="398"/>
      <c r="AD23" s="398"/>
      <c r="AE23" s="398"/>
      <c r="AF23" s="398"/>
      <c r="AG23" s="398"/>
      <c r="AH23" s="398"/>
    </row>
    <row r="24" spans="1:34" s="383" customFormat="1" ht="40" customHeight="1" x14ac:dyDescent="0.75">
      <c r="A24" s="376"/>
      <c r="B24" s="438" t="s">
        <v>111</v>
      </c>
      <c r="C24" s="439"/>
      <c r="D24" s="439"/>
      <c r="E24" s="439"/>
      <c r="F24" s="439"/>
      <c r="G24" s="439"/>
      <c r="H24" s="440"/>
      <c r="I24" s="441"/>
      <c r="J24" s="441"/>
      <c r="K24" s="441"/>
      <c r="L24" s="441"/>
      <c r="M24" s="441"/>
      <c r="N24" s="441"/>
      <c r="O24" s="441"/>
      <c r="P24" s="441"/>
      <c r="Q24" s="441"/>
      <c r="R24" s="441"/>
      <c r="S24" s="441"/>
      <c r="T24" s="441"/>
      <c r="U24" s="441"/>
      <c r="V24" s="442"/>
      <c r="W24" s="377"/>
      <c r="X24" s="378"/>
      <c r="Y24" s="379"/>
      <c r="Z24" s="380"/>
      <c r="AA24" s="381"/>
      <c r="AB24" s="382"/>
      <c r="AC24" s="382"/>
      <c r="AD24" s="382"/>
      <c r="AE24" s="382"/>
      <c r="AF24" s="382"/>
      <c r="AG24" s="382"/>
      <c r="AH24" s="382"/>
    </row>
    <row r="25" spans="1:34" s="391" customFormat="1" ht="40" customHeight="1" x14ac:dyDescent="0.7">
      <c r="A25" s="384" t="s">
        <v>230</v>
      </c>
      <c r="B25" s="426" t="s">
        <v>97</v>
      </c>
      <c r="C25" s="522">
        <v>84648677.000000045</v>
      </c>
      <c r="D25" s="522">
        <v>87353930.999999985</v>
      </c>
      <c r="E25" s="522">
        <v>82934516.999999985</v>
      </c>
      <c r="F25" s="522">
        <v>83750185.510000005</v>
      </c>
      <c r="G25" s="523">
        <v>94478772</v>
      </c>
      <c r="H25" s="524"/>
      <c r="I25" s="522">
        <v>8113656</v>
      </c>
      <c r="J25" s="522">
        <f>+'[1]Revenue by Payor'!$E$7</f>
        <v>6674613.0099999998</v>
      </c>
      <c r="K25" s="522">
        <f>+'[1]Revenue by Payor'!$E$8</f>
        <v>6842802.7699999856</v>
      </c>
      <c r="L25" s="522">
        <v>7544459.8300000001</v>
      </c>
      <c r="M25" s="522">
        <v>6364211</v>
      </c>
      <c r="N25" s="522">
        <v>8456621</v>
      </c>
      <c r="O25" s="522">
        <v>7428437</v>
      </c>
      <c r="P25" s="522">
        <v>8128554</v>
      </c>
      <c r="Q25" s="522">
        <v>8050479</v>
      </c>
      <c r="R25" s="522">
        <f>75663920-SUM(I25:Q25)</f>
        <v>8060086.3900000155</v>
      </c>
      <c r="S25" s="522">
        <v>0</v>
      </c>
      <c r="T25" s="522">
        <v>0</v>
      </c>
      <c r="U25" s="522">
        <f t="shared" ref="U25:U33" si="2">SUM(I25:T25)</f>
        <v>75663920</v>
      </c>
      <c r="V25" s="522">
        <f>AVERAGE(N25:R25)*2+U25</f>
        <v>91713590.956</v>
      </c>
      <c r="W25" s="385"/>
      <c r="X25" s="386"/>
      <c r="Y25" s="387"/>
      <c r="Z25" s="388"/>
      <c r="AA25" s="389"/>
      <c r="AB25" s="390"/>
      <c r="AC25" s="390"/>
      <c r="AD25" s="390"/>
      <c r="AE25" s="390"/>
      <c r="AF25" s="390"/>
      <c r="AG25" s="390"/>
      <c r="AH25" s="390"/>
    </row>
    <row r="26" spans="1:34" s="73" customFormat="1" ht="72.75" customHeight="1" x14ac:dyDescent="0.7">
      <c r="A26" s="392" t="s">
        <v>231</v>
      </c>
      <c r="B26" s="422" t="s">
        <v>248</v>
      </c>
      <c r="C26" s="502">
        <v>-63764654.999999993</v>
      </c>
      <c r="D26" s="502">
        <v>-65816188.000000022</v>
      </c>
      <c r="E26" s="502">
        <v>-63906112.000000022</v>
      </c>
      <c r="F26" s="502">
        <v>-65396964</v>
      </c>
      <c r="G26" s="503">
        <v>-66148950.000000007</v>
      </c>
      <c r="H26" s="504"/>
      <c r="I26" s="502">
        <v>-6272520</v>
      </c>
      <c r="J26" s="502">
        <v>-4956569</v>
      </c>
      <c r="K26" s="502">
        <v>-5370700</v>
      </c>
      <c r="L26" s="502">
        <v>-5242732</v>
      </c>
      <c r="M26" s="502">
        <v>-4369981.5</v>
      </c>
      <c r="N26" s="502">
        <v>-5406144</v>
      </c>
      <c r="O26" s="502">
        <v>-6087422</v>
      </c>
      <c r="P26" s="502">
        <v>-6123514</v>
      </c>
      <c r="Q26" s="502">
        <v>-6193731</v>
      </c>
      <c r="R26" s="502">
        <f>-56392873-SUM(I26:Q26)</f>
        <v>-6369559.5</v>
      </c>
      <c r="S26" s="502">
        <v>0</v>
      </c>
      <c r="T26" s="502">
        <v>0</v>
      </c>
      <c r="U26" s="502">
        <f t="shared" si="2"/>
        <v>-56392873</v>
      </c>
      <c r="V26" s="612">
        <f>AVERAGE(N26:R26)*2+U26</f>
        <v>-68465021.200000003</v>
      </c>
      <c r="W26" s="393"/>
      <c r="X26" s="394"/>
      <c r="Y26" s="395"/>
      <c r="Z26" s="396"/>
      <c r="AA26" s="397"/>
      <c r="AB26" s="398"/>
      <c r="AC26" s="398"/>
      <c r="AD26" s="398"/>
      <c r="AE26" s="398"/>
      <c r="AF26" s="398"/>
      <c r="AG26" s="398"/>
      <c r="AH26" s="398"/>
    </row>
    <row r="27" spans="1:34" s="73" customFormat="1" ht="40" customHeight="1" x14ac:dyDescent="0.7">
      <c r="A27" s="392" t="s">
        <v>232</v>
      </c>
      <c r="B27" s="427" t="s">
        <v>40</v>
      </c>
      <c r="C27" s="526">
        <v>0</v>
      </c>
      <c r="D27" s="526">
        <v>0</v>
      </c>
      <c r="E27" s="526">
        <v>0</v>
      </c>
      <c r="F27" s="526">
        <v>0</v>
      </c>
      <c r="G27" s="527">
        <v>0</v>
      </c>
      <c r="H27" s="528"/>
      <c r="I27" s="526">
        <v>0</v>
      </c>
      <c r="J27" s="526">
        <v>0</v>
      </c>
      <c r="K27" s="526">
        <v>0</v>
      </c>
      <c r="L27" s="526">
        <v>0</v>
      </c>
      <c r="M27" s="526">
        <v>0</v>
      </c>
      <c r="N27" s="526">
        <v>0</v>
      </c>
      <c r="O27" s="526">
        <v>0</v>
      </c>
      <c r="P27" s="526">
        <v>0</v>
      </c>
      <c r="Q27" s="526">
        <v>0</v>
      </c>
      <c r="R27" s="526">
        <v>0</v>
      </c>
      <c r="S27" s="526">
        <v>0</v>
      </c>
      <c r="T27" s="526">
        <v>0</v>
      </c>
      <c r="U27" s="526">
        <f t="shared" si="2"/>
        <v>0</v>
      </c>
      <c r="V27" s="526">
        <v>0</v>
      </c>
      <c r="W27" s="399"/>
      <c r="X27" s="400"/>
      <c r="Y27" s="401"/>
      <c r="Z27" s="402"/>
      <c r="AA27" s="397"/>
      <c r="AB27" s="398"/>
      <c r="AC27" s="398"/>
      <c r="AD27" s="398"/>
      <c r="AE27" s="398"/>
      <c r="AF27" s="398"/>
      <c r="AG27" s="398"/>
      <c r="AH27" s="398"/>
    </row>
    <row r="28" spans="1:34" s="73" customFormat="1" ht="39.75" customHeight="1" x14ac:dyDescent="0.7">
      <c r="A28" s="392" t="s">
        <v>233</v>
      </c>
      <c r="B28" s="424" t="s">
        <v>77</v>
      </c>
      <c r="C28" s="502">
        <v>0</v>
      </c>
      <c r="D28" s="502">
        <v>0</v>
      </c>
      <c r="E28" s="502">
        <v>0</v>
      </c>
      <c r="F28" s="502">
        <v>0</v>
      </c>
      <c r="G28" s="503">
        <v>0</v>
      </c>
      <c r="H28" s="504"/>
      <c r="I28" s="502">
        <v>0</v>
      </c>
      <c r="J28" s="502">
        <v>0</v>
      </c>
      <c r="K28" s="502">
        <v>0</v>
      </c>
      <c r="L28" s="502">
        <v>0</v>
      </c>
      <c r="M28" s="502">
        <v>0</v>
      </c>
      <c r="N28" s="502">
        <v>0</v>
      </c>
      <c r="O28" s="502">
        <v>0</v>
      </c>
      <c r="P28" s="502">
        <v>0</v>
      </c>
      <c r="Q28" s="502">
        <v>0</v>
      </c>
      <c r="R28" s="502">
        <v>0</v>
      </c>
      <c r="S28" s="502">
        <v>0</v>
      </c>
      <c r="T28" s="502">
        <v>0</v>
      </c>
      <c r="U28" s="502">
        <f t="shared" si="2"/>
        <v>0</v>
      </c>
      <c r="V28" s="502">
        <v>0</v>
      </c>
      <c r="W28" s="393"/>
      <c r="X28" s="394"/>
      <c r="Y28" s="395"/>
      <c r="Z28" s="396"/>
      <c r="AA28" s="397"/>
      <c r="AB28" s="398"/>
      <c r="AC28" s="398"/>
      <c r="AD28" s="398"/>
      <c r="AE28" s="398"/>
      <c r="AF28" s="398"/>
      <c r="AG28" s="398"/>
      <c r="AH28" s="398"/>
    </row>
    <row r="29" spans="1:34" s="391" customFormat="1" ht="40" customHeight="1" x14ac:dyDescent="0.7">
      <c r="A29" s="384" t="s">
        <v>234</v>
      </c>
      <c r="B29" s="426" t="s">
        <v>121</v>
      </c>
      <c r="C29" s="522">
        <v>20884022.000000037</v>
      </c>
      <c r="D29" s="522">
        <v>21537742.999999966</v>
      </c>
      <c r="E29" s="522">
        <v>19028404.99999997</v>
      </c>
      <c r="F29" s="522">
        <v>18353221.510000013</v>
      </c>
      <c r="G29" s="523">
        <v>28329821.999999985</v>
      </c>
      <c r="H29" s="524"/>
      <c r="I29" s="522">
        <f>SUM(I25:I28)</f>
        <v>1841136</v>
      </c>
      <c r="J29" s="522">
        <f t="shared" ref="J29:T29" si="3">SUM(J25:J28)</f>
        <v>1718044.0099999998</v>
      </c>
      <c r="K29" s="522">
        <f t="shared" si="3"/>
        <v>1472102.7699999856</v>
      </c>
      <c r="L29" s="522">
        <f t="shared" si="3"/>
        <v>2301727.83</v>
      </c>
      <c r="M29" s="525">
        <f t="shared" si="3"/>
        <v>1994229.5</v>
      </c>
      <c r="N29" s="525">
        <f t="shared" si="3"/>
        <v>3050477</v>
      </c>
      <c r="O29" s="525">
        <f t="shared" si="3"/>
        <v>1341015</v>
      </c>
      <c r="P29" s="525">
        <f t="shared" si="3"/>
        <v>2005040</v>
      </c>
      <c r="Q29" s="525">
        <f t="shared" si="3"/>
        <v>1856748</v>
      </c>
      <c r="R29" s="525">
        <f t="shared" si="3"/>
        <v>1690526.8900000155</v>
      </c>
      <c r="S29" s="525">
        <f t="shared" si="3"/>
        <v>0</v>
      </c>
      <c r="T29" s="525">
        <f t="shared" si="3"/>
        <v>0</v>
      </c>
      <c r="U29" s="522">
        <f t="shared" si="2"/>
        <v>19271047</v>
      </c>
      <c r="V29" s="522">
        <f>SUM(V25:V28)</f>
        <v>23248569.755999997</v>
      </c>
      <c r="W29" s="385"/>
      <c r="X29" s="386"/>
      <c r="Y29" s="387"/>
      <c r="Z29" s="388"/>
      <c r="AA29" s="389"/>
      <c r="AB29" s="390"/>
      <c r="AC29" s="390"/>
      <c r="AD29" s="390"/>
      <c r="AE29" s="390"/>
      <c r="AF29" s="390"/>
      <c r="AG29" s="390"/>
      <c r="AH29" s="390"/>
    </row>
    <row r="30" spans="1:34" s="73" customFormat="1" ht="40" customHeight="1" x14ac:dyDescent="0.7">
      <c r="A30" s="392" t="s">
        <v>235</v>
      </c>
      <c r="B30" s="424" t="s">
        <v>78</v>
      </c>
      <c r="C30" s="502">
        <v>7748009.0000000009</v>
      </c>
      <c r="D30" s="502">
        <v>8409915.9999999981</v>
      </c>
      <c r="E30" s="502">
        <v>9410830</v>
      </c>
      <c r="F30" s="502">
        <v>11059292</v>
      </c>
      <c r="G30" s="503">
        <v>9376599</v>
      </c>
      <c r="H30" s="504"/>
      <c r="I30" s="502">
        <v>864031</v>
      </c>
      <c r="J30" s="502">
        <v>864632</v>
      </c>
      <c r="K30" s="502">
        <v>864856</v>
      </c>
      <c r="L30" s="502">
        <v>840948</v>
      </c>
      <c r="M30" s="502">
        <v>750548</v>
      </c>
      <c r="N30" s="502">
        <v>741181</v>
      </c>
      <c r="O30" s="502">
        <v>749181</v>
      </c>
      <c r="P30" s="502">
        <v>739106</v>
      </c>
      <c r="Q30" s="502">
        <v>854388</v>
      </c>
      <c r="R30" s="502">
        <f>8068167-SUM(I30:Q30)</f>
        <v>799296</v>
      </c>
      <c r="S30" s="502">
        <v>0</v>
      </c>
      <c r="T30" s="502">
        <v>0</v>
      </c>
      <c r="U30" s="502">
        <f t="shared" si="2"/>
        <v>8068167</v>
      </c>
      <c r="V30" s="612">
        <f>AVERAGE(N30:R30)*2+U30</f>
        <v>9621427.8000000007</v>
      </c>
      <c r="W30" s="393"/>
      <c r="X30" s="394"/>
      <c r="Y30" s="395"/>
      <c r="Z30" s="396"/>
      <c r="AA30" s="397"/>
      <c r="AB30" s="398"/>
      <c r="AC30" s="398"/>
      <c r="AD30" s="398"/>
      <c r="AE30" s="398"/>
      <c r="AF30" s="398"/>
      <c r="AG30" s="398"/>
      <c r="AH30" s="398"/>
    </row>
    <row r="31" spans="1:34" s="73" customFormat="1" ht="40" customHeight="1" x14ac:dyDescent="0.7">
      <c r="A31" s="392" t="s">
        <v>236</v>
      </c>
      <c r="B31" s="427" t="s">
        <v>135</v>
      </c>
      <c r="C31" s="526">
        <v>0</v>
      </c>
      <c r="D31" s="526">
        <v>0</v>
      </c>
      <c r="E31" s="526">
        <v>0</v>
      </c>
      <c r="F31" s="526">
        <v>0</v>
      </c>
      <c r="G31" s="527">
        <v>0</v>
      </c>
      <c r="H31" s="528"/>
      <c r="I31" s="526">
        <v>0</v>
      </c>
      <c r="J31" s="526">
        <v>0</v>
      </c>
      <c r="K31" s="526">
        <v>0</v>
      </c>
      <c r="L31" s="526">
        <v>0</v>
      </c>
      <c r="M31" s="526">
        <v>0</v>
      </c>
      <c r="N31" s="526">
        <v>0</v>
      </c>
      <c r="O31" s="526">
        <v>0</v>
      </c>
      <c r="P31" s="526">
        <v>0</v>
      </c>
      <c r="Q31" s="526">
        <v>0</v>
      </c>
      <c r="R31" s="526">
        <v>0</v>
      </c>
      <c r="S31" s="526">
        <v>0</v>
      </c>
      <c r="T31" s="526">
        <v>0</v>
      </c>
      <c r="U31" s="526">
        <f t="shared" si="2"/>
        <v>0</v>
      </c>
      <c r="V31" s="526">
        <v>0</v>
      </c>
      <c r="W31" s="399"/>
      <c r="X31" s="400"/>
      <c r="Y31" s="401"/>
      <c r="Z31" s="402"/>
      <c r="AA31" s="397"/>
      <c r="AB31" s="398"/>
      <c r="AC31" s="398"/>
      <c r="AD31" s="398"/>
      <c r="AE31" s="398"/>
      <c r="AF31" s="398"/>
      <c r="AG31" s="398"/>
      <c r="AH31" s="398"/>
    </row>
    <row r="32" spans="1:34" s="73" customFormat="1" ht="40" customHeight="1" x14ac:dyDescent="0.7">
      <c r="A32" s="392" t="s">
        <v>237</v>
      </c>
      <c r="B32" s="424" t="s">
        <v>35</v>
      </c>
      <c r="C32" s="502">
        <v>0</v>
      </c>
      <c r="D32" s="502">
        <v>0</v>
      </c>
      <c r="E32" s="502">
        <v>0</v>
      </c>
      <c r="F32" s="502">
        <v>0</v>
      </c>
      <c r="G32" s="503">
        <v>0</v>
      </c>
      <c r="H32" s="504"/>
      <c r="I32" s="502">
        <v>0</v>
      </c>
      <c r="J32" s="502">
        <v>0</v>
      </c>
      <c r="K32" s="502">
        <v>0</v>
      </c>
      <c r="L32" s="502">
        <v>0</v>
      </c>
      <c r="M32" s="502">
        <v>0</v>
      </c>
      <c r="N32" s="502">
        <v>0</v>
      </c>
      <c r="O32" s="502">
        <v>0</v>
      </c>
      <c r="P32" s="502">
        <v>0</v>
      </c>
      <c r="Q32" s="502">
        <v>0</v>
      </c>
      <c r="R32" s="502">
        <v>0</v>
      </c>
      <c r="S32" s="502">
        <v>0</v>
      </c>
      <c r="T32" s="502">
        <v>0</v>
      </c>
      <c r="U32" s="502">
        <f t="shared" si="2"/>
        <v>0</v>
      </c>
      <c r="V32" s="502">
        <v>0</v>
      </c>
      <c r="W32" s="393"/>
      <c r="X32" s="394"/>
      <c r="Y32" s="395"/>
      <c r="Z32" s="396"/>
      <c r="AA32" s="397"/>
      <c r="AB32" s="398"/>
      <c r="AC32" s="398"/>
      <c r="AD32" s="398"/>
      <c r="AE32" s="398"/>
      <c r="AF32" s="398"/>
      <c r="AG32" s="398"/>
      <c r="AH32" s="398"/>
    </row>
    <row r="33" spans="1:34" s="391" customFormat="1" ht="66.75" customHeight="1" thickBot="1" x14ac:dyDescent="0.75">
      <c r="A33" s="384" t="s">
        <v>238</v>
      </c>
      <c r="B33" s="428" t="s">
        <v>13</v>
      </c>
      <c r="C33" s="529">
        <v>28632031.000000034</v>
      </c>
      <c r="D33" s="529">
        <v>29947658.999999959</v>
      </c>
      <c r="E33" s="529">
        <v>28439234.999999966</v>
      </c>
      <c r="F33" s="529">
        <v>29412513.510000009</v>
      </c>
      <c r="G33" s="530">
        <v>37706420.999999985</v>
      </c>
      <c r="H33" s="531"/>
      <c r="I33" s="529">
        <f>SUM(I29:I32)</f>
        <v>2705167</v>
      </c>
      <c r="J33" s="529">
        <f t="shared" ref="J33:T33" si="4">SUM(J29:J32)</f>
        <v>2582676.0099999998</v>
      </c>
      <c r="K33" s="529">
        <f t="shared" si="4"/>
        <v>2336958.7699999856</v>
      </c>
      <c r="L33" s="529">
        <f t="shared" si="4"/>
        <v>3142675.83</v>
      </c>
      <c r="M33" s="532">
        <f t="shared" si="4"/>
        <v>2744777.5</v>
      </c>
      <c r="N33" s="532">
        <f t="shared" si="4"/>
        <v>3791658</v>
      </c>
      <c r="O33" s="532">
        <f t="shared" si="4"/>
        <v>2090196</v>
      </c>
      <c r="P33" s="532">
        <f t="shared" si="4"/>
        <v>2744146</v>
      </c>
      <c r="Q33" s="532">
        <f t="shared" si="4"/>
        <v>2711136</v>
      </c>
      <c r="R33" s="532">
        <f t="shared" si="4"/>
        <v>2489822.8900000155</v>
      </c>
      <c r="S33" s="532">
        <f t="shared" si="4"/>
        <v>0</v>
      </c>
      <c r="T33" s="532">
        <f t="shared" si="4"/>
        <v>0</v>
      </c>
      <c r="U33" s="529">
        <f t="shared" si="2"/>
        <v>27339214</v>
      </c>
      <c r="V33" s="529">
        <f>SUM(V29:V32)</f>
        <v>32869997.555999998</v>
      </c>
      <c r="W33" s="385"/>
      <c r="X33" s="386"/>
      <c r="Y33" s="387"/>
      <c r="Z33" s="388"/>
      <c r="AA33" s="389"/>
      <c r="AB33" s="390"/>
      <c r="AC33" s="390"/>
      <c r="AD33" s="390"/>
      <c r="AE33" s="390"/>
      <c r="AF33" s="390"/>
      <c r="AG33" s="390"/>
      <c r="AH33" s="390"/>
    </row>
    <row r="34" spans="1:34" s="73" customFormat="1" ht="23.25" customHeight="1" thickBot="1" x14ac:dyDescent="0.75">
      <c r="A34" s="392"/>
      <c r="B34" s="403"/>
      <c r="C34" s="404"/>
      <c r="D34" s="404"/>
      <c r="E34" s="404"/>
      <c r="F34" s="404"/>
      <c r="G34" s="404"/>
      <c r="H34" s="421"/>
      <c r="I34" s="405"/>
      <c r="J34" s="405"/>
      <c r="K34" s="405"/>
      <c r="L34" s="405"/>
      <c r="M34" s="405"/>
      <c r="N34" s="405"/>
      <c r="O34" s="405"/>
      <c r="P34" s="405"/>
      <c r="Q34" s="405"/>
      <c r="R34" s="405"/>
      <c r="S34" s="405"/>
      <c r="T34" s="405"/>
      <c r="U34" s="405"/>
      <c r="V34" s="405"/>
      <c r="W34" s="393"/>
      <c r="X34" s="394"/>
      <c r="Y34" s="395"/>
      <c r="Z34" s="396"/>
      <c r="AA34" s="397"/>
      <c r="AB34" s="398"/>
      <c r="AC34" s="398"/>
      <c r="AD34" s="398"/>
      <c r="AE34" s="398"/>
      <c r="AF34" s="398"/>
      <c r="AG34" s="398"/>
      <c r="AH34" s="398"/>
    </row>
    <row r="35" spans="1:34" s="383" customFormat="1" ht="40" customHeight="1" x14ac:dyDescent="0.75">
      <c r="A35" s="376"/>
      <c r="B35" s="443" t="s">
        <v>94</v>
      </c>
      <c r="C35" s="444"/>
      <c r="D35" s="444"/>
      <c r="E35" s="444"/>
      <c r="F35" s="444"/>
      <c r="G35" s="444"/>
      <c r="H35" s="445"/>
      <c r="I35" s="446"/>
      <c r="J35" s="446"/>
      <c r="K35" s="446"/>
      <c r="L35" s="446"/>
      <c r="M35" s="446"/>
      <c r="N35" s="446"/>
      <c r="O35" s="446"/>
      <c r="P35" s="446"/>
      <c r="Q35" s="446"/>
      <c r="R35" s="446"/>
      <c r="S35" s="446"/>
      <c r="T35" s="446"/>
      <c r="U35" s="446"/>
      <c r="V35" s="447"/>
      <c r="W35" s="377"/>
      <c r="X35" s="378"/>
      <c r="Y35" s="379"/>
      <c r="Z35" s="380"/>
      <c r="AA35" s="381"/>
      <c r="AB35" s="382"/>
      <c r="AC35" s="382"/>
      <c r="AD35" s="382"/>
      <c r="AE35" s="382"/>
      <c r="AF35" s="382"/>
      <c r="AG35" s="382"/>
      <c r="AH35" s="382"/>
    </row>
    <row r="36" spans="1:34" s="391" customFormat="1" ht="40" customHeight="1" x14ac:dyDescent="0.7">
      <c r="A36" s="384" t="s">
        <v>239</v>
      </c>
      <c r="B36" s="429" t="s">
        <v>97</v>
      </c>
      <c r="C36" s="533">
        <v>33213579.000000004</v>
      </c>
      <c r="D36" s="533">
        <v>34160743.999999978</v>
      </c>
      <c r="E36" s="533">
        <v>30424398.000000004</v>
      </c>
      <c r="F36" s="533">
        <v>29399451</v>
      </c>
      <c r="G36" s="534">
        <v>32976536.000000011</v>
      </c>
      <c r="H36" s="535"/>
      <c r="I36" s="533">
        <v>2790199</v>
      </c>
      <c r="J36" s="533">
        <f>+'[1]Revenue by Payor'!$F$7</f>
        <v>2340338.56</v>
      </c>
      <c r="K36" s="533">
        <f>+'[1]Revenue by Payor'!$F$8</f>
        <v>2998304.1599999974</v>
      </c>
      <c r="L36" s="533">
        <v>2991852</v>
      </c>
      <c r="M36" s="533">
        <v>2635817</v>
      </c>
      <c r="N36" s="533">
        <v>2827001</v>
      </c>
      <c r="O36" s="533">
        <v>3257271</v>
      </c>
      <c r="P36" s="533">
        <v>3019466</v>
      </c>
      <c r="Q36" s="533">
        <v>2904437</v>
      </c>
      <c r="R36" s="533">
        <f>28912772-SUM(I36:Q36)</f>
        <v>3148086.2800000012</v>
      </c>
      <c r="S36" s="533">
        <v>0</v>
      </c>
      <c r="T36" s="533">
        <v>0</v>
      </c>
      <c r="U36" s="533">
        <f t="shared" ref="U36:U44" si="5">SUM(I36:T36)</f>
        <v>28912772</v>
      </c>
      <c r="V36" s="537">
        <f>AVERAGE(N36:R36)*2+U36</f>
        <v>34975276.512000002</v>
      </c>
      <c r="W36" s="385"/>
      <c r="X36" s="386"/>
      <c r="Y36" s="387"/>
      <c r="Z36" s="388"/>
      <c r="AA36" s="389"/>
      <c r="AB36" s="390"/>
      <c r="AC36" s="390"/>
      <c r="AD36" s="390"/>
      <c r="AE36" s="390"/>
      <c r="AF36" s="390"/>
      <c r="AG36" s="390"/>
      <c r="AH36" s="390"/>
    </row>
    <row r="37" spans="1:34" s="73" customFormat="1" ht="72.75" customHeight="1" x14ac:dyDescent="0.7">
      <c r="A37" s="392" t="s">
        <v>240</v>
      </c>
      <c r="B37" s="422" t="s">
        <v>248</v>
      </c>
      <c r="C37" s="502">
        <v>-26578508.999999996</v>
      </c>
      <c r="D37" s="502">
        <v>-27303957.000000004</v>
      </c>
      <c r="E37" s="502">
        <v>-25211234.000000011</v>
      </c>
      <c r="F37" s="502">
        <v>-24767877</v>
      </c>
      <c r="G37" s="503">
        <v>-26171900.000000011</v>
      </c>
      <c r="H37" s="504"/>
      <c r="I37" s="502">
        <v>-2431144</v>
      </c>
      <c r="J37" s="502">
        <v>-2166452</v>
      </c>
      <c r="K37" s="502">
        <v>-2511912</v>
      </c>
      <c r="L37" s="502">
        <v>-2839923</v>
      </c>
      <c r="M37" s="502">
        <v>-2358273</v>
      </c>
      <c r="N37" s="502">
        <v>-2529418</v>
      </c>
      <c r="O37" s="502">
        <v>-2993077</v>
      </c>
      <c r="P37" s="502">
        <v>-2718699</v>
      </c>
      <c r="Q37" s="502">
        <v>-2766007</v>
      </c>
      <c r="R37" s="502">
        <f>-26009117-SUM(I37:Q37)</f>
        <v>-2694212</v>
      </c>
      <c r="S37" s="502">
        <v>0</v>
      </c>
      <c r="T37" s="502">
        <v>0</v>
      </c>
      <c r="U37" s="502">
        <f t="shared" si="5"/>
        <v>-26009117</v>
      </c>
      <c r="V37" s="612">
        <f>AVERAGE(N37:R37)*2+U37</f>
        <v>-31489682.199999999</v>
      </c>
      <c r="W37" s="393"/>
      <c r="X37" s="394"/>
      <c r="Y37" s="395"/>
      <c r="Z37" s="396"/>
      <c r="AA37" s="397"/>
      <c r="AB37" s="398"/>
      <c r="AC37" s="398"/>
      <c r="AD37" s="398"/>
      <c r="AE37" s="398"/>
      <c r="AF37" s="398"/>
      <c r="AG37" s="398"/>
      <c r="AH37" s="398"/>
    </row>
    <row r="38" spans="1:34" s="73" customFormat="1" ht="40" customHeight="1" x14ac:dyDescent="0.7">
      <c r="A38" s="392" t="s">
        <v>241</v>
      </c>
      <c r="B38" s="430" t="s">
        <v>40</v>
      </c>
      <c r="C38" s="538">
        <v>0</v>
      </c>
      <c r="D38" s="538">
        <v>0</v>
      </c>
      <c r="E38" s="538">
        <v>0</v>
      </c>
      <c r="F38" s="538">
        <v>0</v>
      </c>
      <c r="G38" s="539">
        <v>0</v>
      </c>
      <c r="H38" s="540"/>
      <c r="I38" s="538">
        <v>0</v>
      </c>
      <c r="J38" s="538">
        <v>0</v>
      </c>
      <c r="K38" s="538">
        <v>0</v>
      </c>
      <c r="L38" s="538">
        <v>0</v>
      </c>
      <c r="M38" s="538">
        <v>0</v>
      </c>
      <c r="N38" s="538">
        <v>0</v>
      </c>
      <c r="O38" s="538">
        <v>0</v>
      </c>
      <c r="P38" s="538">
        <v>0</v>
      </c>
      <c r="Q38" s="538">
        <v>0</v>
      </c>
      <c r="R38" s="538">
        <v>0</v>
      </c>
      <c r="S38" s="538">
        <v>0</v>
      </c>
      <c r="T38" s="538">
        <v>0</v>
      </c>
      <c r="U38" s="538">
        <f t="shared" si="5"/>
        <v>0</v>
      </c>
      <c r="V38" s="541">
        <v>0</v>
      </c>
      <c r="W38" s="399"/>
      <c r="X38" s="400"/>
      <c r="Y38" s="401"/>
      <c r="Z38" s="402"/>
      <c r="AA38" s="397"/>
      <c r="AB38" s="398"/>
      <c r="AC38" s="398"/>
      <c r="AD38" s="398"/>
      <c r="AE38" s="398"/>
      <c r="AF38" s="398"/>
      <c r="AG38" s="398"/>
      <c r="AH38" s="398"/>
    </row>
    <row r="39" spans="1:34" s="73" customFormat="1" ht="39.75" customHeight="1" x14ac:dyDescent="0.7">
      <c r="A39" s="392" t="s">
        <v>242</v>
      </c>
      <c r="B39" s="424" t="s">
        <v>77</v>
      </c>
      <c r="C39" s="502">
        <v>0</v>
      </c>
      <c r="D39" s="502">
        <v>0</v>
      </c>
      <c r="E39" s="502">
        <v>0</v>
      </c>
      <c r="F39" s="502">
        <v>0</v>
      </c>
      <c r="G39" s="503">
        <v>0</v>
      </c>
      <c r="H39" s="504"/>
      <c r="I39" s="502">
        <v>0</v>
      </c>
      <c r="J39" s="502">
        <v>0</v>
      </c>
      <c r="K39" s="502">
        <v>0</v>
      </c>
      <c r="L39" s="502">
        <v>0</v>
      </c>
      <c r="M39" s="502">
        <v>0</v>
      </c>
      <c r="N39" s="502">
        <v>0</v>
      </c>
      <c r="O39" s="502">
        <v>0</v>
      </c>
      <c r="P39" s="502">
        <v>0</v>
      </c>
      <c r="Q39" s="502">
        <v>0</v>
      </c>
      <c r="R39" s="502">
        <v>0</v>
      </c>
      <c r="S39" s="502">
        <v>0</v>
      </c>
      <c r="T39" s="502">
        <v>0</v>
      </c>
      <c r="U39" s="502">
        <f t="shared" si="5"/>
        <v>0</v>
      </c>
      <c r="V39" s="506">
        <v>0</v>
      </c>
      <c r="W39" s="393"/>
      <c r="X39" s="394"/>
      <c r="Y39" s="395"/>
      <c r="Z39" s="396"/>
      <c r="AA39" s="397"/>
      <c r="AB39" s="398"/>
      <c r="AC39" s="398"/>
      <c r="AD39" s="398"/>
      <c r="AE39" s="398"/>
      <c r="AF39" s="398"/>
      <c r="AG39" s="398"/>
      <c r="AH39" s="398"/>
    </row>
    <row r="40" spans="1:34" s="391" customFormat="1" ht="40" customHeight="1" x14ac:dyDescent="0.7">
      <c r="A40" s="384" t="s">
        <v>243</v>
      </c>
      <c r="B40" s="429" t="s">
        <v>121</v>
      </c>
      <c r="C40" s="533">
        <v>6635070.0000000121</v>
      </c>
      <c r="D40" s="533">
        <v>6856786.9999999814</v>
      </c>
      <c r="E40" s="533">
        <v>5213164.0000000019</v>
      </c>
      <c r="F40" s="533">
        <v>4631574.0000000009</v>
      </c>
      <c r="G40" s="534">
        <v>6804636.0000000009</v>
      </c>
      <c r="H40" s="535"/>
      <c r="I40" s="533">
        <f t="shared" ref="I40:T40" si="6">SUM(I36:I39)</f>
        <v>359055</v>
      </c>
      <c r="J40" s="533">
        <f t="shared" si="6"/>
        <v>173886.56000000006</v>
      </c>
      <c r="K40" s="533">
        <f t="shared" si="6"/>
        <v>486392.15999999736</v>
      </c>
      <c r="L40" s="533">
        <f t="shared" si="6"/>
        <v>151929</v>
      </c>
      <c r="M40" s="536">
        <f t="shared" si="6"/>
        <v>277544</v>
      </c>
      <c r="N40" s="536">
        <f t="shared" si="6"/>
        <v>297583</v>
      </c>
      <c r="O40" s="536">
        <f t="shared" si="6"/>
        <v>264194</v>
      </c>
      <c r="P40" s="536">
        <f t="shared" si="6"/>
        <v>300767</v>
      </c>
      <c r="Q40" s="536">
        <f t="shared" si="6"/>
        <v>138430</v>
      </c>
      <c r="R40" s="536">
        <f t="shared" si="6"/>
        <v>453874.28000000119</v>
      </c>
      <c r="S40" s="536">
        <f t="shared" si="6"/>
        <v>0</v>
      </c>
      <c r="T40" s="536">
        <f t="shared" si="6"/>
        <v>0</v>
      </c>
      <c r="U40" s="533">
        <f t="shared" si="5"/>
        <v>2903654.9999999986</v>
      </c>
      <c r="V40" s="537">
        <f>SUM(V36:V39)</f>
        <v>3485594.3120000027</v>
      </c>
      <c r="W40" s="385"/>
      <c r="X40" s="386"/>
      <c r="Y40" s="387"/>
      <c r="Z40" s="388"/>
      <c r="AA40" s="389"/>
      <c r="AB40" s="390"/>
      <c r="AC40" s="390"/>
      <c r="AD40" s="390"/>
      <c r="AE40" s="390"/>
      <c r="AF40" s="390"/>
      <c r="AG40" s="390"/>
      <c r="AH40" s="390"/>
    </row>
    <row r="41" spans="1:34" s="73" customFormat="1" ht="40" customHeight="1" x14ac:dyDescent="0.7">
      <c r="A41" s="392" t="s">
        <v>244</v>
      </c>
      <c r="B41" s="424" t="s">
        <v>78</v>
      </c>
      <c r="C41" s="502">
        <v>3102811.9999999995</v>
      </c>
      <c r="D41" s="502">
        <v>2591823</v>
      </c>
      <c r="E41" s="502">
        <v>3588228</v>
      </c>
      <c r="F41" s="502">
        <v>4426905</v>
      </c>
      <c r="G41" s="503">
        <v>4463227.0000000009</v>
      </c>
      <c r="H41" s="504"/>
      <c r="I41" s="502">
        <v>421122</v>
      </c>
      <c r="J41" s="502">
        <v>406598</v>
      </c>
      <c r="K41" s="502">
        <v>397594</v>
      </c>
      <c r="L41" s="502">
        <v>336835</v>
      </c>
      <c r="M41" s="502">
        <v>306451</v>
      </c>
      <c r="N41" s="502">
        <v>299613</v>
      </c>
      <c r="O41" s="502">
        <v>297856</v>
      </c>
      <c r="P41" s="502">
        <v>310437</v>
      </c>
      <c r="Q41" s="502">
        <v>310398</v>
      </c>
      <c r="R41" s="502">
        <f>3353338-SUM(I41:Q41)</f>
        <v>266434</v>
      </c>
      <c r="S41" s="502">
        <v>0</v>
      </c>
      <c r="T41" s="502">
        <v>0</v>
      </c>
      <c r="U41" s="502">
        <f t="shared" si="5"/>
        <v>3353338</v>
      </c>
      <c r="V41" s="612">
        <f>AVERAGE(N41:R41)*2+U41</f>
        <v>3947233.2</v>
      </c>
      <c r="W41" s="393"/>
      <c r="X41" s="394"/>
      <c r="Y41" s="395"/>
      <c r="Z41" s="396"/>
      <c r="AA41" s="397"/>
      <c r="AB41" s="398"/>
      <c r="AC41" s="398"/>
      <c r="AD41" s="398"/>
      <c r="AE41" s="398"/>
      <c r="AF41" s="398"/>
      <c r="AG41" s="398"/>
      <c r="AH41" s="398"/>
    </row>
    <row r="42" spans="1:34" s="73" customFormat="1" ht="40" customHeight="1" x14ac:dyDescent="0.7">
      <c r="A42" s="392" t="s">
        <v>245</v>
      </c>
      <c r="B42" s="430" t="s">
        <v>135</v>
      </c>
      <c r="C42" s="538">
        <v>0</v>
      </c>
      <c r="D42" s="538">
        <v>0</v>
      </c>
      <c r="E42" s="538">
        <v>0</v>
      </c>
      <c r="F42" s="538">
        <v>0</v>
      </c>
      <c r="G42" s="539">
        <v>0</v>
      </c>
      <c r="H42" s="540"/>
      <c r="I42" s="538">
        <v>0</v>
      </c>
      <c r="J42" s="538">
        <v>0</v>
      </c>
      <c r="K42" s="538">
        <v>0</v>
      </c>
      <c r="L42" s="538">
        <v>0</v>
      </c>
      <c r="M42" s="538">
        <v>0</v>
      </c>
      <c r="N42" s="538">
        <v>0</v>
      </c>
      <c r="O42" s="538">
        <v>0</v>
      </c>
      <c r="P42" s="538">
        <v>0</v>
      </c>
      <c r="Q42" s="538">
        <v>0</v>
      </c>
      <c r="R42" s="538">
        <v>0</v>
      </c>
      <c r="S42" s="538">
        <v>0</v>
      </c>
      <c r="T42" s="538">
        <v>0</v>
      </c>
      <c r="U42" s="538">
        <f t="shared" si="5"/>
        <v>0</v>
      </c>
      <c r="V42" s="541">
        <v>0</v>
      </c>
      <c r="W42" s="399"/>
      <c r="X42" s="400"/>
      <c r="Y42" s="401"/>
      <c r="Z42" s="402"/>
      <c r="AA42" s="397"/>
      <c r="AB42" s="398"/>
      <c r="AC42" s="398"/>
      <c r="AD42" s="398"/>
      <c r="AE42" s="398"/>
      <c r="AF42" s="398"/>
      <c r="AG42" s="398"/>
      <c r="AH42" s="398"/>
    </row>
    <row r="43" spans="1:34" s="73" customFormat="1" ht="40" customHeight="1" x14ac:dyDescent="0.7">
      <c r="A43" s="392" t="s">
        <v>246</v>
      </c>
      <c r="B43" s="424" t="s">
        <v>35</v>
      </c>
      <c r="C43" s="502">
        <v>0</v>
      </c>
      <c r="D43" s="502">
        <v>0</v>
      </c>
      <c r="E43" s="502">
        <v>0</v>
      </c>
      <c r="F43" s="502">
        <v>0</v>
      </c>
      <c r="G43" s="503">
        <v>0</v>
      </c>
      <c r="H43" s="504"/>
      <c r="I43" s="502">
        <v>0</v>
      </c>
      <c r="J43" s="502">
        <v>0</v>
      </c>
      <c r="K43" s="502">
        <v>0</v>
      </c>
      <c r="L43" s="502">
        <v>0</v>
      </c>
      <c r="M43" s="502">
        <v>0</v>
      </c>
      <c r="N43" s="502">
        <v>0</v>
      </c>
      <c r="O43" s="502">
        <v>0</v>
      </c>
      <c r="P43" s="502">
        <v>0</v>
      </c>
      <c r="Q43" s="502">
        <v>0</v>
      </c>
      <c r="R43" s="502">
        <v>0</v>
      </c>
      <c r="S43" s="502">
        <v>0</v>
      </c>
      <c r="T43" s="502">
        <v>0</v>
      </c>
      <c r="U43" s="502">
        <f t="shared" si="5"/>
        <v>0</v>
      </c>
      <c r="V43" s="506">
        <v>0</v>
      </c>
      <c r="W43" s="393"/>
      <c r="X43" s="394"/>
      <c r="Y43" s="395"/>
      <c r="Z43" s="396"/>
      <c r="AA43" s="397"/>
      <c r="AB43" s="398"/>
      <c r="AC43" s="398"/>
      <c r="AD43" s="398"/>
      <c r="AE43" s="398"/>
      <c r="AF43" s="398"/>
      <c r="AG43" s="398"/>
      <c r="AH43" s="398"/>
    </row>
    <row r="44" spans="1:34" s="391" customFormat="1" ht="69.75" customHeight="1" thickBot="1" x14ac:dyDescent="0.75">
      <c r="A44" s="384" t="s">
        <v>247</v>
      </c>
      <c r="B44" s="431" t="s">
        <v>13</v>
      </c>
      <c r="C44" s="542">
        <v>9737882.0000000112</v>
      </c>
      <c r="D44" s="543">
        <v>9448609.9999999795</v>
      </c>
      <c r="E44" s="543">
        <v>8801392.0000000037</v>
      </c>
      <c r="F44" s="543">
        <v>9058479.0000000019</v>
      </c>
      <c r="G44" s="544">
        <v>11267863.000000006</v>
      </c>
      <c r="H44" s="545"/>
      <c r="I44" s="543">
        <f>SUM(I40:I43)</f>
        <v>780177</v>
      </c>
      <c r="J44" s="543">
        <f t="shared" ref="J44:T44" si="7">SUM(J40:J43)</f>
        <v>580484.56000000006</v>
      </c>
      <c r="K44" s="543">
        <f t="shared" si="7"/>
        <v>883986.15999999736</v>
      </c>
      <c r="L44" s="543">
        <f t="shared" si="7"/>
        <v>488764</v>
      </c>
      <c r="M44" s="546">
        <f t="shared" si="7"/>
        <v>583995</v>
      </c>
      <c r="N44" s="546">
        <f t="shared" si="7"/>
        <v>597196</v>
      </c>
      <c r="O44" s="546">
        <f t="shared" si="7"/>
        <v>562050</v>
      </c>
      <c r="P44" s="546">
        <f t="shared" si="7"/>
        <v>611204</v>
      </c>
      <c r="Q44" s="546">
        <f t="shared" si="7"/>
        <v>448828</v>
      </c>
      <c r="R44" s="546">
        <f t="shared" si="7"/>
        <v>720308.28000000119</v>
      </c>
      <c r="S44" s="546">
        <f t="shared" si="7"/>
        <v>0</v>
      </c>
      <c r="T44" s="546">
        <f t="shared" si="7"/>
        <v>0</v>
      </c>
      <c r="U44" s="546">
        <f t="shared" si="5"/>
        <v>6256992.9999999981</v>
      </c>
      <c r="V44" s="546">
        <f>SUM(V40:V43)</f>
        <v>7432827.5120000029</v>
      </c>
      <c r="W44" s="385"/>
      <c r="X44" s="386"/>
      <c r="Y44" s="387"/>
      <c r="Z44" s="388"/>
      <c r="AA44" s="389"/>
      <c r="AB44" s="390"/>
      <c r="AC44" s="390"/>
      <c r="AD44" s="390"/>
      <c r="AE44" s="390"/>
      <c r="AF44" s="390"/>
      <c r="AG44" s="390"/>
      <c r="AH44" s="390"/>
    </row>
    <row r="45" spans="1:34" s="73" customFormat="1" ht="24.75" customHeight="1" thickBot="1" x14ac:dyDescent="0.75">
      <c r="A45" s="392"/>
      <c r="B45" s="403"/>
      <c r="C45" s="404"/>
      <c r="D45" s="404"/>
      <c r="E45" s="404"/>
      <c r="F45" s="404"/>
      <c r="G45" s="404"/>
      <c r="H45" s="421"/>
      <c r="I45" s="405"/>
      <c r="J45" s="405"/>
      <c r="K45" s="405"/>
      <c r="L45" s="405"/>
      <c r="M45" s="405"/>
      <c r="N45" s="405"/>
      <c r="O45" s="405"/>
      <c r="P45" s="405"/>
      <c r="Q45" s="405"/>
      <c r="R45" s="405"/>
      <c r="S45" s="405"/>
      <c r="T45" s="405"/>
      <c r="U45" s="405"/>
      <c r="V45" s="405"/>
      <c r="W45" s="393"/>
      <c r="X45" s="394"/>
      <c r="Y45" s="395"/>
      <c r="Z45" s="396"/>
      <c r="AA45" s="397"/>
      <c r="AB45" s="398"/>
      <c r="AC45" s="398"/>
      <c r="AD45" s="398"/>
      <c r="AE45" s="398"/>
      <c r="AF45" s="398"/>
      <c r="AG45" s="398"/>
      <c r="AH45" s="398"/>
    </row>
    <row r="46" spans="1:34" s="383" customFormat="1" ht="40" customHeight="1" x14ac:dyDescent="0.75">
      <c r="A46" s="376"/>
      <c r="B46" s="448" t="s">
        <v>146</v>
      </c>
      <c r="C46" s="449"/>
      <c r="D46" s="449"/>
      <c r="E46" s="449"/>
      <c r="F46" s="449"/>
      <c r="G46" s="449"/>
      <c r="H46" s="450"/>
      <c r="I46" s="451"/>
      <c r="J46" s="451"/>
      <c r="K46" s="451"/>
      <c r="L46" s="451"/>
      <c r="M46" s="451"/>
      <c r="N46" s="451"/>
      <c r="O46" s="451"/>
      <c r="P46" s="451"/>
      <c r="Q46" s="451"/>
      <c r="R46" s="451"/>
      <c r="S46" s="451"/>
      <c r="T46" s="451"/>
      <c r="U46" s="451"/>
      <c r="V46" s="452"/>
      <c r="W46" s="377"/>
      <c r="X46" s="378"/>
      <c r="Y46" s="379"/>
      <c r="Z46" s="380"/>
      <c r="AA46" s="381"/>
      <c r="AB46" s="382"/>
      <c r="AC46" s="382"/>
      <c r="AD46" s="382"/>
      <c r="AE46" s="382"/>
      <c r="AF46" s="382"/>
      <c r="AG46" s="382"/>
      <c r="AH46" s="382"/>
    </row>
    <row r="47" spans="1:34" s="391" customFormat="1" ht="40" customHeight="1" x14ac:dyDescent="0.7">
      <c r="A47" s="384" t="s">
        <v>230</v>
      </c>
      <c r="B47" s="432" t="s">
        <v>97</v>
      </c>
      <c r="C47" s="547">
        <v>64222981.999999978</v>
      </c>
      <c r="D47" s="547">
        <v>66559352.999999993</v>
      </c>
      <c r="E47" s="547">
        <v>60744729</v>
      </c>
      <c r="F47" s="547">
        <v>59367659.509999998</v>
      </c>
      <c r="G47" s="548">
        <v>67919143.000000015</v>
      </c>
      <c r="H47" s="549"/>
      <c r="I47" s="547">
        <v>5351413</v>
      </c>
      <c r="J47" s="547">
        <f>SUM('[1]Revenue by Payor'!$G$7:$N$7)</f>
        <v>5088157.74</v>
      </c>
      <c r="K47" s="547">
        <f>SUM('[1]Revenue by Payor'!$G$8:$N$8)</f>
        <v>5857215.6600000011</v>
      </c>
      <c r="L47" s="547">
        <v>5792167</v>
      </c>
      <c r="M47" s="547">
        <v>5453020</v>
      </c>
      <c r="N47" s="547">
        <v>6295345</v>
      </c>
      <c r="O47" s="547">
        <v>6199337</v>
      </c>
      <c r="P47" s="547">
        <v>5772986</v>
      </c>
      <c r="Q47" s="547">
        <v>6445039</v>
      </c>
      <c r="R47" s="547">
        <f>58021089-SUM(I47:Q47)</f>
        <v>5766408.599999994</v>
      </c>
      <c r="S47" s="547">
        <v>0</v>
      </c>
      <c r="T47" s="547">
        <v>0</v>
      </c>
      <c r="U47" s="547">
        <f t="shared" ref="U47:U55" si="8">SUM(I47:T47)</f>
        <v>58021089</v>
      </c>
      <c r="V47" s="551">
        <f>AVERAGE(N47:R47)*2+U47</f>
        <v>70212735.239999995</v>
      </c>
      <c r="W47" s="385"/>
      <c r="X47" s="386"/>
      <c r="Y47" s="387"/>
      <c r="Z47" s="388"/>
      <c r="AA47" s="389"/>
      <c r="AB47" s="390"/>
      <c r="AC47" s="390"/>
      <c r="AD47" s="390"/>
      <c r="AE47" s="390"/>
      <c r="AF47" s="390"/>
      <c r="AG47" s="390"/>
      <c r="AH47" s="390"/>
    </row>
    <row r="48" spans="1:34" s="73" customFormat="1" ht="72.75" customHeight="1" x14ac:dyDescent="0.7">
      <c r="A48" s="392" t="s">
        <v>231</v>
      </c>
      <c r="B48" s="422" t="s">
        <v>248</v>
      </c>
      <c r="C48" s="502">
        <v>-19183960.999999996</v>
      </c>
      <c r="D48" s="502">
        <v>-18341391</v>
      </c>
      <c r="E48" s="502">
        <v>-20246785</v>
      </c>
      <c r="F48" s="502">
        <v>-21729762.000000004</v>
      </c>
      <c r="G48" s="503">
        <v>-24621862</v>
      </c>
      <c r="H48" s="504"/>
      <c r="I48" s="502">
        <v>-1798595</v>
      </c>
      <c r="J48" s="502">
        <v>-1736089</v>
      </c>
      <c r="K48" s="502">
        <v>-1973567</v>
      </c>
      <c r="L48" s="502">
        <f>-1482572-576086</f>
        <v>-2058658</v>
      </c>
      <c r="M48" s="502">
        <v>-2097808.5</v>
      </c>
      <c r="N48" s="502">
        <f>-1814908-526992</f>
        <v>-2341900</v>
      </c>
      <c r="O48" s="502">
        <v>-1564153</v>
      </c>
      <c r="P48" s="502">
        <v>-1566841</v>
      </c>
      <c r="Q48" s="502">
        <v>-2200612</v>
      </c>
      <c r="R48" s="502">
        <f>-19050320-SUM(I48:Q48)</f>
        <v>-1712096.5</v>
      </c>
      <c r="S48" s="502">
        <v>0</v>
      </c>
      <c r="T48" s="502">
        <v>0</v>
      </c>
      <c r="U48" s="502">
        <f t="shared" si="8"/>
        <v>-19050320</v>
      </c>
      <c r="V48" s="612">
        <f>AVERAGE(N48:R48)*2+U48</f>
        <v>-22804561</v>
      </c>
      <c r="W48" s="393"/>
      <c r="X48" s="394"/>
      <c r="Y48" s="395"/>
      <c r="Z48" s="396"/>
      <c r="AA48" s="397"/>
      <c r="AB48" s="398"/>
      <c r="AC48" s="398"/>
      <c r="AD48" s="398"/>
      <c r="AE48" s="398"/>
      <c r="AF48" s="398"/>
      <c r="AG48" s="398"/>
      <c r="AH48" s="398"/>
    </row>
    <row r="49" spans="1:34" s="73" customFormat="1" ht="40" customHeight="1" x14ac:dyDescent="0.7">
      <c r="A49" s="392" t="s">
        <v>232</v>
      </c>
      <c r="B49" s="433" t="s">
        <v>40</v>
      </c>
      <c r="C49" s="552">
        <v>0</v>
      </c>
      <c r="D49" s="552">
        <v>0</v>
      </c>
      <c r="E49" s="552">
        <v>0</v>
      </c>
      <c r="F49" s="552">
        <v>0</v>
      </c>
      <c r="G49" s="553">
        <v>0</v>
      </c>
      <c r="H49" s="554"/>
      <c r="I49" s="552">
        <v>0</v>
      </c>
      <c r="J49" s="552">
        <v>0</v>
      </c>
      <c r="K49" s="552">
        <v>0</v>
      </c>
      <c r="L49" s="552">
        <v>0</v>
      </c>
      <c r="M49" s="552">
        <v>0</v>
      </c>
      <c r="N49" s="552">
        <v>0</v>
      </c>
      <c r="O49" s="552">
        <v>0</v>
      </c>
      <c r="P49" s="552">
        <v>0</v>
      </c>
      <c r="Q49" s="552">
        <v>0</v>
      </c>
      <c r="R49" s="552">
        <v>0</v>
      </c>
      <c r="S49" s="552">
        <v>0</v>
      </c>
      <c r="T49" s="552">
        <v>0</v>
      </c>
      <c r="U49" s="552">
        <f t="shared" si="8"/>
        <v>0</v>
      </c>
      <c r="V49" s="555">
        <v>0</v>
      </c>
      <c r="W49" s="399"/>
      <c r="X49" s="400"/>
      <c r="Y49" s="401"/>
      <c r="Z49" s="402"/>
      <c r="AA49" s="397"/>
      <c r="AB49" s="398"/>
      <c r="AC49" s="398"/>
      <c r="AD49" s="398"/>
      <c r="AE49" s="398"/>
      <c r="AF49" s="398"/>
      <c r="AG49" s="398"/>
      <c r="AH49" s="398"/>
    </row>
    <row r="50" spans="1:34" s="73" customFormat="1" ht="39.75" customHeight="1" x14ac:dyDescent="0.7">
      <c r="A50" s="392" t="s">
        <v>233</v>
      </c>
      <c r="B50" s="424" t="s">
        <v>77</v>
      </c>
      <c r="C50" s="502">
        <v>0</v>
      </c>
      <c r="D50" s="502">
        <v>0</v>
      </c>
      <c r="E50" s="502">
        <v>0</v>
      </c>
      <c r="F50" s="502">
        <v>0</v>
      </c>
      <c r="G50" s="503">
        <v>0</v>
      </c>
      <c r="H50" s="504"/>
      <c r="I50" s="502">
        <v>0</v>
      </c>
      <c r="J50" s="502">
        <v>0</v>
      </c>
      <c r="K50" s="502">
        <v>0</v>
      </c>
      <c r="L50" s="502">
        <v>0</v>
      </c>
      <c r="M50" s="502">
        <v>0</v>
      </c>
      <c r="N50" s="502">
        <v>0</v>
      </c>
      <c r="O50" s="502">
        <v>0</v>
      </c>
      <c r="P50" s="502">
        <v>0</v>
      </c>
      <c r="Q50" s="502">
        <v>0</v>
      </c>
      <c r="R50" s="502">
        <v>0</v>
      </c>
      <c r="S50" s="502">
        <v>0</v>
      </c>
      <c r="T50" s="502">
        <v>0</v>
      </c>
      <c r="U50" s="502">
        <f t="shared" si="8"/>
        <v>0</v>
      </c>
      <c r="V50" s="506">
        <v>0</v>
      </c>
      <c r="W50" s="393"/>
      <c r="X50" s="394"/>
      <c r="Y50" s="395"/>
      <c r="Z50" s="396"/>
      <c r="AA50" s="397"/>
      <c r="AB50" s="398"/>
      <c r="AC50" s="398"/>
      <c r="AD50" s="398"/>
      <c r="AE50" s="398"/>
      <c r="AF50" s="398"/>
      <c r="AG50" s="398"/>
      <c r="AH50" s="398"/>
    </row>
    <row r="51" spans="1:34" s="391" customFormat="1" ht="40" customHeight="1" x14ac:dyDescent="0.7">
      <c r="A51" s="384" t="s">
        <v>234</v>
      </c>
      <c r="B51" s="432" t="s">
        <v>121</v>
      </c>
      <c r="C51" s="547">
        <v>45039020.999999993</v>
      </c>
      <c r="D51" s="547">
        <v>48217961.999999993</v>
      </c>
      <c r="E51" s="547">
        <v>40497944</v>
      </c>
      <c r="F51" s="547">
        <v>37637897.50999999</v>
      </c>
      <c r="G51" s="548">
        <v>43297281.000000007</v>
      </c>
      <c r="H51" s="549"/>
      <c r="I51" s="547">
        <f>SUM(I47:I50)</f>
        <v>3552818</v>
      </c>
      <c r="J51" s="547">
        <f t="shared" ref="J51:T51" si="9">SUM(J47:J50)</f>
        <v>3352068.74</v>
      </c>
      <c r="K51" s="547">
        <f t="shared" si="9"/>
        <v>3883648.6600000011</v>
      </c>
      <c r="L51" s="547">
        <f t="shared" si="9"/>
        <v>3733509</v>
      </c>
      <c r="M51" s="550">
        <f t="shared" si="9"/>
        <v>3355211.5</v>
      </c>
      <c r="N51" s="550">
        <f t="shared" si="9"/>
        <v>3953445</v>
      </c>
      <c r="O51" s="550">
        <f t="shared" si="9"/>
        <v>4635184</v>
      </c>
      <c r="P51" s="550">
        <f t="shared" si="9"/>
        <v>4206145</v>
      </c>
      <c r="Q51" s="550">
        <f t="shared" si="9"/>
        <v>4244427</v>
      </c>
      <c r="R51" s="550">
        <f t="shared" si="9"/>
        <v>4054312.099999994</v>
      </c>
      <c r="S51" s="550">
        <f t="shared" si="9"/>
        <v>0</v>
      </c>
      <c r="T51" s="550">
        <f t="shared" si="9"/>
        <v>0</v>
      </c>
      <c r="U51" s="547">
        <f t="shared" si="8"/>
        <v>38970769</v>
      </c>
      <c r="V51" s="551">
        <f>SUM(V47:V50)</f>
        <v>47408174.239999995</v>
      </c>
      <c r="W51" s="385"/>
      <c r="X51" s="386"/>
      <c r="Y51" s="387"/>
      <c r="Z51" s="388"/>
      <c r="AA51" s="389"/>
      <c r="AB51" s="390"/>
      <c r="AC51" s="390"/>
      <c r="AD51" s="390"/>
      <c r="AE51" s="390"/>
      <c r="AF51" s="390"/>
      <c r="AG51" s="390"/>
      <c r="AH51" s="390"/>
    </row>
    <row r="52" spans="1:34" s="73" customFormat="1" ht="40" customHeight="1" x14ac:dyDescent="0.7">
      <c r="A52" s="392" t="s">
        <v>235</v>
      </c>
      <c r="B52" s="424" t="s">
        <v>78</v>
      </c>
      <c r="C52" s="502">
        <v>0</v>
      </c>
      <c r="D52" s="502">
        <v>0</v>
      </c>
      <c r="E52" s="502">
        <v>0</v>
      </c>
      <c r="F52" s="502">
        <v>-47067.000000000007</v>
      </c>
      <c r="G52" s="503">
        <v>0</v>
      </c>
      <c r="H52" s="504"/>
      <c r="I52" s="502">
        <v>-3343</v>
      </c>
      <c r="J52" s="502">
        <v>-3243</v>
      </c>
      <c r="K52" s="502">
        <v>23842</v>
      </c>
      <c r="L52" s="502">
        <v>13476</v>
      </c>
      <c r="M52" s="502">
        <v>-13231</v>
      </c>
      <c r="N52" s="502">
        <v>-11765</v>
      </c>
      <c r="O52" s="502">
        <v>-5761</v>
      </c>
      <c r="P52" s="502">
        <v>-11203</v>
      </c>
      <c r="Q52" s="502">
        <v>-7200</v>
      </c>
      <c r="R52" s="502">
        <f>-28963-SUM(I52:Q52)</f>
        <v>-10535</v>
      </c>
      <c r="S52" s="502">
        <v>0</v>
      </c>
      <c r="T52" s="502">
        <v>0</v>
      </c>
      <c r="U52" s="502">
        <f t="shared" si="8"/>
        <v>-28963</v>
      </c>
      <c r="V52" s="612">
        <f>AVERAGE(N52:R52)*2+U52</f>
        <v>-47548.6</v>
      </c>
      <c r="W52" s="393"/>
      <c r="X52" s="394"/>
      <c r="Y52" s="395"/>
      <c r="Z52" s="396"/>
      <c r="AA52" s="397"/>
      <c r="AB52" s="398"/>
      <c r="AC52" s="398"/>
      <c r="AD52" s="398"/>
      <c r="AE52" s="398"/>
      <c r="AF52" s="398"/>
      <c r="AG52" s="398"/>
      <c r="AH52" s="398"/>
    </row>
    <row r="53" spans="1:34" s="73" customFormat="1" ht="40" customHeight="1" x14ac:dyDescent="0.7">
      <c r="A53" s="392" t="s">
        <v>236</v>
      </c>
      <c r="B53" s="433" t="s">
        <v>135</v>
      </c>
      <c r="C53" s="552">
        <v>0</v>
      </c>
      <c r="D53" s="552">
        <v>0</v>
      </c>
      <c r="E53" s="552">
        <v>0</v>
      </c>
      <c r="F53" s="552">
        <v>0</v>
      </c>
      <c r="G53" s="553">
        <v>0</v>
      </c>
      <c r="H53" s="554"/>
      <c r="I53" s="552">
        <v>0</v>
      </c>
      <c r="J53" s="552">
        <v>0</v>
      </c>
      <c r="K53" s="552">
        <v>0</v>
      </c>
      <c r="L53" s="552">
        <v>0</v>
      </c>
      <c r="M53" s="552">
        <v>0</v>
      </c>
      <c r="N53" s="552">
        <v>0</v>
      </c>
      <c r="O53" s="552">
        <v>0</v>
      </c>
      <c r="P53" s="552">
        <v>0</v>
      </c>
      <c r="Q53" s="552">
        <v>0</v>
      </c>
      <c r="R53" s="552">
        <v>0</v>
      </c>
      <c r="S53" s="552">
        <v>0</v>
      </c>
      <c r="T53" s="552">
        <v>0</v>
      </c>
      <c r="U53" s="552">
        <f t="shared" si="8"/>
        <v>0</v>
      </c>
      <c r="V53" s="555">
        <v>0</v>
      </c>
      <c r="W53" s="399"/>
      <c r="X53" s="400"/>
      <c r="Y53" s="401"/>
      <c r="Z53" s="402"/>
      <c r="AA53" s="397"/>
      <c r="AB53" s="398"/>
      <c r="AC53" s="398"/>
      <c r="AD53" s="398"/>
      <c r="AE53" s="398"/>
      <c r="AF53" s="398"/>
      <c r="AG53" s="398"/>
      <c r="AH53" s="398"/>
    </row>
    <row r="54" spans="1:34" s="73" customFormat="1" ht="40" customHeight="1" x14ac:dyDescent="0.7">
      <c r="A54" s="392" t="s">
        <v>237</v>
      </c>
      <c r="B54" s="424" t="s">
        <v>35</v>
      </c>
      <c r="C54" s="502">
        <v>0</v>
      </c>
      <c r="D54" s="502">
        <v>0</v>
      </c>
      <c r="E54" s="502">
        <v>0</v>
      </c>
      <c r="F54" s="502">
        <v>0</v>
      </c>
      <c r="G54" s="503">
        <v>0</v>
      </c>
      <c r="H54" s="504"/>
      <c r="I54" s="502">
        <v>0</v>
      </c>
      <c r="J54" s="502">
        <v>0</v>
      </c>
      <c r="K54" s="502">
        <v>0</v>
      </c>
      <c r="L54" s="502">
        <v>0</v>
      </c>
      <c r="M54" s="502">
        <v>0</v>
      </c>
      <c r="N54" s="502">
        <v>0</v>
      </c>
      <c r="O54" s="502">
        <v>0</v>
      </c>
      <c r="P54" s="502">
        <v>0</v>
      </c>
      <c r="Q54" s="502">
        <v>0</v>
      </c>
      <c r="R54" s="502">
        <v>0</v>
      </c>
      <c r="S54" s="502">
        <v>0</v>
      </c>
      <c r="T54" s="502">
        <v>0</v>
      </c>
      <c r="U54" s="502">
        <f t="shared" si="8"/>
        <v>0</v>
      </c>
      <c r="V54" s="506">
        <v>0</v>
      </c>
      <c r="W54" s="393"/>
      <c r="X54" s="394"/>
      <c r="Y54" s="395"/>
      <c r="Z54" s="396"/>
      <c r="AA54" s="397"/>
      <c r="AB54" s="398"/>
      <c r="AC54" s="398"/>
      <c r="AD54" s="398"/>
      <c r="AE54" s="398"/>
      <c r="AF54" s="398"/>
      <c r="AG54" s="398"/>
      <c r="AH54" s="398"/>
    </row>
    <row r="55" spans="1:34" s="391" customFormat="1" ht="71.25" customHeight="1" thickBot="1" x14ac:dyDescent="0.75">
      <c r="A55" s="384" t="s">
        <v>238</v>
      </c>
      <c r="B55" s="434" t="s">
        <v>13</v>
      </c>
      <c r="C55" s="556">
        <v>45039020.999999993</v>
      </c>
      <c r="D55" s="556">
        <v>48217961.999999993</v>
      </c>
      <c r="E55" s="556">
        <v>40497944</v>
      </c>
      <c r="F55" s="556">
        <v>37590830.50999999</v>
      </c>
      <c r="G55" s="557">
        <v>43297281.000000007</v>
      </c>
      <c r="H55" s="558"/>
      <c r="I55" s="556">
        <f>SUM(I51:I54)</f>
        <v>3549475</v>
      </c>
      <c r="J55" s="556">
        <f t="shared" ref="J55:T55" si="10">SUM(J51:J54)</f>
        <v>3348825.74</v>
      </c>
      <c r="K55" s="556">
        <f t="shared" si="10"/>
        <v>3907490.6600000011</v>
      </c>
      <c r="L55" s="556">
        <f t="shared" si="10"/>
        <v>3746985</v>
      </c>
      <c r="M55" s="559">
        <f t="shared" si="10"/>
        <v>3341980.5</v>
      </c>
      <c r="N55" s="559">
        <f t="shared" si="10"/>
        <v>3941680</v>
      </c>
      <c r="O55" s="559">
        <f t="shared" si="10"/>
        <v>4629423</v>
      </c>
      <c r="P55" s="559">
        <f t="shared" si="10"/>
        <v>4194942</v>
      </c>
      <c r="Q55" s="559">
        <f t="shared" si="10"/>
        <v>4237227</v>
      </c>
      <c r="R55" s="559">
        <f t="shared" si="10"/>
        <v>4043777.099999994</v>
      </c>
      <c r="S55" s="559">
        <f t="shared" si="10"/>
        <v>0</v>
      </c>
      <c r="T55" s="559">
        <f t="shared" si="10"/>
        <v>0</v>
      </c>
      <c r="U55" s="556">
        <f t="shared" si="8"/>
        <v>38941806</v>
      </c>
      <c r="V55" s="560">
        <f>SUM(V51:V54)</f>
        <v>47360625.639999993</v>
      </c>
      <c r="W55" s="385"/>
      <c r="X55" s="386"/>
      <c r="Y55" s="387"/>
      <c r="Z55" s="388"/>
      <c r="AA55" s="389"/>
      <c r="AB55" s="390"/>
      <c r="AC55" s="390"/>
      <c r="AD55" s="390"/>
      <c r="AE55" s="390"/>
      <c r="AF55" s="390"/>
      <c r="AG55" s="390"/>
      <c r="AH55" s="390"/>
    </row>
    <row r="56" spans="1:34" s="73" customFormat="1" ht="40" customHeight="1" thickBot="1" x14ac:dyDescent="0.75">
      <c r="A56" s="392"/>
      <c r="B56" s="435"/>
      <c r="C56" s="561"/>
      <c r="D56" s="561"/>
      <c r="E56" s="561"/>
      <c r="F56" s="561"/>
      <c r="G56" s="562"/>
      <c r="H56" s="563"/>
      <c r="I56" s="561"/>
      <c r="J56" s="561"/>
      <c r="K56" s="561"/>
      <c r="L56" s="561"/>
      <c r="M56" s="561"/>
      <c r="N56" s="561"/>
      <c r="O56" s="561"/>
      <c r="P56" s="561"/>
      <c r="Q56" s="561"/>
      <c r="R56" s="561"/>
      <c r="S56" s="561"/>
      <c r="T56" s="561"/>
      <c r="U56" s="561"/>
      <c r="V56" s="561"/>
      <c r="W56" s="393"/>
      <c r="X56" s="394"/>
      <c r="Y56" s="395"/>
      <c r="Z56" s="396"/>
      <c r="AA56" s="397"/>
      <c r="AB56" s="398"/>
      <c r="AC56" s="398"/>
      <c r="AD56" s="398"/>
      <c r="AE56" s="398"/>
      <c r="AF56" s="398"/>
      <c r="AG56" s="398"/>
      <c r="AH56" s="398"/>
    </row>
    <row r="57" spans="1:34" s="73" customFormat="1" ht="40" customHeight="1" thickBot="1" x14ac:dyDescent="0.75">
      <c r="A57" s="392" t="s">
        <v>262</v>
      </c>
      <c r="B57" s="436" t="s">
        <v>40</v>
      </c>
      <c r="C57" s="564">
        <v>585323.00000000012</v>
      </c>
      <c r="D57" s="564">
        <v>530861.00000000012</v>
      </c>
      <c r="E57" s="564">
        <v>532377.00000000012</v>
      </c>
      <c r="F57" s="564">
        <v>532029.99999999988</v>
      </c>
      <c r="G57" s="565">
        <v>530861.00000000012</v>
      </c>
      <c r="H57" s="566"/>
      <c r="I57" s="564">
        <v>71429</v>
      </c>
      <c r="J57" s="564">
        <v>49883</v>
      </c>
      <c r="K57" s="564">
        <v>52123</v>
      </c>
      <c r="L57" s="564">
        <v>52123</v>
      </c>
      <c r="M57" s="564">
        <v>47079</v>
      </c>
      <c r="N57" s="564">
        <v>52123</v>
      </c>
      <c r="O57" s="564">
        <f>+O16</f>
        <v>50441</v>
      </c>
      <c r="P57" s="564">
        <v>52123</v>
      </c>
      <c r="Q57" s="564">
        <v>50441</v>
      </c>
      <c r="R57" s="564">
        <f>529644-SUM(I57:Q57)</f>
        <v>51879</v>
      </c>
      <c r="S57" s="564">
        <v>0</v>
      </c>
      <c r="T57" s="564">
        <v>0</v>
      </c>
      <c r="U57" s="564">
        <f>SUM(I57:T57)</f>
        <v>529644</v>
      </c>
      <c r="V57" s="567">
        <f>AVERAGE(N57:R57)*2+U57</f>
        <v>632446.80000000005</v>
      </c>
      <c r="W57" s="399"/>
      <c r="X57" s="400"/>
      <c r="Y57" s="401"/>
      <c r="Z57" s="402"/>
      <c r="AA57" s="397"/>
      <c r="AB57" s="398"/>
      <c r="AC57" s="398"/>
      <c r="AD57" s="398"/>
      <c r="AE57" s="398"/>
      <c r="AF57" s="398"/>
      <c r="AG57" s="398"/>
      <c r="AH57" s="398"/>
    </row>
    <row r="58" spans="1:34" s="410" customFormat="1" ht="40" customHeight="1" x14ac:dyDescent="0.7">
      <c r="A58" s="406"/>
      <c r="B58" s="407"/>
      <c r="C58" s="404"/>
      <c r="D58" s="404"/>
      <c r="E58" s="404"/>
      <c r="F58" s="404"/>
      <c r="G58" s="404"/>
      <c r="H58" s="404"/>
      <c r="I58" s="404"/>
      <c r="J58" s="404"/>
      <c r="K58" s="404"/>
      <c r="L58" s="404"/>
      <c r="M58" s="404"/>
      <c r="N58" s="404"/>
      <c r="O58" s="404"/>
      <c r="P58" s="404"/>
      <c r="Q58" s="404"/>
      <c r="R58" s="404"/>
      <c r="S58" s="404"/>
      <c r="T58" s="404"/>
      <c r="U58" s="404"/>
      <c r="V58" s="404"/>
      <c r="W58" s="393"/>
      <c r="X58" s="394"/>
      <c r="Y58" s="394"/>
      <c r="Z58" s="396"/>
      <c r="AA58" s="408"/>
      <c r="AB58" s="409"/>
      <c r="AC58" s="409"/>
      <c r="AD58" s="409"/>
      <c r="AE58" s="409"/>
      <c r="AF58" s="409"/>
      <c r="AG58" s="409"/>
      <c r="AH58" s="409"/>
    </row>
    <row r="59" spans="1:34" s="410" customFormat="1" ht="40" customHeight="1" x14ac:dyDescent="0.7">
      <c r="A59" s="406"/>
      <c r="B59" s="407"/>
      <c r="C59" s="404"/>
      <c r="D59" s="404"/>
      <c r="E59" s="404"/>
      <c r="F59" s="404"/>
      <c r="G59" s="404"/>
      <c r="H59" s="404"/>
      <c r="I59" s="404"/>
      <c r="J59" s="404"/>
      <c r="K59" s="404"/>
      <c r="L59" s="404"/>
      <c r="M59" s="404"/>
      <c r="N59" s="404"/>
      <c r="O59" s="404"/>
      <c r="P59" s="404"/>
      <c r="Q59" s="404"/>
      <c r="R59" s="404"/>
      <c r="S59" s="404"/>
      <c r="T59" s="404"/>
      <c r="U59" s="404"/>
      <c r="V59" s="404"/>
      <c r="W59" s="393"/>
      <c r="X59" s="394"/>
      <c r="Y59" s="394"/>
      <c r="Z59" s="396"/>
      <c r="AA59" s="408"/>
      <c r="AB59" s="409"/>
      <c r="AC59" s="409"/>
      <c r="AD59" s="409"/>
      <c r="AE59" s="409"/>
      <c r="AF59" s="409"/>
      <c r="AG59" s="409"/>
      <c r="AH59" s="409"/>
    </row>
    <row r="60" spans="1:34" s="410" customFormat="1" ht="40" customHeight="1" x14ac:dyDescent="0.7">
      <c r="A60" s="406"/>
      <c r="B60" s="407"/>
      <c r="C60" s="404"/>
      <c r="D60" s="404"/>
      <c r="E60" s="404"/>
      <c r="F60" s="404"/>
      <c r="G60" s="404"/>
      <c r="H60" s="404"/>
      <c r="I60" s="404"/>
      <c r="J60" s="404"/>
      <c r="K60" s="404"/>
      <c r="L60" s="404"/>
      <c r="M60" s="404"/>
      <c r="N60" s="404"/>
      <c r="O60" s="404"/>
      <c r="P60" s="404"/>
      <c r="Q60" s="404"/>
      <c r="R60" s="404"/>
      <c r="S60" s="404"/>
      <c r="T60" s="404"/>
      <c r="U60" s="404"/>
      <c r="V60" s="404"/>
      <c r="W60" s="393"/>
      <c r="X60" s="394"/>
      <c r="Y60" s="394"/>
      <c r="Z60" s="396"/>
      <c r="AA60" s="408"/>
      <c r="AB60" s="409"/>
      <c r="AC60" s="409"/>
      <c r="AD60" s="409"/>
      <c r="AE60" s="409"/>
      <c r="AF60" s="409"/>
      <c r="AG60" s="409"/>
      <c r="AH60" s="409"/>
    </row>
    <row r="61" spans="1:34" s="410" customFormat="1" ht="40" customHeight="1" x14ac:dyDescent="0.7">
      <c r="A61" s="406"/>
      <c r="B61" s="407"/>
      <c r="C61" s="404"/>
      <c r="D61" s="404"/>
      <c r="E61" s="404"/>
      <c r="F61" s="404"/>
      <c r="G61" s="404"/>
      <c r="H61" s="404"/>
      <c r="I61" s="404"/>
      <c r="J61" s="404"/>
      <c r="K61" s="404"/>
      <c r="L61" s="404"/>
      <c r="M61" s="404"/>
      <c r="N61" s="404"/>
      <c r="O61" s="404"/>
      <c r="P61" s="404"/>
      <c r="Q61" s="404"/>
      <c r="R61" s="404"/>
      <c r="S61" s="404"/>
      <c r="T61" s="404"/>
      <c r="U61" s="404"/>
      <c r="V61" s="404"/>
      <c r="W61" s="393"/>
      <c r="X61" s="394"/>
      <c r="Y61" s="394"/>
      <c r="Z61" s="396"/>
      <c r="AA61" s="408"/>
      <c r="AB61" s="409"/>
      <c r="AC61" s="409"/>
      <c r="AD61" s="409"/>
      <c r="AE61" s="409"/>
      <c r="AF61" s="409"/>
      <c r="AG61" s="409"/>
      <c r="AH61" s="409"/>
    </row>
    <row r="62" spans="1:34" s="410" customFormat="1" ht="40" customHeight="1" x14ac:dyDescent="0.7">
      <c r="A62" s="406"/>
      <c r="B62" s="407"/>
      <c r="C62" s="404"/>
      <c r="D62" s="404"/>
      <c r="E62" s="404"/>
      <c r="F62" s="404"/>
      <c r="G62" s="404"/>
      <c r="H62" s="404"/>
      <c r="I62" s="404"/>
      <c r="J62" s="404"/>
      <c r="K62" s="404"/>
      <c r="L62" s="404"/>
      <c r="M62" s="404"/>
      <c r="N62" s="404"/>
      <c r="O62" s="404"/>
      <c r="P62" s="404"/>
      <c r="Q62" s="404"/>
      <c r="R62" s="404"/>
      <c r="S62" s="404"/>
      <c r="T62" s="404"/>
      <c r="U62" s="404"/>
      <c r="V62" s="404"/>
      <c r="W62" s="393"/>
      <c r="X62" s="394"/>
      <c r="Y62" s="394"/>
      <c r="Z62" s="396"/>
      <c r="AA62" s="408"/>
      <c r="AB62" s="409"/>
      <c r="AC62" s="409"/>
      <c r="AD62" s="409"/>
      <c r="AE62" s="409"/>
      <c r="AF62" s="409"/>
      <c r="AG62" s="409"/>
      <c r="AH62" s="409"/>
    </row>
    <row r="63" spans="1:34" s="410" customFormat="1" ht="40" customHeight="1" x14ac:dyDescent="0.7">
      <c r="A63" s="406"/>
      <c r="B63" s="407" t="s">
        <v>229</v>
      </c>
      <c r="C63" s="404"/>
      <c r="D63" s="404"/>
      <c r="E63" s="404"/>
      <c r="F63" s="404"/>
      <c r="G63" s="404"/>
      <c r="H63" s="404"/>
      <c r="I63" s="404"/>
      <c r="J63" s="404"/>
      <c r="K63" s="404"/>
      <c r="L63" s="404"/>
      <c r="M63" s="404"/>
      <c r="N63" s="404"/>
      <c r="O63" s="404"/>
      <c r="P63" s="404"/>
      <c r="Q63" s="404"/>
      <c r="R63" s="404"/>
      <c r="S63" s="404"/>
      <c r="T63" s="404"/>
      <c r="U63" s="404"/>
      <c r="V63" s="404"/>
      <c r="W63" s="393"/>
      <c r="X63" s="394"/>
      <c r="Y63" s="394"/>
      <c r="Z63" s="396"/>
      <c r="AA63" s="408"/>
      <c r="AB63" s="409"/>
      <c r="AC63" s="409"/>
      <c r="AD63" s="409"/>
      <c r="AE63" s="409"/>
      <c r="AF63" s="409"/>
      <c r="AG63" s="409"/>
      <c r="AH63" s="409"/>
    </row>
    <row r="64" spans="1:34" s="410" customFormat="1" ht="40" customHeight="1" x14ac:dyDescent="0.7">
      <c r="A64" s="406"/>
      <c r="B64" s="418" t="s">
        <v>97</v>
      </c>
      <c r="C64" s="404">
        <f t="shared" ref="C64:H65" si="11">+C47+C36+C25-C14</f>
        <v>0</v>
      </c>
      <c r="D64" s="404">
        <f t="shared" si="11"/>
        <v>0</v>
      </c>
      <c r="E64" s="404">
        <f t="shared" si="11"/>
        <v>0</v>
      </c>
      <c r="F64" s="404">
        <f t="shared" si="11"/>
        <v>0</v>
      </c>
      <c r="G64" s="404">
        <f t="shared" si="11"/>
        <v>0</v>
      </c>
      <c r="H64" s="404">
        <f t="shared" si="11"/>
        <v>0</v>
      </c>
      <c r="I64" s="404">
        <f>+I47+I36+I25-I14</f>
        <v>0</v>
      </c>
      <c r="J64" s="404">
        <f>+J47+J36+J25-J14</f>
        <v>0.31000000052154064</v>
      </c>
      <c r="K64" s="404">
        <f t="shared" ref="K64:U64" si="12">+K47+K36+K25-K14</f>
        <v>-0.41000001505017281</v>
      </c>
      <c r="L64" s="404">
        <f t="shared" si="12"/>
        <v>-0.16999999992549419</v>
      </c>
      <c r="M64" s="404">
        <f t="shared" si="12"/>
        <v>0</v>
      </c>
      <c r="N64" s="404">
        <f t="shared" si="12"/>
        <v>-0.44999999925494194</v>
      </c>
      <c r="O64" s="404">
        <f t="shared" si="12"/>
        <v>-0.44999999925494194</v>
      </c>
      <c r="P64" s="404">
        <f t="shared" si="12"/>
        <v>-9.9999994039535522E-2</v>
      </c>
      <c r="Q64" s="404">
        <f t="shared" si="12"/>
        <v>0</v>
      </c>
      <c r="R64" s="404">
        <f t="shared" si="12"/>
        <v>1.2700000107288361</v>
      </c>
      <c r="S64" s="404">
        <f t="shared" si="12"/>
        <v>0</v>
      </c>
      <c r="T64" s="404">
        <f t="shared" si="12"/>
        <v>0</v>
      </c>
      <c r="U64" s="404">
        <f t="shared" si="12"/>
        <v>0</v>
      </c>
      <c r="V64" s="404">
        <f t="shared" ref="V64" si="13">+V47+V36+V25-V14</f>
        <v>0.1080000102519989</v>
      </c>
      <c r="W64" s="393"/>
      <c r="X64" s="394"/>
      <c r="Y64" s="394"/>
      <c r="Z64" s="396"/>
      <c r="AA64" s="408"/>
      <c r="AB64" s="409"/>
      <c r="AC64" s="409"/>
      <c r="AD64" s="409"/>
      <c r="AE64" s="409"/>
      <c r="AF64" s="409"/>
      <c r="AG64" s="409"/>
      <c r="AH64" s="409"/>
    </row>
    <row r="65" spans="1:34" s="410" customFormat="1" ht="68.25" customHeight="1" x14ac:dyDescent="0.7">
      <c r="A65" s="406"/>
      <c r="B65" s="419" t="s">
        <v>248</v>
      </c>
      <c r="C65" s="404">
        <f t="shared" si="11"/>
        <v>0</v>
      </c>
      <c r="D65" s="404">
        <f t="shared" si="11"/>
        <v>0</v>
      </c>
      <c r="E65" s="404">
        <f t="shared" si="11"/>
        <v>0</v>
      </c>
      <c r="F65" s="404">
        <f t="shared" si="11"/>
        <v>0</v>
      </c>
      <c r="G65" s="404">
        <f t="shared" si="11"/>
        <v>0</v>
      </c>
      <c r="H65" s="404">
        <f t="shared" si="11"/>
        <v>0</v>
      </c>
      <c r="I65" s="404">
        <f>+I48+I37+I26-I15</f>
        <v>0</v>
      </c>
      <c r="J65" s="404">
        <f>+J48+J37+J26-J15</f>
        <v>0</v>
      </c>
      <c r="K65" s="404">
        <f t="shared" ref="K65:U65" si="14">+K48+K37+K26-K15</f>
        <v>0</v>
      </c>
      <c r="L65" s="404">
        <f t="shared" si="14"/>
        <v>0</v>
      </c>
      <c r="M65" s="404">
        <f t="shared" si="14"/>
        <v>0</v>
      </c>
      <c r="N65" s="404">
        <f t="shared" si="14"/>
        <v>-0.34999999776482582</v>
      </c>
      <c r="O65" s="404">
        <f t="shared" si="14"/>
        <v>-1.4499999992549419</v>
      </c>
      <c r="P65" s="404">
        <f t="shared" si="14"/>
        <v>2.8000000044703484</v>
      </c>
      <c r="Q65" s="404">
        <f t="shared" si="14"/>
        <v>0</v>
      </c>
      <c r="R65" s="404">
        <f t="shared" si="14"/>
        <v>-1</v>
      </c>
      <c r="S65" s="404">
        <f t="shared" si="14"/>
        <v>0</v>
      </c>
      <c r="T65" s="404">
        <f t="shared" si="14"/>
        <v>0</v>
      </c>
      <c r="U65" s="404">
        <f t="shared" si="14"/>
        <v>0</v>
      </c>
      <c r="V65" s="404">
        <f t="shared" ref="V65" si="15">+V48+V37+V26-V15</f>
        <v>0</v>
      </c>
      <c r="W65" s="393"/>
      <c r="X65" s="394"/>
      <c r="Y65" s="394"/>
      <c r="Z65" s="396"/>
      <c r="AA65" s="408"/>
      <c r="AB65" s="409"/>
      <c r="AC65" s="409"/>
      <c r="AD65" s="409"/>
      <c r="AE65" s="409"/>
      <c r="AF65" s="409"/>
      <c r="AG65" s="409"/>
      <c r="AH65" s="409"/>
    </row>
    <row r="66" spans="1:34" s="410" customFormat="1" ht="40" customHeight="1" x14ac:dyDescent="0.7">
      <c r="A66" s="406"/>
      <c r="B66" s="418" t="s">
        <v>40</v>
      </c>
      <c r="C66" s="404">
        <f t="shared" ref="C66:H66" si="16">+C49+C38+C27+C57-C16</f>
        <v>0</v>
      </c>
      <c r="D66" s="404">
        <f t="shared" si="16"/>
        <v>0</v>
      </c>
      <c r="E66" s="404">
        <f t="shared" si="16"/>
        <v>0</v>
      </c>
      <c r="F66" s="404">
        <f t="shared" si="16"/>
        <v>0</v>
      </c>
      <c r="G66" s="404">
        <f t="shared" si="16"/>
        <v>0</v>
      </c>
      <c r="H66" s="404">
        <f t="shared" si="16"/>
        <v>0</v>
      </c>
      <c r="I66" s="404">
        <f>+I49+I38+I27+I57-I16</f>
        <v>0</v>
      </c>
      <c r="J66" s="404">
        <f>+J49+J38+J27+J57-J16</f>
        <v>0</v>
      </c>
      <c r="K66" s="404">
        <f t="shared" ref="K66:U66" si="17">+K49+K38+K27+K57-K16</f>
        <v>0</v>
      </c>
      <c r="L66" s="404">
        <f t="shared" si="17"/>
        <v>0</v>
      </c>
      <c r="M66" s="404">
        <f t="shared" si="17"/>
        <v>0</v>
      </c>
      <c r="N66" s="404">
        <f t="shared" si="17"/>
        <v>1.5500000000029104</v>
      </c>
      <c r="O66" s="404">
        <f t="shared" si="17"/>
        <v>0</v>
      </c>
      <c r="P66" s="404">
        <f t="shared" si="17"/>
        <v>0.45000000001164153</v>
      </c>
      <c r="Q66" s="404">
        <f t="shared" si="17"/>
        <v>0</v>
      </c>
      <c r="R66" s="404">
        <f t="shared" si="17"/>
        <v>-2</v>
      </c>
      <c r="S66" s="404">
        <f t="shared" si="17"/>
        <v>0</v>
      </c>
      <c r="T66" s="404">
        <f t="shared" si="17"/>
        <v>0</v>
      </c>
      <c r="U66" s="404">
        <f t="shared" si="17"/>
        <v>0</v>
      </c>
      <c r="V66" s="404">
        <f t="shared" ref="V66" si="18">+V49+V38+V27+V57-V16</f>
        <v>0</v>
      </c>
      <c r="W66" s="393"/>
      <c r="X66" s="394"/>
      <c r="Y66" s="394"/>
      <c r="Z66" s="396"/>
      <c r="AA66" s="408"/>
      <c r="AB66" s="409"/>
      <c r="AC66" s="409"/>
      <c r="AD66" s="409"/>
      <c r="AE66" s="409"/>
      <c r="AF66" s="409"/>
      <c r="AG66" s="409"/>
      <c r="AH66" s="409"/>
    </row>
    <row r="67" spans="1:34" s="410" customFormat="1" ht="40" customHeight="1" x14ac:dyDescent="0.7">
      <c r="A67" s="406"/>
      <c r="B67" s="418" t="s">
        <v>77</v>
      </c>
      <c r="C67" s="404">
        <f t="shared" ref="C67:H71" si="19">+C50+C39+C28-C17</f>
        <v>0</v>
      </c>
      <c r="D67" s="404">
        <f t="shared" si="19"/>
        <v>0</v>
      </c>
      <c r="E67" s="404">
        <f t="shared" si="19"/>
        <v>0</v>
      </c>
      <c r="F67" s="404">
        <f t="shared" si="19"/>
        <v>0</v>
      </c>
      <c r="G67" s="404">
        <f t="shared" si="19"/>
        <v>0</v>
      </c>
      <c r="H67" s="404">
        <f t="shared" si="19"/>
        <v>0</v>
      </c>
      <c r="I67" s="404">
        <f>+I50+I39+I28-I17</f>
        <v>0</v>
      </c>
      <c r="J67" s="404">
        <f>+J50+J39+J28-J17</f>
        <v>0</v>
      </c>
      <c r="K67" s="404">
        <f t="shared" ref="K67:U67" si="20">+K50+K39+K28-K17</f>
        <v>0</v>
      </c>
      <c r="L67" s="404">
        <f t="shared" si="20"/>
        <v>0</v>
      </c>
      <c r="M67" s="404">
        <f t="shared" si="20"/>
        <v>0</v>
      </c>
      <c r="N67" s="404">
        <f t="shared" si="20"/>
        <v>0</v>
      </c>
      <c r="O67" s="404">
        <f t="shared" si="20"/>
        <v>0</v>
      </c>
      <c r="P67" s="404">
        <f t="shared" si="20"/>
        <v>0</v>
      </c>
      <c r="Q67" s="404">
        <f t="shared" si="20"/>
        <v>0</v>
      </c>
      <c r="R67" s="404">
        <f t="shared" si="20"/>
        <v>0</v>
      </c>
      <c r="S67" s="404">
        <f t="shared" si="20"/>
        <v>0</v>
      </c>
      <c r="T67" s="404">
        <f t="shared" si="20"/>
        <v>0</v>
      </c>
      <c r="U67" s="404">
        <f t="shared" si="20"/>
        <v>0</v>
      </c>
      <c r="V67" s="404">
        <f t="shared" ref="V67" si="21">+V50+V39+V28-V17</f>
        <v>0</v>
      </c>
      <c r="W67" s="393"/>
      <c r="X67" s="394"/>
      <c r="Y67" s="394"/>
      <c r="Z67" s="396"/>
      <c r="AA67" s="408"/>
      <c r="AB67" s="409"/>
      <c r="AC67" s="409"/>
      <c r="AD67" s="409"/>
      <c r="AE67" s="409"/>
      <c r="AF67" s="409"/>
      <c r="AG67" s="409"/>
      <c r="AH67" s="409"/>
    </row>
    <row r="68" spans="1:34" s="410" customFormat="1" ht="40" customHeight="1" x14ac:dyDescent="0.7">
      <c r="A68" s="406"/>
      <c r="B68" s="418" t="s">
        <v>121</v>
      </c>
      <c r="C68" s="404">
        <f t="shared" ref="C68:H68" si="22">+C51+C40+C29+C57-C18</f>
        <v>0</v>
      </c>
      <c r="D68" s="404">
        <f t="shared" si="22"/>
        <v>0</v>
      </c>
      <c r="E68" s="404">
        <f t="shared" si="22"/>
        <v>0</v>
      </c>
      <c r="F68" s="404">
        <f t="shared" si="22"/>
        <v>0</v>
      </c>
      <c r="G68" s="404">
        <f t="shared" si="22"/>
        <v>0</v>
      </c>
      <c r="H68" s="404">
        <f t="shared" si="22"/>
        <v>0</v>
      </c>
      <c r="I68" s="404">
        <f>+I51+I40+I29+I57-I18</f>
        <v>0</v>
      </c>
      <c r="J68" s="404">
        <f>+J51+J40+J29+J57-J18</f>
        <v>0.31000000052154064</v>
      </c>
      <c r="K68" s="404">
        <f t="shared" ref="K68:U68" si="23">+K51+K40+K29+K57-K18</f>
        <v>-0.41000001598149538</v>
      </c>
      <c r="L68" s="404">
        <f t="shared" si="23"/>
        <v>-0.16999999992549419</v>
      </c>
      <c r="M68" s="404">
        <f t="shared" si="23"/>
        <v>0</v>
      </c>
      <c r="N68" s="404">
        <f t="shared" si="23"/>
        <v>0.7500000037252903</v>
      </c>
      <c r="O68" s="404">
        <f t="shared" si="23"/>
        <v>-1.8999999985098839</v>
      </c>
      <c r="P68" s="404">
        <f t="shared" si="23"/>
        <v>3.1500000096857548</v>
      </c>
      <c r="Q68" s="404">
        <f t="shared" si="23"/>
        <v>0</v>
      </c>
      <c r="R68" s="404">
        <f t="shared" si="23"/>
        <v>-1.7299999892711639</v>
      </c>
      <c r="S68" s="404">
        <f t="shared" si="23"/>
        <v>0</v>
      </c>
      <c r="T68" s="404">
        <f t="shared" si="23"/>
        <v>0</v>
      </c>
      <c r="U68" s="404">
        <f t="shared" si="23"/>
        <v>0</v>
      </c>
      <c r="V68" s="404">
        <f t="shared" ref="V68" si="24">+V51+V40+V29+V57-V18</f>
        <v>0.1080000102519989</v>
      </c>
      <c r="W68" s="393"/>
      <c r="X68" s="394"/>
      <c r="Y68" s="394"/>
      <c r="Z68" s="396"/>
      <c r="AA68" s="408"/>
      <c r="AB68" s="409"/>
      <c r="AC68" s="409"/>
      <c r="AD68" s="409"/>
      <c r="AE68" s="409"/>
      <c r="AF68" s="409"/>
      <c r="AG68" s="409"/>
      <c r="AH68" s="409"/>
    </row>
    <row r="69" spans="1:34" s="410" customFormat="1" ht="40" customHeight="1" x14ac:dyDescent="0.7">
      <c r="A69" s="406"/>
      <c r="B69" s="418" t="s">
        <v>78</v>
      </c>
      <c r="C69" s="404">
        <f t="shared" si="19"/>
        <v>0</v>
      </c>
      <c r="D69" s="404">
        <f t="shared" si="19"/>
        <v>0</v>
      </c>
      <c r="E69" s="404">
        <f t="shared" si="19"/>
        <v>0</v>
      </c>
      <c r="F69" s="404">
        <f t="shared" si="19"/>
        <v>0</v>
      </c>
      <c r="G69" s="404">
        <f t="shared" si="19"/>
        <v>0</v>
      </c>
      <c r="H69" s="404">
        <f t="shared" si="19"/>
        <v>0</v>
      </c>
      <c r="I69" s="404">
        <f t="shared" ref="I69:J71" si="25">+I52+I41+I30-I19</f>
        <v>1</v>
      </c>
      <c r="J69" s="404">
        <f t="shared" si="25"/>
        <v>-1</v>
      </c>
      <c r="K69" s="404">
        <f t="shared" ref="K69:U69" si="26">+K52+K41+K30-K19</f>
        <v>1</v>
      </c>
      <c r="L69" s="404">
        <f t="shared" si="26"/>
        <v>-1</v>
      </c>
      <c r="M69" s="404">
        <f t="shared" si="26"/>
        <v>0</v>
      </c>
      <c r="N69" s="404">
        <f t="shared" si="26"/>
        <v>-1.4499999999534339</v>
      </c>
      <c r="O69" s="404">
        <f t="shared" si="26"/>
        <v>-0.5</v>
      </c>
      <c r="P69" s="404">
        <f t="shared" si="26"/>
        <v>0.95000000018626451</v>
      </c>
      <c r="Q69" s="404">
        <f t="shared" si="26"/>
        <v>0</v>
      </c>
      <c r="R69" s="404">
        <f t="shared" si="26"/>
        <v>1</v>
      </c>
      <c r="S69" s="404">
        <f t="shared" si="26"/>
        <v>0</v>
      </c>
      <c r="T69" s="404">
        <f t="shared" si="26"/>
        <v>0</v>
      </c>
      <c r="U69" s="404">
        <f t="shared" si="26"/>
        <v>0</v>
      </c>
      <c r="V69" s="404">
        <f t="shared" ref="V69" si="27">+V52+V41+V30-V19</f>
        <v>0</v>
      </c>
      <c r="W69" s="393"/>
      <c r="X69" s="394"/>
      <c r="Y69" s="394"/>
      <c r="Z69" s="396"/>
      <c r="AA69" s="408"/>
      <c r="AB69" s="409"/>
      <c r="AC69" s="409"/>
      <c r="AD69" s="409"/>
      <c r="AE69" s="409"/>
      <c r="AF69" s="409"/>
      <c r="AG69" s="409"/>
      <c r="AH69" s="409"/>
    </row>
    <row r="70" spans="1:34" s="410" customFormat="1" ht="40" customHeight="1" x14ac:dyDescent="0.7">
      <c r="A70" s="406"/>
      <c r="B70" s="418" t="s">
        <v>135</v>
      </c>
      <c r="C70" s="404">
        <f t="shared" si="19"/>
        <v>0</v>
      </c>
      <c r="D70" s="404">
        <f t="shared" si="19"/>
        <v>0</v>
      </c>
      <c r="E70" s="404">
        <f t="shared" si="19"/>
        <v>0</v>
      </c>
      <c r="F70" s="404">
        <f t="shared" si="19"/>
        <v>0</v>
      </c>
      <c r="G70" s="404">
        <f t="shared" si="19"/>
        <v>0</v>
      </c>
      <c r="H70" s="404">
        <f t="shared" si="19"/>
        <v>0</v>
      </c>
      <c r="I70" s="404">
        <f t="shared" si="25"/>
        <v>0</v>
      </c>
      <c r="J70" s="404">
        <f t="shared" si="25"/>
        <v>0</v>
      </c>
      <c r="K70" s="404">
        <f t="shared" ref="K70:U70" si="28">+K53+K42+K31-K20</f>
        <v>0</v>
      </c>
      <c r="L70" s="404">
        <f t="shared" si="28"/>
        <v>0</v>
      </c>
      <c r="M70" s="404">
        <f t="shared" si="28"/>
        <v>0</v>
      </c>
      <c r="N70" s="404">
        <f t="shared" si="28"/>
        <v>0</v>
      </c>
      <c r="O70" s="404">
        <f t="shared" si="28"/>
        <v>0</v>
      </c>
      <c r="P70" s="404">
        <f t="shared" si="28"/>
        <v>0</v>
      </c>
      <c r="Q70" s="404">
        <f t="shared" si="28"/>
        <v>0</v>
      </c>
      <c r="R70" s="404">
        <f t="shared" si="28"/>
        <v>0</v>
      </c>
      <c r="S70" s="404">
        <f t="shared" si="28"/>
        <v>0</v>
      </c>
      <c r="T70" s="404">
        <f t="shared" si="28"/>
        <v>0</v>
      </c>
      <c r="U70" s="404">
        <f t="shared" si="28"/>
        <v>0</v>
      </c>
      <c r="V70" s="404">
        <f t="shared" ref="V70" si="29">+V53+V42+V31-V20</f>
        <v>0</v>
      </c>
      <c r="W70" s="393"/>
      <c r="X70" s="394"/>
      <c r="Y70" s="394"/>
      <c r="Z70" s="396"/>
      <c r="AA70" s="408"/>
      <c r="AB70" s="409"/>
      <c r="AC70" s="409"/>
      <c r="AD70" s="409"/>
      <c r="AE70" s="409"/>
      <c r="AF70" s="409"/>
      <c r="AG70" s="409"/>
      <c r="AH70" s="409"/>
    </row>
    <row r="71" spans="1:34" s="410" customFormat="1" ht="40" customHeight="1" x14ac:dyDescent="0.7">
      <c r="A71" s="406"/>
      <c r="B71" s="418" t="s">
        <v>35</v>
      </c>
      <c r="C71" s="404">
        <f t="shared" si="19"/>
        <v>0</v>
      </c>
      <c r="D71" s="404">
        <f t="shared" si="19"/>
        <v>0</v>
      </c>
      <c r="E71" s="404">
        <f t="shared" si="19"/>
        <v>0</v>
      </c>
      <c r="F71" s="404">
        <f t="shared" si="19"/>
        <v>0</v>
      </c>
      <c r="G71" s="404">
        <f t="shared" si="19"/>
        <v>0</v>
      </c>
      <c r="H71" s="404">
        <f t="shared" si="19"/>
        <v>0</v>
      </c>
      <c r="I71" s="404">
        <f t="shared" si="25"/>
        <v>0</v>
      </c>
      <c r="J71" s="404">
        <f t="shared" si="25"/>
        <v>0</v>
      </c>
      <c r="K71" s="404">
        <f t="shared" ref="K71:U71" si="30">+K54+K43+K32-K21</f>
        <v>0</v>
      </c>
      <c r="L71" s="404">
        <f t="shared" si="30"/>
        <v>0</v>
      </c>
      <c r="M71" s="404">
        <f t="shared" si="30"/>
        <v>0</v>
      </c>
      <c r="N71" s="404">
        <f t="shared" si="30"/>
        <v>0</v>
      </c>
      <c r="O71" s="404">
        <f t="shared" si="30"/>
        <v>0</v>
      </c>
      <c r="P71" s="404">
        <f t="shared" si="30"/>
        <v>0</v>
      </c>
      <c r="Q71" s="404">
        <f t="shared" si="30"/>
        <v>0</v>
      </c>
      <c r="R71" s="404">
        <f t="shared" si="30"/>
        <v>0</v>
      </c>
      <c r="S71" s="404">
        <f t="shared" si="30"/>
        <v>0</v>
      </c>
      <c r="T71" s="404">
        <f t="shared" si="30"/>
        <v>0</v>
      </c>
      <c r="U71" s="404">
        <f t="shared" si="30"/>
        <v>0</v>
      </c>
      <c r="V71" s="404">
        <f t="shared" ref="V71" si="31">+V54+V43+V32-V21</f>
        <v>0</v>
      </c>
      <c r="W71" s="393"/>
      <c r="X71" s="394"/>
      <c r="Y71" s="394"/>
      <c r="Z71" s="396"/>
      <c r="AA71" s="408"/>
      <c r="AB71" s="409"/>
      <c r="AC71" s="409"/>
      <c r="AD71" s="409"/>
      <c r="AE71" s="409"/>
      <c r="AF71" s="409"/>
      <c r="AG71" s="409"/>
      <c r="AH71" s="409"/>
    </row>
    <row r="72" spans="1:34" s="410" customFormat="1" ht="62" x14ac:dyDescent="0.7">
      <c r="A72" s="406"/>
      <c r="B72" s="419" t="s">
        <v>13</v>
      </c>
      <c r="C72" s="404">
        <f t="shared" ref="C72:H72" si="32">+C55+C44+C33+C57-C22</f>
        <v>0</v>
      </c>
      <c r="D72" s="404">
        <f t="shared" si="32"/>
        <v>0</v>
      </c>
      <c r="E72" s="404">
        <f t="shared" si="32"/>
        <v>0</v>
      </c>
      <c r="F72" s="404">
        <f t="shared" si="32"/>
        <v>0</v>
      </c>
      <c r="G72" s="404">
        <f t="shared" si="32"/>
        <v>0</v>
      </c>
      <c r="H72" s="404">
        <f t="shared" si="32"/>
        <v>0</v>
      </c>
      <c r="I72" s="404">
        <f>+I55+I44+I33+I57-I22</f>
        <v>1</v>
      </c>
      <c r="J72" s="404">
        <f>+J55+J44+J33+J57-J22</f>
        <v>-0.68999999947845936</v>
      </c>
      <c r="K72" s="404">
        <f t="shared" ref="K72:U72" si="33">+K55+K44+K33+K57-K22</f>
        <v>0.58999998401850462</v>
      </c>
      <c r="L72" s="404">
        <f t="shared" si="33"/>
        <v>-1.1699999999254942</v>
      </c>
      <c r="M72" s="404">
        <f t="shared" si="33"/>
        <v>0</v>
      </c>
      <c r="N72" s="404">
        <f t="shared" si="33"/>
        <v>-0.69999999646097422</v>
      </c>
      <c r="O72" s="404">
        <f t="shared" si="33"/>
        <v>-2.3999999985098839</v>
      </c>
      <c r="P72" s="404">
        <f t="shared" si="33"/>
        <v>4.1000000098720193</v>
      </c>
      <c r="Q72" s="404">
        <f t="shared" si="33"/>
        <v>0</v>
      </c>
      <c r="R72" s="404">
        <f t="shared" si="33"/>
        <v>-0.72999998927116394</v>
      </c>
      <c r="S72" s="404">
        <f t="shared" si="33"/>
        <v>0</v>
      </c>
      <c r="T72" s="404">
        <f t="shared" si="33"/>
        <v>0</v>
      </c>
      <c r="U72" s="404">
        <f t="shared" si="33"/>
        <v>0</v>
      </c>
      <c r="V72" s="404">
        <f t="shared" ref="V72" si="34">+V55+V44+V33+V57-V22</f>
        <v>0.10799999535083771</v>
      </c>
      <c r="W72" s="420"/>
      <c r="X72" s="420"/>
      <c r="Y72" s="420"/>
      <c r="Z72" s="420"/>
      <c r="AA72" s="409"/>
      <c r="AB72" s="409"/>
      <c r="AC72" s="409"/>
      <c r="AD72" s="409"/>
      <c r="AE72" s="409"/>
      <c r="AF72" s="409"/>
      <c r="AG72" s="409"/>
      <c r="AH72" s="409"/>
    </row>
    <row r="73" spans="1:34" s="410" customFormat="1" ht="40" customHeight="1" x14ac:dyDescent="0.7">
      <c r="A73" s="406"/>
      <c r="B73" s="407" t="s">
        <v>249</v>
      </c>
      <c r="C73" s="404"/>
      <c r="D73" s="404"/>
      <c r="E73" s="404"/>
      <c r="F73" s="404"/>
      <c r="G73" s="404"/>
      <c r="H73" s="404"/>
      <c r="I73" s="404"/>
      <c r="J73" s="404"/>
      <c r="K73" s="404"/>
      <c r="L73" s="404"/>
      <c r="M73" s="404"/>
      <c r="N73" s="404"/>
      <c r="O73" s="404"/>
      <c r="P73" s="404"/>
      <c r="Q73" s="404"/>
      <c r="R73" s="404"/>
      <c r="S73" s="404"/>
      <c r="T73" s="404"/>
      <c r="U73" s="404"/>
      <c r="V73" s="404"/>
      <c r="W73" s="393"/>
      <c r="X73" s="394"/>
      <c r="Y73" s="394"/>
      <c r="Z73" s="396"/>
      <c r="AA73" s="408"/>
      <c r="AB73" s="409"/>
      <c r="AC73" s="409"/>
      <c r="AD73" s="409"/>
      <c r="AE73" s="409"/>
      <c r="AF73" s="409"/>
      <c r="AG73" s="409"/>
      <c r="AH73" s="409"/>
    </row>
    <row r="74" spans="1:34" s="410" customFormat="1" ht="62" x14ac:dyDescent="0.7">
      <c r="A74" s="406"/>
      <c r="B74" s="419" t="s">
        <v>13</v>
      </c>
      <c r="C74" s="126">
        <f>+C22-'Income Statement'!C29</f>
        <v>-3.0000030994415283E-2</v>
      </c>
      <c r="D74" s="126">
        <f>+D22-'Income Statement'!D29</f>
        <v>0</v>
      </c>
      <c r="E74" s="126">
        <f>+E22-'Income Statement'!E29</f>
        <v>-1.0000000596046448</v>
      </c>
      <c r="F74" s="126">
        <f>+F22-'Income Statement'!F29</f>
        <v>-0.98000004887580872</v>
      </c>
      <c r="G74" s="126">
        <f>+G22-'Income Statement'!G29</f>
        <v>-3</v>
      </c>
      <c r="H74" s="126">
        <f>+H22-'Income Statement'!I29</f>
        <v>-7733535.7499999991</v>
      </c>
      <c r="I74" s="126">
        <f>+I22-'Income Statement'!U29</f>
        <v>0</v>
      </c>
      <c r="J74" s="126">
        <f>+J22-'Income Statement'!V29</f>
        <v>0</v>
      </c>
      <c r="K74" s="126">
        <f>+K22-'Income Statement'!W29</f>
        <v>0</v>
      </c>
      <c r="L74" s="126">
        <f>+L22-'Income Statement'!X29</f>
        <v>0</v>
      </c>
      <c r="M74" s="126">
        <f>+M22-'Income Statement'!Y29</f>
        <v>0</v>
      </c>
      <c r="N74" s="126">
        <f>+N22-'Income Statement'!Z29</f>
        <v>0</v>
      </c>
      <c r="O74" s="126">
        <f>+O22-'Income Statement'!AA29</f>
        <v>0</v>
      </c>
      <c r="P74" s="126">
        <f>+P22-'Income Statement'!AB29</f>
        <v>0</v>
      </c>
      <c r="Q74" s="126">
        <f>+Q22-'Income Statement'!AC29</f>
        <v>0</v>
      </c>
      <c r="R74" s="126">
        <f>+R22-'Income Statement'!AD29</f>
        <v>0</v>
      </c>
      <c r="S74" s="126">
        <f>+S22-'Income Statement'!AE29</f>
        <v>0</v>
      </c>
      <c r="T74" s="126">
        <f>+T22-'Income Statement'!AF29</f>
        <v>0</v>
      </c>
      <c r="U74" s="126">
        <f>+U22-'Income Statement'!AG29</f>
        <v>0</v>
      </c>
      <c r="V74" s="126">
        <f>+V22-'Income Statement'!AH29</f>
        <v>0</v>
      </c>
      <c r="W74" s="420"/>
      <c r="X74" s="420"/>
      <c r="Y74" s="420"/>
      <c r="Z74" s="420"/>
      <c r="AA74" s="409"/>
      <c r="AB74" s="409"/>
      <c r="AC74" s="409"/>
      <c r="AD74" s="409"/>
      <c r="AE74" s="409"/>
      <c r="AF74" s="409"/>
      <c r="AG74" s="409"/>
      <c r="AH74" s="409"/>
    </row>
    <row r="75" spans="1:34" x14ac:dyDescent="0.35">
      <c r="V75" s="62"/>
    </row>
    <row r="76" spans="1:34" x14ac:dyDescent="0.35">
      <c r="V76" s="62"/>
    </row>
    <row r="77" spans="1:34" x14ac:dyDescent="0.35">
      <c r="V77" s="62"/>
    </row>
    <row r="78" spans="1:34" x14ac:dyDescent="0.35">
      <c r="V78" s="62"/>
    </row>
    <row r="79" spans="1:34" x14ac:dyDescent="0.35">
      <c r="V79" s="62"/>
    </row>
    <row r="80" spans="1:34" x14ac:dyDescent="0.35">
      <c r="V80" s="62"/>
    </row>
    <row r="81" spans="22:22" x14ac:dyDescent="0.35">
      <c r="V81" s="62"/>
    </row>
    <row r="82" spans="22:22" x14ac:dyDescent="0.35">
      <c r="V82" s="62"/>
    </row>
    <row r="83" spans="22:22" x14ac:dyDescent="0.35">
      <c r="V83" s="437"/>
    </row>
    <row r="84" spans="22:22" x14ac:dyDescent="0.35">
      <c r="V84" s="437"/>
    </row>
    <row r="85" spans="22:22" x14ac:dyDescent="0.35">
      <c r="V85" s="437"/>
    </row>
    <row r="86" spans="22:22" x14ac:dyDescent="0.35">
      <c r="V86" s="437"/>
    </row>
    <row r="87" spans="22:22" x14ac:dyDescent="0.35">
      <c r="V87" s="437"/>
    </row>
    <row r="88" spans="22:22" x14ac:dyDescent="0.35">
      <c r="V88" s="437"/>
    </row>
    <row r="89" spans="22:22" x14ac:dyDescent="0.35">
      <c r="V89" s="437"/>
    </row>
    <row r="90" spans="22:22" x14ac:dyDescent="0.35">
      <c r="V90" s="437"/>
    </row>
    <row r="91" spans="22:22" x14ac:dyDescent="0.35">
      <c r="V91" s="437"/>
    </row>
    <row r="92" spans="22:22" x14ac:dyDescent="0.35">
      <c r="V92" s="437"/>
    </row>
    <row r="93" spans="22:22" x14ac:dyDescent="0.35">
      <c r="V93" s="437"/>
    </row>
    <row r="94" spans="22:22" x14ac:dyDescent="0.35">
      <c r="V94" s="437"/>
    </row>
    <row r="95" spans="22:22" x14ac:dyDescent="0.35">
      <c r="V95" s="437"/>
    </row>
    <row r="96" spans="22:22" x14ac:dyDescent="0.35">
      <c r="V96" s="437"/>
    </row>
    <row r="97" spans="22:22" x14ac:dyDescent="0.35">
      <c r="V97" s="437"/>
    </row>
    <row r="98" spans="22:22" x14ac:dyDescent="0.35">
      <c r="V98" s="437"/>
    </row>
    <row r="99" spans="22:22" x14ac:dyDescent="0.35">
      <c r="V99" s="437"/>
    </row>
    <row r="100" spans="22:22" x14ac:dyDescent="0.35">
      <c r="V100" s="437"/>
    </row>
    <row r="101" spans="22:22" x14ac:dyDescent="0.35">
      <c r="V101" s="437"/>
    </row>
    <row r="102" spans="22:22" x14ac:dyDescent="0.35">
      <c r="V102" s="437"/>
    </row>
    <row r="103" spans="22:22" x14ac:dyDescent="0.35">
      <c r="V103" s="437"/>
    </row>
    <row r="104" spans="22:22" x14ac:dyDescent="0.35">
      <c r="V104" s="437"/>
    </row>
    <row r="105" spans="22:22" x14ac:dyDescent="0.35">
      <c r="V105" s="437"/>
    </row>
    <row r="106" spans="22:22" x14ac:dyDescent="0.35">
      <c r="V106" s="437"/>
    </row>
    <row r="107" spans="22:22" x14ac:dyDescent="0.35">
      <c r="V107" s="437"/>
    </row>
    <row r="108" spans="22:22" x14ac:dyDescent="0.35">
      <c r="V108" s="437"/>
    </row>
    <row r="109" spans="22:22" x14ac:dyDescent="0.35">
      <c r="V109" s="437"/>
    </row>
    <row r="110" spans="22:22" x14ac:dyDescent="0.35">
      <c r="V110" s="437"/>
    </row>
    <row r="111" spans="22:22" x14ac:dyDescent="0.35">
      <c r="V111" s="437"/>
    </row>
    <row r="112" spans="22:22" x14ac:dyDescent="0.35">
      <c r="V112" s="437"/>
    </row>
    <row r="113" spans="22:22" x14ac:dyDescent="0.35">
      <c r="V113" s="437"/>
    </row>
    <row r="114" spans="22:22" x14ac:dyDescent="0.35">
      <c r="V114" s="437"/>
    </row>
    <row r="115" spans="22:22" x14ac:dyDescent="0.35">
      <c r="V115" s="437"/>
    </row>
    <row r="116" spans="22:22" x14ac:dyDescent="0.35">
      <c r="V116" s="437"/>
    </row>
    <row r="117" spans="22:22" x14ac:dyDescent="0.35">
      <c r="V117" s="437"/>
    </row>
    <row r="118" spans="22:22" x14ac:dyDescent="0.35">
      <c r="V118" s="437"/>
    </row>
    <row r="119" spans="22:22" x14ac:dyDescent="0.35">
      <c r="V119" s="437"/>
    </row>
    <row r="120" spans="22:22" x14ac:dyDescent="0.35">
      <c r="V120" s="437"/>
    </row>
    <row r="121" spans="22:22" x14ac:dyDescent="0.35">
      <c r="V121" s="437"/>
    </row>
    <row r="122" spans="22:22" x14ac:dyDescent="0.35">
      <c r="V122" s="437"/>
    </row>
    <row r="123" spans="22:22" x14ac:dyDescent="0.35">
      <c r="V123" s="437"/>
    </row>
    <row r="124" spans="22:22" x14ac:dyDescent="0.35">
      <c r="V124" s="437"/>
    </row>
    <row r="125" spans="22:22" x14ac:dyDescent="0.35">
      <c r="V125" s="437"/>
    </row>
    <row r="126" spans="22:22" x14ac:dyDescent="0.35">
      <c r="V126" s="437"/>
    </row>
    <row r="127" spans="22:22" x14ac:dyDescent="0.35">
      <c r="V127" s="437"/>
    </row>
    <row r="128" spans="22:22" x14ac:dyDescent="0.35">
      <c r="V128" s="437"/>
    </row>
    <row r="129" spans="22:22" x14ac:dyDescent="0.35">
      <c r="V129" s="437"/>
    </row>
    <row r="130" spans="22:22" x14ac:dyDescent="0.35">
      <c r="V130" s="437"/>
    </row>
    <row r="131" spans="22:22" x14ac:dyDescent="0.35">
      <c r="V131" s="437"/>
    </row>
    <row r="132" spans="22:22" x14ac:dyDescent="0.35">
      <c r="V132" s="437"/>
    </row>
    <row r="133" spans="22:22" x14ac:dyDescent="0.35">
      <c r="V133" s="437"/>
    </row>
    <row r="134" spans="22:22" x14ac:dyDescent="0.35">
      <c r="V134" s="437"/>
    </row>
    <row r="135" spans="22:22" x14ac:dyDescent="0.35">
      <c r="V135" s="437"/>
    </row>
    <row r="136" spans="22:22" x14ac:dyDescent="0.35">
      <c r="V136" s="437"/>
    </row>
    <row r="137" spans="22:22" x14ac:dyDescent="0.35">
      <c r="V137" s="437"/>
    </row>
    <row r="138" spans="22:22" x14ac:dyDescent="0.35">
      <c r="V138" s="437"/>
    </row>
    <row r="139" spans="22:22" x14ac:dyDescent="0.35">
      <c r="V139" s="437"/>
    </row>
    <row r="140" spans="22:22" x14ac:dyDescent="0.35">
      <c r="V140" s="437"/>
    </row>
    <row r="141" spans="22:22" x14ac:dyDescent="0.35">
      <c r="V141" s="437"/>
    </row>
    <row r="142" spans="22:22" x14ac:dyDescent="0.35">
      <c r="V142" s="437"/>
    </row>
    <row r="143" spans="22:22" x14ac:dyDescent="0.35">
      <c r="V143" s="437"/>
    </row>
    <row r="144" spans="22:22" x14ac:dyDescent="0.35">
      <c r="V144" s="437"/>
    </row>
    <row r="145" spans="22:22" x14ac:dyDescent="0.35">
      <c r="V145" s="437"/>
    </row>
    <row r="146" spans="22:22" x14ac:dyDescent="0.35">
      <c r="V146" s="437"/>
    </row>
    <row r="147" spans="22:22" x14ac:dyDescent="0.35">
      <c r="V147" s="437"/>
    </row>
    <row r="148" spans="22:22" x14ac:dyDescent="0.35">
      <c r="V148" s="437"/>
    </row>
    <row r="149" spans="22:22" x14ac:dyDescent="0.35">
      <c r="V149" s="437"/>
    </row>
    <row r="150" spans="22:22" x14ac:dyDescent="0.35">
      <c r="V150" s="437"/>
    </row>
    <row r="151" spans="22:22" x14ac:dyDescent="0.35">
      <c r="V151" s="437"/>
    </row>
    <row r="152" spans="22:22" x14ac:dyDescent="0.35">
      <c r="V152" s="437"/>
    </row>
    <row r="153" spans="22:22" x14ac:dyDescent="0.35">
      <c r="V153" s="437"/>
    </row>
    <row r="154" spans="22:22" x14ac:dyDescent="0.35">
      <c r="V154" s="437"/>
    </row>
    <row r="155" spans="22:22" x14ac:dyDescent="0.35">
      <c r="V155" s="437"/>
    </row>
    <row r="156" spans="22:22" x14ac:dyDescent="0.35">
      <c r="V156" s="437"/>
    </row>
    <row r="157" spans="22:22" x14ac:dyDescent="0.35">
      <c r="V157" s="437"/>
    </row>
    <row r="158" spans="22:22" x14ac:dyDescent="0.35">
      <c r="V158" s="437"/>
    </row>
    <row r="159" spans="22:22" x14ac:dyDescent="0.35">
      <c r="V159" s="437"/>
    </row>
    <row r="160" spans="22:22" x14ac:dyDescent="0.35">
      <c r="V160" s="437"/>
    </row>
    <row r="161" spans="22:22" x14ac:dyDescent="0.35">
      <c r="V161" s="437"/>
    </row>
    <row r="162" spans="22:22" x14ac:dyDescent="0.35">
      <c r="V162" s="437"/>
    </row>
    <row r="163" spans="22:22" x14ac:dyDescent="0.35">
      <c r="V163" s="437"/>
    </row>
    <row r="164" spans="22:22" x14ac:dyDescent="0.35">
      <c r="V164" s="437"/>
    </row>
    <row r="165" spans="22:22" x14ac:dyDescent="0.35">
      <c r="V165" s="437"/>
    </row>
    <row r="166" spans="22:22" x14ac:dyDescent="0.35">
      <c r="V166" s="437"/>
    </row>
    <row r="167" spans="22:22" x14ac:dyDescent="0.35">
      <c r="V167" s="437"/>
    </row>
    <row r="168" spans="22:22" x14ac:dyDescent="0.35">
      <c r="V168" s="437"/>
    </row>
    <row r="169" spans="22:22" x14ac:dyDescent="0.35">
      <c r="V169" s="437"/>
    </row>
    <row r="170" spans="22:22" x14ac:dyDescent="0.35">
      <c r="V170" s="437"/>
    </row>
    <row r="171" spans="22:22" x14ac:dyDescent="0.35">
      <c r="V171" s="437"/>
    </row>
    <row r="172" spans="22:22" x14ac:dyDescent="0.35">
      <c r="V172" s="437"/>
    </row>
    <row r="173" spans="22:22" x14ac:dyDescent="0.35">
      <c r="V173" s="437"/>
    </row>
    <row r="174" spans="22:22" x14ac:dyDescent="0.35">
      <c r="V174" s="437"/>
    </row>
    <row r="175" spans="22:22" x14ac:dyDescent="0.35">
      <c r="V175" s="437"/>
    </row>
    <row r="176" spans="22:22" x14ac:dyDescent="0.35">
      <c r="V176" s="437"/>
    </row>
    <row r="177" spans="22:22" x14ac:dyDescent="0.35">
      <c r="V177" s="437"/>
    </row>
    <row r="178" spans="22:22" x14ac:dyDescent="0.35">
      <c r="V178" s="437"/>
    </row>
    <row r="179" spans="22:22" x14ac:dyDescent="0.35">
      <c r="V179" s="437"/>
    </row>
    <row r="180" spans="22:22" x14ac:dyDescent="0.35">
      <c r="V180" s="437"/>
    </row>
    <row r="181" spans="22:22" x14ac:dyDescent="0.35">
      <c r="V181" s="437"/>
    </row>
    <row r="182" spans="22:22" x14ac:dyDescent="0.35">
      <c r="V182" s="437"/>
    </row>
    <row r="183" spans="22:22" x14ac:dyDescent="0.35">
      <c r="V183" s="437"/>
    </row>
    <row r="184" spans="22:22" x14ac:dyDescent="0.35">
      <c r="V184" s="437"/>
    </row>
    <row r="185" spans="22:22" x14ac:dyDescent="0.35">
      <c r="V185" s="437"/>
    </row>
    <row r="186" spans="22:22" x14ac:dyDescent="0.35">
      <c r="V186" s="437"/>
    </row>
    <row r="187" spans="22:22" x14ac:dyDescent="0.35">
      <c r="V187" s="437"/>
    </row>
    <row r="188" spans="22:22" x14ac:dyDescent="0.35">
      <c r="V188" s="437"/>
    </row>
    <row r="189" spans="22:22" x14ac:dyDescent="0.35">
      <c r="V189" s="437"/>
    </row>
    <row r="190" spans="22:22" x14ac:dyDescent="0.35">
      <c r="V190" s="437"/>
    </row>
    <row r="191" spans="22:22" x14ac:dyDescent="0.35">
      <c r="V191" s="437"/>
    </row>
    <row r="192" spans="22:22" x14ac:dyDescent="0.35">
      <c r="V192" s="437"/>
    </row>
    <row r="193" spans="22:22" x14ac:dyDescent="0.35">
      <c r="V193" s="437"/>
    </row>
    <row r="194" spans="22:22" x14ac:dyDescent="0.35">
      <c r="V194" s="437"/>
    </row>
    <row r="195" spans="22:22" x14ac:dyDescent="0.35">
      <c r="V195" s="437"/>
    </row>
    <row r="196" spans="22:22" x14ac:dyDescent="0.35">
      <c r="V196" s="437"/>
    </row>
    <row r="197" spans="22:22" x14ac:dyDescent="0.35">
      <c r="V197" s="437"/>
    </row>
    <row r="198" spans="22:22" x14ac:dyDescent="0.35">
      <c r="V198" s="437"/>
    </row>
    <row r="199" spans="22:22" x14ac:dyDescent="0.35">
      <c r="V199" s="437"/>
    </row>
    <row r="200" spans="22:22" x14ac:dyDescent="0.35">
      <c r="V200" s="437"/>
    </row>
    <row r="201" spans="22:22" x14ac:dyDescent="0.35">
      <c r="V201" s="437"/>
    </row>
    <row r="202" spans="22:22" x14ac:dyDescent="0.35">
      <c r="V202" s="437"/>
    </row>
    <row r="203" spans="22:22" x14ac:dyDescent="0.35">
      <c r="V203" s="437"/>
    </row>
    <row r="204" spans="22:22" x14ac:dyDescent="0.35">
      <c r="V204" s="437"/>
    </row>
    <row r="205" spans="22:22" x14ac:dyDescent="0.35">
      <c r="V205" s="437"/>
    </row>
    <row r="206" spans="22:22" x14ac:dyDescent="0.35">
      <c r="V206" s="437"/>
    </row>
    <row r="207" spans="22:22" x14ac:dyDescent="0.35">
      <c r="V207" s="437"/>
    </row>
    <row r="208" spans="22:22" x14ac:dyDescent="0.35">
      <c r="V208" s="437"/>
    </row>
    <row r="209" spans="22:22" x14ac:dyDescent="0.35">
      <c r="V209" s="437"/>
    </row>
    <row r="210" spans="22:22" x14ac:dyDescent="0.35">
      <c r="V210" s="437"/>
    </row>
    <row r="211" spans="22:22" x14ac:dyDescent="0.35">
      <c r="V211" s="437"/>
    </row>
    <row r="212" spans="22:22" x14ac:dyDescent="0.35">
      <c r="V212" s="437"/>
    </row>
    <row r="213" spans="22:22" x14ac:dyDescent="0.35">
      <c r="V213" s="437"/>
    </row>
    <row r="214" spans="22:22" x14ac:dyDescent="0.35">
      <c r="V214" s="437"/>
    </row>
    <row r="215" spans="22:22" x14ac:dyDescent="0.35">
      <c r="V215" s="437"/>
    </row>
    <row r="216" spans="22:22" x14ac:dyDescent="0.35">
      <c r="V216" s="437"/>
    </row>
    <row r="217" spans="22:22" x14ac:dyDescent="0.35">
      <c r="V217" s="437"/>
    </row>
    <row r="218" spans="22:22" x14ac:dyDescent="0.35">
      <c r="V218" s="437"/>
    </row>
    <row r="219" spans="22:22" x14ac:dyDescent="0.35">
      <c r="V219" s="437"/>
    </row>
    <row r="220" spans="22:22" x14ac:dyDescent="0.35">
      <c r="V220" s="437"/>
    </row>
    <row r="221" spans="22:22" x14ac:dyDescent="0.35">
      <c r="V221" s="437"/>
    </row>
    <row r="222" spans="22:22" x14ac:dyDescent="0.35">
      <c r="V222" s="437"/>
    </row>
    <row r="223" spans="22:22" x14ac:dyDescent="0.35">
      <c r="V223" s="437"/>
    </row>
    <row r="224" spans="22:22" x14ac:dyDescent="0.35">
      <c r="V224" s="437"/>
    </row>
    <row r="225" spans="22:22" x14ac:dyDescent="0.35">
      <c r="V225" s="437"/>
    </row>
    <row r="226" spans="22:22" x14ac:dyDescent="0.35">
      <c r="V226" s="437"/>
    </row>
    <row r="227" spans="22:22" x14ac:dyDescent="0.35">
      <c r="V227" s="437"/>
    </row>
    <row r="228" spans="22:22" x14ac:dyDescent="0.35">
      <c r="V228" s="437"/>
    </row>
    <row r="229" spans="22:22" x14ac:dyDescent="0.35">
      <c r="V229" s="437"/>
    </row>
    <row r="230" spans="22:22" x14ac:dyDescent="0.35">
      <c r="V230" s="437"/>
    </row>
    <row r="231" spans="22:22" x14ac:dyDescent="0.35">
      <c r="V231" s="437"/>
    </row>
    <row r="232" spans="22:22" x14ac:dyDescent="0.35">
      <c r="V232" s="437"/>
    </row>
    <row r="233" spans="22:22" x14ac:dyDescent="0.35">
      <c r="V233" s="437"/>
    </row>
    <row r="234" spans="22:22" x14ac:dyDescent="0.35">
      <c r="V234" s="437"/>
    </row>
    <row r="235" spans="22:22" x14ac:dyDescent="0.35">
      <c r="V235" s="437"/>
    </row>
    <row r="236" spans="22:22" x14ac:dyDescent="0.35">
      <c r="V236" s="437"/>
    </row>
    <row r="237" spans="22:22" x14ac:dyDescent="0.35">
      <c r="V237" s="437"/>
    </row>
    <row r="238" spans="22:22" x14ac:dyDescent="0.35">
      <c r="V238" s="437"/>
    </row>
    <row r="239" spans="22:22" x14ac:dyDescent="0.35">
      <c r="V239" s="437"/>
    </row>
    <row r="240" spans="22:22" x14ac:dyDescent="0.35">
      <c r="V240" s="437"/>
    </row>
    <row r="241" spans="22:22" x14ac:dyDescent="0.35">
      <c r="V241" s="437"/>
    </row>
    <row r="242" spans="22:22" x14ac:dyDescent="0.35">
      <c r="V242" s="437"/>
    </row>
    <row r="243" spans="22:22" x14ac:dyDescent="0.35">
      <c r="V243" s="437"/>
    </row>
    <row r="244" spans="22:22" x14ac:dyDescent="0.35">
      <c r="V244" s="437"/>
    </row>
    <row r="245" spans="22:22" x14ac:dyDescent="0.35">
      <c r="V245" s="437"/>
    </row>
    <row r="246" spans="22:22" x14ac:dyDescent="0.35">
      <c r="V246" s="437"/>
    </row>
    <row r="247" spans="22:22" x14ac:dyDescent="0.35">
      <c r="V247" s="437"/>
    </row>
    <row r="248" spans="22:22" x14ac:dyDescent="0.35">
      <c r="V248" s="437"/>
    </row>
    <row r="249" spans="22:22" x14ac:dyDescent="0.35">
      <c r="V249" s="437"/>
    </row>
    <row r="250" spans="22:22" x14ac:dyDescent="0.35">
      <c r="V250" s="437"/>
    </row>
    <row r="251" spans="22:22" x14ac:dyDescent="0.35">
      <c r="V251" s="437"/>
    </row>
    <row r="252" spans="22:22" x14ac:dyDescent="0.35">
      <c r="V252" s="437"/>
    </row>
    <row r="253" spans="22:22" x14ac:dyDescent="0.35">
      <c r="V253" s="437"/>
    </row>
    <row r="254" spans="22:22" x14ac:dyDescent="0.35">
      <c r="V254" s="437"/>
    </row>
    <row r="255" spans="22:22" x14ac:dyDescent="0.35">
      <c r="V255" s="437"/>
    </row>
    <row r="256" spans="22:22" x14ac:dyDescent="0.35">
      <c r="V256" s="437"/>
    </row>
    <row r="257" spans="22:22" x14ac:dyDescent="0.35">
      <c r="V257" s="437"/>
    </row>
    <row r="258" spans="22:22" x14ac:dyDescent="0.35">
      <c r="V258" s="437"/>
    </row>
    <row r="259" spans="22:22" x14ac:dyDescent="0.35">
      <c r="V259" s="437"/>
    </row>
    <row r="260" spans="22:22" x14ac:dyDescent="0.35">
      <c r="V260" s="437"/>
    </row>
    <row r="261" spans="22:22" x14ac:dyDescent="0.35">
      <c r="V261" s="437"/>
    </row>
    <row r="262" spans="22:22" x14ac:dyDescent="0.35">
      <c r="V262" s="437"/>
    </row>
    <row r="263" spans="22:22" x14ac:dyDescent="0.35">
      <c r="V263" s="437"/>
    </row>
    <row r="264" spans="22:22" x14ac:dyDescent="0.35">
      <c r="V264" s="437"/>
    </row>
    <row r="265" spans="22:22" x14ac:dyDescent="0.35">
      <c r="V265" s="437"/>
    </row>
    <row r="266" spans="22:22" x14ac:dyDescent="0.35">
      <c r="V266" s="437"/>
    </row>
    <row r="267" spans="22:22" x14ac:dyDescent="0.35">
      <c r="V267" s="437"/>
    </row>
    <row r="268" spans="22:22" x14ac:dyDescent="0.35">
      <c r="V268" s="437"/>
    </row>
    <row r="269" spans="22:22" x14ac:dyDescent="0.35">
      <c r="V269" s="437"/>
    </row>
    <row r="270" spans="22:22" x14ac:dyDescent="0.35">
      <c r="V270" s="437"/>
    </row>
    <row r="271" spans="22:22" x14ac:dyDescent="0.35">
      <c r="V271" s="437"/>
    </row>
    <row r="272" spans="22:22" x14ac:dyDescent="0.35">
      <c r="V272" s="437"/>
    </row>
    <row r="273" spans="22:22" x14ac:dyDescent="0.35">
      <c r="V273" s="437"/>
    </row>
    <row r="274" spans="22:22" x14ac:dyDescent="0.35">
      <c r="V274" s="437"/>
    </row>
    <row r="275" spans="22:22" x14ac:dyDescent="0.35">
      <c r="V275" s="437"/>
    </row>
    <row r="276" spans="22:22" x14ac:dyDescent="0.35">
      <c r="V276" s="437"/>
    </row>
    <row r="277" spans="22:22" x14ac:dyDescent="0.35">
      <c r="V277" s="437"/>
    </row>
    <row r="278" spans="22:22" x14ac:dyDescent="0.35">
      <c r="V278" s="437"/>
    </row>
    <row r="279" spans="22:22" x14ac:dyDescent="0.35">
      <c r="V279" s="437"/>
    </row>
    <row r="280" spans="22:22" x14ac:dyDescent="0.35">
      <c r="V280" s="437"/>
    </row>
    <row r="281" spans="22:22" x14ac:dyDescent="0.35">
      <c r="V281" s="437"/>
    </row>
    <row r="282" spans="22:22" x14ac:dyDescent="0.35">
      <c r="V282" s="437"/>
    </row>
    <row r="283" spans="22:22" x14ac:dyDescent="0.35">
      <c r="V283" s="437"/>
    </row>
  </sheetData>
  <mergeCells count="3">
    <mergeCell ref="B23:G23"/>
    <mergeCell ref="I23:N23"/>
    <mergeCell ref="O23:T23"/>
  </mergeCells>
  <pageMargins left="0.95" right="0.45" top="0.75" bottom="0.5" header="0.3" footer="0.3"/>
  <pageSetup scale="21" orientation="landscape" r:id="rId1"/>
  <headerFooter>
    <oddFooter>&amp;L&amp;16&amp;D, Page &amp;P&amp;C&amp;16Green Mountain Care Board&amp;R&amp;16&amp;F, &amp;A</oddFooter>
  </headerFooter>
  <customProperties>
    <customPr name="AdaptiveCustomXmlPartId" r:id="rId2"/>
    <customPr name="AdaptiveReportingSheetKey" r:id="rId3"/>
    <customPr name="Current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daptiveCompressedXml>H4sIAAAAAAAEAO1dW28bNxZ+X2D/g6H3U/FyeCsUF0U2WATYzS6a7EvfDsnDRljFDiSlbVDsf1+O7Dj2eKaSY43SegYwZGmGQ54hv488t+Esvvv13ersZ15vlpcXz2byGzH77vyvf1m8fsu8PXuZn81Iu+CU0RC1IEDhBcSkC3hhRTbepajN7OwVveNns9db2m5m9fqzs8WmqeFvXJYXy22te7M7Wo+v+f3levv67tnrk/X0e1pvNzc/b8r/ux6+EieFLAtnUMQR0BkJnkKCKqIhtMqRz7Nb19ca/nGZ6E4j18eX+Wz78X0V287O5u2TiVer73Ne82Zztr78pXZNvct0ufrwrnaT6Ljgv/zxXC7mzb87rc87m1+k9XLL6yW1q+EVv+OL7eva+5TpfS3T3LWatco14l9stnSR+N6ZW+eqxLne4N9/ePHi1T//9Z9Xb75/+UreF74Rs7e6TyJtuhq6Pne2rEJK1P6+nLtiTT+f1XLL7cc3uy7vFKIR47rCDgF7xLg5Ubus1fMdfbyYf8bT76AsBxaOCMEZFoAUbAW9C1CsiBlzluTKMCiz+1Gmxo6y8ERQppOiYBKB9FECWkvgHStwhdlhrkjzbhCUKbEfZXrkKMOnMpdZWZyJVoEJzQLuQ4YQDEGpv2U20ZQ8EMrkfpTh2FHmngjKXHZKRGQgnyxgtA5iDgWksZLrN66YGwZlaj/KzKhRppSXTwRloUSXyBhowAYYjAPPmACLyKQKuyDCMHqZ248yO2qUSYnD6WX327Knast39H53Szi7/nm16v6xmVQosixoIGCu87VKAcigB4eeKUR2pgwzXx9iRj9gvl7V+1i1K9nyr9vz38T/FvPdt9bZ3SWffQ/Xwldh7lBuN/iig3lN8Ze5a2jvIcJ3k62zhsW8JVfr9ts3euA4GyNlrMYspMimzpPO1nF2DiyXhNGkSEINM2P6A2yMkZuyJ5wy7cET5p9qGjPSGhaKQDBWExpJQhQuglesNEcnyA2kduoD5jExbngjmieidzojZNLKAZpmtbRUgKKxYCQbabSmKNIgMDsEZe6JrJbh66+WBZk5VoMiZcFVKzJcZ5I6seREOTPnhH6YccYDxtk/kXHu6JDTj7OhmKUA6bMCjElAJOUh25C1Ll5qlMNoReEArWjcTrFwsOP1kZrKKbWxE7tJUgiyKA3ZWwTMVI07wgLBohAYLToUw2hFh8B73H6SYE+m86u2adff1B0qSfH4lvWpWj4ts3w0VStwGSRjXTgEaiBlC1hdRJGVY6rtLzqWInhIyO4BmuDErMfgW5+OWSfGt5XRJPIV2lYDumDAB5OAo3Q2p0jIw9jT+oBgoX6ABjzh+3H4Pjhi9OfCtwpOsLbVttNV58cQEaJUBaIJqSiuqpIaJn1MHxCm1GHC96k0I3yi+CanmWMCpVPVT2yx4EUKkFzkHOqfbceCj4XvAzxVOG5/6CnxbU+G71bLtu04Ga7lE2tGIipjWUDxpS4fniV4TAzWyCADB+NkHDz1QPUw61gu4LPf5Fd3Dx7g1fkiZ+FJb+J4Yn+xjxMpGNGEK7wtVZX3TgBZHcAEx1Kq7EMcPvLbB1j9gPTSCbEjQazy0lqrArCRGZCDgkiUwdngnFYiSTVMpuptr3wvYo+VlDIh9ukgFpXVltAByiZeKJSp5mSuAE5WF+XZiHY040iIPUAnwAc8jTTFC/ekmQRDBgvVFRR9NasMgY/Gg6nDTDlFjHmYgMotr6/uiwuP/KmzQ82NzvSCPZbNmle1F3/m57Tii0zrF9cNX5ay4e2zGVSE5w/rXU+/2eGxsWT6Yh/pupZO3LdLSCGqubznkv0FennW3UmdGYtXLfUzdt7TTV/ZYiNftI65APlcJ2cnELzRDkoppiSWyoZhkjlukRb7SDvuzMdgvy5t5UTbPyxtuQgmZQSwCgaQUEJAFCAwqGAzZemGsQJu0db00XbkT0WKibcTbz8dbvFWUOCkEkPQVA0iyh5CyQl8Kqn+IlsCDc3brvI73o4vpW7i0ueWjsClk1kdpyUtxogmsgOjMQA22bDBaA1ELofkUZY4TFTjFmldH2nHlyi4j7Ri4uwjODuk9nLiPR1Q+sCaobjcPAfdeMqtdZCNsMkhFSvs0LTtGLsr2o4vi+XL3ER9YJx4+zTXWmdVYBPrMptVAlQ6Q0zZgQ6UfGj2zTB6aNJ2dNHVnlLjS835MgV5Iu24SJudNDlagpCbhNFcv8UgChjhjSsled3eiuL4pJW9O8GNL/TzRRryRNpxkTYhFpOKBDZUSaux2RXAe8i+nkmKErfzfwcgbQfsr0g7vtDPPtJOK+1E2hl6j4U0gtZaNQk11aYNDutHCtIp1pXHg5O2L5lGjS/ws4+0k007kXZGWbiUjAbnKQImX0krq44sVMneKBZheP+x7MuMUlPUp01aPZF2Iq2I0SPJAi4pBDTOgo+III1TMmfh3UB76N8mbV9mlBrfZq37SIsTaSfSiuwVFafAxJSaDZYjeCMkkAvC5Fgi58HTK2RfXpSaQrVt0pqJtBNprXSaUnFgfZNeQTlD1NaAT06UpKpd296XcwDS9iVFqfFtF7OPtHYi7URaXbnqXBQgbfMqg8J1kU2Vviqyz06qEHB4R1RfUpQa3x44+0jrJtJOpNWKVdWMLaTgfROnTRAzxbrweq3RSnZy8Id9ZF9KlJpSotqk9RNpJ9I6mzJaL8FRLJW0gsCrHMGUKFSIpQg9+KM+si8lSk8pUW3Shom0YyPtYn73jayLt7R5/pYufuLNeaHVhhfzW0duSi03z68beHFBccX5fLv+UMveP35zSZdEB/GnjzsP400PZ/r4cndouxLLD9rIoHtQewZ0kZebXae9OEimji3AHiHTver7dnU4UvVdk+QRq+94aOKY1Xe8+OKY1Xe8zOWY1Xe8lPCY1Xds8H7E6t2wwHTDAtMddya51/cdWxAeU/phaeWOO6Ut5r8zoXaunR3r5mJFm+0PXKpy+fbN8h2fK6EkCAUC3yjxrXHfKvGNc6iF8T82G9DcLX1Tzebt5S/PLy+2tcWX9XO94XT13vTrVbb3/FUNnxbvrherNxffexn7Yr4rev5/GXUfbQJ+AAA=</AdaptiveCompressedXml>
</file>

<file path=customXml/item2.xml><?xml version="1.0" encoding="utf-8"?>
<AdaptiveCompressedXml>H4sIAAAAAAAEAO1dW28bNxZ+X2D/g+D3U/NyyEMWSooiDRYBdrtFk77sGy+HjbCOHUjqJbvY/74c2XUceVRPanHSaOZFiWdGJDX8vsNzJZdf/frmYvEzrzerq8snZ/ILcfbV07/+ZfnyNfN28SI/OVPe+8DZgBfRAWqdITgKUJR3ZFwpoeDZ4tvwhp+cfRfe8Xrxj9WvZ7WNxWK56Vr5hsvqcrWt7W92V+v1Nb+9Wm9ffnj35ma9/Tast5vbP2+f/65e3g0pO1bIRoBAJQGlR3BCCijSB1RORXTq7M73awt/v0rhg05urq/yYvvubR26PVuc799MfHHxdc5r3mwW66tf6uuhs0W6uvjpTX1VoucL/+Z3T1Etz7t/P+j+vLf/ZVqvtrxehf12+ILf8OX2ZZ2CkMPb+sxuJs72nuvGf7nZhsvE9+7cuVeHnOsv/Nv3z59/+49//vDtq69ffCvvj74b5sHmfhvSpq+jm3uLVTdILfD+OHePdS96UZ9bbd+92r3z3kF0w7hpcEBfeqy+pKChXVU6XP/ZTZpVj+y44my1+eGywod/vFqv/sP12nb9E3+a0UjhRur49s4+5G5vVHrssayHT8vz98Ljd0SKci5EoQsY6QugNQYCGgIjlDLEpJOMbUSKHSBS5KRFSsWcGYvmn5ht44I+JUtK1NXTJ1FB73UChz7UD4nOcBSY26yjWjwMeoOTBr0i0TPO3WOf8do2Lr6rniqIXQTD3gM6dOApMMgSsZPqWlrZBN9KDRDqNHV82/Hw7U9dW/qzaKtSDZ7V43as8JN1PE3DYFxRzizIF5cAs9CAJAw4tgiCTQpZlGrx+zaiXA4Q5XbiotyeoKoyvTVkXEYbrY3QjgGNoKqcZQXOO4QQnTdkfNChkXI2wPhAM3FGj+lYm5yONJooGZfRJUSWBQ14zBZQJQ/BVJuL0HHwkckU04TR5mFCf4SxdVF/xsV+G1v+dfv0v+J/y/Pd//bu7r7yPpJxM/Y6lg+If6O13Z+l7vEXuW9m7wHC9VO+t4Xl+d649n7+/g8dOM02OJPJKbDB1GkuQUHMPoDSQStW0t/zyh/LVeoHCO7ZazRb1Z//ijG2KpZVdDJCUp0fuJgMThuEQlKg1VwscxtGuwGM1pNmdMXczOgTYPRiws4bMkImraqVZzrF0IZSrbyqOxjJRlY7MESR2sSZHhYvUpyIZug/vWZYkJkjJkhZVLteGQanUEJOIWfmnNC1mWccMM8fEUP/U89zzwsZfZ6z4Y63YH2dYvTagQ+ZICgZoy9OWm6ULDFgorWftr4glZz1hc9fXxh3hbaWibJP4DtzHl0UEHxWwGRYW60xl0bO2AE2vZktgNMLr4yLb5SqqiaoofgkqgaKGaItBSK7bAVlEQ21wfcAC9fMGcNzxvDnwyWlXSkkCliNnfanDDhfDKA0UaFmTNa14dKA7Hszp8rO+H4cvnW0FqN1QJECYFIavOvwrSm45KyXJbTB94BUcPMR7oqTxLcdbHLM+L65vC+/i6BqvEsQVnbVU8WDK9aCqMJbmED1o5H8HhCnxdl6n/H9OHwb78kzE+iqjwAiparmJw2JTE6GXEmY23inhuB7lt8n752aasXeRORLVuyLJQ0le1vXT8ngEev66YPJtsgiU5tUZD0gFdnMiYvz+vk4fAdvuRgvQDhZ8e2q/RMYPVhPqZjootuX4cfC94CqKTOn2s/4fqx+KFFjTkBeV/2wKA8+RQPFB0o2WqFVo2yEAekIZq4KnPH9OHxzYi4hWDAmeUBLAqImAu+CkbagK7q0wfcQ/5WbNL7Hte9Ps3CoICqSVfUWlqr8DjJARK9AY1BBBPS5kX2vh8QfJu6/GtW+P018RxJSVEUPujoLQGMZQmIDoZDNwpNRsk02th4Qq7ZT91+NGV87TXwr6WQQVX7L4ruUYBHAS8FgncfodMlVUWmD7wG5Rnba8ePTzcU4TS4JUmRMDsCqGrQYrIdI6KGgjTplmYNvwyUcUERtp53XNG7e3mniO5SEQWsLFKKoa4WsWlGODIZMFNrrpKNog+8BvnY77bzUcWtNTxPfTqOWUiaQLkRADg5CkApUUhaLZadFm7xrHOBrt5OvpZ71k8UjdX0SNpMKFdCIgEl2RULE4NC5FCvS2TaS3wN87XbqsdIxY0mniW/hdEyxCHBFZkCfHcTICUSwWYUqwZHa5NLhgEo4O/VY6ZixpNPEt5FYpOYAKVG3U5fO4G0hKMlaEU22bNtUeuIAX7uddqz0NCs9R871VzozV3xrnSWgSFWSS9YgRJTksXDZDxIfC99DfO0Tj5WeZK7ouPiWFdJO5QhRWuoqWAREkQPEiu1g0TCVRvr3EF/71GOlY8aSThPf1lPnD4wV2s5X/YQMhKQlWGe01cGgSm1yAcwA/zdNO1Z6urGk0+QSiqizcQWy9roSyksILmmwhnMuORPJNnljZoCvnaYdlz3NXeBGzhsjDioZBO9jAeRcwBMRGGu9zCY5m9v4aswAXztNO1Z6mvuWjqwLSaWrOoQQM1Zd33uu8ttqSFZJW7JQKrXJazcDfO00+VjprJ8sHodvhZSYBIG33gAq5cBjVf2TcC5HLyu8G+n6A3ztNPVY6ZixpNPEt9XJG9cVkqLp9mALBpzWCpTzKbC1Krg2eb9myP75U4+VnuJpZSPL70i5RCMrvm2s8ruo7rRJAUlmstid5ywa4XtALImmHSudj1htBHrjTTBYAgSLrjtXOICLxlWjU5eQU8SY2zjg7/gn9QHMq4n7VIYCrndn7QcAv+aL+hZ/5mfhgi9zWD+/6fiqlA1vn5xBxW3+ab17010vu2DNQRsh3bTSu0X0/hNSCFEh+/tfefiB7bsDW1L3v6Teg2muezrYUseh3tf051ki78vJeTOV4x7RW7SOuUBwmbtzHRGc0QSlFFMSS2V9G6fFHfmIh+TjtH1yfv9w5NunxpGQcpaQj5GQp5mQxkVwUEYAq84JFFB2my+JalN45W0OWVKbhJ078sIckhfT9nFKMQuMz1lgnKaCIYLnpBKD14GqwMgOfMkJXOpKy3KwpVGF5B2B0ff8TmBMz2k8k/h9Tw1I3Ez+jpyKEiOayARGo78+G9p35w2F0B1S4lCW2Cbt/A5p6RBpp+cJf4i0YubsYxbehmrTyBEslM6zZiiUY5eBoCBaS5CNsIkwFLsfRTk+bXte0TVtp+fg/2M+yENgnHl7mmstWeXZxLrMZpUAlc4QUybQPiTng0vWtDnO+w5p5aGwnJpeidcf05Bn1k6LtZmkydEG8Lk70CzbrqZHFDDCGSolOY3Nl1rZg/tr1k6vcO0PqcgzaadF2oRYTCoS2IRKWo0SonAOsqt3kgqJ9ytmGpC2x193TdrpVeM9RNp5pZ1Je4bOYQkaQXfJmChFNWo9Yf1IXpJiXXncnLSHUnj09EoMHyLtbNTOpD0LWVBKRgPt9lVLTnUV8AGEKtkZxcK3dyDLQ3klenp5dw+RVs+knUkrYnQYZAFKCrtifgsuIoI0pGTOwpFrU+Bzl7SHkjv09JLBHiItzqSdSSuyU6GQAhNTAow2gjNCQiAvTI4lcm6eXyEPJVjo6WVkPURaM5N2Jq2VpEMqBNZ1+RUhZ4jaGnCJREmq2rW2vff4UIKFnrOi9klrZ9LOpNWVq0RRgLTJAhaui2yq9FWRXSapvMf2jqiembsm7ZwVtU9amkk7k1YrVlUztpC8c12cNkHMIdaF12mNVjLJ5vVN8lBOlJ5zovZJ62bSzqQlmzJaJ7tTZ0olrQiw20TVlCiUj6UI3bzISB1KidJzStQ+af1M2qmRdnn+tv75vuHl67B59jpc/sibpyVcbHh5fufK7VOrzbObDp5fhnjB+Wm380TF5b3rt1/pG9Eg/hzizsfx5gBnDvHlw6ntyyy/P7F9oql3Ug9M6DKvNruX9nzQmHo2hX3EmO41L9o23yckj9h8T9XEMZvv2eTlmM337JF0zOZ7KhSP2XxPxfQRm6e2wOzbH/aYzR9Xktx79z37eRxz9G1pRccVacvz3xGovWtnz7q5vAib7fdcqnL5+tXqDT9VQkkQCgS+UuJLQ18q8QURamHcv5bn+0/fNrN5ffXLs6vLbe3xRf1cbzh1etbtKnvw/nULvy3eL18zb7/hsrpc3aqp3Zc/uNp9aXm+e/Tp/wGI2WjwmcYAAA==</AdaptiveCompressedXml>
</file>

<file path=customXml/item3.xml><?xml version="1.0" encoding="utf-8"?>
<AdaptiveCompressedXml>H4sIAAAAAAAEAO1dbW8kN3L+HiD/YaHvdcuXIlk8yHs4OEZgIHGCs/Ml34pkMStEu2tI8t0ZQf77Vc/uydJoxtNKhoLc3TAga6dbJKfrech678s//PXD9Zs/y83t1aePX13Y35mLP7z7x3+4/P69yN2bb9tXFy0Xb7AkqGIzIHKD3NgBim/dUmtY48Wb7/iDfHXx7cf66YO8+f6O7+SDfLy70KHevLm8nQb7J+lXH6/udJrb3af6+Y38+Onm7vvHV79c1Ms/8s3d7f0/7+//d/14tzLxpfooDA69ANpagWrsujxi7s023/niwd/rCP/yqfKjSb58ftXe3P38o34D/Spv9y9Wub7+Y2s3cnv75ubTX766cOHiTf10/dMHfWLmwB/8t/z8zl6+nf73aPa3B6e/rDdXd3JzxfvDyPXuIX6vguDGP+o907d2F3v3Tcv/eHvHH6s8ufLgmq646Rf85z998813//pv//HdD3/89jv7dPHTMo8O9/cl3R6a6Mu1N1fTIpMzT9e5u216zm/0vqu7n3/YPfKDi5iW8WXAAws8soz7C/rI9p78gWd8+fYXPP0KyjBySK0jSHOK/0wM5GID8iEYR8TCMgZl8TTK3NpR5heCMhc8RcEAlkwCdMUCswRFGbrgWlEA+jEoS6dR5leOshgWgjJfnBcnupeRrYAheyihW3DZtGSotJrMGJTRaZThylFm80JQVi06jqqIUUpGT8yge5lpHqLzXmxxoecyBmX5NMrC2lFGC0EZk+KsdYEQyU17mapk0UQg40SYyUYcgzJvTqMsrhpl1gRcCMpqktCsd2BSaWrz2gDZI4HELiHXapVRY1DmTqMsrRplTs2vhaCME8aKLUDMqo1hJ1X8m+nAvTVf2BU1DcagzJ9GGa0dZYuxMTFZH81kWaJq/8mr9q+WJpTixEvhkG0fg7IZnoy8dpQt5cSM0ZHXwxF6JQHEWIBQFG8OW1aY2RTrGJTN8GRYs2qYqWK2lM1MSlYdrGYozKxHZi2QjRXIqdYeg8nV0BiY4QyYrdv7n/Z14vu7fmsos7Xof5QATVIjMzbSIzO7yZVhumFExkHq/5wQ07q9/2nfV3l/128NZURialb70vsQAKvVIzMg6m9su/jo2eQxKLMzULZy73+mpWhmNpnokyNIXX8gioXM+qNWI77m3nMcE2PyM7z/dt3u/5TGoezJVOPCWfvkQUovNlcw47SOp3O93DMMJr4cNF5wqnHOuydTLcXoUdumuG4N6LZNUy5KBu4cJjeO7t3OV8FBHpwZkTW77tBaikuJ3+ZcgrRSwDrxgNQRSK1psEIxY/XelDEeHJwRWbPrDq2ltBSU9eZ8aVzBqPUD6Cmq0WMTsGGTTGcTJY1B2QxvtF15aC3HcYrAy8KssAvB9Qy9mQrIhSDXIkC5iq2NAvswBmYzArh23bG1hOOSUZ5MNW7f3J8qjPNL7U2VaSkRcCscW5l8E1ISYAxlyuVnMJy5FK5S9oP956LpjKiRW7cLzJqwFH9+lNJsxqRnAHZA4wNwQYGEIpOOSyyDYDYj0cKtOziZFoOyLK1JMwKdagYs2UIRi4COFWIl1yZxDMpmxCbdymOTYSlHJqVcEtUCwZJiS5Up4FA9kJrpTqrn2sck8+OM2KRbd2zS2v248P1tA/TNpbg3C5VI7DOk0FQJbCECOdUEg7iIbEqwaYx7E2cEqNy6A1TuSXDw/rbfGsxyaGpOmARR9GRGogiFXdZ/UusKup5w0MY5w4vu1u1FV5gt5XwOqaeURfewHhVm3iagaV/rroeoVgdJG+NGDzPc6G7dbnSF2VKMje4xWqkdXGc1aWNNwN7mya6NiDZnzmOMjTAjecit248+cjN7MtW44/nJVC/n4BxI0ydTvVgGjnvJucJ+44Bxc6XwclkxeTFF+b0Ul6kxFKkM6EiASs4gvobYnFejftAGPiNC5VYeoVoIxii30nti8CHZqYy1AzXrwbXOU7FO4z4m9TPM8Uiuu/Yr0VLy2H1q0bjoFGVTgaGdMtM8qmZas554WDDsO1/PhbIZKR1+3dGVpZyWDk3iagLY4jxgb6LmDhqokaLirFWkMW0fwgwfoV95bIWWYlR7iV5MQGjFREATA+Sse1rrvbTCKfU6pulbnGFU+5XHVoiWspnpCVlsC4orrFN42Oapt6CFZClWpmSDHaP6xxmqv1951gvRUnIgHVL11hIElAKYqoGSuUAonqljty6PCXjYOc0F1x1XS2kpDbladC2Q6vyUfVAb01koJAg25VLFCxce08TGzgir0cpRNtDh+NJ9H5CTbwmi1W0MW2rAhgpYZCy5Om/9GBvTzYiq0cqDt35gWeTLwsxEEleCB99bmSrtOnBuBOKZq5XO3rcxMJthANC6g7dpMcUpppbEIgLRZFEzswpQiglskGaohVD6mBQBN0P/p3XHblUOC0GZNS1j1IPSJem6lwlDll7AmMSq+cdq9r/quVA2p7vgygNMcTHqP5vUOxvIamUC9kDAqRaojKT7XHNh1Ns4ZjQXfIZeds1FrvcHuZO/3r37H/O/l293v+1d3f3JL28w+bJ4XcwjNO7kfSDUs5P0t+2QaJ9ggA7j8OAIl2/31rX39fe/6Oz+frsaBlWKylRQ2TFBaV0VpVo9WopUzZgk3TlNJJ+hGG1yPiHnnjxltBDCdGoEnk6NaCYNuHRr1QhLgzTgGSHjvG7dxCEuxZ7X7SSRlQi9Ti9xSm56JUVDiFgllRC445j67AfmvD/mmlyfOX8j1/rl/ixf87V8bHzzzRfUfer9Vu6+ugDd39pPN7sH8MNuN5r0y2MZZvXLKAd3vf07rDFGkfTrf3L6hqO77P3V0zvt55mO79dvjzymU7ydHR7Nr5u0JoUiwWZwvU52K1ngoBZFppgwJ88Gx9itD0h76P4dadftHBkHsTm7g912h2fsDi+c02BcS9EIpKkJCro0NeZW0vYw9bHNRGFQl9EHpMVjpF2fPrdx6ZeZzn/SPqNw4JWftWiLsTZbSJKntzYkD3lq/GdtohxzbNGPaUH9gLb2API/83Z93rtTvD1I22Ng3Gi732pmMbz1tlXbooNUYwIM0QAFiiAmZ2SMltoYP9lD3rpjvF1fyv0p3h40bDfero63NXN0TAnKFMxAqfpblg5VMlUnoVc35sUiD3l7zCOF6ytiOMVbv/F24+2UGJZZGatGbaXpfS27wpBIONUiKXFTdn2/ufkA3h6zb3F9hSGneIsbbzfe7vLs2YlT09b0iIDFV8g1emies03NkOXx5204xtv1ldqc4m3YeLvxdiop5+w8Y4NkPAN6U77Yt+QkpVJTLMMDt/ZYEAjXV7t0irdx4+3G211pK0eMnCFQEECeWiDb7qAWY2P2yUsdU6bzkLfpGG/XV6Zzirdp4+3G2ym/tocWKmbIpRTA6htwNRUil2StHsJYxpSkP+TtAeF95u2WKbXPW9p4u/F2amqcXffFC0Q009u0JABF/cEuWsreuzSoxuchbw88o8+8XV+y1Cne5o23G2+nHMdsE3c04ENB1ZMpAVk/vcnBEaPotTKmZdoD3h49brd0qXmJyRtvV8fbFJBtwakJXWmAsSQo0SKkmiikSMmlMdWOD3h79Ljd0qXmpTluvF0db0WpmaphMJ6MnrfRQEnkwWGjTJ68C2PqRx/qycfqzXDLl9onrtl4u/F21/TRY3a5Q+1BeVtDAc5GwBvu1grb1If7k4+Fb+MWvt3KCjbefv54j7eqJLfJhlUVmQogqcZMAQmMK1Rb6b7v9z88P2+PhYHyFgaaddxutF0dbVGZisxq1KIlpW1EyK0IVLV7a2ymch6TLmXDab9UeEZ68tZ/49TrPbG1bit0dBXQtQQ0vRs79RRdD7aKG1Ou+VDQxxwZ4Rn5rJugTwi6evENO3BnC2icfO6bSiaV5NAhp/GCPmr5hmeo0JukT/Q6SY1j7wmcn0yl2Jru4qVBxeZY5W5tHVMS9kjSx2o5wzNy5jZJn2rsrmd0qwVc7ALoVdIcKKty3bu3LLa3MckajyR9rPovPEO93iR9Qh9LVUJ3CDG4pMe0WlA5M4PDyjVMJSmDzKhHkj5WLxa2xndnk7SjHDxnBgl1etGmF8hWPPRKJttcpcUXOKePVRiFrfXd+TjNBT2iAVeNcrrYqbNRYjBUQrGhYcMx7xh6JOljTs3wjOD/JulTb8ZA4UkPc905wJrVmrYtKKe5GDLVmFFvxggzqhjCM8LFm6RPuDubNcb6DiEbAgxWd++CemxLip6CsKnj/SZH897DM+KLm6RPJG5hts6qMhYaNUCr4s7oIoh1kW3E1O2YxK1Hkj7mIoubi+x8nhMTOdSg9nSc2udXbirpqVNSk+pylmb6C3D6mI8sbj6ys0laLSxJtkUItjBgwjq15wjgcjHGexcND3rry4O3Ph4zp+NSHCdHAlovekwH09CVqQlwNICmZCASA1StkcIxcRhDaZdnCHopfpNXIOgkxuWKBCl2PaVbEyBrMpQYomXVxI0Zo3l7M0PQS3GbvAJBS0ul+5rAVrWjMYQCFFOFGM10SfyoOJa3MwS9FK/JKxC0M82pJWVAOiNgNwhcVQNPllok6z35MdEN72YIeilOk1cg6Iixd4oCxu1ewdcysFiEjpJ9LpmSGyRoP0PQS/GZvAJBF+peWp/e6KmqN5ZuIe+iWE2trhZzCG6MH9TjaUGnpRjSr0DQKYfaimpfmCWo1q0aWZ66Hzq1pANaSrWOCWL5MEPQS7GjX4GgWQ2q3nbhyaDS9lRBd+sGpXgbC5dk7Ji4tI8zBL2UVJNXIGgfOXdUO7pGVkazJcheLKScqom9VqqDtO40Q9Cbw+SMaYJSi1UyN2p2SuM2wCUEMIYdJSs5pTHt4XGG1p02h8n5BO0osxGZCtAnZ7fb5YN6lbtxEq1tLowJa+AMrTttDpOzCbqjU2vKdLApT4WQ1imj0UH1gZyU1kseU8CMc7TuzWFyvqCGT4JcLFANddq6VRnrhsBlG8Vgycr2MYKeo3VvDpPzRaRztd2bCiEWVcZ8VpGL2tExMubmekca4+t2MwRNS0k9eAWCbqGbGooazi6oMobeQHbNgEgyUslHU8c4THCOebUJ+myCrshoqTRoaFTQMWWgUniKcWQVNcU0auueYV7R5hk7n8MEUxRqGTpNXY6t7t+l+Q6GvbfeJ1famHg0zkg8oM0zdsY8/sxRolPxTokHoQjkZhsUDrWFqjZ1HtOmD2ckHtDmGTtfPDoFb0NsILl6wOYzFNLffGKMkYxvg5SxMCPxgDbP2PnMK+aUOAl4mbRuY3Tr7rFAFS/ReIe5j3GYuBnKWN7O6PMpY6ZESrpXs81R7WhlNKkaDrUzd8mSgx3TgcbNUMbydkafzzPWExpEgl52ldKqh7EqYRCyLT5Gr8wekwU6QxfLS9m5DzyQsXK+fPuj/vOX5hmX7/n26/f88b/k9l3n61u5fPvgk/u7rm6//tJE45uPXK6lvbu7+Unvffr5/Z8c6roxq03MsRYxz2sPc6Q1zLG2MI87mBxqYDJLeIcblxxpWnLZrm53D+2bWWvCs67pyfDHkHym4Q/1Ajrj8Aea85xz+DB2+Dh2+DR2eBo7fB46fBqL+/148LmHH0urNJZW6exbWt1r6PVFxId6dz2rK9esOp1fRjjcKevw6uhVry6/5tU581pW9wjWc0B9qI5tDmfyPNXk/zr84d5t/4/xL9/+ipJzsGfbgX5tqpDf3v1JutoI73+4+iDvnHEWjAODPzjz+5B+78zvUkJvAv3npAg/vvt+mNv3n/7y9aePdzrjt/rz5lbqpEffa75Hr38e4e8K9ffvRe721PDpjx99Ov3R5dvdre/+BlnO0nv49wAA</AdaptiveCompressedXml>
</file>

<file path=customXml/item4.xml><?xml version="1.0" encoding="utf-8"?>
<document Id="5a6acfcc-e95b-4e07-ae60-3c471bbbcbce">
  <version>1</version>
  <createdBy>Lori.Perry</createdBy>
  <modifiedBy>Lori.Perry</modifiedBy>
  <createdDate>2021-01-12T18:26:40.7008092Z</createdDate>
  <modifiedDate>2021-02-04T21:14:26.9613732Z</modifiedDate>
  <sheets>
    <sheet Id="d9b304b7-ce19-44ad-9da2-4e3df18dd4c6" Name="Income Statement"/>
    <sheet Id="8c5f8fcc-512a-4cac-895f-558dd87d548e" Name="Balance Sheet"/>
    <sheet Id="a3797253-b30a-4080-bc3f-8060d587cb35" Name="Stats"/>
    <sheet Id="2999aed5-90b8-433d-a87a-f298758ffaf4" Name="Payer Mix"/>
  </sheets>
  <documentDefinitions>
    <reportDocumentDefinition>
      <properties version="22" revision="0" isCriteriaEnabled="false" suppressions="10"/>
      <reportDate>2020-12-15T00:00:00</reportDate>
      <lastRefreshTime>2021-02-04T20:57:35.6442518Z</lastRefreshTime>
      <options areDatesRelativeByDefault="true" autoFitColumnsOnRefresh="true" rounding="0" displayZeroForBlank="true" clearDataOnSave="false" refreshOnExpand="true" updateExpandedElementsOnRefresh="true" updateReportGroupsOnRefresh="true"/>
      <areLocationsHidden>false</areLocationsHidden>
      <adapterReportOptions>
        <option adapterId="2">
          <reportSettings UseLevelCurrency="true"/>
        </option>
      </adapterReportOptions>
    </reportDocumentDefinition>
  </documentDefinitions>
</document>
</file>

<file path=customXml/item5.xml><?xml version="1.0" encoding="utf-8"?>
<AdaptiveCompressedXml>H4sIAAAAAAAEAO1d328jtxF+L9D/QdD7RORw+CuQHaTXQ3FAey1y15e88cewFirbB0mX5FDkfy9X8TlnaRXv4UQj2fWLLS25w1nu95EzH7mr5Tc/Xa9nP/Bmu7q9uZjLr8T8m8s//2n55op5N3uVL+Yu6eJKSqAlBqAUEjivC2jtcnY2a3I8n70O13wx/0tYh5vEs/3Z82pnNltuu89/5bK6We1qG9v90Xp8w+9uN7s3D0vvCmvxu7DZbe+/3tf/Vz28dwvRFCl8ghiCA7LsIRptIZONtlQvk07zT86vFv5+m8KDRu6Or/Js9+Fddd/MZ4vDwsTr9bc5b3i7nW1uf7yYi/ks3a7fX9/01/8vf7iUy0X370Hji97Wl2mz2vFmFQ7N8Jqv+Wb3pt6EkMO7Wmd/0fODep33N9td1+lHJZ+UVY9zvb6/fffy5et//PPfr99+++q1PHa+c/OkuY8ubfsauiubraqT8tjJfZ2uj2e10mr34e2+u32fB50Pd9b6yja8rr34A78Ia77JYfPyruHbUra8u5hDvaz8frPv6a6VrtekUCdcSndWXuXe8oc1pBBiuXjklMcr7PZenWrvqJNcfyd1LZ20tFyc6Kae+33irt4XVAQeALkHsl2DH9n5G5wNzJqMJ8DkK2cjCojKFVB1GCEfrBYYW3NWn+AsTpuzwjzT9pm2d4cPaKtJF4WWIUUSQJwLRK8TILKKZIsN3remLZ2grZo0bf0za59Z+/HwAWutSZiT6biKEYg8Q5Ahgs4uoanc9bZ5gKxOsJYmx9pHqYTPVPoMKj1ZyvG0nM0mOpFkAN8xlUgyeKcCJBOSyYZzZNuas/YEZ/UzZw84K54p+wWUbZlxPC1rJYqcYxBQOFKNj0OAaBJB9iEwGlN0KE1YK+WvtBUnaGsmR9tPUWZdj5v7Wkcg6/Xh9wMyjp69Fxqk7MI5ZQkiSgmqIi1Z1By0agMyfBxkduIgOzXofznIjpqikeA5p+CUjKkmJVgHTREkxGg0ZCvJkspZkGiDZ3ocz27SeEZr3EhQFpxmEZSBLKUBSkJCqLM1OONCKVlIHdskwVI9jjI/aZRZp0cCMuGUKY4JikwJqE7ENf5TGhSryIly8rLNsobUj4NMiomjzIwEZTaw0z5FwJIQyIgCLtkExQSrHaNQtlGW4QagbNpL3tbZkaAMjUxOOK5pRvRAuRA4ISIE570iWYxA1wZlfgDKpr1I6+RoZkyysg5mps6TJQBR4prMOgVIrEIJmVVpo3OiGICyaa8pqnbJ7NOCLDlrpE8OgiYLZFHVTzpAZC8QuRRFbSZMHBD7y+ktgT0YysRYdLlsGOv0b8Hk6IAkFvC5SPDGBx+NT9a2Cf5xSPA/vUWbhygby1imWVmXrYEQTa5hmYngHTvgOsahrWmBdaEJytSAJQY1bfkXfUP994mjf1QlBsHAMpsKM6sgkqf6SScnlUFupGSgHTCYTRxmzg1eMP2dw8wVxZhyBGFzTTIDOahTZYRSooxUxzn02AZmZgDMJi7+ezEWmClLkqjOl1HV3JJ0JPBcv6IMhgTHLLmN+I9DFLNpq/9OtNMyjpoaiwQclFRR1mS2pq41Cgx1jvauMIROMXE2RatMmyhwwB4AnPZCg8OxiHPRWt/tDwZH0gIVheBKTT2SD2hYiCxdG91EDdBNcOoS8FgmZ+tEcagCaDIayCsP0ZoCJqD3UWFy2Gb/hxqgm+DEJeCxbDIq1heVRLe6oBxQKroOZd2mamEwFxfJqNwGZAPyWZy4BCzHopqkOivWIUtBYCM61USA17KAV8WSZy5Esg3KBuQZOG0J+DAgvq/0RwMZCp0lCQOodLf9QyVwRkeQxtqoDIcS2+z/VQMW5nHau8zVaEJ/rYW22UFKqQBpq8Fz/RM1piAoxBLa6L80YJkBJ67/jgRj0mav2CewjgKQ8gQ+5QBCSZOyxRRNI1VuCMamLf6OJbmURFHUABO0zDW5VCFDSNpDxqSNkcIRN3q4YMACA05b+VViJCDr9tyScgmSxxr2dy+yCaF7RRYJJiIu1jUayAZEZGraaqway37cxAKNlQJEqXPkXiYLLtSIzHOux6OMh4/RnisiG/CYlJr2rm9pzVgC/xJ1ErJIsLKUbn8RQihBgorRqCJYmdxmRZ4GqLFq2pq/tDQWPVZaH4wmBVLYDGSIwCljwCOLqHIKWjfKLwfEZWraor+0OBZBNsoiNGsHUXQ7v4UK4H2xUKJkZ/fPGLR5vIAGyP5q2rJ/nTTHAjPGGu9Hw4DU7ZZUpo5mJiGIFAtRBVzCNu/FowG6v5q27l9hNppJM0rjHUpIiREo+Dqakc6gvcLCMaO31CbPHJICTFv5Rz+aTbksow5UU4Ciu1VMJyMESRGEKCk4FCb4RmvlA1D2GbLsOkReHxrZ8U+7y/+Jn5eL/aeD0v0pv76E/M756swDOO5veI94dfo1W8cY6OmQ7kp6LSwXB34dXP7hhfbe5+Xi4YvUl1dh++Iq3PyHt5clrLe8XHxy5L7WavviDkgvb0Jcc77cbd7XusfH70/pQ94gZp9i9ecx+gSbTzH54WTR9yqyQTevn7wniLvMq+2+014O8qln/voCn47M942vZzTfE+Sd03yP8HJO8z27Bs5pvkedPKf5nrf3nNO8b2renhpiz2T+vFQ/TqLbmm9Lq8NA8szmzXlv7XLxGwNqb4zUEx/VyX+7+45LjUeu3q6u+RJFDbVFzeLoLYqvtf0axVfWkhLafd9Nug9r35vZXt3++OL2ZldbfFX/bracfvm5k7tZ9mT5LxY+Tt59v4fSnXz0GyrLxb7q5f8BaLcuS8FlAAA=</AdaptiveCompressedXml>
</file>

<file path=customXml/itemProps1.xml><?xml version="1.0" encoding="utf-8"?>
<ds:datastoreItem xmlns:ds="http://schemas.openxmlformats.org/officeDocument/2006/customXml" ds:itemID="{D9C75C41-14D3-4206-AF50-837A738C16F2}">
  <ds:schemaRefs/>
</ds:datastoreItem>
</file>

<file path=customXml/itemProps2.xml><?xml version="1.0" encoding="utf-8"?>
<ds:datastoreItem xmlns:ds="http://schemas.openxmlformats.org/officeDocument/2006/customXml" ds:itemID="{2A82C045-E1BF-49C3-B18D-1C85D5FEE2DA}">
  <ds:schemaRefs/>
</ds:datastoreItem>
</file>

<file path=customXml/itemProps3.xml><?xml version="1.0" encoding="utf-8"?>
<ds:datastoreItem xmlns:ds="http://schemas.openxmlformats.org/officeDocument/2006/customXml" ds:itemID="{ACF5C583-8C0D-4A71-9B4A-C3ACBAF7AB7A}">
  <ds:schemaRefs/>
</ds:datastoreItem>
</file>

<file path=customXml/itemProps4.xml><?xml version="1.0" encoding="utf-8"?>
<ds:datastoreItem xmlns:ds="http://schemas.openxmlformats.org/officeDocument/2006/customXml" ds:itemID="{E1CBDCA2-D798-46E3-A59C-51A0E6D4543A}">
  <ds:schemaRefs/>
</ds:datastoreItem>
</file>

<file path=customXml/itemProps5.xml><?xml version="1.0" encoding="utf-8"?>
<ds:datastoreItem xmlns:ds="http://schemas.openxmlformats.org/officeDocument/2006/customXml" ds:itemID="{5F733596-DC07-480A-9D29-970D0EF7D5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CEO_CFOs</vt:lpstr>
      <vt:lpstr>Cover</vt:lpstr>
      <vt:lpstr>Income Statement</vt:lpstr>
      <vt:lpstr>Balance Sheet</vt:lpstr>
      <vt:lpstr>Stats</vt:lpstr>
      <vt:lpstr>Payer Mix</vt:lpstr>
      <vt:lpstr>Narrative</vt:lpstr>
      <vt:lpstr>MOR Ratios</vt:lpstr>
      <vt:lpstr>'Balance Sheet'!Print_Area</vt:lpstr>
      <vt:lpstr>Cover!Print_Area</vt:lpstr>
      <vt:lpstr>'Income Statement'!Print_Area</vt:lpstr>
      <vt:lpstr>Narrative!Print_Area</vt:lpstr>
      <vt:lpstr>'Payer Mix'!Print_Area</vt:lpstr>
      <vt:lpstr>Stats!Print_Area</vt:lpstr>
      <vt:lpstr>'Payer Mix'!Print_Titles</vt:lpstr>
      <vt:lpstr>Stats!Print_Titles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Connolly, Abigail</cp:lastModifiedBy>
  <cp:lastPrinted>2021-04-22T14:26:27Z</cp:lastPrinted>
  <dcterms:created xsi:type="dcterms:W3CDTF">2020-07-01T17:37:53Z</dcterms:created>
  <dcterms:modified xsi:type="dcterms:W3CDTF">2021-09-13T20:38:18Z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aptiveDocumentId">
    <vt:lpwstr>5a6acfcc-e95b-4e07-ae60-3c471bbbcbce</vt:lpwstr>
  </property>
  <property fmtid="{D5CDD505-2E9C-101B-9397-08002B2CF9AE}" pid="3" name="AdaptiveReportingVersion">
    <vt:lpwstr>4</vt:lpwstr>
  </property>
  <property fmtid="{D5CDD505-2E9C-101B-9397-08002B2CF9AE}" pid="4" name="AdaptiveReportingRevision">
    <vt:lpwstr>0</vt:lpwstr>
  </property>
  <property fmtid="{D5CDD505-2E9C-101B-9397-08002B2CF9AE}" pid="5" name="AdaptiveCustomXmlPartId">
    <vt:lpwstr>e1cbdca2-d798-46e3-a59c-51a0e6d4543a</vt:lpwstr>
  </property>
</Properties>
</file>