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8304C419-57C2-4E71-9E0C-51B0DB7756A5}" xr6:coauthVersionLast="47" xr6:coauthVersionMax="47" xr10:uidLastSave="{00000000-0000-0000-0000-000000000000}"/>
  <bookViews>
    <workbookView xWindow="-120" yWindow="-120" windowWidth="29040" windowHeight="15840" activeTab="1" xr2:uid="{00000000-000D-0000-FFFF-FFFF00000000}"/>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Reconciliation'!$B$6:$O$115</definedName>
    <definedName name="_xlnm.Print_Area" localSheetId="2">'2. Charge and NPR Detail'!$A$2:$H$49</definedName>
    <definedName name="_xlnm.Print_Area" localSheetId="3">'3. Utilization'!$B$1:$D$16</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6" l="1"/>
  <c r="C45" i="13" l="1"/>
  <c r="D35" i="13"/>
  <c r="C97" i="15" l="1"/>
  <c r="C13" i="7" l="1"/>
  <c r="C12" i="7"/>
  <c r="C11" i="7"/>
  <c r="C10" i="7"/>
  <c r="C9" i="7"/>
  <c r="D14" i="7"/>
  <c r="C14" i="7" s="1"/>
  <c r="C96" i="15" l="1"/>
  <c r="I35" i="13" l="1"/>
  <c r="C36" i="21" l="1"/>
  <c r="C27" i="21"/>
  <c r="C21" i="21"/>
  <c r="C23" i="21" s="1"/>
  <c r="C28" i="21" s="1"/>
  <c r="C38" i="21" s="1"/>
  <c r="F15" i="15" l="1"/>
  <c r="F19" i="15" l="1"/>
  <c r="D8" i="16"/>
  <c r="E10" i="16"/>
  <c r="E9" i="16"/>
  <c r="D10" i="16"/>
  <c r="D9" i="16"/>
  <c r="C45" i="15"/>
  <c r="C42" i="15"/>
  <c r="C100" i="15"/>
  <c r="C98" i="15"/>
  <c r="C107" i="15" s="1"/>
  <c r="C101" i="15"/>
  <c r="G14" i="15"/>
  <c r="G23" i="15" s="1"/>
  <c r="D15" i="15"/>
  <c r="G71" i="15"/>
  <c r="G73" i="15" s="1"/>
  <c r="F74" i="15"/>
  <c r="E74" i="15"/>
  <c r="E73" i="15" s="1"/>
  <c r="D74" i="15"/>
  <c r="D73" i="15" s="1"/>
  <c r="F78" i="15"/>
  <c r="H72" i="15"/>
  <c r="F70" i="15"/>
  <c r="F12" i="15"/>
  <c r="F71" i="15" s="1"/>
  <c r="F73" i="15" s="1"/>
  <c r="H23" i="15"/>
  <c r="E15" i="15"/>
  <c r="E14" i="15" s="1"/>
  <c r="E23" i="15" s="1"/>
  <c r="F11" i="15"/>
  <c r="F14" i="15" s="1"/>
  <c r="E16" i="16" l="1"/>
  <c r="E15" i="16"/>
  <c r="F23" i="15"/>
  <c r="F23" i="13" l="1"/>
  <c r="F22" i="13"/>
  <c r="F21" i="13"/>
  <c r="E14" i="8" l="1"/>
  <c r="D12" i="8"/>
  <c r="D10" i="8"/>
  <c r="D14" i="8" l="1"/>
  <c r="D16" i="16"/>
  <c r="D21" i="16" s="1"/>
  <c r="F7" i="16"/>
  <c r="D38" i="15"/>
  <c r="G82" i="15"/>
  <c r="G84" i="15" s="1"/>
  <c r="G85" i="15" s="1"/>
  <c r="G25" i="15"/>
  <c r="G26" i="15" s="1"/>
  <c r="C73" i="15"/>
  <c r="C72" i="15"/>
  <c r="C71" i="15"/>
  <c r="C13" i="15"/>
  <c r="C12" i="15"/>
  <c r="F82" i="15"/>
  <c r="F84" i="15" s="1"/>
  <c r="F85" i="15" s="1"/>
  <c r="F25" i="15"/>
  <c r="F26" i="15" s="1"/>
  <c r="C19" i="15"/>
  <c r="C17" i="15"/>
  <c r="C16" i="15"/>
  <c r="C15" i="15"/>
  <c r="L23" i="20"/>
  <c r="K23" i="20"/>
  <c r="J23" i="20"/>
  <c r="I23" i="20"/>
  <c r="H23" i="20"/>
  <c r="G23" i="20"/>
  <c r="D23" i="20"/>
  <c r="E23" i="20"/>
  <c r="F23" i="20"/>
  <c r="C13" i="20"/>
  <c r="C14" i="20"/>
  <c r="C15" i="20"/>
  <c r="C16" i="20"/>
  <c r="C17" i="20"/>
  <c r="C18" i="20"/>
  <c r="C19" i="20"/>
  <c r="C20" i="20"/>
  <c r="C21" i="20"/>
  <c r="C22" i="20"/>
  <c r="C12" i="20"/>
  <c r="F15" i="16"/>
  <c r="F14" i="16"/>
  <c r="F13" i="16"/>
  <c r="F12" i="16"/>
  <c r="F11" i="16"/>
  <c r="F10" i="16"/>
  <c r="F9" i="16"/>
  <c r="F8" i="16"/>
  <c r="F16" i="16" s="1"/>
  <c r="D21" i="13"/>
  <c r="C49" i="13"/>
  <c r="C39" i="13"/>
  <c r="D39" i="13"/>
  <c r="C15" i="13"/>
  <c r="D15" i="13" s="1"/>
  <c r="H49" i="13"/>
  <c r="G49" i="13"/>
  <c r="F49" i="13"/>
  <c r="E48" i="13"/>
  <c r="E47" i="13"/>
  <c r="E46" i="13"/>
  <c r="E45" i="13"/>
  <c r="D45" i="13" s="1"/>
  <c r="D49" i="13" s="1"/>
  <c r="E44" i="13"/>
  <c r="J39" i="13"/>
  <c r="I39" i="13"/>
  <c r="H39" i="13"/>
  <c r="G39" i="13"/>
  <c r="F39" i="13"/>
  <c r="E39" i="13"/>
  <c r="J25" i="13"/>
  <c r="I25" i="13"/>
  <c r="H25" i="13"/>
  <c r="G25" i="13"/>
  <c r="F25" i="13"/>
  <c r="C25" i="13"/>
  <c r="E24" i="13"/>
  <c r="E25" i="13" s="1"/>
  <c r="D25" i="13" s="1"/>
  <c r="D23" i="13"/>
  <c r="D22" i="13"/>
  <c r="C108" i="15"/>
  <c r="D104" i="15"/>
  <c r="D103" i="15"/>
  <c r="D106" i="15"/>
  <c r="D48" i="15"/>
  <c r="D47" i="15"/>
  <c r="D50" i="15"/>
  <c r="C57" i="15"/>
  <c r="D27" i="21"/>
  <c r="D23" i="21"/>
  <c r="B11" i="4"/>
  <c r="C53" i="13" l="1"/>
  <c r="C23" i="20"/>
  <c r="C45" i="21"/>
  <c r="D53" i="13"/>
  <c r="E49" i="13"/>
  <c r="F53" i="13" s="1"/>
  <c r="D28" i="21"/>
  <c r="D38" i="21" s="1"/>
  <c r="D45" i="21" s="1"/>
  <c r="C28" i="15"/>
  <c r="D42" i="21"/>
  <c r="D46" i="21" s="1"/>
  <c r="D15" i="7"/>
  <c r="C15" i="7"/>
  <c r="D17" i="7"/>
  <c r="C18" i="7" s="1"/>
  <c r="C39" i="15"/>
  <c r="C46" i="15" s="1"/>
  <c r="D46" i="15" s="1"/>
  <c r="D102" i="15"/>
  <c r="D105" i="15"/>
  <c r="D107" i="15"/>
  <c r="D51" i="15"/>
  <c r="D49" i="15"/>
  <c r="D45" i="15"/>
  <c r="H82" i="15"/>
  <c r="H84" i="15" s="1"/>
  <c r="H85" i="15" s="1"/>
  <c r="E82" i="15"/>
  <c r="E84" i="15" s="1"/>
  <c r="E85" i="15" s="1"/>
  <c r="D82" i="15"/>
  <c r="D84" i="15" s="1"/>
  <c r="D85" i="15" s="1"/>
  <c r="C81" i="15"/>
  <c r="C80" i="15"/>
  <c r="C79" i="15"/>
  <c r="C78" i="15"/>
  <c r="C77" i="15"/>
  <c r="C76" i="15"/>
  <c r="C75" i="15"/>
  <c r="C74" i="15"/>
  <c r="C70" i="15"/>
  <c r="E25" i="15"/>
  <c r="E26" i="15" s="1"/>
  <c r="H25" i="15"/>
  <c r="H26" i="15" s="1"/>
  <c r="B12" i="4"/>
  <c r="B13" i="4"/>
  <c r="C20" i="15"/>
  <c r="C21" i="15"/>
  <c r="C22" i="15"/>
  <c r="C11" i="15"/>
  <c r="C54" i="13" s="1"/>
  <c r="E53" i="13" l="1"/>
  <c r="C55" i="13"/>
  <c r="C42" i="21"/>
  <c r="C46" i="21" s="1"/>
  <c r="B14" i="4"/>
  <c r="B10" i="4"/>
  <c r="B15" i="4" s="1"/>
  <c r="C82" i="15"/>
  <c r="C87" i="15" s="1"/>
  <c r="C88" i="15" s="1"/>
  <c r="C84" i="15" l="1"/>
  <c r="B7" i="4" l="1"/>
  <c r="C85" i="15"/>
  <c r="D101" i="15"/>
  <c r="D100" i="15"/>
  <c r="D99" i="15"/>
  <c r="D98" i="15"/>
  <c r="D97" i="15"/>
  <c r="D96" i="15"/>
  <c r="D95" i="15"/>
  <c r="D94" i="15"/>
  <c r="D108" i="15" l="1"/>
  <c r="C113" i="15"/>
  <c r="C114" i="15" s="1"/>
  <c r="D44" i="15"/>
  <c r="D43" i="15"/>
  <c r="D42" i="15"/>
  <c r="D41" i="15"/>
  <c r="D40" i="15"/>
  <c r="C110" i="15" l="1"/>
  <c r="C111" i="15" s="1"/>
  <c r="C52" i="15" l="1"/>
  <c r="C58" i="15" s="1"/>
  <c r="C60" i="15" s="1"/>
  <c r="C61" i="15" s="1"/>
  <c r="D39" i="15"/>
  <c r="D52" i="15" s="1"/>
  <c r="C54" i="15" l="1"/>
  <c r="C55" i="15" s="1"/>
  <c r="C18" i="15" l="1"/>
  <c r="D14" i="15"/>
  <c r="C14" i="15" s="1"/>
  <c r="D23" i="15" l="1"/>
  <c r="D25" i="15" s="1"/>
  <c r="D26" i="15" s="1"/>
  <c r="C23" i="15"/>
  <c r="B5" i="4" s="1"/>
  <c r="F54" i="13" l="1"/>
  <c r="F55" i="13" s="1"/>
  <c r="C29" i="15"/>
  <c r="C31" i="15" s="1"/>
  <c r="C32" i="15" s="1"/>
  <c r="C25" i="15"/>
  <c r="C26" i="15" s="1"/>
  <c r="D54" i="13"/>
  <c r="D55" i="13" s="1"/>
  <c r="B6" i="4" l="1"/>
  <c r="E54" i="13"/>
  <c r="E55" i="13" s="1"/>
</calcChain>
</file>

<file path=xl/sharedStrings.xml><?xml version="1.0" encoding="utf-8"?>
<sst xmlns="http://schemas.openxmlformats.org/spreadsheetml/2006/main" count="375" uniqueCount="267">
  <si>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</si>
  <si>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</si>
  <si>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</si>
  <si>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</si>
  <si>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</si>
  <si>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</si>
  <si>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</si>
  <si>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</si>
  <si>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</si>
  <si>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</si>
  <si>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</si>
  <si>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</si>
  <si>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</si>
  <si>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</si>
  <si>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</si>
  <si>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</si>
  <si>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</si>
  <si>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</si>
  <si>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</si>
  <si>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</si>
  <si>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</si>
  <si>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</si>
  <si>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</si>
  <si>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</si>
  <si>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</si>
  <si>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</si>
  <si>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</si>
  <si>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</si>
  <si>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</si>
  <si>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</si>
  <si>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</si>
  <si>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</si>
  <si>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</si>
  <si>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</si>
  <si>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</si>
  <si>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</si>
  <si>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</si>
  <si>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</si>
  <si>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</si>
  <si>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</si>
  <si>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</si>
  <si>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</si>
  <si>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</si>
  <si>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</si>
  <si>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</si>
  <si>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</si>
  <si>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</si>
  <si>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</si>
  <si>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</si>
  <si>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</si>
  <si>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</si>
  <si>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</si>
  <si>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</si>
  <si>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</si>
  <si>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</si>
  <si>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</si>
  <si>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</si>
  <si>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</si>
  <si>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</si>
  <si>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</si>
  <si>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</si>
  <si>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</si>
  <si>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</si>
  <si>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</si>
  <si>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</si>
  <si>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</si>
  <si>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</si>
  <si>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</si>
  <si>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</si>
  <si>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</si>
  <si>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</si>
  <si>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</si>
  <si>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</si>
  <si>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</si>
  <si>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</si>
  <si>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</si>
  <si>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</si>
  <si>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</si>
  <si>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</si>
  <si>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</si>
  <si>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</si>
  <si>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</si>
  <si>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</si>
  <si>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</si>
  <si>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</si>
  <si>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</si>
  <si>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</si>
  <si>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</si>
  <si>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</si>
  <si>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</si>
  <si>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</si>
  <si>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</si>
  <si>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</si>
  <si>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</si>
  <si>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</si>
  <si>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</si>
  <si>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</si>
  <si>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</si>
  <si>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</si>
  <si>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</si>
  <si>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</si>
  <si>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</si>
  <si>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</si>
  <si>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</si>
  <si>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</si>
  <si>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</si>
  <si>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</si>
  <si>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</si>
  <si>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</si>
  <si>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</si>
  <si>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</si>
  <si>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</si>
  <si>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</si>
  <si>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</si>
  <si>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</si>
  <si>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</si>
  <si>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</si>
  <si>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</si>
  <si>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</si>
  <si>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</si>
  <si>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</si>
  <si>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</si>
  <si>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</si>
  <si>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</si>
  <si>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</si>
  <si>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</si>
  <si>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</si>
  <si>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</si>
  <si>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</si>
  <si>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</si>
  <si>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</si>
  <si>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</si>
  <si>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</si>
  <si>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</si>
  <si>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</si>
  <si>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</si>
  <si>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</si>
  <si>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</si>
  <si>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</si>
  <si>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</si>
  <si>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</si>
  <si>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</si>
  <si>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</si>
  <si>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</si>
  <si>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</si>
  <si>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</si>
  <si>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</si>
  <si>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</si>
  <si>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</si>
  <si>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</si>
  <si>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</si>
  <si>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</si>
  <si>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</si>
  <si>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</si>
  <si>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</si>
  <si>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</si>
  <si>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</si>
  <si>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</si>
  <si>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</si>
  <si>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</si>
  <si>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</si>
  <si>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</si>
  <si>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</si>
  <si>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</si>
  <si>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</si>
  <si>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</si>
  <si>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</si>
  <si>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</si>
  <si>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</si>
  <si>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</si>
  <si>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</si>
  <si>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</si>
  <si>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</si>
  <si>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</si>
  <si>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Please denote the advances, relief funds, and other grants received by the hospital or planned to be received 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</si>
  <si>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</si>
  <si>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</si>
  <si>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</si>
  <si>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</si>
  <si>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</si>
  <si>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</si>
  <si>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</si>
  <si>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</si>
  <si>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</si>
  <si>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</si>
  <si>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</si>
  <si>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</si>
  <si>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</si>
  <si>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</si>
  <si>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</si>
  <si>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Other (add rows as necessary)</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</si>
  <si>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</si>
  <si>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</si>
  <si>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</si>
  <si>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</si>
  <si>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</si>
  <si>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</si>
  <si>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</si>
  <si>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</si>
  <si>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</si>
  <si>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</si>
  <si>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</si>
  <si>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</si>
  <si>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</si>
  <si>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</si>
  <si>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</si>
  <si>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</si>
  <si>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</si>
  <si>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</si>
  <si>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</si>
  <si>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</si>
  <si>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</si>
  <si>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</si>
  <si>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</si>
  <si>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</si>
  <si>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</si>
  <si>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</si>
  <si>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</si>
  <si>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</si>
  <si>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</si>
  <si>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</si>
  <si>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</si>
  <si>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</si>
  <si>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</si>
  <si>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</si>
  <si>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</si>
  <si>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</si>
  <si>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</si>
  <si>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</si>
  <si>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</si>
  <si>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</si>
  <si>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</si>
  <si>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</si>
  <si>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</si>
  <si>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</si>
  <si>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</si>
  <si>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</si>
  <si>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</si>
  <si>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</si>
  <si>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</si>
  <si>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</si>
  <si>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</si>
  <si>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</si>
  <si>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</si>
  <si>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</si>
  <si>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r>
      <rPr>
        <b/>
        <sz val="11"/>
        <color theme="1"/>
        <rFont val="Calibri"/>
        <family val="2"/>
      </rPr>
      <t>Table 2:</t>
    </r>
    <r>
      <rPr>
        <sz val="11"/>
        <color theme="1"/>
        <rFont val="Calibri"/>
        <family val="2"/>
      </rPr>
      <t xml:space="preserve">  Please indicate gross revenue by payer from your requested charge master increase. This analysis should only take into consideration the charge master increase (Table 1), utilization assumptions, and acuity. </t>
    </r>
  </si>
  <si>
    <t xml:space="preserve"> FPP by Commercial Payer (in state only)*</t>
  </si>
  <si>
    <t>*if possible</t>
  </si>
  <si>
    <t>tie to income statement</t>
  </si>
  <si>
    <t>Weighted Average 
(Column C * Column E)</t>
  </si>
  <si>
    <t>Yes</t>
  </si>
  <si>
    <t>No</t>
  </si>
  <si>
    <t>We do not keep track of this.</t>
  </si>
  <si>
    <t xml:space="preserve">Other (Please Specify) </t>
  </si>
  <si>
    <t>Impact of rate increase on NPR=$2,205,932/5.01%=$435,036 for each 1% increase in aggregrate.</t>
  </si>
  <si>
    <t>we do not keep track of this</t>
  </si>
  <si>
    <t>How do you keep tarck of FIXED payment by IP OP and Professional?</t>
  </si>
  <si>
    <t>SHIP Grant</t>
  </si>
  <si>
    <t>Per Lori - input all into other</t>
  </si>
  <si>
    <t>corrected</t>
  </si>
  <si>
    <t>others</t>
  </si>
  <si>
    <t>Med Surg,Birthing,Resp</t>
  </si>
  <si>
    <t>Periop</t>
  </si>
  <si>
    <t>Physician office visits</t>
  </si>
  <si>
    <t>Imaging</t>
  </si>
  <si>
    <t>PT,OT,ST,Card Rehab</t>
  </si>
  <si>
    <t>(ex. April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</si>
</sst>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b/>
      <u/>
      <sz val="11"/>
      <color theme="1"/>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394">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20" xfId="0" applyFont="1" applyBorder="1"/>
    <xf numFmtId="0" fontId="1" fillId="0" borderId="14" xfId="0" applyFont="1" applyBorder="1"/>
    <xf numFmtId="0" fontId="1" fillId="0" borderId="10" xfId="0" applyFont="1" applyBorder="1"/>
    <xf numFmtId="0" fontId="2" fillId="0" borderId="40" xfId="0" applyFont="1" applyBorder="1" applyAlignment="1">
      <alignment horizontal="left" indent="3"/>
    </xf>
    <xf numFmtId="44" fontId="1" fillId="0" borderId="27" xfId="2" applyFont="1" applyBorder="1"/>
    <xf numFmtId="44" fontId="1" fillId="0" borderId="38" xfId="2" applyFont="1" applyBorder="1"/>
    <xf numFmtId="44" fontId="1" fillId="0" borderId="39" xfId="2" applyFont="1" applyBorder="1"/>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3" fontId="8" fillId="0" borderId="12" xfId="5" applyNumberFormat="1" applyFont="1" applyBorder="1"/>
    <xf numFmtId="164" fontId="4" fillId="0" borderId="4" xfId="3" applyNumberFormat="1" applyFont="1" applyBorder="1"/>
    <xf numFmtId="165" fontId="4" fillId="0" borderId="0" xfId="5" applyNumberFormat="1"/>
    <xf numFmtId="38" fontId="0" fillId="0" borderId="0" xfId="3" applyNumberFormat="1" applyFont="1" applyAlignment="1">
      <alignment horizontal="center"/>
    </xf>
    <xf numFmtId="38" fontId="0" fillId="0" borderId="0" xfId="0" applyNumberFormat="1"/>
    <xf numFmtId="10" fontId="0" fillId="0" borderId="0" xfId="0" applyNumberFormat="1"/>
    <xf numFmtId="0" fontId="0" fillId="0" borderId="0" xfId="0" applyFont="1" applyFill="1" applyBorder="1"/>
    <xf numFmtId="0" fontId="0" fillId="0" borderId="15" xfId="0" applyFont="1" applyBorder="1"/>
    <xf numFmtId="44" fontId="4" fillId="0" borderId="0" xfId="5" applyNumberFormat="1"/>
    <xf numFmtId="38" fontId="4" fillId="0" borderId="0" xfId="5" applyNumberFormat="1"/>
    <xf numFmtId="0" fontId="4" fillId="0" borderId="4" xfId="5" applyFont="1" applyBorder="1"/>
    <xf numFmtId="167" fontId="4" fillId="0" borderId="0" xfId="5" applyNumberFormat="1"/>
    <xf numFmtId="0" fontId="29" fillId="0" borderId="0" xfId="5" applyFont="1"/>
    <xf numFmtId="0" fontId="4" fillId="0" borderId="0" xfId="5" applyAlignment="1">
      <alignment horizontal="right"/>
    </xf>
    <xf numFmtId="44" fontId="0" fillId="0" borderId="4" xfId="0" applyNumberFormat="1" applyBorder="1"/>
    <xf numFmtId="44" fontId="0" fillId="0" borderId="0" xfId="0" applyNumberFormat="1"/>
    <xf numFmtId="0" fontId="6" fillId="0" borderId="0" xfId="0" applyFont="1" applyFill="1"/>
    <xf numFmtId="164" fontId="0" fillId="5" borderId="4" xfId="3" applyNumberFormat="1" applyFont="1" applyFill="1" applyBorder="1"/>
    <xf numFmtId="44" fontId="4" fillId="0" borderId="4" xfId="2" applyFont="1" applyFill="1" applyBorder="1"/>
    <xf numFmtId="38" fontId="4" fillId="0" borderId="0" xfId="5" applyNumberFormat="1" applyFill="1"/>
    <xf numFmtId="164" fontId="4" fillId="11" borderId="0" xfId="3" applyNumberFormat="1" applyFont="1" applyFill="1" applyBorder="1"/>
    <xf numFmtId="164" fontId="4" fillId="11" borderId="14" xfId="2" applyNumberFormat="1" applyFont="1" applyFill="1" applyBorder="1"/>
    <xf numFmtId="164" fontId="5" fillId="0" borderId="4" xfId="3" applyNumberFormat="1" applyFont="1" applyBorder="1"/>
    <xf numFmtId="164" fontId="4" fillId="6" borderId="4" xfId="3" applyNumberFormat="1" applyFont="1" applyFill="1" applyBorder="1"/>
    <xf numFmtId="0" fontId="18" fillId="0" borderId="4" xfId="0" applyFont="1" applyFill="1" applyBorder="1"/>
    <xf numFmtId="9" fontId="0" fillId="9" borderId="4" xfId="3" applyFont="1" applyFill="1" applyBorder="1" applyAlignment="1">
      <alignment horizontal="center"/>
    </xf>
    <xf numFmtId="44" fontId="0" fillId="9" borderId="4" xfId="2" applyFont="1" applyFill="1" applyBorder="1" applyAlignment="1">
      <alignment horizontal="center"/>
    </xf>
    <xf numFmtId="9" fontId="0" fillId="0" borderId="4" xfId="3" applyNumberFormat="1" applyFont="1" applyBorder="1" applyAlignment="1">
      <alignment horizontal="center"/>
    </xf>
    <xf numFmtId="9" fontId="0" fillId="3" borderId="4" xfId="2" applyNumberFormat="1"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0" borderId="0" xfId="5" applyFont="1" applyFill="1" applyBorder="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00000000-0005-0000-0000-000001000000}"/>
    <cellStyle name="Currency" xfId="2" builtinId="4"/>
    <cellStyle name="Hyperlink" xfId="4" builtinId="8"/>
    <cellStyle name="Hyperlink 2" xfId="6" xr:uid="{00000000-0005-0000-0000-000004000000}"/>
    <cellStyle name="Normal" xfId="0" builtinId="0"/>
    <cellStyle name="Normal 2" xfId="5" xr:uid="{00000000-0005-0000-0000-000006000000}"/>
    <cellStyle name="Percent" xfId="3" builtinId="5"/>
  </cellStyles>
  <dxfs count="0"/>
  <tableStyles count="0" defaultTableStyle="TableStyleMedium2" defaultPivotStyle="PivotStyleLight16"/>
  <colors>
    <mruColors>
      <color rgb="FFFFFFCC"/>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workbookViewId="0">
      <selection sqref="A1:B1"/>
    </sheetView>
  </sheetViews>
  <sheetFormatPr defaultRowHeight="15" x14ac:dyDescent="0.25"/>
  <cols>
    <col min="1" max="1" width="16.28515625" customWidth="1"/>
    <col min="2" max="2" width="66.7109375" style="27" customWidth="1"/>
    <col min="3" max="3" width="17.42578125" customWidth="1"/>
  </cols>
  <sheetData>
    <row r="1" spans="1:3" ht="18.75" x14ac:dyDescent="0.3">
      <c r="A1" s="315" t="s">
        <v>0</v>
      </c>
      <c r="B1" s="315"/>
    </row>
    <row r="2" spans="1:3" x14ac:dyDescent="0.25">
      <c r="A2" s="316" t="s">
        <v>1</v>
      </c>
      <c r="B2" s="316"/>
    </row>
    <row r="3" spans="1:3" ht="166.9" customHeight="1" x14ac:dyDescent="0.25">
      <c r="A3" s="314" t="s">
        <v>218</v>
      </c>
      <c r="B3" s="314"/>
    </row>
    <row r="4" spans="1:3" x14ac:dyDescent="0.25">
      <c r="B4" s="47"/>
    </row>
    <row r="5" spans="1:3" ht="15.75" x14ac:dyDescent="0.25">
      <c r="A5" s="114" t="s">
        <v>2</v>
      </c>
      <c r="B5" s="26" t="s">
        <v>3</v>
      </c>
      <c r="C5" s="46"/>
    </row>
    <row r="6" spans="1:3" ht="15.75" x14ac:dyDescent="0.25">
      <c r="A6" s="114" t="s">
        <v>2</v>
      </c>
      <c r="B6" s="46" t="s">
        <v>4</v>
      </c>
      <c r="C6" s="46"/>
    </row>
    <row r="7" spans="1:3" ht="15.75" x14ac:dyDescent="0.25">
      <c r="A7" s="113" t="s">
        <v>5</v>
      </c>
      <c r="B7" s="46" t="s">
        <v>6</v>
      </c>
      <c r="C7" s="46"/>
    </row>
    <row r="8" spans="1:3" ht="15.75" x14ac:dyDescent="0.25">
      <c r="A8" s="114" t="s">
        <v>2</v>
      </c>
      <c r="B8" s="26" t="s">
        <v>7</v>
      </c>
      <c r="C8" s="46"/>
    </row>
    <row r="9" spans="1:3" ht="15.75" x14ac:dyDescent="0.25">
      <c r="A9" s="114" t="s">
        <v>2</v>
      </c>
      <c r="B9" s="26" t="s">
        <v>8</v>
      </c>
      <c r="C9" s="46"/>
    </row>
    <row r="10" spans="1:3" ht="15.75" x14ac:dyDescent="0.25">
      <c r="A10" s="114" t="s">
        <v>2</v>
      </c>
      <c r="B10" s="26" t="s">
        <v>9</v>
      </c>
      <c r="C10" s="46"/>
    </row>
    <row r="11" spans="1:3" ht="15.75" x14ac:dyDescent="0.25">
      <c r="A11" s="114" t="s">
        <v>2</v>
      </c>
      <c r="B11" s="26" t="s">
        <v>10</v>
      </c>
      <c r="C11" s="46"/>
    </row>
    <row r="12" spans="1:3" ht="15.75" x14ac:dyDescent="0.25">
      <c r="A12" s="114" t="s">
        <v>2</v>
      </c>
      <c r="B12" s="46" t="s">
        <v>11</v>
      </c>
      <c r="C12" s="46"/>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200</v>
      </c>
    </row>
    <row r="3" spans="2:5" x14ac:dyDescent="0.25">
      <c r="B3" t="s">
        <v>201</v>
      </c>
      <c r="C3" t="s">
        <v>202</v>
      </c>
      <c r="D3" t="s">
        <v>168</v>
      </c>
      <c r="E3" t="s">
        <v>167</v>
      </c>
    </row>
    <row r="4" spans="2:5" x14ac:dyDescent="0.25">
      <c r="B4" s="16" t="s">
        <v>203</v>
      </c>
      <c r="C4" s="25">
        <v>180</v>
      </c>
      <c r="D4" s="25">
        <v>100</v>
      </c>
      <c r="E4" s="16" t="s">
        <v>204</v>
      </c>
    </row>
    <row r="5" spans="2:5" x14ac:dyDescent="0.25">
      <c r="B5" s="16" t="s">
        <v>205</v>
      </c>
      <c r="C5" s="25">
        <v>163</v>
      </c>
      <c r="D5" s="25">
        <v>100</v>
      </c>
      <c r="E5" s="25">
        <v>85</v>
      </c>
    </row>
    <row r="6" spans="2:5" x14ac:dyDescent="0.25">
      <c r="B6" s="16" t="s">
        <v>206</v>
      </c>
      <c r="C6" s="25">
        <v>186</v>
      </c>
      <c r="D6" s="25">
        <v>100</v>
      </c>
      <c r="E6" s="25">
        <v>58</v>
      </c>
    </row>
    <row r="7" spans="2:5" x14ac:dyDescent="0.25">
      <c r="B7" s="16" t="s">
        <v>207</v>
      </c>
      <c r="C7" s="25">
        <v>92</v>
      </c>
      <c r="D7" s="25">
        <v>100</v>
      </c>
      <c r="E7" s="25">
        <v>52</v>
      </c>
    </row>
    <row r="8" spans="2:5" x14ac:dyDescent="0.25">
      <c r="B8" s="16" t="s">
        <v>208</v>
      </c>
      <c r="C8" s="25">
        <v>166</v>
      </c>
      <c r="D8" s="25">
        <v>100</v>
      </c>
      <c r="E8" s="25">
        <v>76</v>
      </c>
    </row>
    <row r="9" spans="2:5" x14ac:dyDescent="0.25">
      <c r="B9" s="16" t="s">
        <v>209</v>
      </c>
      <c r="C9" s="25">
        <v>130</v>
      </c>
      <c r="D9" s="25">
        <v>100</v>
      </c>
      <c r="E9" s="25">
        <v>75</v>
      </c>
    </row>
    <row r="10" spans="2:5" x14ac:dyDescent="0.25">
      <c r="B10" s="16" t="s">
        <v>210</v>
      </c>
      <c r="C10" s="25">
        <v>160</v>
      </c>
      <c r="D10" s="25">
        <v>100</v>
      </c>
      <c r="E10" s="25">
        <v>79</v>
      </c>
    </row>
    <row r="11" spans="2:5" x14ac:dyDescent="0.25">
      <c r="B11" s="16" t="s">
        <v>211</v>
      </c>
      <c r="C11" s="25">
        <v>120</v>
      </c>
      <c r="D11" s="25">
        <v>100</v>
      </c>
      <c r="E11" s="25">
        <v>81</v>
      </c>
    </row>
    <row r="12" spans="2:5" x14ac:dyDescent="0.25">
      <c r="B12" s="16" t="s">
        <v>212</v>
      </c>
      <c r="C12" s="25">
        <v>160</v>
      </c>
      <c r="D12" s="25">
        <v>100</v>
      </c>
      <c r="E12" s="25">
        <v>72</v>
      </c>
    </row>
    <row r="13" spans="2:5" x14ac:dyDescent="0.25">
      <c r="B13" s="16" t="s">
        <v>213</v>
      </c>
      <c r="C13" s="25">
        <v>150</v>
      </c>
      <c r="D13" s="25">
        <v>100</v>
      </c>
      <c r="E13" s="16">
        <v>55</v>
      </c>
    </row>
    <row r="14" spans="2:5" x14ac:dyDescent="0.25">
      <c r="B14" s="16" t="s">
        <v>214</v>
      </c>
      <c r="C14" s="25">
        <v>264</v>
      </c>
      <c r="D14" s="25">
        <v>100</v>
      </c>
      <c r="E14" s="25">
        <v>44</v>
      </c>
    </row>
    <row r="15" spans="2:5" x14ac:dyDescent="0.25">
      <c r="B15" s="16" t="s">
        <v>215</v>
      </c>
      <c r="C15" s="25">
        <v>178</v>
      </c>
      <c r="D15" s="25">
        <v>100</v>
      </c>
      <c r="E15" s="25">
        <v>108</v>
      </c>
    </row>
    <row r="16" spans="2:5" x14ac:dyDescent="0.25">
      <c r="B16" s="16" t="s">
        <v>216</v>
      </c>
      <c r="C16" s="25">
        <v>185</v>
      </c>
      <c r="D16" s="25">
        <v>100</v>
      </c>
      <c r="E16" s="25">
        <v>89</v>
      </c>
    </row>
    <row r="17" spans="2:5" x14ac:dyDescent="0.25">
      <c r="B17" s="16" t="s">
        <v>217</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2:W114"/>
  <sheetViews>
    <sheetView showGridLines="0" tabSelected="1" topLeftCell="B27" zoomScaleNormal="100" zoomScaleSheetLayoutView="80" workbookViewId="0">
      <selection activeCell="D61" sqref="D61"/>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18" t="s">
        <v>12</v>
      </c>
      <c r="C2" s="318"/>
      <c r="D2" s="318"/>
      <c r="E2" s="318"/>
      <c r="F2" s="318"/>
      <c r="G2" s="318"/>
      <c r="H2" s="318"/>
      <c r="I2" s="318"/>
      <c r="J2" s="318"/>
      <c r="K2" s="318"/>
      <c r="L2" s="318"/>
      <c r="M2" s="318"/>
      <c r="N2" s="318"/>
      <c r="O2" s="318"/>
    </row>
    <row r="3" spans="1:15" ht="21" x14ac:dyDescent="0.35">
      <c r="B3" s="319" t="s">
        <v>13</v>
      </c>
      <c r="C3" s="320"/>
      <c r="D3" s="320"/>
      <c r="E3" s="320"/>
      <c r="F3" s="320"/>
      <c r="G3" s="320"/>
      <c r="H3" s="320"/>
      <c r="I3" s="320"/>
      <c r="J3" s="320"/>
      <c r="K3" s="320"/>
      <c r="L3" s="320"/>
      <c r="M3" s="320"/>
      <c r="N3" s="320"/>
      <c r="O3" s="321"/>
    </row>
    <row r="4" spans="1:15" ht="21" x14ac:dyDescent="0.35">
      <c r="B4" s="325" t="s">
        <v>14</v>
      </c>
      <c r="C4" s="326"/>
      <c r="D4" s="326"/>
      <c r="E4" s="326"/>
      <c r="F4" s="326"/>
      <c r="G4" s="326"/>
      <c r="H4" s="326"/>
      <c r="I4" s="326"/>
      <c r="J4" s="326"/>
      <c r="K4" s="326"/>
      <c r="L4" s="326"/>
      <c r="M4" s="326"/>
      <c r="N4" s="326"/>
      <c r="O4" s="327"/>
    </row>
    <row r="6" spans="1:15" ht="18.75" x14ac:dyDescent="0.3">
      <c r="B6" s="322" t="s">
        <v>15</v>
      </c>
      <c r="C6" s="323"/>
      <c r="D6" s="323"/>
      <c r="E6" s="323"/>
      <c r="F6" s="323"/>
      <c r="G6" s="323"/>
      <c r="H6" s="323"/>
      <c r="I6" s="323"/>
      <c r="J6" s="323"/>
      <c r="K6" s="323"/>
      <c r="L6" s="323"/>
      <c r="M6" s="323"/>
      <c r="N6" s="323"/>
      <c r="O6" s="324"/>
    </row>
    <row r="7" spans="1:15" s="57" customFormat="1" ht="18.75" x14ac:dyDescent="0.3">
      <c r="B7" s="56"/>
      <c r="C7" s="56"/>
      <c r="D7" s="56"/>
      <c r="E7" s="56"/>
      <c r="F7" s="56"/>
      <c r="G7" s="56"/>
      <c r="H7" s="56"/>
      <c r="I7" s="56"/>
      <c r="J7" s="56"/>
      <c r="K7" s="56"/>
      <c r="L7" s="56"/>
      <c r="M7" s="56"/>
      <c r="N7" s="56"/>
      <c r="O7" s="56"/>
    </row>
    <row r="8" spans="1:15" ht="18.75" x14ac:dyDescent="0.3">
      <c r="B8" s="98" t="s">
        <v>16</v>
      </c>
      <c r="C8" s="4"/>
    </row>
    <row r="9" spans="1:15" ht="22.15" customHeight="1" x14ac:dyDescent="0.3">
      <c r="B9" s="4"/>
      <c r="C9" s="4"/>
      <c r="E9" s="85"/>
      <c r="F9" s="85"/>
      <c r="G9" s="85"/>
      <c r="H9" s="85"/>
      <c r="I9" s="85"/>
      <c r="K9" s="28"/>
    </row>
    <row r="10" spans="1:15" s="105" customFormat="1" ht="30" x14ac:dyDescent="0.25">
      <c r="B10" s="103" t="s">
        <v>17</v>
      </c>
      <c r="C10" s="103" t="s">
        <v>18</v>
      </c>
      <c r="D10" s="103" t="s">
        <v>19</v>
      </c>
      <c r="E10" s="103" t="s">
        <v>20</v>
      </c>
      <c r="F10" s="103" t="s">
        <v>21</v>
      </c>
      <c r="G10" s="103" t="s">
        <v>222</v>
      </c>
      <c r="H10" s="103" t="s">
        <v>243</v>
      </c>
      <c r="I10" s="104"/>
      <c r="J10" s="106"/>
    </row>
    <row r="11" spans="1:15" x14ac:dyDescent="0.25">
      <c r="B11" s="5" t="s">
        <v>22</v>
      </c>
      <c r="C11" s="90">
        <f>SUM(D11:H11)</f>
        <v>92802426</v>
      </c>
      <c r="D11" s="96">
        <v>37706421</v>
      </c>
      <c r="E11" s="97">
        <v>11267863</v>
      </c>
      <c r="F11" s="97">
        <f>43297281-G11</f>
        <v>40714520</v>
      </c>
      <c r="G11" s="97">
        <v>2582761</v>
      </c>
      <c r="H11" s="97">
        <v>530861</v>
      </c>
      <c r="J11" s="28"/>
    </row>
    <row r="12" spans="1:15" ht="14.45" customHeight="1" x14ac:dyDescent="0.25">
      <c r="A12" s="328"/>
      <c r="B12" s="8" t="s">
        <v>56</v>
      </c>
      <c r="C12" s="90">
        <f>SUM(D12:H12)</f>
        <v>2205932</v>
      </c>
      <c r="D12" s="91">
        <v>0</v>
      </c>
      <c r="E12" s="92">
        <v>0</v>
      </c>
      <c r="F12" s="93">
        <f>1149909+1161320+48944+25181-195330-136724</f>
        <v>2053300</v>
      </c>
      <c r="G12" s="93">
        <v>152632</v>
      </c>
      <c r="H12" s="93">
        <v>0</v>
      </c>
      <c r="J12" s="290"/>
      <c r="L12" s="22"/>
      <c r="M12" s="23"/>
    </row>
    <row r="13" spans="1:15" x14ac:dyDescent="0.25">
      <c r="A13" s="328"/>
      <c r="B13" s="8" t="s">
        <v>57</v>
      </c>
      <c r="C13" s="90">
        <f>SUM(D13:H13)</f>
        <v>0</v>
      </c>
      <c r="D13" s="91"/>
      <c r="E13" s="92"/>
      <c r="F13" s="93"/>
      <c r="G13" s="93"/>
      <c r="H13" s="93">
        <v>0</v>
      </c>
      <c r="L13" s="22"/>
      <c r="M13" s="23"/>
    </row>
    <row r="14" spans="1:15" x14ac:dyDescent="0.25">
      <c r="A14" s="328"/>
      <c r="B14" s="8" t="s">
        <v>58</v>
      </c>
      <c r="C14" s="90">
        <f>SUM(D14:H14)</f>
        <v>585559</v>
      </c>
      <c r="D14" s="91">
        <f>37225839-SUM(D11:D13,D15:D22)</f>
        <v>-833202</v>
      </c>
      <c r="E14" s="91">
        <f>13113830-SUM(E11:E13,E15:E22)</f>
        <v>2134752</v>
      </c>
      <c r="F14" s="91">
        <f>42133068-SUM(F11:F13,F15:F22)</f>
        <v>-572379</v>
      </c>
      <c r="G14" s="91">
        <f>2591781-SUM(G11:G13,G15:G22)</f>
        <v>-143612</v>
      </c>
      <c r="H14" s="93">
        <v>0</v>
      </c>
      <c r="L14" s="22"/>
      <c r="M14" s="23"/>
    </row>
    <row r="15" spans="1:15" x14ac:dyDescent="0.25">
      <c r="A15" s="328"/>
      <c r="B15" s="8" t="s">
        <v>59</v>
      </c>
      <c r="C15" s="90">
        <f t="shared" ref="C15:C19" si="0">SUM(D15:H15)</f>
        <v>147352</v>
      </c>
      <c r="D15" s="91">
        <f>9729219-9376599</f>
        <v>352620</v>
      </c>
      <c r="E15" s="92">
        <f>4174442-4463227</f>
        <v>-288785</v>
      </c>
      <c r="F15" s="93">
        <f>-10767+94284</f>
        <v>83517</v>
      </c>
      <c r="G15" s="93"/>
      <c r="H15" s="93">
        <v>0</v>
      </c>
      <c r="L15" s="22"/>
      <c r="M15" s="23"/>
    </row>
    <row r="16" spans="1:15" x14ac:dyDescent="0.25">
      <c r="A16" s="328"/>
      <c r="B16" s="10" t="s">
        <v>25</v>
      </c>
      <c r="C16" s="90">
        <f t="shared" si="0"/>
        <v>0</v>
      </c>
      <c r="D16" s="91"/>
      <c r="E16" s="92"/>
      <c r="F16" s="94"/>
      <c r="G16" s="94"/>
      <c r="H16" s="94">
        <v>0</v>
      </c>
      <c r="L16" s="22"/>
      <c r="M16" s="23"/>
    </row>
    <row r="17" spans="1:23" x14ac:dyDescent="0.25">
      <c r="A17" s="328"/>
      <c r="B17" s="10" t="s">
        <v>26</v>
      </c>
      <c r="C17" s="90">
        <f t="shared" si="0"/>
        <v>0</v>
      </c>
      <c r="D17" s="91"/>
      <c r="E17" s="92"/>
      <c r="F17" s="93"/>
      <c r="G17" s="93"/>
      <c r="H17" s="93">
        <v>0</v>
      </c>
      <c r="L17" s="22"/>
      <c r="M17" s="23"/>
    </row>
    <row r="18" spans="1:23" x14ac:dyDescent="0.25">
      <c r="A18" s="328"/>
      <c r="B18" s="10" t="s">
        <v>27</v>
      </c>
      <c r="C18" s="90">
        <f t="shared" si="0"/>
        <v>0</v>
      </c>
      <c r="D18" s="91"/>
      <c r="E18" s="92"/>
      <c r="F18" s="93"/>
      <c r="G18" s="93"/>
      <c r="H18" s="93">
        <v>0</v>
      </c>
      <c r="L18" s="22"/>
      <c r="M18" s="23"/>
    </row>
    <row r="19" spans="1:23" x14ac:dyDescent="0.25">
      <c r="A19" s="328"/>
      <c r="B19" s="10" t="s">
        <v>60</v>
      </c>
      <c r="C19" s="90">
        <f t="shared" si="0"/>
        <v>-145890</v>
      </c>
      <c r="D19" s="91"/>
      <c r="E19" s="92"/>
      <c r="F19" s="93">
        <f>-(2829140+3635638)+(3388271+2930617)</f>
        <v>-145890</v>
      </c>
      <c r="G19" s="93"/>
      <c r="H19" s="93">
        <v>0</v>
      </c>
      <c r="L19" s="22"/>
      <c r="M19" s="23"/>
    </row>
    <row r="20" spans="1:23" x14ac:dyDescent="0.25">
      <c r="B20" s="89" t="s">
        <v>28</v>
      </c>
      <c r="C20" s="90">
        <f>SUM(D20:H20)</f>
        <v>0</v>
      </c>
      <c r="D20" s="91"/>
      <c r="E20" s="92"/>
      <c r="F20" s="94"/>
      <c r="G20" s="94"/>
      <c r="H20" s="94">
        <v>0</v>
      </c>
      <c r="O20" s="22"/>
      <c r="P20" s="23"/>
    </row>
    <row r="21" spans="1:23" x14ac:dyDescent="0.25">
      <c r="B21" s="89" t="s">
        <v>28</v>
      </c>
      <c r="C21" s="90">
        <f>SUM(D21:H21)</f>
        <v>0</v>
      </c>
      <c r="D21" s="91"/>
      <c r="E21" s="92"/>
      <c r="F21" s="94"/>
      <c r="G21" s="94"/>
      <c r="H21" s="94">
        <v>0</v>
      </c>
      <c r="O21" s="22"/>
      <c r="P21" s="23"/>
    </row>
    <row r="22" spans="1:23" x14ac:dyDescent="0.25">
      <c r="B22" s="89" t="s">
        <v>28</v>
      </c>
      <c r="C22" s="90">
        <f>SUM(D22:H22)</f>
        <v>0</v>
      </c>
      <c r="D22" s="91"/>
      <c r="E22" s="92"/>
      <c r="F22" s="94"/>
      <c r="G22" s="94"/>
      <c r="H22" s="94">
        <v>0</v>
      </c>
      <c r="O22" s="22"/>
      <c r="P22" s="23"/>
    </row>
    <row r="23" spans="1:23" x14ac:dyDescent="0.25">
      <c r="B23" s="11" t="s">
        <v>29</v>
      </c>
      <c r="C23" s="6">
        <f t="shared" ref="C23" si="1">SUM(C11:C22)</f>
        <v>95595379</v>
      </c>
      <c r="D23" s="54">
        <f t="shared" ref="D23:H23" si="2">SUM(D11:D22)</f>
        <v>37225839</v>
      </c>
      <c r="E23" s="54">
        <f t="shared" si="2"/>
        <v>13113830</v>
      </c>
      <c r="F23" s="54">
        <f t="shared" si="2"/>
        <v>42133068</v>
      </c>
      <c r="G23" s="54">
        <f t="shared" si="2"/>
        <v>2591781</v>
      </c>
      <c r="H23" s="54">
        <f t="shared" si="2"/>
        <v>530861</v>
      </c>
      <c r="O23" s="22"/>
      <c r="P23" s="23"/>
    </row>
    <row r="24" spans="1:23" x14ac:dyDescent="0.25">
      <c r="C24" s="14"/>
      <c r="D24" s="288"/>
      <c r="E24" s="289"/>
      <c r="F24" s="289"/>
      <c r="O24" s="22"/>
      <c r="P24" s="23"/>
    </row>
    <row r="25" spans="1:23" x14ac:dyDescent="0.25">
      <c r="B25" s="29" t="s">
        <v>30</v>
      </c>
      <c r="C25" s="65">
        <f t="shared" ref="C25:H25" si="3">+C23-C11</f>
        <v>2792953</v>
      </c>
      <c r="D25" s="19">
        <f t="shared" si="3"/>
        <v>-480582</v>
      </c>
      <c r="E25" s="19">
        <f t="shared" si="3"/>
        <v>1845967</v>
      </c>
      <c r="F25" s="19">
        <f t="shared" si="3"/>
        <v>1418548</v>
      </c>
      <c r="G25" s="19">
        <f t="shared" si="3"/>
        <v>9020</v>
      </c>
      <c r="H25" s="19">
        <f t="shared" si="3"/>
        <v>0</v>
      </c>
      <c r="O25" s="22"/>
      <c r="P25" s="23"/>
    </row>
    <row r="26" spans="1:23" x14ac:dyDescent="0.25">
      <c r="B26" s="55" t="s">
        <v>31</v>
      </c>
      <c r="C26" s="302">
        <f t="shared" ref="C26:H26" si="4">(C25)/C11</f>
        <v>3.0095689524323427E-2</v>
      </c>
      <c r="D26" s="302">
        <f t="shared" si="4"/>
        <v>-1.2745362388013437E-2</v>
      </c>
      <c r="E26" s="302">
        <f t="shared" si="4"/>
        <v>0.16382582926327735</v>
      </c>
      <c r="F26" s="302">
        <f t="shared" si="4"/>
        <v>3.4841329334104887E-2</v>
      </c>
      <c r="G26" s="302">
        <f t="shared" si="4"/>
        <v>3.4923866358520976E-3</v>
      </c>
      <c r="H26" s="302">
        <f t="shared" si="4"/>
        <v>0</v>
      </c>
      <c r="O26" s="22"/>
      <c r="P26" s="23"/>
    </row>
    <row r="27" spans="1:23" x14ac:dyDescent="0.25">
      <c r="B27" s="211"/>
      <c r="C27" s="60"/>
      <c r="D27" s="60"/>
      <c r="E27" s="60"/>
      <c r="F27" s="60"/>
      <c r="G27" s="60"/>
      <c r="H27" s="60"/>
      <c r="O27" s="22"/>
      <c r="P27" s="23"/>
    </row>
    <row r="28" spans="1:23" x14ac:dyDescent="0.25">
      <c r="B28" s="29" t="s">
        <v>32</v>
      </c>
      <c r="C28" s="65">
        <f>'5. Vaccine Clinics and Testing'!D23</f>
        <v>0</v>
      </c>
      <c r="D28" s="60"/>
      <c r="E28" s="60"/>
      <c r="G28" s="60"/>
      <c r="H28" s="60"/>
      <c r="O28" s="22"/>
      <c r="P28" s="23"/>
    </row>
    <row r="29" spans="1:23" ht="30" x14ac:dyDescent="0.25">
      <c r="B29" s="212" t="s">
        <v>33</v>
      </c>
      <c r="C29" s="213">
        <f>C23-C28</f>
        <v>95595379</v>
      </c>
      <c r="D29" s="15"/>
      <c r="E29" s="15"/>
      <c r="K29" s="23"/>
      <c r="L29" s="23"/>
      <c r="M29" s="14"/>
      <c r="N29" s="24"/>
      <c r="V29" s="22"/>
      <c r="W29" s="23"/>
    </row>
    <row r="30" spans="1:23" x14ac:dyDescent="0.25">
      <c r="B30" s="211"/>
      <c r="C30" s="60"/>
      <c r="D30" s="15"/>
      <c r="E30" s="15"/>
      <c r="K30" s="23"/>
      <c r="L30" s="23"/>
      <c r="M30" s="14"/>
      <c r="N30" s="24"/>
      <c r="V30" s="22"/>
      <c r="W30" s="23"/>
    </row>
    <row r="31" spans="1:23" x14ac:dyDescent="0.25">
      <c r="B31" s="29" t="s">
        <v>34</v>
      </c>
      <c r="C31" s="65">
        <f>C29-C11</f>
        <v>2792953</v>
      </c>
      <c r="D31" s="15"/>
      <c r="E31" s="15"/>
      <c r="O31" s="22"/>
      <c r="P31" s="23"/>
    </row>
    <row r="32" spans="1:23" x14ac:dyDescent="0.25">
      <c r="B32" s="55" t="s">
        <v>35</v>
      </c>
      <c r="C32" s="302">
        <f>(C31)/C11</f>
        <v>3.0095689524323427E-2</v>
      </c>
      <c r="D32" s="15"/>
      <c r="E32" s="15"/>
      <c r="O32" s="22"/>
      <c r="P32" s="23"/>
    </row>
    <row r="33" spans="2:23" x14ac:dyDescent="0.25">
      <c r="B33" s="211"/>
      <c r="C33" s="60"/>
      <c r="D33" s="60"/>
      <c r="E33" s="60"/>
      <c r="F33" s="60"/>
      <c r="G33" s="60"/>
      <c r="H33" s="60"/>
      <c r="O33" s="22"/>
      <c r="P33" s="23"/>
    </row>
    <row r="34" spans="2:23" ht="28.15" customHeight="1" x14ac:dyDescent="0.3">
      <c r="B34" s="98" t="s">
        <v>36</v>
      </c>
      <c r="C34" s="4"/>
      <c r="D34" s="15"/>
      <c r="E34" s="15"/>
      <c r="V34" s="22"/>
      <c r="W34" s="23"/>
    </row>
    <row r="35" spans="2:23" ht="18.75" x14ac:dyDescent="0.3">
      <c r="B35" s="98"/>
      <c r="C35" s="4"/>
      <c r="D35" s="15"/>
      <c r="E35" s="15"/>
      <c r="V35" s="22"/>
      <c r="W35" s="23"/>
    </row>
    <row r="36" spans="2:23" s="88" customFormat="1" x14ac:dyDescent="0.25">
      <c r="B36" s="100" t="s">
        <v>37</v>
      </c>
      <c r="C36" s="100" t="s">
        <v>38</v>
      </c>
      <c r="D36" s="100" t="s">
        <v>39</v>
      </c>
      <c r="E36" s="52"/>
      <c r="V36" s="101"/>
      <c r="W36" s="102"/>
    </row>
    <row r="37" spans="2:23" x14ac:dyDescent="0.25">
      <c r="B37" s="5" t="s">
        <v>40</v>
      </c>
      <c r="C37" s="90">
        <v>96055094</v>
      </c>
      <c r="D37" s="7"/>
      <c r="E37" s="60"/>
      <c r="V37" s="22"/>
      <c r="W37" s="23"/>
    </row>
    <row r="38" spans="2:23" x14ac:dyDescent="0.25">
      <c r="B38" s="8" t="s">
        <v>41</v>
      </c>
      <c r="C38" s="95">
        <v>1382320</v>
      </c>
      <c r="D38" s="9">
        <f>+C38/C$37</f>
        <v>1.4390907784651172E-2</v>
      </c>
      <c r="E38" s="53"/>
      <c r="V38" s="22"/>
    </row>
    <row r="39" spans="2:23" x14ac:dyDescent="0.25">
      <c r="B39" s="10" t="s">
        <v>42</v>
      </c>
      <c r="C39" s="280">
        <f>'4. Inflation'!D16</f>
        <v>2001116.0550000002</v>
      </c>
      <c r="D39" s="9">
        <f t="shared" ref="D39:D51" si="5">+C39/C$37</f>
        <v>2.0833002932671121E-2</v>
      </c>
      <c r="E39" s="281" t="s">
        <v>244</v>
      </c>
      <c r="V39" s="22"/>
    </row>
    <row r="40" spans="2:23" x14ac:dyDescent="0.25">
      <c r="B40" s="10" t="s">
        <v>43</v>
      </c>
      <c r="C40" s="95"/>
      <c r="D40" s="9">
        <f t="shared" si="5"/>
        <v>0</v>
      </c>
      <c r="E40" s="53"/>
      <c r="V40" s="22"/>
    </row>
    <row r="41" spans="2:23" x14ac:dyDescent="0.25">
      <c r="B41" s="10" t="s">
        <v>44</v>
      </c>
      <c r="C41" s="95">
        <v>53285</v>
      </c>
      <c r="D41" s="9">
        <f t="shared" si="5"/>
        <v>5.5473372396054284E-4</v>
      </c>
      <c r="E41" s="53"/>
      <c r="V41" s="22"/>
    </row>
    <row r="42" spans="2:23" x14ac:dyDescent="0.25">
      <c r="B42" s="10" t="s">
        <v>45</v>
      </c>
      <c r="C42" s="95">
        <f>200000-300000</f>
        <v>-100000</v>
      </c>
      <c r="D42" s="9">
        <f t="shared" si="5"/>
        <v>-1.0410692013897774E-3</v>
      </c>
      <c r="E42" s="53"/>
      <c r="V42" s="22"/>
    </row>
    <row r="43" spans="2:23" x14ac:dyDescent="0.25">
      <c r="B43" s="10" t="s">
        <v>46</v>
      </c>
      <c r="C43" s="95"/>
      <c r="D43" s="9">
        <f t="shared" si="5"/>
        <v>0</v>
      </c>
      <c r="E43" s="53"/>
      <c r="V43" s="22"/>
    </row>
    <row r="44" spans="2:23" x14ac:dyDescent="0.25">
      <c r="B44" s="10" t="s">
        <v>47</v>
      </c>
      <c r="C44" s="95"/>
      <c r="D44" s="9">
        <f t="shared" si="5"/>
        <v>0</v>
      </c>
      <c r="E44" s="53"/>
    </row>
    <row r="45" spans="2:23" x14ac:dyDescent="0.25">
      <c r="B45" s="10" t="s">
        <v>48</v>
      </c>
      <c r="C45" s="95">
        <f>5677439-5517700</f>
        <v>159739</v>
      </c>
      <c r="D45" s="9">
        <f t="shared" si="5"/>
        <v>1.6629935316080165E-3</v>
      </c>
      <c r="E45" s="53"/>
    </row>
    <row r="46" spans="2:23" x14ac:dyDescent="0.25">
      <c r="B46" s="10" t="s">
        <v>49</v>
      </c>
      <c r="C46" s="95">
        <f>99200390-SUM(C37:C45)</f>
        <v>-351164.05500000715</v>
      </c>
      <c r="D46" s="9">
        <f>+C46/C$37</f>
        <v>-3.6558608229565331E-3</v>
      </c>
      <c r="E46" s="78"/>
    </row>
    <row r="47" spans="2:23" x14ac:dyDescent="0.25">
      <c r="B47" s="89" t="s">
        <v>28</v>
      </c>
      <c r="C47" s="95"/>
      <c r="D47" s="9">
        <f t="shared" ref="D47:D48" si="6">+C47/C$37</f>
        <v>0</v>
      </c>
      <c r="E47" s="53"/>
    </row>
    <row r="48" spans="2:23" x14ac:dyDescent="0.25">
      <c r="B48" s="89" t="s">
        <v>28</v>
      </c>
      <c r="C48" s="95"/>
      <c r="D48" s="9">
        <f t="shared" si="6"/>
        <v>0</v>
      </c>
      <c r="E48" s="53"/>
    </row>
    <row r="49" spans="2:23" x14ac:dyDescent="0.25">
      <c r="B49" s="89" t="s">
        <v>28</v>
      </c>
      <c r="C49" s="95"/>
      <c r="D49" s="9">
        <f t="shared" si="5"/>
        <v>0</v>
      </c>
      <c r="E49" s="53"/>
    </row>
    <row r="50" spans="2:23" x14ac:dyDescent="0.25">
      <c r="B50" s="89" t="s">
        <v>28</v>
      </c>
      <c r="C50" s="95"/>
      <c r="D50" s="9">
        <f t="shared" ref="D50" si="7">+C50/C$37</f>
        <v>0</v>
      </c>
      <c r="E50" s="53"/>
    </row>
    <row r="51" spans="2:23" x14ac:dyDescent="0.25">
      <c r="B51" s="89" t="s">
        <v>50</v>
      </c>
      <c r="C51" s="95"/>
      <c r="D51" s="9">
        <f t="shared" si="5"/>
        <v>0</v>
      </c>
      <c r="E51" s="53"/>
    </row>
    <row r="52" spans="2:23" x14ac:dyDescent="0.25">
      <c r="B52" s="11" t="s">
        <v>51</v>
      </c>
      <c r="C52" s="12">
        <f>SUM(C37:C51)</f>
        <v>99200390</v>
      </c>
      <c r="D52" s="13">
        <f>SUM(D38:D51)</f>
        <v>3.2744707948544546E-2</v>
      </c>
      <c r="E52" s="78"/>
    </row>
    <row r="53" spans="2:23" x14ac:dyDescent="0.25">
      <c r="B53" s="86"/>
      <c r="C53" s="87"/>
      <c r="D53" s="78"/>
      <c r="E53" s="78"/>
    </row>
    <row r="54" spans="2:23" x14ac:dyDescent="0.25">
      <c r="B54" s="29" t="s">
        <v>30</v>
      </c>
      <c r="C54" s="65">
        <f>+C52-C37</f>
        <v>3145296</v>
      </c>
      <c r="D54" s="78"/>
      <c r="E54" s="78"/>
    </row>
    <row r="55" spans="2:23" x14ac:dyDescent="0.25">
      <c r="B55" s="55" t="s">
        <v>31</v>
      </c>
      <c r="C55" s="302">
        <f>(C54)/C37</f>
        <v>3.2744707948544616E-2</v>
      </c>
      <c r="D55" s="78"/>
      <c r="E55" s="78"/>
    </row>
    <row r="56" spans="2:23" x14ac:dyDescent="0.25">
      <c r="B56" s="211"/>
      <c r="C56" s="60"/>
      <c r="D56" s="60"/>
      <c r="E56" s="60"/>
      <c r="F56" s="60"/>
      <c r="G56" s="60"/>
      <c r="H56" s="60"/>
      <c r="O56" s="22"/>
      <c r="P56" s="23"/>
    </row>
    <row r="57" spans="2:23" x14ac:dyDescent="0.25">
      <c r="B57" s="29" t="s">
        <v>32</v>
      </c>
      <c r="C57" s="65">
        <f>'5. Vaccine Clinics and Testing'!D36</f>
        <v>0</v>
      </c>
      <c r="D57" s="60"/>
      <c r="E57" s="60"/>
      <c r="F57" s="60"/>
      <c r="G57" s="60"/>
      <c r="H57" s="60"/>
      <c r="O57" s="22"/>
      <c r="P57" s="23"/>
    </row>
    <row r="58" spans="2:23" ht="30" x14ac:dyDescent="0.25">
      <c r="B58" s="212" t="s">
        <v>33</v>
      </c>
      <c r="C58" s="213">
        <f>C52-C57</f>
        <v>99200390</v>
      </c>
      <c r="D58" s="15"/>
      <c r="E58" s="15"/>
      <c r="K58" s="23"/>
      <c r="L58" s="23"/>
      <c r="M58" s="14"/>
      <c r="N58" s="24"/>
      <c r="V58" s="22"/>
      <c r="W58" s="23"/>
    </row>
    <row r="59" spans="2:23" x14ac:dyDescent="0.25">
      <c r="B59" s="211"/>
      <c r="C59" s="60"/>
      <c r="D59" s="15"/>
      <c r="E59" s="15"/>
      <c r="K59" s="23"/>
      <c r="L59" s="23"/>
      <c r="M59" s="14"/>
      <c r="N59" s="24"/>
      <c r="V59" s="22"/>
      <c r="W59" s="23"/>
    </row>
    <row r="60" spans="2:23" x14ac:dyDescent="0.25">
      <c r="B60" s="29" t="s">
        <v>34</v>
      </c>
      <c r="C60" s="65">
        <f>C58-C37</f>
        <v>3145296</v>
      </c>
      <c r="D60" s="15"/>
      <c r="E60" s="15"/>
      <c r="O60" s="22"/>
      <c r="P60" s="23"/>
    </row>
    <row r="61" spans="2:23" x14ac:dyDescent="0.25">
      <c r="B61" s="55" t="s">
        <v>35</v>
      </c>
      <c r="C61" s="302">
        <f>(C60)/C37</f>
        <v>3.2744707948544616E-2</v>
      </c>
      <c r="D61" s="15"/>
      <c r="E61" s="15"/>
      <c r="O61" s="22"/>
      <c r="P61" s="23"/>
    </row>
    <row r="62" spans="2:23" x14ac:dyDescent="0.25">
      <c r="B62" s="211"/>
      <c r="C62" s="60"/>
      <c r="D62" s="60"/>
      <c r="E62" s="60"/>
      <c r="F62" s="60"/>
      <c r="G62" s="60"/>
      <c r="H62" s="60"/>
      <c r="O62" s="22"/>
      <c r="P62" s="23"/>
    </row>
    <row r="64" spans="2:23" ht="18.75" x14ac:dyDescent="0.3">
      <c r="B64" s="322" t="s">
        <v>52</v>
      </c>
      <c r="C64" s="323"/>
      <c r="D64" s="323"/>
      <c r="E64" s="323"/>
      <c r="F64" s="323"/>
      <c r="G64" s="323"/>
      <c r="H64" s="323"/>
      <c r="I64" s="323"/>
      <c r="J64" s="323"/>
      <c r="K64" s="323"/>
      <c r="L64" s="323"/>
      <c r="M64" s="323"/>
      <c r="N64" s="323"/>
      <c r="O64" s="324"/>
      <c r="V64" s="22"/>
      <c r="W64" s="23"/>
    </row>
    <row r="65" spans="1:13" x14ac:dyDescent="0.25">
      <c r="B65" s="17"/>
    </row>
    <row r="66" spans="1:13" ht="18.75" x14ac:dyDescent="0.3">
      <c r="B66" s="98" t="s">
        <v>53</v>
      </c>
      <c r="C66" s="4"/>
    </row>
    <row r="67" spans="1:13" ht="18.75" x14ac:dyDescent="0.3">
      <c r="B67" s="98"/>
      <c r="C67" s="4"/>
    </row>
    <row r="68" spans="1:13" ht="18.75" x14ac:dyDescent="0.3">
      <c r="B68" s="98" t="s">
        <v>54</v>
      </c>
      <c r="C68" s="301" t="s">
        <v>266</v>
      </c>
    </row>
    <row r="69" spans="1:13" s="88" customFormat="1" ht="30" x14ac:dyDescent="0.25">
      <c r="B69" s="99" t="s">
        <v>17</v>
      </c>
      <c r="C69" s="99" t="s">
        <v>18</v>
      </c>
      <c r="D69" s="99" t="s">
        <v>19</v>
      </c>
      <c r="E69" s="99" t="s">
        <v>20</v>
      </c>
      <c r="F69" s="99" t="s">
        <v>21</v>
      </c>
      <c r="G69" s="99" t="s">
        <v>222</v>
      </c>
      <c r="H69" s="99" t="s">
        <v>243</v>
      </c>
    </row>
    <row r="70" spans="1:13" x14ac:dyDescent="0.25">
      <c r="B70" s="5" t="s">
        <v>55</v>
      </c>
      <c r="C70" s="90">
        <f>SUM(D70:H70)</f>
        <v>86931647</v>
      </c>
      <c r="D70" s="96">
        <v>33177637</v>
      </c>
      <c r="E70" s="97">
        <v>7654779</v>
      </c>
      <c r="F70" s="97">
        <f>40350101+1263236</f>
        <v>41613337</v>
      </c>
      <c r="G70" s="97">
        <v>3842695</v>
      </c>
      <c r="H70" s="97">
        <v>643199</v>
      </c>
    </row>
    <row r="71" spans="1:13" ht="14.45" customHeight="1" x14ac:dyDescent="0.25">
      <c r="A71" s="317"/>
      <c r="B71" s="8" t="s">
        <v>56</v>
      </c>
      <c r="C71" s="90">
        <f>SUM(D71:H71)</f>
        <v>2205932</v>
      </c>
      <c r="D71" s="91">
        <v>0</v>
      </c>
      <c r="E71" s="92">
        <v>0</v>
      </c>
      <c r="F71" s="93">
        <f>+F12</f>
        <v>2053300</v>
      </c>
      <c r="G71" s="93">
        <f>+G12</f>
        <v>152632</v>
      </c>
      <c r="H71" s="93"/>
      <c r="L71" s="22"/>
      <c r="M71" s="23"/>
    </row>
    <row r="72" spans="1:13" x14ac:dyDescent="0.25">
      <c r="A72" s="317"/>
      <c r="B72" s="8" t="s">
        <v>57</v>
      </c>
      <c r="C72" s="90">
        <f>SUM(D72:H72)</f>
        <v>-112338</v>
      </c>
      <c r="D72" s="91"/>
      <c r="E72" s="92"/>
      <c r="F72" s="93"/>
      <c r="G72" s="93"/>
      <c r="H72" s="93">
        <f>530861-643199</f>
        <v>-112338</v>
      </c>
      <c r="L72" s="22"/>
      <c r="M72" s="23"/>
    </row>
    <row r="73" spans="1:13" x14ac:dyDescent="0.25">
      <c r="A73" s="317"/>
      <c r="B73" s="8" t="s">
        <v>58</v>
      </c>
      <c r="C73" s="90">
        <f>SUM(D73:H73)</f>
        <v>4174605</v>
      </c>
      <c r="D73" s="91">
        <f>37225839-SUM(D70:D72,D74:D81)</f>
        <v>4048201</v>
      </c>
      <c r="E73" s="91">
        <f>13113830-SUM(E70:E72,E74:E81)</f>
        <v>5512156</v>
      </c>
      <c r="F73" s="91">
        <f>42133068-SUM(F70:F72,F74:F81)</f>
        <v>-3982206</v>
      </c>
      <c r="G73" s="91">
        <f>2591781-SUM(G70:G72,G74:G81)</f>
        <v>-1403546</v>
      </c>
      <c r="H73" s="93"/>
      <c r="L73" s="22"/>
      <c r="M73" s="23"/>
    </row>
    <row r="74" spans="1:13" x14ac:dyDescent="0.25">
      <c r="A74" s="317"/>
      <c r="B74" s="8" t="s">
        <v>59</v>
      </c>
      <c r="C74" s="90">
        <f t="shared" ref="C74:C81" si="8">SUM(D74:H74)</f>
        <v>-63832</v>
      </c>
      <c r="D74" s="91">
        <f>9729220-9729219</f>
        <v>1</v>
      </c>
      <c r="E74" s="92">
        <f>4174442-4227547</f>
        <v>-53105</v>
      </c>
      <c r="F74" s="93">
        <f>-10767--39</f>
        <v>-10728</v>
      </c>
      <c r="G74" s="93">
        <v>0</v>
      </c>
      <c r="H74" s="93">
        <v>0</v>
      </c>
      <c r="L74" s="22"/>
      <c r="M74" s="23"/>
    </row>
    <row r="75" spans="1:13" x14ac:dyDescent="0.25">
      <c r="B75" s="10" t="s">
        <v>25</v>
      </c>
      <c r="C75" s="90">
        <f t="shared" si="8"/>
        <v>0</v>
      </c>
      <c r="D75" s="91"/>
      <c r="E75" s="92"/>
      <c r="F75" s="94"/>
      <c r="G75" s="94"/>
      <c r="H75" s="94"/>
      <c r="L75" s="22"/>
      <c r="M75" s="23"/>
    </row>
    <row r="76" spans="1:13" x14ac:dyDescent="0.25">
      <c r="B76" s="10" t="s">
        <v>26</v>
      </c>
      <c r="C76" s="90">
        <f t="shared" si="8"/>
        <v>0</v>
      </c>
      <c r="D76" s="91"/>
      <c r="E76" s="92"/>
      <c r="F76" s="93"/>
      <c r="G76" s="93"/>
      <c r="H76" s="93"/>
      <c r="L76" s="22"/>
      <c r="M76" s="23"/>
    </row>
    <row r="77" spans="1:13" x14ac:dyDescent="0.25">
      <c r="B77" s="10" t="s">
        <v>27</v>
      </c>
      <c r="C77" s="90">
        <f t="shared" si="8"/>
        <v>0</v>
      </c>
      <c r="D77" s="91"/>
      <c r="E77" s="92"/>
      <c r="F77" s="93"/>
      <c r="G77" s="93"/>
      <c r="H77" s="93"/>
      <c r="L77" s="22"/>
      <c r="M77" s="23"/>
    </row>
    <row r="78" spans="1:13" x14ac:dyDescent="0.25">
      <c r="B78" s="10" t="s">
        <v>60</v>
      </c>
      <c r="C78" s="90">
        <f t="shared" si="8"/>
        <v>2459365</v>
      </c>
      <c r="D78" s="91"/>
      <c r="E78" s="92"/>
      <c r="F78" s="93">
        <f>(3635638+2829140)-(3107570+897843)</f>
        <v>2459365</v>
      </c>
      <c r="G78" s="93"/>
      <c r="H78" s="93"/>
      <c r="L78" s="22"/>
      <c r="M78" s="23"/>
    </row>
    <row r="79" spans="1:13" x14ac:dyDescent="0.25">
      <c r="B79" s="89" t="s">
        <v>28</v>
      </c>
      <c r="C79" s="90">
        <f t="shared" si="8"/>
        <v>0</v>
      </c>
      <c r="D79" s="91"/>
      <c r="E79" s="92"/>
      <c r="F79" s="94"/>
      <c r="G79" s="94"/>
      <c r="H79" s="94"/>
      <c r="L79" s="22"/>
      <c r="M79" s="23"/>
    </row>
    <row r="80" spans="1:13" x14ac:dyDescent="0.25">
      <c r="B80" s="89" t="s">
        <v>28</v>
      </c>
      <c r="C80" s="90">
        <f t="shared" si="8"/>
        <v>0</v>
      </c>
      <c r="D80" s="91"/>
      <c r="E80" s="92"/>
      <c r="F80" s="94"/>
      <c r="G80" s="94"/>
      <c r="H80" s="94"/>
      <c r="L80" s="22"/>
      <c r="M80" s="23"/>
    </row>
    <row r="81" spans="2:23" x14ac:dyDescent="0.25">
      <c r="B81" s="89" t="s">
        <v>28</v>
      </c>
      <c r="C81" s="90">
        <f t="shared" si="8"/>
        <v>0</v>
      </c>
      <c r="D81" s="91"/>
      <c r="E81" s="92"/>
      <c r="F81" s="94"/>
      <c r="G81" s="94"/>
      <c r="H81" s="94"/>
      <c r="L81" s="22"/>
      <c r="M81" s="23"/>
    </row>
    <row r="82" spans="2:23" x14ac:dyDescent="0.25">
      <c r="B82" s="11" t="s">
        <v>29</v>
      </c>
      <c r="C82" s="6">
        <f t="shared" ref="C82:H82" si="9">SUM(C70:C81)</f>
        <v>95595379</v>
      </c>
      <c r="D82" s="54">
        <f t="shared" si="9"/>
        <v>37225839</v>
      </c>
      <c r="E82" s="54">
        <f t="shared" si="9"/>
        <v>13113830</v>
      </c>
      <c r="F82" s="54">
        <f t="shared" si="9"/>
        <v>42133068</v>
      </c>
      <c r="G82" s="54">
        <f t="shared" si="9"/>
        <v>2591781</v>
      </c>
      <c r="H82" s="54">
        <f t="shared" si="9"/>
        <v>530861</v>
      </c>
      <c r="L82" s="22"/>
      <c r="M82" s="23"/>
    </row>
    <row r="83" spans="2:23" x14ac:dyDescent="0.25">
      <c r="B83" s="14"/>
      <c r="C83" s="14"/>
      <c r="D83" s="288"/>
      <c r="E83" s="289"/>
      <c r="F83" s="289"/>
      <c r="L83" s="22"/>
      <c r="M83" s="23"/>
    </row>
    <row r="84" spans="2:23" x14ac:dyDescent="0.25">
      <c r="B84" s="29" t="s">
        <v>61</v>
      </c>
      <c r="C84" s="65">
        <f>+C82-C70</f>
        <v>8663732</v>
      </c>
      <c r="D84" s="65">
        <f t="shared" ref="D84:E84" si="10">+D82-D70</f>
        <v>4048202</v>
      </c>
      <c r="E84" s="65">
        <f t="shared" si="10"/>
        <v>5459051</v>
      </c>
      <c r="F84" s="19">
        <f>+F82-F70</f>
        <v>519731</v>
      </c>
      <c r="G84" s="19">
        <f>+G82-G70</f>
        <v>-1250914</v>
      </c>
      <c r="H84" s="19">
        <f>+H82-H70</f>
        <v>-112338</v>
      </c>
      <c r="L84" s="22"/>
      <c r="M84" s="23"/>
    </row>
    <row r="85" spans="2:23" x14ac:dyDescent="0.25">
      <c r="B85" s="55" t="s">
        <v>62</v>
      </c>
      <c r="C85" s="302">
        <f t="shared" ref="C85:H85" si="11">(C84)/C70</f>
        <v>9.9661427098004948E-2</v>
      </c>
      <c r="D85" s="302">
        <f t="shared" si="11"/>
        <v>0.1220159832359369</v>
      </c>
      <c r="E85" s="302">
        <f t="shared" si="11"/>
        <v>0.71315592520698512</v>
      </c>
      <c r="F85" s="302">
        <f t="shared" si="11"/>
        <v>1.2489529498679715E-2</v>
      </c>
      <c r="G85" s="302">
        <f t="shared" si="11"/>
        <v>-0.32553038947925872</v>
      </c>
      <c r="H85" s="302">
        <f t="shared" si="11"/>
        <v>-0.1746551222871926</v>
      </c>
      <c r="L85" s="22"/>
      <c r="M85" s="23"/>
    </row>
    <row r="86" spans="2:23" x14ac:dyDescent="0.25">
      <c r="B86" s="211"/>
      <c r="C86" s="60"/>
      <c r="D86" s="15"/>
      <c r="E86" s="15"/>
      <c r="K86" s="23"/>
      <c r="L86" s="23"/>
      <c r="M86" s="14"/>
      <c r="N86" s="24"/>
      <c r="V86" s="22"/>
      <c r="W86" s="23"/>
    </row>
    <row r="87" spans="2:23" x14ac:dyDescent="0.25">
      <c r="B87" s="29" t="s">
        <v>63</v>
      </c>
      <c r="C87" s="65">
        <f>(C82-'5. Vaccine Clinics and Testing'!D23)-('1. Reconciliation'!C70-'5. Vaccine Clinics and Testing'!C23)</f>
        <v>8832782</v>
      </c>
      <c r="D87" s="15"/>
      <c r="E87" s="15"/>
      <c r="O87" s="22"/>
      <c r="P87" s="23"/>
    </row>
    <row r="88" spans="2:23" x14ac:dyDescent="0.25">
      <c r="B88" s="55" t="s">
        <v>64</v>
      </c>
      <c r="C88" s="302">
        <f>C87/C70</f>
        <v>0.10160605837825666</v>
      </c>
      <c r="D88" s="15"/>
      <c r="E88" s="15"/>
      <c r="O88" s="22"/>
      <c r="P88" s="23"/>
    </row>
    <row r="89" spans="2:23" x14ac:dyDescent="0.25">
      <c r="B89" s="211"/>
      <c r="C89" s="60"/>
      <c r="D89" s="60"/>
      <c r="E89" s="60"/>
      <c r="F89" s="60"/>
      <c r="G89" s="60"/>
      <c r="H89" s="60"/>
      <c r="O89" s="22"/>
      <c r="P89" s="23"/>
    </row>
    <row r="90" spans="2:23" ht="19.899999999999999" customHeight="1" x14ac:dyDescent="0.3">
      <c r="B90" s="98" t="s">
        <v>65</v>
      </c>
      <c r="C90" s="4"/>
      <c r="D90" s="15"/>
      <c r="E90" s="15"/>
      <c r="V90" s="22"/>
      <c r="W90" s="23"/>
    </row>
    <row r="91" spans="2:23" ht="18.75" x14ac:dyDescent="0.3">
      <c r="B91" s="98"/>
      <c r="C91" s="4"/>
      <c r="D91" s="15"/>
      <c r="E91" s="15"/>
      <c r="V91" s="22"/>
      <c r="W91" s="23"/>
    </row>
    <row r="92" spans="2:23" x14ac:dyDescent="0.25">
      <c r="B92" s="100" t="s">
        <v>37</v>
      </c>
      <c r="C92" s="100" t="s">
        <v>38</v>
      </c>
      <c r="D92" s="100" t="s">
        <v>39</v>
      </c>
      <c r="E92" s="61"/>
      <c r="V92" s="22"/>
      <c r="W92" s="23"/>
    </row>
    <row r="93" spans="2:23" x14ac:dyDescent="0.25">
      <c r="B93" s="5" t="s">
        <v>55</v>
      </c>
      <c r="C93" s="90">
        <v>95622939</v>
      </c>
      <c r="D93" s="7"/>
      <c r="E93" s="60"/>
      <c r="V93" s="22"/>
      <c r="W93" s="23"/>
    </row>
    <row r="94" spans="2:23" x14ac:dyDescent="0.25">
      <c r="B94" s="8" t="s">
        <v>41</v>
      </c>
      <c r="C94" s="95"/>
      <c r="D94" s="9">
        <f>+C94/C$37</f>
        <v>0</v>
      </c>
      <c r="E94" s="62"/>
      <c r="V94" s="22"/>
    </row>
    <row r="95" spans="2:23" x14ac:dyDescent="0.25">
      <c r="B95" s="10" t="s">
        <v>42</v>
      </c>
      <c r="C95" s="95"/>
      <c r="D95" s="9">
        <f t="shared" ref="D95:D107" si="12">+C95/C$37</f>
        <v>0</v>
      </c>
      <c r="E95" s="62"/>
      <c r="V95" s="22"/>
    </row>
    <row r="96" spans="2:23" x14ac:dyDescent="0.25">
      <c r="B96" s="10" t="s">
        <v>43</v>
      </c>
      <c r="C96" s="95">
        <f>33974518*0.04+17172724*0.04</f>
        <v>2045889.68</v>
      </c>
      <c r="D96" s="9">
        <f t="shared" si="12"/>
        <v>2.1299127352891873E-2</v>
      </c>
      <c r="E96" s="62"/>
      <c r="V96" s="22"/>
    </row>
    <row r="97" spans="2:22" x14ac:dyDescent="0.25">
      <c r="B97" s="10" t="s">
        <v>44</v>
      </c>
      <c r="C97" s="95">
        <f>11900084-11936306</f>
        <v>-36222</v>
      </c>
      <c r="D97" s="9">
        <f t="shared" si="12"/>
        <v>-3.7709608612740517E-4</v>
      </c>
      <c r="E97" s="62"/>
      <c r="V97" s="22"/>
    </row>
    <row r="98" spans="2:22" x14ac:dyDescent="0.25">
      <c r="B98" s="10" t="s">
        <v>45</v>
      </c>
      <c r="C98" s="95">
        <f>200000-97970</f>
        <v>102030</v>
      </c>
      <c r="D98" s="9">
        <f t="shared" si="12"/>
        <v>1.0622029061779898E-3</v>
      </c>
      <c r="E98" s="62"/>
      <c r="V98" s="22"/>
    </row>
    <row r="99" spans="2:22" x14ac:dyDescent="0.25">
      <c r="B99" s="10" t="s">
        <v>46</v>
      </c>
      <c r="C99" s="95"/>
      <c r="D99" s="9">
        <f t="shared" si="12"/>
        <v>0</v>
      </c>
      <c r="E99" s="62"/>
      <c r="V99" s="22"/>
    </row>
    <row r="100" spans="2:22" x14ac:dyDescent="0.25">
      <c r="B100" s="10" t="s">
        <v>47</v>
      </c>
      <c r="C100" s="95">
        <f>5093238-4647917</f>
        <v>445321</v>
      </c>
      <c r="D100" s="9">
        <f t="shared" si="12"/>
        <v>4.6360997783209705E-3</v>
      </c>
      <c r="E100" s="62"/>
    </row>
    <row r="101" spans="2:22" x14ac:dyDescent="0.25">
      <c r="B101" s="10" t="s">
        <v>48</v>
      </c>
      <c r="C101" s="95">
        <f>5677439-4853959</f>
        <v>823480</v>
      </c>
      <c r="D101" s="9">
        <f t="shared" si="12"/>
        <v>8.5729966596045388E-3</v>
      </c>
      <c r="E101" s="62"/>
    </row>
    <row r="102" spans="2:22" x14ac:dyDescent="0.25">
      <c r="B102" s="10" t="s">
        <v>49</v>
      </c>
      <c r="C102" s="95"/>
      <c r="D102" s="9">
        <f t="shared" si="12"/>
        <v>0</v>
      </c>
      <c r="E102" s="62"/>
    </row>
    <row r="103" spans="2:22" x14ac:dyDescent="0.25">
      <c r="B103" s="89" t="s">
        <v>28</v>
      </c>
      <c r="C103" s="95"/>
      <c r="D103" s="9">
        <f t="shared" ref="D103:D104" si="13">+C103/C$37</f>
        <v>0</v>
      </c>
      <c r="E103" s="62"/>
    </row>
    <row r="104" spans="2:22" x14ac:dyDescent="0.25">
      <c r="B104" s="89" t="s">
        <v>28</v>
      </c>
      <c r="C104" s="95"/>
      <c r="D104" s="9">
        <f t="shared" si="13"/>
        <v>0</v>
      </c>
      <c r="E104" s="62"/>
    </row>
    <row r="105" spans="2:22" x14ac:dyDescent="0.25">
      <c r="B105" s="89" t="s">
        <v>28</v>
      </c>
      <c r="C105" s="95"/>
      <c r="D105" s="9">
        <f t="shared" si="12"/>
        <v>0</v>
      </c>
      <c r="E105" s="62"/>
    </row>
    <row r="106" spans="2:22" x14ac:dyDescent="0.25">
      <c r="B106" s="89" t="s">
        <v>28</v>
      </c>
      <c r="C106" s="95"/>
      <c r="D106" s="9">
        <f t="shared" ref="D106" si="14">+C106/C$37</f>
        <v>0</v>
      </c>
      <c r="E106" s="62"/>
    </row>
    <row r="107" spans="2:22" x14ac:dyDescent="0.25">
      <c r="B107" s="89" t="s">
        <v>50</v>
      </c>
      <c r="C107" s="95">
        <f>99200390-SUM(C93:C106)</f>
        <v>196952.31999999285</v>
      </c>
      <c r="D107" s="9">
        <f t="shared" si="12"/>
        <v>2.0504099449425643E-3</v>
      </c>
      <c r="E107" s="62"/>
    </row>
    <row r="108" spans="2:22" x14ac:dyDescent="0.25">
      <c r="B108" s="11" t="s">
        <v>29</v>
      </c>
      <c r="C108" s="12">
        <f>SUM(C93:C107)</f>
        <v>99200390</v>
      </c>
      <c r="D108" s="13">
        <f>SUM(D94:D107)</f>
        <v>3.7243740555810534E-2</v>
      </c>
      <c r="E108" s="62" t="s">
        <v>259</v>
      </c>
    </row>
    <row r="109" spans="2:22" x14ac:dyDescent="0.25">
      <c r="D109" s="14"/>
      <c r="E109" s="57"/>
    </row>
    <row r="110" spans="2:22" x14ac:dyDescent="0.25">
      <c r="B110" s="29" t="s">
        <v>61</v>
      </c>
      <c r="C110" s="65">
        <f>+C108-C93</f>
        <v>3577451</v>
      </c>
      <c r="E110" s="57"/>
    </row>
    <row r="111" spans="2:22" x14ac:dyDescent="0.25">
      <c r="B111" s="55" t="s">
        <v>62</v>
      </c>
      <c r="C111" s="302">
        <f>(C110)/C93</f>
        <v>3.7412058627480586E-2</v>
      </c>
      <c r="E111" s="57"/>
    </row>
    <row r="112" spans="2:22" x14ac:dyDescent="0.25">
      <c r="B112" s="211"/>
      <c r="C112" s="60"/>
      <c r="D112" s="60"/>
      <c r="E112" s="60"/>
      <c r="F112" s="60"/>
      <c r="G112" s="60"/>
      <c r="H112" s="60"/>
      <c r="O112" s="22"/>
      <c r="P112" s="23"/>
    </row>
    <row r="113" spans="2:23" x14ac:dyDescent="0.25">
      <c r="B113" s="29" t="s">
        <v>63</v>
      </c>
      <c r="C113" s="65">
        <f>(C108-'5. Vaccine Clinics and Testing'!D42)-('1. Reconciliation'!C93-'1. Reconciliation'!C41)</f>
        <v>3630736</v>
      </c>
      <c r="D113" s="60"/>
      <c r="E113" s="60"/>
      <c r="F113" s="60"/>
      <c r="G113" s="60"/>
      <c r="H113" s="60"/>
      <c r="O113" s="22"/>
      <c r="P113" s="23"/>
    </row>
    <row r="114" spans="2:23" x14ac:dyDescent="0.25">
      <c r="B114" s="55" t="s">
        <v>64</v>
      </c>
      <c r="C114" s="302">
        <f>C113/C93</f>
        <v>3.7969299395828021E-2</v>
      </c>
      <c r="D114" s="15"/>
      <c r="E114" s="15"/>
      <c r="K114" s="23"/>
      <c r="L114" s="23"/>
      <c r="M114" s="14"/>
      <c r="N114" s="24"/>
      <c r="V114" s="22"/>
      <c r="W114" s="23"/>
    </row>
  </sheetData>
  <mergeCells count="7">
    <mergeCell ref="A71:A74"/>
    <mergeCell ref="B2:O2"/>
    <mergeCell ref="B3:O3"/>
    <mergeCell ref="B6:O6"/>
    <mergeCell ref="B4:O4"/>
    <mergeCell ref="B64:O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2:Q68"/>
  <sheetViews>
    <sheetView showGridLines="0" topLeftCell="A40" zoomScale="90" zoomScaleNormal="90" workbookViewId="0">
      <selection activeCell="G10" sqref="G10"/>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3" customWidth="1"/>
    <col min="9" max="11" width="17.7109375" style="1" customWidth="1"/>
    <col min="12" max="12" width="21.5703125" style="1" customWidth="1"/>
    <col min="13" max="15" width="8.85546875" style="1"/>
    <col min="16" max="16" width="16.5703125" style="1" customWidth="1"/>
    <col min="17" max="17" width="12.140625" style="1" bestFit="1" customWidth="1"/>
    <col min="18" max="16384" width="8.85546875" style="1"/>
  </cols>
  <sheetData>
    <row r="2" spans="2:9" x14ac:dyDescent="0.25">
      <c r="B2" s="318" t="s">
        <v>66</v>
      </c>
      <c r="C2" s="318"/>
      <c r="D2" s="318"/>
      <c r="E2" s="318"/>
      <c r="F2" s="318"/>
      <c r="G2" s="318"/>
      <c r="H2" s="318"/>
      <c r="I2" s="318"/>
    </row>
    <row r="3" spans="2:9" ht="18.75" x14ac:dyDescent="0.3">
      <c r="B3" s="330" t="s">
        <v>13</v>
      </c>
      <c r="C3" s="331"/>
      <c r="D3" s="331"/>
      <c r="E3" s="331"/>
      <c r="F3" s="331"/>
      <c r="G3" s="331"/>
      <c r="H3" s="331"/>
      <c r="I3" s="332"/>
    </row>
    <row r="4" spans="2:9" ht="18.75" x14ac:dyDescent="0.3">
      <c r="B4" s="333" t="s">
        <v>67</v>
      </c>
      <c r="C4" s="334"/>
      <c r="D4" s="334"/>
      <c r="E4" s="334"/>
      <c r="F4" s="334"/>
      <c r="G4" s="334"/>
      <c r="H4" s="334"/>
      <c r="I4" s="335"/>
    </row>
    <row r="5" spans="2:9" ht="34.9" customHeight="1" x14ac:dyDescent="0.25">
      <c r="B5" s="329" t="s">
        <v>68</v>
      </c>
      <c r="C5" s="329"/>
      <c r="D5" s="329"/>
      <c r="E5" s="329"/>
      <c r="F5" s="329"/>
      <c r="G5" s="329"/>
      <c r="H5" s="216"/>
    </row>
    <row r="6" spans="2:9" x14ac:dyDescent="0.25">
      <c r="B6" s="217"/>
      <c r="C6" s="217"/>
      <c r="D6" s="217"/>
      <c r="E6" s="217"/>
      <c r="F6" s="217"/>
      <c r="G6" s="217"/>
      <c r="H6" s="216"/>
    </row>
    <row r="7" spans="2:9" ht="29.45" customHeight="1" x14ac:dyDescent="0.25">
      <c r="B7" s="337" t="s">
        <v>69</v>
      </c>
      <c r="C7" s="338"/>
      <c r="D7" s="339"/>
      <c r="H7" s="1"/>
    </row>
    <row r="8" spans="2:9" ht="15" customHeight="1" x14ac:dyDescent="0.25">
      <c r="B8" s="340" t="s">
        <v>70</v>
      </c>
      <c r="C8" s="341"/>
      <c r="D8" s="342"/>
      <c r="H8" s="1"/>
    </row>
    <row r="9" spans="2:9" ht="42.75" customHeight="1" x14ac:dyDescent="0.25">
      <c r="B9" s="3" t="s">
        <v>71</v>
      </c>
      <c r="C9" s="49" t="s">
        <v>72</v>
      </c>
      <c r="D9" s="49" t="s">
        <v>73</v>
      </c>
      <c r="H9" s="1"/>
    </row>
    <row r="10" spans="2:9" x14ac:dyDescent="0.25">
      <c r="B10" s="3"/>
      <c r="C10" s="3"/>
      <c r="D10" s="49"/>
      <c r="H10" s="1"/>
    </row>
    <row r="11" spans="2:9" x14ac:dyDescent="0.25">
      <c r="B11" s="3" t="s">
        <v>74</v>
      </c>
      <c r="C11" s="237">
        <v>2647869</v>
      </c>
      <c r="D11" s="286">
        <v>6.2E-2</v>
      </c>
      <c r="H11" s="1"/>
    </row>
    <row r="12" spans="2:9" x14ac:dyDescent="0.25">
      <c r="B12" s="3" t="s">
        <v>75</v>
      </c>
      <c r="C12" s="237">
        <v>7632812</v>
      </c>
      <c r="D12" s="286">
        <v>5.8000000000000003E-2</v>
      </c>
      <c r="H12" s="1"/>
    </row>
    <row r="13" spans="2:9" x14ac:dyDescent="0.25">
      <c r="B13" s="3" t="s">
        <v>76</v>
      </c>
      <c r="C13" s="237">
        <v>0</v>
      </c>
      <c r="D13" s="286">
        <v>0</v>
      </c>
      <c r="H13" s="1"/>
    </row>
    <row r="14" spans="2:9" x14ac:dyDescent="0.25">
      <c r="B14" s="3" t="s">
        <v>28</v>
      </c>
      <c r="C14" s="237">
        <v>0</v>
      </c>
      <c r="D14" s="286">
        <v>0</v>
      </c>
      <c r="H14" s="1"/>
    </row>
    <row r="15" spans="2:9" ht="30" x14ac:dyDescent="0.25">
      <c r="B15" s="59" t="s">
        <v>77</v>
      </c>
      <c r="C15" s="238">
        <f>SUM(C11:C14)</f>
        <v>10280681</v>
      </c>
      <c r="D15" s="224">
        <f>C15/202735708</f>
        <v>5.0709769390994509E-2</v>
      </c>
      <c r="H15" s="1"/>
    </row>
    <row r="16" spans="2:9" s="63" customFormat="1" x14ac:dyDescent="0.25">
      <c r="B16" s="218"/>
      <c r="C16" s="64"/>
      <c r="D16" s="64"/>
      <c r="E16" s="64"/>
      <c r="F16" s="64"/>
      <c r="G16" s="64"/>
      <c r="H16" s="64"/>
    </row>
    <row r="17" spans="2:11" ht="45" customHeight="1" x14ac:dyDescent="0.25">
      <c r="B17" s="337" t="s">
        <v>245</v>
      </c>
      <c r="C17" s="338"/>
      <c r="D17" s="338"/>
      <c r="E17" s="338"/>
      <c r="F17" s="338"/>
      <c r="G17" s="338"/>
      <c r="H17" s="338"/>
      <c r="I17" s="338"/>
      <c r="J17" s="339"/>
    </row>
    <row r="18" spans="2:11" ht="15" customHeight="1" x14ac:dyDescent="0.25">
      <c r="B18" s="340" t="s">
        <v>231</v>
      </c>
      <c r="C18" s="341"/>
      <c r="D18" s="341"/>
      <c r="E18" s="341"/>
      <c r="F18" s="341"/>
      <c r="G18" s="341"/>
      <c r="H18" s="341"/>
      <c r="I18" s="341"/>
      <c r="J18" s="342"/>
    </row>
    <row r="19" spans="2:11" ht="42.75" customHeight="1" x14ac:dyDescent="0.25">
      <c r="B19" s="3" t="s">
        <v>71</v>
      </c>
      <c r="C19" s="49" t="s">
        <v>225</v>
      </c>
      <c r="D19" s="49" t="s">
        <v>78</v>
      </c>
      <c r="E19" s="49" t="s">
        <v>226</v>
      </c>
      <c r="F19" s="348" t="s">
        <v>227</v>
      </c>
      <c r="G19" s="349"/>
      <c r="H19" s="219" t="s">
        <v>228</v>
      </c>
      <c r="I19" s="219" t="s">
        <v>229</v>
      </c>
      <c r="J19" s="219" t="s">
        <v>230</v>
      </c>
    </row>
    <row r="20" spans="2:11" x14ac:dyDescent="0.25">
      <c r="B20" s="3"/>
      <c r="C20" s="49"/>
      <c r="D20" s="220"/>
      <c r="E20" s="49"/>
      <c r="F20" s="49" t="s">
        <v>79</v>
      </c>
      <c r="G20" s="49" t="s">
        <v>80</v>
      </c>
      <c r="H20" s="49"/>
      <c r="I20" s="49"/>
      <c r="J20" s="49"/>
    </row>
    <row r="21" spans="2:11" x14ac:dyDescent="0.25">
      <c r="B21" s="3" t="s">
        <v>74</v>
      </c>
      <c r="C21" s="221">
        <v>42198779</v>
      </c>
      <c r="D21" s="222">
        <f>(E21/C21)-1</f>
        <v>0.11308130503017644</v>
      </c>
      <c r="E21" s="83">
        <v>46970672</v>
      </c>
      <c r="F21" s="83">
        <f>10556468+159773</f>
        <v>10716241</v>
      </c>
      <c r="G21" s="83"/>
      <c r="H21" s="83">
        <v>1618565</v>
      </c>
      <c r="I21" s="83">
        <v>8496686</v>
      </c>
      <c r="J21" s="83">
        <v>26139179</v>
      </c>
      <c r="K21" s="287"/>
    </row>
    <row r="22" spans="2:11" x14ac:dyDescent="0.25">
      <c r="B22" s="3" t="s">
        <v>75</v>
      </c>
      <c r="C22" s="221">
        <v>135226886</v>
      </c>
      <c r="D22" s="222">
        <f t="shared" ref="D22:D25" si="0">(E22/C22)-1</f>
        <v>4.8065315946120402E-2</v>
      </c>
      <c r="E22" s="83">
        <v>141726609</v>
      </c>
      <c r="F22" s="83">
        <f>48055297+1618346</f>
        <v>49673643</v>
      </c>
      <c r="G22" s="83">
        <v>0</v>
      </c>
      <c r="H22" s="83">
        <v>4040682</v>
      </c>
      <c r="I22" s="83">
        <v>25356502</v>
      </c>
      <c r="J22" s="83">
        <v>62655782</v>
      </c>
      <c r="K22" s="287"/>
    </row>
    <row r="23" spans="2:11" x14ac:dyDescent="0.25">
      <c r="B23" s="3" t="s">
        <v>76</v>
      </c>
      <c r="C23" s="221">
        <v>17949119</v>
      </c>
      <c r="D23" s="222">
        <f t="shared" si="0"/>
        <v>0.35485468673977816</v>
      </c>
      <c r="E23" s="83">
        <v>24318448</v>
      </c>
      <c r="F23" s="83">
        <f>9981796+284636</f>
        <v>10266432</v>
      </c>
      <c r="G23" s="83">
        <v>0</v>
      </c>
      <c r="H23" s="83">
        <v>317196</v>
      </c>
      <c r="I23" s="83">
        <v>4543908</v>
      </c>
      <c r="J23" s="83">
        <v>9190912</v>
      </c>
      <c r="K23" s="287"/>
    </row>
    <row r="24" spans="2:11" x14ac:dyDescent="0.25">
      <c r="B24" s="3" t="s">
        <v>28</v>
      </c>
      <c r="C24" s="221">
        <v>0</v>
      </c>
      <c r="D24" s="222"/>
      <c r="E24" s="83">
        <f t="shared" ref="E24" si="1">SUM(F24:J24)</f>
        <v>0</v>
      </c>
      <c r="F24" s="83"/>
      <c r="G24" s="83" t="s">
        <v>255</v>
      </c>
      <c r="H24" s="83"/>
      <c r="I24" s="83"/>
      <c r="J24" s="83"/>
    </row>
    <row r="25" spans="2:11" ht="30" x14ac:dyDescent="0.25">
      <c r="B25" s="59" t="s">
        <v>240</v>
      </c>
      <c r="C25" s="223">
        <f>SUM(C21:C24)</f>
        <v>195374784</v>
      </c>
      <c r="D25" s="222">
        <f t="shared" si="0"/>
        <v>9.0292844546407736E-2</v>
      </c>
      <c r="E25" s="223">
        <f t="shared" ref="E25:J25" si="2">SUM(E21:E24)</f>
        <v>213015729</v>
      </c>
      <c r="F25" s="84">
        <f t="shared" si="2"/>
        <v>70656316</v>
      </c>
      <c r="G25" s="84">
        <f t="shared" si="2"/>
        <v>0</v>
      </c>
      <c r="H25" s="84">
        <f t="shared" si="2"/>
        <v>5976443</v>
      </c>
      <c r="I25" s="84">
        <f t="shared" si="2"/>
        <v>38397096</v>
      </c>
      <c r="J25" s="84">
        <f t="shared" si="2"/>
        <v>97985873</v>
      </c>
      <c r="K25" s="287"/>
    </row>
    <row r="26" spans="2:11" s="63" customFormat="1" x14ac:dyDescent="0.25">
      <c r="B26" s="218"/>
      <c r="C26" s="64" t="s">
        <v>248</v>
      </c>
      <c r="D26" s="64"/>
      <c r="E26" s="64" t="s">
        <v>248</v>
      </c>
      <c r="F26" s="64"/>
      <c r="G26" s="64"/>
      <c r="H26" s="64"/>
    </row>
    <row r="27" spans="2:11" s="63" customFormat="1" x14ac:dyDescent="0.25">
      <c r="B27" s="218"/>
      <c r="C27" s="64"/>
      <c r="D27" s="64"/>
      <c r="E27" s="64"/>
      <c r="F27" s="64"/>
      <c r="G27" s="64"/>
      <c r="H27" s="64"/>
    </row>
    <row r="28" spans="2:11" s="63" customFormat="1" ht="23.45" customHeight="1" x14ac:dyDescent="0.25">
      <c r="B28" s="337" t="s">
        <v>81</v>
      </c>
      <c r="C28" s="338"/>
      <c r="D28" s="338"/>
      <c r="E28" s="338"/>
      <c r="F28" s="338"/>
      <c r="G28" s="338"/>
      <c r="H28" s="338"/>
      <c r="I28" s="338"/>
      <c r="J28" s="339"/>
    </row>
    <row r="29" spans="2:11" x14ac:dyDescent="0.25">
      <c r="B29" s="340" t="s">
        <v>223</v>
      </c>
      <c r="C29" s="341"/>
      <c r="D29" s="341"/>
      <c r="E29" s="341"/>
      <c r="F29" s="341"/>
      <c r="G29" s="341"/>
      <c r="H29" s="341"/>
      <c r="I29" s="341"/>
      <c r="J29" s="342"/>
    </row>
    <row r="30" spans="2:11" ht="42.75" customHeight="1" x14ac:dyDescent="0.25">
      <c r="B30" s="3" t="s">
        <v>82</v>
      </c>
      <c r="C30" s="3" t="s">
        <v>83</v>
      </c>
      <c r="D30" s="49" t="s">
        <v>84</v>
      </c>
      <c r="E30" s="49" t="s">
        <v>85</v>
      </c>
      <c r="F30" s="343" t="s">
        <v>232</v>
      </c>
      <c r="G30" s="344"/>
      <c r="H30" s="49" t="s">
        <v>233</v>
      </c>
      <c r="I30" s="49" t="s">
        <v>234</v>
      </c>
      <c r="J30" s="49" t="s">
        <v>235</v>
      </c>
    </row>
    <row r="31" spans="2:11" ht="15.75" customHeight="1" x14ac:dyDescent="0.25">
      <c r="B31" s="3"/>
      <c r="C31" s="3"/>
      <c r="D31" s="3"/>
      <c r="E31" s="49"/>
      <c r="F31" s="49" t="s">
        <v>79</v>
      </c>
      <c r="G31" s="49" t="s">
        <v>80</v>
      </c>
      <c r="H31" s="49"/>
      <c r="I31" s="49"/>
      <c r="J31" s="49"/>
    </row>
    <row r="32" spans="2:11" x14ac:dyDescent="0.25">
      <c r="B32" s="3" t="s">
        <v>74</v>
      </c>
      <c r="C32" s="221">
        <v>0</v>
      </c>
      <c r="D32" s="221">
        <v>0</v>
      </c>
      <c r="E32" s="225">
        <v>0</v>
      </c>
      <c r="F32" s="225">
        <v>0</v>
      </c>
      <c r="G32" s="225">
        <v>0</v>
      </c>
      <c r="H32" s="225">
        <v>0</v>
      </c>
      <c r="I32" s="225">
        <v>0</v>
      </c>
      <c r="J32" s="225">
        <v>0</v>
      </c>
    </row>
    <row r="33" spans="2:11" x14ac:dyDescent="0.25">
      <c r="B33" s="3" t="s">
        <v>75</v>
      </c>
      <c r="C33" s="221">
        <v>0</v>
      </c>
      <c r="D33" s="221">
        <v>0</v>
      </c>
      <c r="E33" s="225">
        <v>0</v>
      </c>
      <c r="F33" s="225">
        <v>0</v>
      </c>
      <c r="G33" s="225">
        <v>0</v>
      </c>
      <c r="H33" s="225">
        <v>0</v>
      </c>
      <c r="I33" s="225">
        <v>0</v>
      </c>
      <c r="J33" s="225">
        <v>0</v>
      </c>
      <c r="K33" s="63" t="s">
        <v>252</v>
      </c>
    </row>
    <row r="34" spans="2:11" x14ac:dyDescent="0.25">
      <c r="B34" s="3" t="s">
        <v>76</v>
      </c>
      <c r="C34" s="221">
        <v>0</v>
      </c>
      <c r="D34" s="221">
        <v>0</v>
      </c>
      <c r="E34" s="225">
        <v>0</v>
      </c>
      <c r="F34" s="225">
        <v>0</v>
      </c>
      <c r="G34" s="225">
        <v>0</v>
      </c>
      <c r="H34" s="225">
        <v>0</v>
      </c>
      <c r="I34" s="225">
        <v>0</v>
      </c>
      <c r="J34" s="225">
        <v>0</v>
      </c>
    </row>
    <row r="35" spans="2:11" x14ac:dyDescent="0.25">
      <c r="B35" s="3" t="s">
        <v>28</v>
      </c>
      <c r="C35" s="221">
        <v>78962603</v>
      </c>
      <c r="D35" s="221">
        <f>+E35-C35</f>
        <v>2739885</v>
      </c>
      <c r="E35" s="225">
        <v>81702488</v>
      </c>
      <c r="F35" s="225">
        <v>44735616</v>
      </c>
      <c r="G35" s="225">
        <v>0</v>
      </c>
      <c r="H35" s="225">
        <v>0</v>
      </c>
      <c r="I35" s="225">
        <f>8939388+530861</f>
        <v>9470249</v>
      </c>
      <c r="J35" s="225">
        <v>27496620</v>
      </c>
      <c r="K35" s="293" t="s">
        <v>258</v>
      </c>
    </row>
    <row r="36" spans="2:11" x14ac:dyDescent="0.25">
      <c r="B36" s="3"/>
      <c r="C36" s="3"/>
      <c r="D36" s="3"/>
      <c r="E36" s="225"/>
      <c r="F36" s="225"/>
      <c r="G36" s="225"/>
      <c r="H36" s="225"/>
      <c r="I36" s="225"/>
      <c r="J36" s="225"/>
    </row>
    <row r="37" spans="2:11" x14ac:dyDescent="0.25">
      <c r="B37" s="3"/>
      <c r="C37" s="3"/>
      <c r="D37" s="3"/>
      <c r="E37" s="225"/>
      <c r="F37" s="225"/>
      <c r="G37" s="225"/>
      <c r="H37" s="225"/>
      <c r="I37" s="225"/>
      <c r="J37" s="225"/>
    </row>
    <row r="38" spans="2:11" x14ac:dyDescent="0.25">
      <c r="B38" s="3"/>
      <c r="C38" s="3"/>
      <c r="D38" s="3"/>
      <c r="E38" s="225"/>
      <c r="F38" s="225"/>
      <c r="G38" s="225"/>
      <c r="H38" s="225"/>
      <c r="I38" s="225"/>
      <c r="J38" s="225"/>
    </row>
    <row r="39" spans="2:11" x14ac:dyDescent="0.25">
      <c r="B39" s="59" t="s">
        <v>239</v>
      </c>
      <c r="C39" s="226">
        <f>SUM(C32:C38)</f>
        <v>78962603</v>
      </c>
      <c r="D39" s="226">
        <f>SUM(D32:D38)</f>
        <v>2739885</v>
      </c>
      <c r="E39" s="226">
        <f t="shared" ref="E39:J39" si="3">SUM(E32:E38)</f>
        <v>81702488</v>
      </c>
      <c r="F39" s="226">
        <f t="shared" si="3"/>
        <v>44735616</v>
      </c>
      <c r="G39" s="226">
        <f t="shared" si="3"/>
        <v>0</v>
      </c>
      <c r="H39" s="226">
        <f t="shared" si="3"/>
        <v>0</v>
      </c>
      <c r="I39" s="226">
        <f t="shared" si="3"/>
        <v>9470249</v>
      </c>
      <c r="J39" s="226">
        <f t="shared" si="3"/>
        <v>27496620</v>
      </c>
    </row>
    <row r="40" spans="2:11" s="63" customFormat="1" x14ac:dyDescent="0.25">
      <c r="C40" s="64"/>
      <c r="D40" s="64"/>
      <c r="E40" s="64"/>
      <c r="F40" s="227"/>
      <c r="G40" s="227"/>
      <c r="H40" s="227"/>
    </row>
    <row r="41" spans="2:11" s="63" customFormat="1" x14ac:dyDescent="0.25">
      <c r="C41" s="64"/>
      <c r="D41" s="64"/>
      <c r="E41" s="64"/>
      <c r="F41" s="227"/>
      <c r="G41" s="227"/>
      <c r="H41" s="227"/>
    </row>
    <row r="42" spans="2:11" s="63" customFormat="1" x14ac:dyDescent="0.25">
      <c r="B42" s="340" t="s">
        <v>224</v>
      </c>
      <c r="C42" s="341"/>
      <c r="D42" s="341"/>
      <c r="E42" s="341"/>
      <c r="F42" s="341"/>
      <c r="G42" s="341"/>
      <c r="H42" s="342"/>
    </row>
    <row r="43" spans="2:11" s="63" customFormat="1" ht="42.6" customHeight="1" x14ac:dyDescent="0.25">
      <c r="B43" s="3" t="s">
        <v>82</v>
      </c>
      <c r="C43" s="3" t="s">
        <v>86</v>
      </c>
      <c r="D43" s="49" t="s">
        <v>84</v>
      </c>
      <c r="E43" s="49" t="s">
        <v>87</v>
      </c>
      <c r="F43" s="255" t="s">
        <v>246</v>
      </c>
      <c r="G43" s="49" t="s">
        <v>236</v>
      </c>
      <c r="H43" s="49" t="s">
        <v>237</v>
      </c>
    </row>
    <row r="44" spans="2:11" s="63" customFormat="1" x14ac:dyDescent="0.25">
      <c r="B44" s="3" t="s">
        <v>74</v>
      </c>
      <c r="C44" s="221">
        <v>0</v>
      </c>
      <c r="D44" s="221">
        <v>0</v>
      </c>
      <c r="E44" s="225">
        <f>SUM(F44:H44)</f>
        <v>0</v>
      </c>
      <c r="F44" s="225">
        <v>0</v>
      </c>
      <c r="G44" s="225">
        <v>0</v>
      </c>
      <c r="H44" s="225">
        <v>0</v>
      </c>
    </row>
    <row r="45" spans="2:11" s="63" customFormat="1" x14ac:dyDescent="0.25">
      <c r="B45" s="3" t="s">
        <v>75</v>
      </c>
      <c r="C45" s="221">
        <f>13839826</f>
        <v>13839826</v>
      </c>
      <c r="D45" s="221">
        <f>+E45-C45</f>
        <v>53068</v>
      </c>
      <c r="E45" s="225">
        <f t="shared" ref="E45:E48" si="4">SUM(F45:H45)</f>
        <v>13892894</v>
      </c>
      <c r="F45" s="225">
        <v>-10767</v>
      </c>
      <c r="G45" s="303">
        <v>4174442</v>
      </c>
      <c r="H45" s="303">
        <v>9729219</v>
      </c>
      <c r="J45" s="63" t="s">
        <v>256</v>
      </c>
    </row>
    <row r="46" spans="2:11" s="63" customFormat="1" x14ac:dyDescent="0.25">
      <c r="B46" s="3" t="s">
        <v>76</v>
      </c>
      <c r="C46" s="221">
        <v>0</v>
      </c>
      <c r="D46" s="221">
        <v>0</v>
      </c>
      <c r="E46" s="225">
        <f t="shared" si="4"/>
        <v>0</v>
      </c>
      <c r="F46" s="225">
        <v>0</v>
      </c>
      <c r="G46" s="225">
        <v>0</v>
      </c>
      <c r="H46" s="225">
        <v>0</v>
      </c>
    </row>
    <row r="47" spans="2:11" s="63" customFormat="1" x14ac:dyDescent="0.25">
      <c r="B47" s="3" t="s">
        <v>88</v>
      </c>
      <c r="C47" s="221">
        <v>0</v>
      </c>
      <c r="D47" s="221">
        <v>0</v>
      </c>
      <c r="E47" s="225">
        <f t="shared" si="4"/>
        <v>0</v>
      </c>
      <c r="F47" s="225">
        <v>0</v>
      </c>
      <c r="G47" s="225">
        <v>0</v>
      </c>
      <c r="H47" s="225">
        <v>0</v>
      </c>
    </row>
    <row r="48" spans="2:11" s="63" customFormat="1" x14ac:dyDescent="0.25">
      <c r="B48" s="3" t="s">
        <v>89</v>
      </c>
      <c r="C48" s="221">
        <v>0</v>
      </c>
      <c r="D48" s="221">
        <v>0</v>
      </c>
      <c r="E48" s="225">
        <f t="shared" si="4"/>
        <v>0</v>
      </c>
      <c r="F48" s="225">
        <v>0</v>
      </c>
      <c r="G48" s="225">
        <v>0</v>
      </c>
      <c r="H48" s="225">
        <v>0</v>
      </c>
    </row>
    <row r="49" spans="2:17" s="63" customFormat="1" x14ac:dyDescent="0.25">
      <c r="B49" s="59" t="s">
        <v>238</v>
      </c>
      <c r="C49" s="226">
        <f>SUM(C44:C48)</f>
        <v>13839826</v>
      </c>
      <c r="D49" s="226">
        <f>SUM(D44:D48)</f>
        <v>53068</v>
      </c>
      <c r="E49" s="226">
        <f>SUM(E44:E48)</f>
        <v>13892894</v>
      </c>
      <c r="F49" s="226">
        <f t="shared" ref="F49:H49" si="5">SUM(F44:F48)</f>
        <v>-10767</v>
      </c>
      <c r="G49" s="226">
        <f t="shared" si="5"/>
        <v>4174442</v>
      </c>
      <c r="H49" s="226">
        <f t="shared" si="5"/>
        <v>9729219</v>
      </c>
    </row>
    <row r="50" spans="2:17" s="63" customFormat="1" x14ac:dyDescent="0.25">
      <c r="C50" s="64"/>
      <c r="D50" s="64"/>
      <c r="E50" s="64"/>
      <c r="F50" s="63" t="s">
        <v>247</v>
      </c>
      <c r="G50" s="227"/>
      <c r="H50" s="227"/>
    </row>
    <row r="51" spans="2:17" s="63" customFormat="1" ht="15.75" thickBot="1" x14ac:dyDescent="0.3">
      <c r="B51" s="216"/>
      <c r="C51" s="227"/>
      <c r="D51" s="227"/>
      <c r="E51" s="227"/>
      <c r="F51" s="227"/>
      <c r="G51" s="227"/>
      <c r="H51" s="227"/>
    </row>
    <row r="52" spans="2:17" s="63" customFormat="1" ht="30" x14ac:dyDescent="0.25">
      <c r="B52" s="228"/>
      <c r="C52" s="229" t="s">
        <v>90</v>
      </c>
      <c r="D52" s="229" t="s">
        <v>84</v>
      </c>
      <c r="E52" s="229" t="s">
        <v>78</v>
      </c>
      <c r="F52" s="230" t="s">
        <v>91</v>
      </c>
      <c r="G52" s="227"/>
      <c r="H52" s="227"/>
      <c r="I52" s="227"/>
    </row>
    <row r="53" spans="2:17" s="63" customFormat="1" x14ac:dyDescent="0.25">
      <c r="B53" s="240" t="s">
        <v>92</v>
      </c>
      <c r="C53" s="239">
        <f>C39+C49</f>
        <v>92802429</v>
      </c>
      <c r="D53" s="239">
        <f>D39+D49</f>
        <v>2792953</v>
      </c>
      <c r="E53" s="305">
        <f>D53/C53</f>
        <v>3.0095688551427895E-2</v>
      </c>
      <c r="F53" s="241">
        <f>E39+E49</f>
        <v>95595382</v>
      </c>
      <c r="G53" s="227"/>
      <c r="H53" s="227"/>
      <c r="I53" s="227"/>
    </row>
    <row r="54" spans="2:17" s="63" customFormat="1" x14ac:dyDescent="0.25">
      <c r="B54" s="240" t="s">
        <v>93</v>
      </c>
      <c r="C54" s="242">
        <f>'1. Reconciliation'!C11</f>
        <v>92802426</v>
      </c>
      <c r="D54" s="242">
        <f>'1. Reconciliation'!C25</f>
        <v>2792953</v>
      </c>
      <c r="E54" s="306">
        <f>'1. Reconciliation'!C26</f>
        <v>3.0095689524323427E-2</v>
      </c>
      <c r="F54" s="243">
        <f>'1. Reconciliation'!C23</f>
        <v>95595379</v>
      </c>
      <c r="G54" s="227"/>
      <c r="H54" s="227"/>
      <c r="I54" s="227"/>
    </row>
    <row r="55" spans="2:17" s="63" customFormat="1" ht="18" customHeight="1" thickBot="1" x14ac:dyDescent="0.3">
      <c r="B55" s="244" t="s">
        <v>94</v>
      </c>
      <c r="C55" s="245">
        <f>C53-C54</f>
        <v>3</v>
      </c>
      <c r="D55" s="245">
        <f t="shared" ref="D55:F55" si="6">D53-D54</f>
        <v>0</v>
      </c>
      <c r="E55" s="245">
        <f t="shared" si="6"/>
        <v>-9.7289553149804142E-10</v>
      </c>
      <c r="F55" s="246">
        <f t="shared" si="6"/>
        <v>3</v>
      </c>
      <c r="G55" s="227"/>
      <c r="H55" s="227"/>
      <c r="I55" s="227"/>
    </row>
    <row r="56" spans="2:17" s="63" customFormat="1" x14ac:dyDescent="0.25">
      <c r="G56" s="227"/>
      <c r="H56" s="227"/>
      <c r="I56" s="227"/>
      <c r="J56" s="1"/>
    </row>
    <row r="57" spans="2:17" x14ac:dyDescent="0.25">
      <c r="B57" s="231"/>
      <c r="C57" s="232"/>
      <c r="D57" s="233"/>
      <c r="E57" s="234"/>
      <c r="F57" s="234"/>
      <c r="G57" s="234"/>
      <c r="H57" s="235"/>
    </row>
    <row r="58" spans="2:17" x14ac:dyDescent="0.25">
      <c r="B58" s="345" t="s">
        <v>95</v>
      </c>
      <c r="C58" s="346"/>
      <c r="D58" s="346"/>
      <c r="E58" s="346"/>
      <c r="F58" s="346"/>
      <c r="G58" s="347"/>
      <c r="H58" s="235"/>
    </row>
    <row r="59" spans="2:17" x14ac:dyDescent="0.25">
      <c r="B59" s="340" t="s">
        <v>96</v>
      </c>
      <c r="C59" s="341"/>
      <c r="D59" s="341"/>
      <c r="E59" s="341"/>
      <c r="F59" s="341"/>
      <c r="G59" s="342"/>
      <c r="H59" s="236"/>
    </row>
    <row r="60" spans="2:17" x14ac:dyDescent="0.25">
      <c r="B60" s="336" t="s">
        <v>254</v>
      </c>
      <c r="C60" s="336"/>
      <c r="D60" s="336"/>
      <c r="E60" s="336"/>
      <c r="F60" s="336"/>
      <c r="G60" s="336"/>
      <c r="L60" s="297"/>
    </row>
    <row r="61" spans="2:17" x14ac:dyDescent="0.25">
      <c r="B61" s="336"/>
      <c r="C61" s="336"/>
      <c r="D61" s="336"/>
      <c r="E61" s="336"/>
      <c r="F61" s="336"/>
      <c r="G61" s="336"/>
      <c r="P61" s="287"/>
    </row>
    <row r="62" spans="2:17" x14ac:dyDescent="0.25">
      <c r="B62" s="336"/>
      <c r="C62" s="336"/>
      <c r="D62" s="336"/>
      <c r="E62" s="336"/>
      <c r="F62" s="336"/>
      <c r="G62" s="336"/>
      <c r="P62" s="304"/>
      <c r="Q62" s="287"/>
    </row>
    <row r="63" spans="2:17" x14ac:dyDescent="0.25">
      <c r="B63" s="336"/>
      <c r="C63" s="336"/>
      <c r="D63" s="336"/>
      <c r="E63" s="336"/>
      <c r="F63" s="336"/>
      <c r="G63" s="336"/>
      <c r="P63" s="287"/>
    </row>
    <row r="64" spans="2:17" x14ac:dyDescent="0.25">
      <c r="B64" s="336"/>
      <c r="C64" s="336"/>
      <c r="D64" s="336"/>
      <c r="E64" s="336"/>
      <c r="F64" s="336"/>
      <c r="G64" s="336"/>
    </row>
    <row r="65" spans="3:16" x14ac:dyDescent="0.25">
      <c r="P65" s="304"/>
    </row>
    <row r="66" spans="3:16" x14ac:dyDescent="0.25">
      <c r="O66" s="298"/>
      <c r="P66" s="294"/>
    </row>
    <row r="67" spans="3:16" x14ac:dyDescent="0.25">
      <c r="C67" s="20"/>
    </row>
    <row r="68" spans="3:16" x14ac:dyDescent="0.25">
      <c r="P68" s="294"/>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66" orientation="landscape" r:id="rId1"/>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J30"/>
  <sheetViews>
    <sheetView showGridLines="0" topLeftCell="B1" zoomScale="90" zoomScaleNormal="90" workbookViewId="0">
      <selection activeCell="D29" sqref="D2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9" width="8.85546875" style="1"/>
    <col min="10" max="10" width="13" style="1" customWidth="1"/>
    <col min="11" max="16384" width="8.85546875" style="1"/>
  </cols>
  <sheetData>
    <row r="1" spans="2:4" x14ac:dyDescent="0.25">
      <c r="B1" s="350" t="s">
        <v>97</v>
      </c>
      <c r="C1" s="350"/>
      <c r="D1" s="350"/>
    </row>
    <row r="2" spans="2:4" ht="21" x14ac:dyDescent="0.35">
      <c r="B2" s="351" t="s">
        <v>5</v>
      </c>
      <c r="C2" s="352"/>
      <c r="D2" s="353"/>
    </row>
    <row r="3" spans="2:4" ht="18.75" x14ac:dyDescent="0.3">
      <c r="B3" s="355" t="s">
        <v>98</v>
      </c>
      <c r="C3" s="356"/>
      <c r="D3" s="357"/>
    </row>
    <row r="4" spans="2:4" ht="65.25" customHeight="1" x14ac:dyDescent="0.25">
      <c r="B4" s="354" t="s">
        <v>241</v>
      </c>
      <c r="C4" s="354"/>
      <c r="D4" s="354"/>
    </row>
    <row r="5" spans="2:4" x14ac:dyDescent="0.25">
      <c r="B5" s="21"/>
      <c r="C5" s="2"/>
      <c r="D5" s="2"/>
    </row>
    <row r="6" spans="2:4" x14ac:dyDescent="0.25">
      <c r="B6" s="359" t="s">
        <v>99</v>
      </c>
      <c r="C6" s="358" t="s">
        <v>100</v>
      </c>
      <c r="D6" s="358" t="s">
        <v>101</v>
      </c>
    </row>
    <row r="7" spans="2:4" x14ac:dyDescent="0.25">
      <c r="B7" s="359"/>
      <c r="C7" s="358"/>
      <c r="D7" s="358"/>
    </row>
    <row r="8" spans="2:4" x14ac:dyDescent="0.25">
      <c r="B8" s="81" t="s">
        <v>22</v>
      </c>
      <c r="C8" s="282"/>
      <c r="D8" s="283">
        <v>195374784</v>
      </c>
    </row>
    <row r="9" spans="2:4" x14ac:dyDescent="0.25">
      <c r="B9" s="115" t="s">
        <v>263</v>
      </c>
      <c r="C9" s="286">
        <f>+D9/D$8</f>
        <v>3.087613906203986E-2</v>
      </c>
      <c r="D9" s="284">
        <v>6032419</v>
      </c>
    </row>
    <row r="10" spans="2:4" x14ac:dyDescent="0.25">
      <c r="B10" s="295" t="s">
        <v>261</v>
      </c>
      <c r="C10" s="286">
        <f t="shared" ref="C10:C14" si="0">+D10/D$8</f>
        <v>1.9188970670851773E-2</v>
      </c>
      <c r="D10" s="284">
        <v>3749041</v>
      </c>
    </row>
    <row r="11" spans="2:4" x14ac:dyDescent="0.25">
      <c r="B11" s="295" t="s">
        <v>262</v>
      </c>
      <c r="C11" s="286">
        <f t="shared" si="0"/>
        <v>2.3273520292158071E-2</v>
      </c>
      <c r="D11" s="284">
        <v>4547059</v>
      </c>
    </row>
    <row r="12" spans="2:4" x14ac:dyDescent="0.25">
      <c r="B12" s="295" t="s">
        <v>264</v>
      </c>
      <c r="C12" s="286">
        <f t="shared" si="0"/>
        <v>2.3624742689414821E-2</v>
      </c>
      <c r="D12" s="284">
        <v>4615679</v>
      </c>
    </row>
    <row r="13" spans="2:4" x14ac:dyDescent="0.25">
      <c r="B13" s="295" t="s">
        <v>265</v>
      </c>
      <c r="C13" s="286">
        <f t="shared" si="0"/>
        <v>3.7729433906885344E-3</v>
      </c>
      <c r="D13" s="284">
        <v>737138</v>
      </c>
    </row>
    <row r="14" spans="2:4" x14ac:dyDescent="0.25">
      <c r="B14" s="3" t="s">
        <v>260</v>
      </c>
      <c r="C14" s="286">
        <f t="shared" si="0"/>
        <v>-1.0443471558745268E-2</v>
      </c>
      <c r="D14" s="284">
        <f>213015729-SUM(D8:D13)</f>
        <v>-2040391</v>
      </c>
    </row>
    <row r="15" spans="2:4" x14ac:dyDescent="0.25">
      <c r="B15" s="81" t="s">
        <v>29</v>
      </c>
      <c r="C15" s="308">
        <f>SUM(C8:C14)</f>
        <v>9.0292844546407791E-2</v>
      </c>
      <c r="D15" s="283">
        <f t="shared" ref="D15" si="1">SUM(D8:D14)</f>
        <v>213015729</v>
      </c>
    </row>
    <row r="16" spans="2:4" x14ac:dyDescent="0.25">
      <c r="B16" s="77"/>
      <c r="C16" s="45"/>
      <c r="D16" s="45"/>
    </row>
    <row r="17" spans="2:10" x14ac:dyDescent="0.25">
      <c r="B17" s="29" t="s">
        <v>102</v>
      </c>
      <c r="C17" s="107"/>
      <c r="D17" s="82">
        <f>SUM(D9:D14)</f>
        <v>17640945</v>
      </c>
    </row>
    <row r="18" spans="2:10" x14ac:dyDescent="0.25">
      <c r="B18" s="29" t="s">
        <v>103</v>
      </c>
      <c r="C18" s="307">
        <f>+D17/D8</f>
        <v>9.0292844546407791E-2</v>
      </c>
      <c r="D18" s="108"/>
    </row>
    <row r="19" spans="2:10" x14ac:dyDescent="0.25">
      <c r="B19" s="77" t="s">
        <v>104</v>
      </c>
    </row>
    <row r="24" spans="2:10" x14ac:dyDescent="0.25">
      <c r="J24" s="296"/>
    </row>
    <row r="30" spans="2:10" x14ac:dyDescent="0.25">
      <c r="J30" s="294"/>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K21"/>
  <sheetViews>
    <sheetView showGridLines="0" zoomScale="77" zoomScaleNormal="110" workbookViewId="0">
      <selection activeCell="F16" sqref="F16"/>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9" max="9" width="17.140625" customWidth="1"/>
    <col min="11" max="11" width="15.28515625" bestFit="1" customWidth="1"/>
  </cols>
  <sheetData>
    <row r="1" spans="2:11" x14ac:dyDescent="0.25">
      <c r="B1" s="318" t="s">
        <v>105</v>
      </c>
      <c r="C1" s="318"/>
      <c r="D1" s="318"/>
      <c r="E1" s="318"/>
      <c r="F1" s="318"/>
      <c r="G1" s="318"/>
    </row>
    <row r="2" spans="2:11" ht="18.75" x14ac:dyDescent="0.3">
      <c r="B2" s="361" t="s">
        <v>13</v>
      </c>
      <c r="C2" s="362"/>
      <c r="D2" s="362"/>
      <c r="E2" s="362"/>
      <c r="F2" s="362"/>
      <c r="G2" s="363"/>
    </row>
    <row r="3" spans="2:11" ht="18.75" x14ac:dyDescent="0.3">
      <c r="B3" s="355" t="s">
        <v>106</v>
      </c>
      <c r="C3" s="356"/>
      <c r="D3" s="356"/>
      <c r="E3" s="356"/>
      <c r="F3" s="356"/>
      <c r="G3" s="357"/>
    </row>
    <row r="4" spans="2:11" ht="63" customHeight="1" x14ac:dyDescent="0.25">
      <c r="B4" s="364" t="s">
        <v>219</v>
      </c>
      <c r="C4" s="364"/>
      <c r="D4" s="364"/>
      <c r="E4" s="364"/>
      <c r="F4" s="364"/>
      <c r="G4" s="364"/>
    </row>
    <row r="5" spans="2:11" ht="17.45" customHeight="1" x14ac:dyDescent="0.25">
      <c r="B5" s="48" t="s">
        <v>107</v>
      </c>
      <c r="C5" s="365" t="s">
        <v>108</v>
      </c>
      <c r="D5" s="366"/>
      <c r="E5" s="366"/>
      <c r="F5" s="367"/>
      <c r="G5" s="58" t="s">
        <v>109</v>
      </c>
    </row>
    <row r="6" spans="2:11" ht="31.5" customHeight="1" x14ac:dyDescent="0.25">
      <c r="B6" s="16"/>
      <c r="C6" s="50" t="s">
        <v>110</v>
      </c>
      <c r="D6" s="51" t="s">
        <v>111</v>
      </c>
      <c r="E6" s="247" t="s">
        <v>112</v>
      </c>
      <c r="F6" s="247" t="s">
        <v>249</v>
      </c>
      <c r="G6" s="16"/>
    </row>
    <row r="7" spans="2:11" ht="31.5" customHeight="1" x14ac:dyDescent="0.25">
      <c r="B7" s="248" t="s">
        <v>113</v>
      </c>
      <c r="C7" s="249">
        <v>0.02</v>
      </c>
      <c r="D7" s="250">
        <v>500000</v>
      </c>
      <c r="E7" s="251">
        <v>0.6</v>
      </c>
      <c r="F7" s="252">
        <f>C7*E7</f>
        <v>1.2E-2</v>
      </c>
      <c r="G7" s="248" t="s">
        <v>114</v>
      </c>
    </row>
    <row r="8" spans="2:11" ht="27" customHeight="1" x14ac:dyDescent="0.25">
      <c r="B8" s="16" t="s">
        <v>115</v>
      </c>
      <c r="C8" s="50">
        <v>2.5000000000000001E-2</v>
      </c>
      <c r="D8" s="51">
        <f>18671941*C8</f>
        <v>466798.52500000002</v>
      </c>
      <c r="E8" s="50">
        <f>18671941/96055094</f>
        <v>0.19438782705267041</v>
      </c>
      <c r="F8" s="9">
        <f>C8*E8</f>
        <v>4.8596956763167602E-3</v>
      </c>
      <c r="G8" s="16"/>
    </row>
    <row r="9" spans="2:11" ht="27" customHeight="1" x14ac:dyDescent="0.25">
      <c r="B9" s="16" t="s">
        <v>116</v>
      </c>
      <c r="C9" s="50">
        <v>0.04</v>
      </c>
      <c r="D9" s="51">
        <f>32924457*C9</f>
        <v>1316978.28</v>
      </c>
      <c r="E9" s="50">
        <f>32924457/96055094</f>
        <v>0.34276638155182065</v>
      </c>
      <c r="F9" s="9">
        <f t="shared" ref="F9:F15" si="0">C9*E9</f>
        <v>1.3710655262072826E-2</v>
      </c>
      <c r="G9" s="16"/>
    </row>
    <row r="10" spans="2:11" ht="27" customHeight="1" x14ac:dyDescent="0.25">
      <c r="B10" s="16" t="s">
        <v>47</v>
      </c>
      <c r="C10" s="50">
        <v>0.05</v>
      </c>
      <c r="D10" s="51">
        <f>C10*4346785</f>
        <v>217339.25</v>
      </c>
      <c r="E10" s="50">
        <f>4346785/96055094</f>
        <v>4.5253039885630633E-2</v>
      </c>
      <c r="F10" s="9">
        <f t="shared" si="0"/>
        <v>2.2626519942815317E-3</v>
      </c>
      <c r="G10" s="16"/>
    </row>
    <row r="11" spans="2:11" ht="27" customHeight="1" x14ac:dyDescent="0.25">
      <c r="B11" s="16" t="s">
        <v>117</v>
      </c>
      <c r="C11" s="50"/>
      <c r="D11" s="51"/>
      <c r="E11" s="50"/>
      <c r="F11" s="9">
        <f t="shared" si="0"/>
        <v>0</v>
      </c>
      <c r="G11" s="299"/>
      <c r="K11" s="300"/>
    </row>
    <row r="12" spans="2:11" ht="27" customHeight="1" x14ac:dyDescent="0.25">
      <c r="B12" s="16" t="s">
        <v>118</v>
      </c>
      <c r="C12" s="50"/>
      <c r="D12" s="51"/>
      <c r="E12" s="50"/>
      <c r="F12" s="9">
        <f t="shared" si="0"/>
        <v>0</v>
      </c>
      <c r="G12" s="16"/>
    </row>
    <row r="13" spans="2:11" ht="27" customHeight="1" x14ac:dyDescent="0.25">
      <c r="B13" s="309" t="s">
        <v>253</v>
      </c>
      <c r="C13" s="310"/>
      <c r="D13" s="311"/>
      <c r="E13" s="310"/>
      <c r="F13" s="9">
        <f t="shared" si="0"/>
        <v>0</v>
      </c>
      <c r="G13" s="16"/>
    </row>
    <row r="14" spans="2:11" ht="27" customHeight="1" x14ac:dyDescent="0.25">
      <c r="B14" s="30" t="s">
        <v>119</v>
      </c>
      <c r="C14" s="50"/>
      <c r="D14" s="51"/>
      <c r="E14" s="50"/>
      <c r="F14" s="9">
        <f t="shared" si="0"/>
        <v>0</v>
      </c>
      <c r="G14" s="16"/>
    </row>
    <row r="15" spans="2:11" ht="27" customHeight="1" x14ac:dyDescent="0.25">
      <c r="B15" s="30" t="s">
        <v>119</v>
      </c>
      <c r="C15" s="50">
        <v>0</v>
      </c>
      <c r="D15" s="51"/>
      <c r="E15" s="312">
        <f>1-SUM(E8:E14)</f>
        <v>0.41759275150987829</v>
      </c>
      <c r="F15" s="9">
        <f t="shared" si="0"/>
        <v>0</v>
      </c>
      <c r="G15" s="16"/>
    </row>
    <row r="16" spans="2:11" x14ac:dyDescent="0.25">
      <c r="B16" s="11" t="s">
        <v>18</v>
      </c>
      <c r="C16" s="79" t="s">
        <v>120</v>
      </c>
      <c r="D16" s="80">
        <f>SUM(D8:D15)</f>
        <v>2001116.0550000002</v>
      </c>
      <c r="E16" s="313">
        <f>SUM(E8:E15)</f>
        <v>1</v>
      </c>
      <c r="F16" s="313">
        <f>SUM(F8:F15)</f>
        <v>2.0833002932671121E-2</v>
      </c>
      <c r="G16" s="11"/>
    </row>
    <row r="17" spans="2:6" x14ac:dyDescent="0.25">
      <c r="B17" s="18"/>
      <c r="E17" t="s">
        <v>121</v>
      </c>
    </row>
    <row r="19" spans="2:6" x14ac:dyDescent="0.25">
      <c r="B19" s="360" t="s">
        <v>122</v>
      </c>
      <c r="C19" s="360"/>
      <c r="D19" s="360"/>
      <c r="E19" s="360"/>
      <c r="F19" s="256"/>
    </row>
    <row r="21" spans="2:6" x14ac:dyDescent="0.25">
      <c r="D21" s="51">
        <f>(99201176-96055094)-SUM(D14:D20)</f>
        <v>1144965.9449999998</v>
      </c>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80"/>
  <sheetViews>
    <sheetView showGridLines="0" topLeftCell="A11" zoomScale="50" zoomScaleNormal="50" zoomScaleSheetLayoutView="30" workbookViewId="0">
      <selection activeCell="C55" sqref="C55"/>
    </sheetView>
  </sheetViews>
  <sheetFormatPr defaultColWidth="9.140625" defaultRowHeight="15" outlineLevelRow="1" x14ac:dyDescent="0.25"/>
  <cols>
    <col min="1" max="1" width="1.5703125" style="200" customWidth="1"/>
    <col min="2" max="2" width="113.5703125" style="201" customWidth="1"/>
    <col min="3" max="3" width="59.85546875" style="201" customWidth="1"/>
    <col min="4" max="4" width="59.85546875" style="22" customWidth="1"/>
    <col min="5" max="16384" width="9.140625" style="22"/>
  </cols>
  <sheetData>
    <row r="1" spans="1:6" s="117" customFormat="1" x14ac:dyDescent="0.25">
      <c r="A1" s="116"/>
    </row>
    <row r="2" spans="1:6" s="1" customFormat="1" ht="31.5" x14ac:dyDescent="0.5">
      <c r="B2" s="376" t="s">
        <v>123</v>
      </c>
      <c r="C2" s="376"/>
      <c r="D2" s="376"/>
      <c r="E2" s="215"/>
      <c r="F2" s="215"/>
    </row>
    <row r="3" spans="1:6" s="1" customFormat="1" ht="31.5" x14ac:dyDescent="0.5">
      <c r="B3" s="373" t="s">
        <v>2</v>
      </c>
      <c r="C3" s="374"/>
      <c r="D3" s="375"/>
      <c r="E3" s="119"/>
      <c r="F3" s="119"/>
    </row>
    <row r="4" spans="1:6" s="1" customFormat="1" ht="31.5" x14ac:dyDescent="0.5">
      <c r="B4" s="377" t="s">
        <v>124</v>
      </c>
      <c r="C4" s="378"/>
      <c r="D4" s="379"/>
    </row>
    <row r="5" spans="1:6" s="63" customFormat="1" ht="18.75" x14ac:dyDescent="0.3">
      <c r="B5" s="214"/>
      <c r="C5" s="214"/>
      <c r="D5" s="214"/>
      <c r="E5" s="214"/>
      <c r="F5" s="214"/>
    </row>
    <row r="6" spans="1:6" s="63" customFormat="1" ht="18.75" x14ac:dyDescent="0.3">
      <c r="B6" s="214"/>
      <c r="C6" s="214"/>
      <c r="D6" s="214"/>
      <c r="E6" s="214"/>
      <c r="F6" s="214"/>
    </row>
    <row r="7" spans="1:6" s="119" customFormat="1" ht="31.5" x14ac:dyDescent="0.5">
      <c r="A7" s="118"/>
      <c r="B7" s="368" t="s">
        <v>125</v>
      </c>
      <c r="C7" s="369"/>
      <c r="D7" s="370"/>
    </row>
    <row r="8" spans="1:6" s="123" customFormat="1" ht="31.5" x14ac:dyDescent="0.5">
      <c r="A8" s="120"/>
      <c r="B8" s="121"/>
      <c r="C8" s="207"/>
      <c r="D8" s="122"/>
    </row>
    <row r="9" spans="1:6" s="119" customFormat="1" ht="48" customHeight="1" x14ac:dyDescent="0.5">
      <c r="A9" s="118"/>
      <c r="B9" s="124" t="s">
        <v>126</v>
      </c>
      <c r="C9" s="208"/>
      <c r="D9" s="210"/>
    </row>
    <row r="10" spans="1:6" s="126" customFormat="1" ht="15.75" customHeight="1" x14ac:dyDescent="0.4">
      <c r="A10" s="125"/>
      <c r="B10" s="371"/>
      <c r="C10" s="372"/>
      <c r="D10" s="372"/>
    </row>
    <row r="11" spans="1:6" s="126" customFormat="1" ht="24.75" customHeight="1" x14ac:dyDescent="0.4">
      <c r="A11" s="125"/>
      <c r="B11" s="257"/>
      <c r="C11" s="258"/>
      <c r="D11" s="258"/>
    </row>
    <row r="12" spans="1:6" s="130" customFormat="1" ht="11.25" customHeight="1" x14ac:dyDescent="0.4">
      <c r="A12" s="127"/>
      <c r="B12" s="128"/>
      <c r="C12" s="209"/>
      <c r="D12" s="129"/>
    </row>
    <row r="13" spans="1:6" s="135" customFormat="1" ht="104.25" customHeight="1" x14ac:dyDescent="0.25">
      <c r="A13" s="131"/>
      <c r="B13" s="132" t="s">
        <v>127</v>
      </c>
      <c r="C13" s="133" t="s">
        <v>128</v>
      </c>
      <c r="D13" s="133" t="s">
        <v>129</v>
      </c>
      <c r="E13" s="134"/>
    </row>
    <row r="14" spans="1:6" s="123" customFormat="1" ht="31.5" x14ac:dyDescent="0.5">
      <c r="A14" s="136"/>
      <c r="B14" s="137" t="s">
        <v>130</v>
      </c>
      <c r="C14" s="138"/>
      <c r="D14" s="139"/>
    </row>
    <row r="15" spans="1:6" s="119" customFormat="1" ht="30" hidden="1" customHeight="1" x14ac:dyDescent="0.5">
      <c r="A15" s="140"/>
      <c r="B15" s="141" t="s">
        <v>131</v>
      </c>
      <c r="C15" s="142"/>
      <c r="D15" s="143"/>
      <c r="E15" s="144"/>
    </row>
    <row r="16" spans="1:6" s="123" customFormat="1" ht="30" hidden="1" customHeight="1" x14ac:dyDescent="0.5">
      <c r="A16" s="136"/>
      <c r="B16" s="145" t="s">
        <v>132</v>
      </c>
      <c r="C16" s="146"/>
      <c r="D16" s="147"/>
      <c r="E16" s="148"/>
    </row>
    <row r="17" spans="1:5" s="123" customFormat="1" ht="30" hidden="1" customHeight="1" x14ac:dyDescent="0.5">
      <c r="A17" s="136"/>
      <c r="B17" s="149" t="s">
        <v>133</v>
      </c>
      <c r="C17" s="146"/>
      <c r="D17" s="147"/>
      <c r="E17" s="148"/>
    </row>
    <row r="18" spans="1:5" s="123" customFormat="1" ht="30" hidden="1" customHeight="1" x14ac:dyDescent="0.5">
      <c r="A18" s="136"/>
      <c r="B18" s="145" t="s">
        <v>134</v>
      </c>
      <c r="C18" s="146"/>
      <c r="D18" s="147"/>
      <c r="E18" s="148"/>
    </row>
    <row r="19" spans="1:5" s="123" customFormat="1" ht="30" hidden="1" customHeight="1" x14ac:dyDescent="0.5">
      <c r="A19" s="136"/>
      <c r="B19" s="145" t="s">
        <v>135</v>
      </c>
      <c r="C19" s="146"/>
      <c r="D19" s="147"/>
      <c r="E19" s="148"/>
    </row>
    <row r="20" spans="1:5" s="123" customFormat="1" ht="30" hidden="1" customHeight="1" x14ac:dyDescent="0.5">
      <c r="A20" s="136"/>
      <c r="B20" s="145" t="s">
        <v>136</v>
      </c>
      <c r="C20" s="146"/>
      <c r="D20" s="147"/>
      <c r="E20" s="148"/>
    </row>
    <row r="21" spans="1:5" s="119" customFormat="1" ht="30" customHeight="1" x14ac:dyDescent="0.5">
      <c r="A21" s="140"/>
      <c r="B21" s="150" t="s">
        <v>137</v>
      </c>
      <c r="C21" s="151">
        <f>+((1800*135)*0.35)+(240000*0.35)</f>
        <v>169050</v>
      </c>
      <c r="D21" s="151"/>
      <c r="E21" s="144"/>
    </row>
    <row r="22" spans="1:5" s="123" customFormat="1" ht="30" customHeight="1" x14ac:dyDescent="0.5">
      <c r="A22" s="136"/>
      <c r="B22" s="152" t="s">
        <v>138</v>
      </c>
      <c r="C22" s="151"/>
      <c r="D22" s="153"/>
      <c r="E22" s="144"/>
    </row>
    <row r="23" spans="1:5" s="119" customFormat="1" ht="30" customHeight="1" x14ac:dyDescent="0.5">
      <c r="A23" s="140"/>
      <c r="B23" s="137" t="s">
        <v>139</v>
      </c>
      <c r="C23" s="154">
        <f>SUM(C21:C22)</f>
        <v>169050</v>
      </c>
      <c r="D23" s="154">
        <f>SUM(D21:D22)</f>
        <v>0</v>
      </c>
      <c r="E23" s="144"/>
    </row>
    <row r="24" spans="1:5" s="160" customFormat="1" ht="15" customHeight="1" x14ac:dyDescent="0.5">
      <c r="A24" s="155"/>
      <c r="B24" s="156"/>
      <c r="C24" s="157"/>
      <c r="D24" s="158"/>
      <c r="E24" s="159"/>
    </row>
    <row r="25" spans="1:5" s="160" customFormat="1" ht="30" customHeight="1" x14ac:dyDescent="0.5">
      <c r="A25" s="155"/>
      <c r="B25" s="161" t="s">
        <v>140</v>
      </c>
      <c r="C25" s="157"/>
      <c r="D25" s="158"/>
      <c r="E25" s="159"/>
    </row>
    <row r="26" spans="1:5" s="160" customFormat="1" ht="30" customHeight="1" x14ac:dyDescent="0.5">
      <c r="A26" s="155"/>
      <c r="B26" s="162" t="s">
        <v>80</v>
      </c>
      <c r="C26" s="157">
        <v>579000</v>
      </c>
      <c r="D26" s="158"/>
      <c r="E26" s="159"/>
    </row>
    <row r="27" spans="1:5" s="119" customFormat="1" ht="30" customHeight="1" x14ac:dyDescent="0.5">
      <c r="A27" s="140"/>
      <c r="B27" s="163" t="s">
        <v>141</v>
      </c>
      <c r="C27" s="142">
        <f>SUM(C24:C26)</f>
        <v>579000</v>
      </c>
      <c r="D27" s="142">
        <f>SUM(D24:D26)</f>
        <v>0</v>
      </c>
      <c r="E27" s="144"/>
    </row>
    <row r="28" spans="1:5" s="123" customFormat="1" ht="30" customHeight="1" x14ac:dyDescent="0.5">
      <c r="A28" s="136"/>
      <c r="B28" s="164" t="s">
        <v>142</v>
      </c>
      <c r="C28" s="165">
        <f>C23+C27</f>
        <v>748050</v>
      </c>
      <c r="D28" s="165">
        <f>D23+D27</f>
        <v>0</v>
      </c>
      <c r="E28" s="144"/>
    </row>
    <row r="29" spans="1:5" s="160" customFormat="1" ht="27" hidden="1" customHeight="1" x14ac:dyDescent="0.5">
      <c r="A29" s="155"/>
      <c r="B29" s="166" t="s">
        <v>37</v>
      </c>
      <c r="C29" s="167"/>
      <c r="D29" s="168"/>
      <c r="E29" s="169"/>
    </row>
    <row r="30" spans="1:5" s="123" customFormat="1" ht="30" hidden="1" customHeight="1" x14ac:dyDescent="0.5">
      <c r="A30" s="136"/>
      <c r="B30" s="170" t="s">
        <v>143</v>
      </c>
      <c r="C30" s="157"/>
      <c r="D30" s="147"/>
    </row>
    <row r="31" spans="1:5" s="123" customFormat="1" ht="30" hidden="1" customHeight="1" x14ac:dyDescent="0.5">
      <c r="A31" s="136"/>
      <c r="B31" s="171" t="s">
        <v>144</v>
      </c>
      <c r="C31" s="157"/>
      <c r="D31" s="147"/>
    </row>
    <row r="32" spans="1:5" s="123" customFormat="1" ht="30" hidden="1" customHeight="1" x14ac:dyDescent="0.5">
      <c r="A32" s="136"/>
      <c r="B32" s="171" t="s">
        <v>48</v>
      </c>
      <c r="C32" s="157"/>
      <c r="D32" s="147"/>
    </row>
    <row r="33" spans="1:5" s="123" customFormat="1" ht="30" hidden="1" customHeight="1" x14ac:dyDescent="0.5">
      <c r="A33" s="136"/>
      <c r="B33" s="171" t="s">
        <v>145</v>
      </c>
      <c r="C33" s="157"/>
      <c r="D33" s="147"/>
    </row>
    <row r="34" spans="1:5" s="123" customFormat="1" ht="30" hidden="1" customHeight="1" x14ac:dyDescent="0.5">
      <c r="A34" s="136"/>
      <c r="B34" s="171" t="s">
        <v>146</v>
      </c>
      <c r="C34" s="157"/>
      <c r="D34" s="147"/>
    </row>
    <row r="35" spans="1:5" s="123" customFormat="1" ht="30" hidden="1" customHeight="1" x14ac:dyDescent="0.5">
      <c r="A35" s="136"/>
      <c r="B35" s="172" t="s">
        <v>147</v>
      </c>
      <c r="C35" s="157"/>
      <c r="D35" s="147"/>
    </row>
    <row r="36" spans="1:5" s="123" customFormat="1" ht="30" customHeight="1" x14ac:dyDescent="0.5">
      <c r="A36" s="136"/>
      <c r="B36" s="173" t="s">
        <v>148</v>
      </c>
      <c r="C36" s="151">
        <f>322500+500000</f>
        <v>822500</v>
      </c>
      <c r="D36" s="151"/>
      <c r="E36" s="144"/>
    </row>
    <row r="37" spans="1:5" s="123" customFormat="1" ht="7.9" customHeight="1" x14ac:dyDescent="0.5">
      <c r="A37" s="136"/>
      <c r="B37" s="174"/>
      <c r="C37" s="175"/>
      <c r="D37" s="176"/>
    </row>
    <row r="38" spans="1:5" s="123" customFormat="1" ht="30" customHeight="1" x14ac:dyDescent="0.5">
      <c r="A38" s="136"/>
      <c r="B38" s="164" t="s">
        <v>149</v>
      </c>
      <c r="C38" s="165">
        <f>C28-C36</f>
        <v>-74450</v>
      </c>
      <c r="D38" s="165">
        <f>D28-D36</f>
        <v>0</v>
      </c>
      <c r="E38" s="144"/>
    </row>
    <row r="39" spans="1:5" s="180" customFormat="1" ht="30" customHeight="1" x14ac:dyDescent="0.5">
      <c r="A39" s="177"/>
      <c r="B39" s="178"/>
      <c r="C39" s="179"/>
      <c r="D39" s="176"/>
      <c r="E39" s="144"/>
    </row>
    <row r="40" spans="1:5" s="119" customFormat="1" ht="30" customHeight="1" x14ac:dyDescent="0.5">
      <c r="A40" s="140"/>
      <c r="B40" s="181" t="s">
        <v>150</v>
      </c>
      <c r="C40" s="182"/>
      <c r="D40" s="147"/>
      <c r="E40" s="144"/>
    </row>
    <row r="41" spans="1:5" s="180" customFormat="1" ht="30" customHeight="1" x14ac:dyDescent="0.5">
      <c r="A41" s="177"/>
      <c r="B41" s="178"/>
      <c r="C41" s="179"/>
      <c r="D41" s="176"/>
      <c r="E41" s="144"/>
    </row>
    <row r="42" spans="1:5" s="123" customFormat="1" ht="30" customHeight="1" thickBot="1" x14ac:dyDescent="0.55000000000000004">
      <c r="A42" s="136"/>
      <c r="B42" s="183" t="s">
        <v>151</v>
      </c>
      <c r="C42" s="184">
        <f>C38+C40</f>
        <v>-74450</v>
      </c>
      <c r="D42" s="184">
        <f>D38+D40</f>
        <v>0</v>
      </c>
      <c r="E42" s="144"/>
    </row>
    <row r="43" spans="1:5" s="123" customFormat="1" ht="30" customHeight="1" thickTop="1" x14ac:dyDescent="0.5">
      <c r="A43" s="136"/>
      <c r="B43" s="185"/>
      <c r="C43" s="186"/>
      <c r="D43" s="187"/>
      <c r="E43" s="144"/>
    </row>
    <row r="44" spans="1:5" s="123" customFormat="1" ht="30" customHeight="1" outlineLevel="1" x14ac:dyDescent="0.5">
      <c r="A44" s="136"/>
      <c r="B44" s="188" t="s">
        <v>152</v>
      </c>
      <c r="C44" s="189"/>
      <c r="D44" s="190"/>
      <c r="E44" s="144"/>
    </row>
    <row r="45" spans="1:5" s="119" customFormat="1" ht="30" customHeight="1" outlineLevel="1" x14ac:dyDescent="0.5">
      <c r="A45" s="140"/>
      <c r="B45" s="191" t="s">
        <v>153</v>
      </c>
      <c r="C45" s="192">
        <f t="shared" ref="C45" si="0">C38/C28</f>
        <v>-9.9525432791925675E-2</v>
      </c>
      <c r="D45" s="193" t="e">
        <f t="shared" ref="D45" si="1">D38/D28</f>
        <v>#DIV/0!</v>
      </c>
      <c r="E45" s="144"/>
    </row>
    <row r="46" spans="1:5" s="198" customFormat="1" ht="30" customHeight="1" outlineLevel="1" thickBot="1" x14ac:dyDescent="0.55000000000000004">
      <c r="A46" s="194"/>
      <c r="B46" s="195" t="s">
        <v>154</v>
      </c>
      <c r="C46" s="196">
        <f t="shared" ref="C46" si="2">C42/(C28+C40)</f>
        <v>-9.9525432791925675E-2</v>
      </c>
      <c r="D46" s="197" t="e">
        <f t="shared" ref="D46" si="3">D42/(D28+D40)</f>
        <v>#DIV/0!</v>
      </c>
    </row>
    <row r="47" spans="1:5" s="123" customFormat="1" ht="30" customHeight="1" x14ac:dyDescent="0.5">
      <c r="A47" s="120"/>
      <c r="B47" s="199"/>
      <c r="C47" s="199"/>
    </row>
    <row r="48" spans="1:5" s="123" customFormat="1" ht="30" customHeight="1" x14ac:dyDescent="0.5">
      <c r="A48" s="120"/>
      <c r="B48" s="199"/>
      <c r="C48" s="199"/>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0" customFormat="1" ht="30" customHeight="1" x14ac:dyDescent="0.25">
      <c r="B54" s="201"/>
      <c r="C54" s="201"/>
      <c r="D54" s="22"/>
      <c r="E54" s="22"/>
    </row>
    <row r="55" spans="2:5" s="200" customFormat="1" ht="30" customHeight="1" x14ac:dyDescent="0.25">
      <c r="B55" s="201"/>
      <c r="C55" s="201"/>
      <c r="D55" s="22"/>
      <c r="E55" s="22"/>
    </row>
    <row r="56" spans="2:5" s="200" customFormat="1" ht="30" customHeight="1" x14ac:dyDescent="0.25">
      <c r="B56" s="201"/>
      <c r="C56" s="201"/>
      <c r="D56" s="22"/>
      <c r="E56" s="22"/>
    </row>
    <row r="57" spans="2:5" s="200" customFormat="1" ht="30" customHeight="1" x14ac:dyDescent="0.25">
      <c r="B57" s="201"/>
      <c r="C57" s="201"/>
      <c r="D57" s="22"/>
      <c r="E57" s="22"/>
    </row>
    <row r="58" spans="2:5" s="200" customFormat="1" ht="30" customHeight="1" x14ac:dyDescent="0.25">
      <c r="B58" s="201"/>
      <c r="C58" s="201"/>
      <c r="D58" s="22"/>
      <c r="E58" s="22"/>
    </row>
    <row r="59" spans="2:5" s="200" customFormat="1" ht="30" customHeight="1" x14ac:dyDescent="0.25">
      <c r="B59" s="201"/>
      <c r="C59" s="201"/>
      <c r="D59" s="22"/>
      <c r="E59" s="22"/>
    </row>
    <row r="60" spans="2:5" s="200" customFormat="1" ht="30" customHeight="1" x14ac:dyDescent="0.25">
      <c r="B60" s="201"/>
      <c r="C60" s="201"/>
      <c r="D60" s="22"/>
      <c r="E60" s="22"/>
    </row>
    <row r="61" spans="2:5" s="200" customFormat="1" ht="30" customHeight="1" x14ac:dyDescent="0.25">
      <c r="B61" s="201"/>
      <c r="C61" s="201"/>
      <c r="D61" s="22"/>
      <c r="E61" s="22"/>
    </row>
    <row r="62" spans="2:5" s="200" customFormat="1" ht="30" customHeight="1" x14ac:dyDescent="0.25">
      <c r="B62" s="201"/>
      <c r="C62" s="201"/>
      <c r="D62" s="22"/>
      <c r="E62" s="22"/>
    </row>
    <row r="63" spans="2:5" s="200" customFormat="1" ht="30" customHeight="1" x14ac:dyDescent="0.25">
      <c r="B63" s="201"/>
      <c r="C63" s="201"/>
      <c r="D63" s="22"/>
      <c r="E63" s="22"/>
    </row>
    <row r="64" spans="2:5" s="200" customFormat="1" ht="30" customHeight="1" x14ac:dyDescent="0.25">
      <c r="B64" s="201"/>
      <c r="C64" s="201"/>
      <c r="D64" s="22"/>
      <c r="E64" s="22"/>
    </row>
    <row r="65" spans="1:5" s="200" customFormat="1" ht="30" customHeight="1" x14ac:dyDescent="0.25">
      <c r="B65" s="201"/>
      <c r="C65" s="201"/>
      <c r="D65" s="22"/>
      <c r="E65" s="22"/>
    </row>
    <row r="66" spans="1:5" s="200" customFormat="1" ht="30" customHeight="1" x14ac:dyDescent="0.25">
      <c r="B66" s="201"/>
      <c r="C66" s="201"/>
      <c r="D66" s="22"/>
      <c r="E66" s="22"/>
    </row>
    <row r="67" spans="1:5" s="200" customFormat="1" ht="30" customHeight="1" x14ac:dyDescent="0.25">
      <c r="B67" s="201"/>
      <c r="C67" s="201"/>
      <c r="D67" s="22"/>
      <c r="E67" s="22"/>
    </row>
    <row r="68" spans="1:5" s="200" customFormat="1" ht="30" customHeight="1" x14ac:dyDescent="0.25">
      <c r="B68" s="201"/>
      <c r="C68" s="201"/>
      <c r="D68" s="22"/>
      <c r="E68" s="22"/>
    </row>
    <row r="69" spans="1:5" s="200" customFormat="1" ht="30" customHeight="1" x14ac:dyDescent="0.25">
      <c r="B69" s="201"/>
      <c r="C69" s="201"/>
      <c r="D69" s="22"/>
      <c r="E69" s="22"/>
    </row>
    <row r="70" spans="1:5" ht="30" customHeight="1" x14ac:dyDescent="0.25"/>
    <row r="71" spans="1:5" ht="30" customHeight="1" x14ac:dyDescent="0.25"/>
    <row r="72" spans="1:5" ht="30" customHeight="1" x14ac:dyDescent="0.25"/>
    <row r="73" spans="1:5" ht="30" customHeight="1" x14ac:dyDescent="0.25"/>
    <row r="79" spans="1:5" s="205" customFormat="1" x14ac:dyDescent="0.25">
      <c r="A79" s="202"/>
      <c r="B79" s="203" t="s">
        <v>155</v>
      </c>
      <c r="C79" s="203"/>
      <c r="D79" s="204"/>
    </row>
    <row r="80" spans="1:5" x14ac:dyDescent="0.25">
      <c r="B80" s="206"/>
      <c r="C80" s="206"/>
      <c r="D80" s="205"/>
    </row>
  </sheetData>
  <mergeCells count="5">
    <mergeCell ref="B7:D7"/>
    <mergeCell ref="B10:D10"/>
    <mergeCell ref="B3:D3"/>
    <mergeCell ref="B2:D2"/>
    <mergeCell ref="B4:D4"/>
  </mergeCells>
  <pageMargins left="0.45" right="0.45" top="0.25" bottom="0.5" header="0.3" footer="0.3"/>
  <pageSetup scale="59"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B1:F16"/>
  <sheetViews>
    <sheetView showGridLines="0" workbookViewId="0">
      <selection activeCell="C27" sqref="C27"/>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11" customFormat="1" x14ac:dyDescent="0.25">
      <c r="B1" s="112"/>
      <c r="C1" s="112"/>
      <c r="D1" s="112"/>
      <c r="E1" s="112"/>
      <c r="F1" s="112"/>
    </row>
    <row r="2" spans="2:6" ht="15.75" x14ac:dyDescent="0.25">
      <c r="B2" s="381" t="s">
        <v>156</v>
      </c>
      <c r="C2" s="381"/>
      <c r="D2" s="381"/>
      <c r="E2" s="381"/>
      <c r="F2" s="381"/>
    </row>
    <row r="3" spans="2:6" ht="18.75" x14ac:dyDescent="0.3">
      <c r="B3" s="382" t="s">
        <v>2</v>
      </c>
      <c r="C3" s="383"/>
      <c r="D3" s="383"/>
      <c r="E3" s="383"/>
      <c r="F3" s="384"/>
    </row>
    <row r="4" spans="2:6" ht="18.75" x14ac:dyDescent="0.3">
      <c r="B4" s="355" t="s">
        <v>157</v>
      </c>
      <c r="C4" s="356"/>
      <c r="D4" s="356"/>
      <c r="E4" s="356"/>
      <c r="F4" s="357"/>
    </row>
    <row r="5" spans="2:6" ht="15.75" x14ac:dyDescent="0.25">
      <c r="B5" s="31"/>
      <c r="C5" s="31"/>
      <c r="D5" s="31"/>
      <c r="E5" s="31"/>
      <c r="F5" s="31"/>
    </row>
    <row r="6" spans="2:6" ht="28.5" customHeight="1" x14ac:dyDescent="0.25">
      <c r="B6" s="380" t="s">
        <v>158</v>
      </c>
      <c r="C6" s="380"/>
      <c r="D6" s="380"/>
      <c r="E6" s="380"/>
      <c r="F6" s="380"/>
    </row>
    <row r="7" spans="2:6" ht="15.75" x14ac:dyDescent="0.25">
      <c r="B7" s="31"/>
      <c r="C7" s="31"/>
      <c r="D7" s="31"/>
      <c r="E7" s="31"/>
      <c r="F7" s="31"/>
    </row>
    <row r="8" spans="2:6" ht="48" customHeight="1" x14ac:dyDescent="0.25">
      <c r="B8" s="32" t="s">
        <v>159</v>
      </c>
      <c r="C8" s="33" t="s">
        <v>160</v>
      </c>
      <c r="D8" s="33" t="s">
        <v>161</v>
      </c>
      <c r="E8" s="33" t="s">
        <v>162</v>
      </c>
      <c r="F8" s="34" t="s">
        <v>163</v>
      </c>
    </row>
    <row r="9" spans="2:6" ht="25.5" customHeight="1" x14ac:dyDescent="0.25">
      <c r="B9" s="35"/>
      <c r="C9" s="36" t="s">
        <v>164</v>
      </c>
      <c r="D9" s="36" t="s">
        <v>165</v>
      </c>
      <c r="E9" s="36" t="s">
        <v>165</v>
      </c>
      <c r="F9" s="37" t="s">
        <v>166</v>
      </c>
    </row>
    <row r="10" spans="2:6" ht="24" customHeight="1" x14ac:dyDescent="0.25">
      <c r="B10" s="38" t="s">
        <v>167</v>
      </c>
      <c r="C10" s="39" t="s">
        <v>250</v>
      </c>
      <c r="D10" s="39">
        <f>1369+3580</f>
        <v>4949</v>
      </c>
      <c r="E10" s="285">
        <v>332983</v>
      </c>
      <c r="F10" s="40"/>
    </row>
    <row r="11" spans="2:6" ht="15.75" x14ac:dyDescent="0.25">
      <c r="B11" s="38" t="s">
        <v>168</v>
      </c>
      <c r="C11" s="39" t="s">
        <v>250</v>
      </c>
      <c r="D11" s="39">
        <v>3453</v>
      </c>
      <c r="E11" s="285">
        <v>812447</v>
      </c>
      <c r="F11" s="40"/>
    </row>
    <row r="12" spans="2:6" ht="15.75" x14ac:dyDescent="0.25">
      <c r="B12" s="38" t="s">
        <v>242</v>
      </c>
      <c r="C12" s="39" t="s">
        <v>250</v>
      </c>
      <c r="D12" s="39">
        <f>391+875+344</f>
        <v>1610</v>
      </c>
      <c r="E12" s="39">
        <v>0</v>
      </c>
      <c r="F12" s="40"/>
    </row>
    <row r="13" spans="2:6" ht="15.75" x14ac:dyDescent="0.25">
      <c r="B13" s="38" t="s">
        <v>169</v>
      </c>
      <c r="C13" s="39" t="s">
        <v>251</v>
      </c>
      <c r="D13" s="39"/>
      <c r="E13" s="39">
        <v>0</v>
      </c>
      <c r="F13" s="40"/>
    </row>
    <row r="14" spans="2:6" ht="15.75" x14ac:dyDescent="0.25">
      <c r="B14" s="38" t="s">
        <v>170</v>
      </c>
      <c r="C14" s="41"/>
      <c r="D14" s="39">
        <f>SUM(D10:D13)</f>
        <v>10012</v>
      </c>
      <c r="E14" s="285">
        <f>SUM(E10:E13)</f>
        <v>1145430</v>
      </c>
      <c r="F14" s="40"/>
    </row>
    <row r="15" spans="2:6" ht="15.75" x14ac:dyDescent="0.25">
      <c r="B15" s="31"/>
    </row>
    <row r="16" spans="2:6" ht="15.75" x14ac:dyDescent="0.25">
      <c r="B16" s="43"/>
      <c r="E16" s="44"/>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B2:L24"/>
  <sheetViews>
    <sheetView showGridLines="0" zoomScale="94" zoomScaleNormal="100" zoomScaleSheetLayoutView="55" workbookViewId="0">
      <selection activeCell="D9" sqref="D9"/>
    </sheetView>
  </sheetViews>
  <sheetFormatPr defaultColWidth="9.140625" defaultRowHeight="15" customHeight="1" x14ac:dyDescent="0.25"/>
  <cols>
    <col min="1" max="1" width="3.5703125" style="109" customWidth="1"/>
    <col min="2" max="2" width="39.7109375" style="109" customWidth="1"/>
    <col min="3" max="3" width="24" style="109" customWidth="1"/>
    <col min="4" max="12" width="22.7109375" style="109" customWidth="1"/>
    <col min="13" max="16384" width="9.140625" style="109"/>
  </cols>
  <sheetData>
    <row r="2" spans="2:12" s="1" customFormat="1" ht="15.75" x14ac:dyDescent="0.25">
      <c r="B2" s="381" t="s">
        <v>171</v>
      </c>
      <c r="C2" s="381"/>
      <c r="D2" s="381"/>
      <c r="E2" s="381"/>
      <c r="F2" s="381"/>
      <c r="G2" s="381"/>
      <c r="H2" s="381"/>
      <c r="I2" s="381"/>
      <c r="J2" s="381"/>
      <c r="K2" s="381"/>
      <c r="L2" s="381"/>
    </row>
    <row r="3" spans="2:12" s="1" customFormat="1" ht="18.75" x14ac:dyDescent="0.3">
      <c r="B3" s="382" t="s">
        <v>172</v>
      </c>
      <c r="C3" s="383"/>
      <c r="D3" s="383"/>
      <c r="E3" s="383"/>
      <c r="F3" s="383"/>
      <c r="G3" s="383"/>
      <c r="H3" s="383"/>
      <c r="I3" s="383"/>
      <c r="J3" s="383"/>
      <c r="K3" s="383"/>
      <c r="L3" s="384"/>
    </row>
    <row r="4" spans="2:12" s="1" customFormat="1" ht="18.75" x14ac:dyDescent="0.3">
      <c r="B4" s="355" t="s">
        <v>173</v>
      </c>
      <c r="C4" s="356"/>
      <c r="D4" s="356"/>
      <c r="E4" s="356"/>
      <c r="F4" s="356"/>
      <c r="G4" s="356"/>
      <c r="H4" s="356"/>
      <c r="I4" s="356"/>
      <c r="J4" s="356"/>
      <c r="K4" s="356"/>
      <c r="L4" s="357"/>
    </row>
    <row r="5" spans="2:12" s="111" customFormat="1" ht="18.75" x14ac:dyDescent="0.3">
      <c r="B5" s="254"/>
      <c r="C5" s="254"/>
      <c r="D5" s="254"/>
      <c r="E5" s="254"/>
      <c r="F5" s="254"/>
      <c r="G5" s="254"/>
      <c r="H5" s="254"/>
      <c r="I5" s="254"/>
      <c r="J5" s="254"/>
      <c r="K5" s="254"/>
      <c r="L5" s="254"/>
    </row>
    <row r="6" spans="2:12" s="111" customFormat="1" ht="18.75" customHeight="1" x14ac:dyDescent="0.25">
      <c r="B6" s="387" t="s">
        <v>174</v>
      </c>
      <c r="C6" s="387"/>
      <c r="D6" s="387"/>
      <c r="E6" s="387"/>
      <c r="F6" s="387"/>
      <c r="G6" s="387"/>
      <c r="H6" s="387"/>
      <c r="I6" s="387"/>
      <c r="J6" s="387"/>
      <c r="K6" s="387"/>
      <c r="L6" s="387"/>
    </row>
    <row r="7" spans="2:12" s="111" customFormat="1" ht="18.75" customHeight="1" x14ac:dyDescent="0.25">
      <c r="B7" s="387"/>
      <c r="C7" s="387"/>
      <c r="D7" s="387"/>
      <c r="E7" s="387"/>
      <c r="F7" s="387"/>
      <c r="G7" s="387"/>
      <c r="H7" s="387"/>
      <c r="I7" s="387"/>
      <c r="J7" s="387"/>
      <c r="K7" s="387"/>
      <c r="L7" s="387"/>
    </row>
    <row r="8" spans="2:12" s="111" customFormat="1" ht="18.75" x14ac:dyDescent="0.3">
      <c r="B8" s="110"/>
      <c r="C8" s="110"/>
      <c r="D8" s="110"/>
      <c r="E8" s="110"/>
      <c r="F8" s="110"/>
      <c r="G8" s="110"/>
      <c r="H8" s="110"/>
    </row>
    <row r="9" spans="2:12" s="259" customFormat="1" x14ac:dyDescent="0.25">
      <c r="B9" s="260"/>
      <c r="D9" s="260"/>
      <c r="E9" s="260"/>
      <c r="F9" s="260"/>
      <c r="G9" s="260"/>
      <c r="H9" s="260"/>
      <c r="I9" s="261"/>
      <c r="J9" s="261"/>
      <c r="K9" s="261"/>
      <c r="L9" s="261"/>
    </row>
    <row r="10" spans="2:12" s="253" customFormat="1" ht="15" customHeight="1" x14ac:dyDescent="0.25">
      <c r="B10" s="385" t="s">
        <v>175</v>
      </c>
      <c r="C10" s="279" t="s">
        <v>176</v>
      </c>
      <c r="D10" s="273" t="s">
        <v>176</v>
      </c>
      <c r="E10" s="274" t="s">
        <v>177</v>
      </c>
      <c r="F10" s="275" t="s">
        <v>178</v>
      </c>
      <c r="G10" s="273" t="s">
        <v>176</v>
      </c>
      <c r="H10" s="274" t="s">
        <v>177</v>
      </c>
      <c r="I10" s="275" t="s">
        <v>178</v>
      </c>
      <c r="J10" s="273" t="s">
        <v>176</v>
      </c>
      <c r="K10" s="274" t="s">
        <v>177</v>
      </c>
      <c r="L10" s="275" t="s">
        <v>178</v>
      </c>
    </row>
    <row r="11" spans="2:12" s="253" customFormat="1" ht="15" customHeight="1" x14ac:dyDescent="0.25">
      <c r="B11" s="386"/>
      <c r="C11" s="278" t="s">
        <v>220</v>
      </c>
      <c r="D11" s="388" t="s">
        <v>179</v>
      </c>
      <c r="E11" s="389"/>
      <c r="F11" s="390"/>
      <c r="G11" s="388" t="s">
        <v>180</v>
      </c>
      <c r="H11" s="389"/>
      <c r="I11" s="390"/>
      <c r="J11" s="388" t="s">
        <v>181</v>
      </c>
      <c r="K11" s="389"/>
      <c r="L11" s="390"/>
    </row>
    <row r="12" spans="2:12" ht="15" customHeight="1" x14ac:dyDescent="0.25">
      <c r="B12" s="262" t="s">
        <v>182</v>
      </c>
      <c r="C12" s="276">
        <f>+D12+G12+J12</f>
        <v>11407617</v>
      </c>
      <c r="D12" s="263">
        <v>11407617</v>
      </c>
      <c r="E12" s="264">
        <v>11407617</v>
      </c>
      <c r="F12" s="265"/>
      <c r="G12" s="263"/>
      <c r="H12" s="264"/>
      <c r="I12" s="265"/>
      <c r="J12" s="263"/>
      <c r="K12" s="264"/>
      <c r="L12" s="265"/>
    </row>
    <row r="13" spans="2:12" ht="15" customHeight="1" x14ac:dyDescent="0.25">
      <c r="B13" s="262" t="s">
        <v>183</v>
      </c>
      <c r="C13" s="276">
        <f t="shared" ref="C13:C22" si="0">+D13+G13+J13</f>
        <v>6295839</v>
      </c>
      <c r="D13" s="263">
        <v>6295839</v>
      </c>
      <c r="E13" s="264"/>
      <c r="F13" s="265">
        <v>6295839</v>
      </c>
      <c r="G13" s="263"/>
      <c r="H13" s="264"/>
      <c r="I13" s="265"/>
      <c r="J13" s="263"/>
      <c r="K13" s="264"/>
      <c r="L13" s="265"/>
    </row>
    <row r="14" spans="2:12" ht="15" customHeight="1" x14ac:dyDescent="0.25">
      <c r="B14" s="262" t="s">
        <v>184</v>
      </c>
      <c r="C14" s="276">
        <f t="shared" si="0"/>
        <v>0</v>
      </c>
      <c r="D14" s="263"/>
      <c r="E14" s="264"/>
      <c r="F14" s="265"/>
      <c r="G14" s="263"/>
      <c r="H14" s="264"/>
      <c r="I14" s="265"/>
      <c r="J14" s="263"/>
      <c r="K14" s="264"/>
      <c r="L14" s="265"/>
    </row>
    <row r="15" spans="2:12" ht="15" customHeight="1" x14ac:dyDescent="0.25">
      <c r="B15" s="262" t="s">
        <v>185</v>
      </c>
      <c r="C15" s="276">
        <f t="shared" si="0"/>
        <v>1051631</v>
      </c>
      <c r="D15" s="263">
        <v>1051631</v>
      </c>
      <c r="E15" s="264">
        <v>1051631</v>
      </c>
      <c r="F15" s="265"/>
      <c r="G15" s="263"/>
      <c r="H15" s="264"/>
      <c r="I15" s="265"/>
      <c r="J15" s="263"/>
      <c r="K15" s="264"/>
      <c r="L15" s="265"/>
    </row>
    <row r="16" spans="2:12" ht="15" customHeight="1" x14ac:dyDescent="0.25">
      <c r="B16" s="262" t="s">
        <v>186</v>
      </c>
      <c r="C16" s="276">
        <f t="shared" si="0"/>
        <v>510386</v>
      </c>
      <c r="D16" s="291">
        <v>510386</v>
      </c>
      <c r="E16" s="264">
        <v>510386</v>
      </c>
      <c r="F16" s="265"/>
      <c r="G16" s="263"/>
      <c r="H16" s="264"/>
      <c r="I16" s="265"/>
      <c r="J16" s="263"/>
      <c r="K16" s="264"/>
      <c r="L16" s="265"/>
    </row>
    <row r="17" spans="2:12" ht="15" customHeight="1" x14ac:dyDescent="0.25">
      <c r="B17" s="262" t="s">
        <v>187</v>
      </c>
      <c r="C17" s="276">
        <f t="shared" si="0"/>
        <v>366400</v>
      </c>
      <c r="D17" s="291">
        <v>366400</v>
      </c>
      <c r="E17" s="27">
        <v>366400</v>
      </c>
      <c r="F17" s="265"/>
      <c r="G17" s="263"/>
      <c r="H17" s="264"/>
      <c r="I17" s="265"/>
      <c r="J17" s="263"/>
      <c r="K17" s="264"/>
      <c r="L17" s="265"/>
    </row>
    <row r="18" spans="2:12" ht="15" customHeight="1" x14ac:dyDescent="0.25">
      <c r="B18" s="262" t="s">
        <v>188</v>
      </c>
      <c r="C18" s="276">
        <f t="shared" si="0"/>
        <v>123661</v>
      </c>
      <c r="D18" s="263">
        <v>123661</v>
      </c>
      <c r="E18" s="264">
        <v>123661</v>
      </c>
      <c r="F18" s="265"/>
      <c r="G18" s="263"/>
      <c r="H18" s="264"/>
      <c r="I18" s="265"/>
      <c r="J18" s="263"/>
      <c r="K18" s="264"/>
      <c r="L18" s="265"/>
    </row>
    <row r="19" spans="2:12" ht="15" customHeight="1" x14ac:dyDescent="0.25">
      <c r="B19" s="262" t="s">
        <v>189</v>
      </c>
      <c r="C19" s="276">
        <f t="shared" si="0"/>
        <v>0</v>
      </c>
      <c r="D19" s="263"/>
      <c r="E19" s="264"/>
      <c r="F19" s="265"/>
      <c r="G19" s="263"/>
      <c r="H19" s="264"/>
      <c r="I19" s="265"/>
      <c r="J19" s="263"/>
      <c r="K19" s="264"/>
      <c r="L19" s="265"/>
    </row>
    <row r="20" spans="2:12" ht="15" customHeight="1" x14ac:dyDescent="0.25">
      <c r="B20" s="262" t="s">
        <v>221</v>
      </c>
      <c r="C20" s="276">
        <f t="shared" si="0"/>
        <v>0</v>
      </c>
      <c r="D20" s="263"/>
      <c r="E20" s="264"/>
      <c r="F20" s="265"/>
      <c r="G20" s="263"/>
      <c r="H20" s="264"/>
      <c r="I20" s="265"/>
      <c r="J20" s="263"/>
      <c r="K20" s="264"/>
      <c r="L20" s="265"/>
    </row>
    <row r="21" spans="2:12" ht="15" customHeight="1" x14ac:dyDescent="0.25">
      <c r="B21" s="292" t="s">
        <v>257</v>
      </c>
      <c r="C21" s="276">
        <f t="shared" si="0"/>
        <v>84317</v>
      </c>
      <c r="D21" s="291">
        <v>84317</v>
      </c>
      <c r="E21" s="27">
        <v>84317</v>
      </c>
      <c r="F21" s="265"/>
      <c r="G21" s="263"/>
      <c r="H21" s="264"/>
      <c r="I21" s="265"/>
      <c r="J21" s="263"/>
      <c r="K21" s="264"/>
      <c r="L21" s="265"/>
    </row>
    <row r="22" spans="2:12" ht="15" customHeight="1" x14ac:dyDescent="0.25">
      <c r="B22" s="266" t="s">
        <v>190</v>
      </c>
      <c r="C22" s="276">
        <f t="shared" si="0"/>
        <v>0</v>
      </c>
      <c r="D22" s="267"/>
      <c r="E22" s="267"/>
      <c r="F22" s="268"/>
      <c r="G22" s="267"/>
      <c r="H22" s="267"/>
      <c r="I22" s="268"/>
      <c r="J22" s="267"/>
      <c r="K22" s="267"/>
      <c r="L22" s="268"/>
    </row>
    <row r="23" spans="2:12" ht="15" customHeight="1" thickBot="1" x14ac:dyDescent="0.3">
      <c r="B23" s="269" t="s">
        <v>191</v>
      </c>
      <c r="C23" s="270">
        <f>SUM(C12:C22)</f>
        <v>19839851</v>
      </c>
      <c r="D23" s="277">
        <f t="shared" ref="D23:F23" si="1">SUM(D12:D22)</f>
        <v>19839851</v>
      </c>
      <c r="E23" s="271">
        <f t="shared" si="1"/>
        <v>13544012</v>
      </c>
      <c r="F23" s="272">
        <f t="shared" si="1"/>
        <v>6295839</v>
      </c>
      <c r="G23" s="277">
        <f t="shared" ref="G23" si="2">SUM(G12:G22)</f>
        <v>0</v>
      </c>
      <c r="H23" s="271">
        <f t="shared" ref="H23" si="3">SUM(H12:H22)</f>
        <v>0</v>
      </c>
      <c r="I23" s="272">
        <f t="shared" ref="I23" si="4">SUM(I12:I22)</f>
        <v>0</v>
      </c>
      <c r="J23" s="277">
        <f t="shared" ref="J23" si="5">SUM(J12:J22)</f>
        <v>0</v>
      </c>
      <c r="K23" s="271">
        <f t="shared" ref="K23" si="6">SUM(K12:K22)</f>
        <v>0</v>
      </c>
      <c r="L23" s="272">
        <f t="shared" ref="L23" si="7">SUM(L12:L22)</f>
        <v>0</v>
      </c>
    </row>
    <row r="24" spans="2:12" ht="15" customHeight="1" thickTop="1" x14ac:dyDescent="0.25"/>
  </sheetData>
  <mergeCells count="8">
    <mergeCell ref="B4:L4"/>
    <mergeCell ref="B3:L3"/>
    <mergeCell ref="B2:L2"/>
    <mergeCell ref="B10:B11"/>
    <mergeCell ref="B6:L7"/>
    <mergeCell ref="D11:F11"/>
    <mergeCell ref="G11:I11"/>
    <mergeCell ref="J11:L11"/>
  </mergeCells>
  <pageMargins left="0.7" right="0.7" top="0.75" bottom="0.75" header="0.3" footer="0.3"/>
  <pageSetup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2:B15"/>
  <sheetViews>
    <sheetView topLeftCell="A3" zoomScale="110" zoomScaleNormal="110" workbookViewId="0">
      <selection activeCell="B15" sqref="B15"/>
    </sheetView>
  </sheetViews>
  <sheetFormatPr defaultRowHeight="15" x14ac:dyDescent="0.25"/>
  <cols>
    <col min="1" max="1" width="42.7109375" style="66" customWidth="1"/>
    <col min="2" max="2" width="13.85546875" style="66" customWidth="1"/>
  </cols>
  <sheetData>
    <row r="2" spans="1:2" x14ac:dyDescent="0.25">
      <c r="A2" s="391" t="s">
        <v>192</v>
      </c>
      <c r="B2" s="391"/>
    </row>
    <row r="3" spans="1:2" ht="15.75" x14ac:dyDescent="0.25">
      <c r="A3" s="392" t="s">
        <v>193</v>
      </c>
      <c r="B3" s="392"/>
    </row>
    <row r="4" spans="1:2" ht="24.6" customHeight="1" x14ac:dyDescent="0.25">
      <c r="A4" s="393" t="s">
        <v>194</v>
      </c>
      <c r="B4" s="393"/>
    </row>
    <row r="5" spans="1:2" x14ac:dyDescent="0.25">
      <c r="A5" s="67" t="s">
        <v>195</v>
      </c>
      <c r="B5" s="68">
        <f>'1. Reconciliation'!C23</f>
        <v>95595379</v>
      </c>
    </row>
    <row r="6" spans="1:2" x14ac:dyDescent="0.25">
      <c r="A6" s="67" t="s">
        <v>196</v>
      </c>
      <c r="B6" s="69">
        <f>'1. Reconciliation'!C26</f>
        <v>3.0095689524323427E-2</v>
      </c>
    </row>
    <row r="7" spans="1:2" x14ac:dyDescent="0.25">
      <c r="A7" s="67" t="s">
        <v>197</v>
      </c>
      <c r="B7" s="69">
        <f>'1. Reconciliation'!C85</f>
        <v>9.9661427098004948E-2</v>
      </c>
    </row>
    <row r="8" spans="1:2" x14ac:dyDescent="0.25">
      <c r="A8" s="70"/>
      <c r="B8" s="71"/>
    </row>
    <row r="9" spans="1:2" x14ac:dyDescent="0.25">
      <c r="A9" s="72" t="s">
        <v>198</v>
      </c>
      <c r="B9" s="73"/>
    </row>
    <row r="10" spans="1:2" ht="39.6" customHeight="1" x14ac:dyDescent="0.25">
      <c r="A10" s="67" t="s">
        <v>23</v>
      </c>
      <c r="B10" s="74" t="e">
        <f>'1. Reconciliation'!#REF!</f>
        <v>#REF!</v>
      </c>
    </row>
    <row r="11" spans="1:2" x14ac:dyDescent="0.25">
      <c r="A11" s="67" t="s">
        <v>24</v>
      </c>
      <c r="B11" s="74" t="e">
        <f>'1. Reconciliation'!#REF!</f>
        <v>#REF!</v>
      </c>
    </row>
    <row r="12" spans="1:2" x14ac:dyDescent="0.25">
      <c r="A12" s="67" t="s">
        <v>25</v>
      </c>
      <c r="B12" s="74" t="e">
        <f>'1. Reconciliation'!#REF!</f>
        <v>#REF!</v>
      </c>
    </row>
    <row r="13" spans="1:2" x14ac:dyDescent="0.25">
      <c r="A13" s="67" t="s">
        <v>26</v>
      </c>
      <c r="B13" s="74" t="e">
        <f>'1. Reconciliation'!#REF!</f>
        <v>#REF!</v>
      </c>
    </row>
    <row r="14" spans="1:2" ht="44.45" customHeight="1" x14ac:dyDescent="0.25">
      <c r="A14" s="67" t="s">
        <v>27</v>
      </c>
      <c r="B14" s="74" t="e">
        <f>'1. Reconciliation'!#REF!</f>
        <v>#REF!</v>
      </c>
    </row>
    <row r="15" spans="1:2" x14ac:dyDescent="0.25">
      <c r="A15" s="75" t="s">
        <v>199</v>
      </c>
      <c r="B15" s="76"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terms/"/>
    <ds:schemaRef ds:uri="2819d22d-c924-42b3-954a-d3b43813cc67"/>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18dbc17e-cec9-4211-a89f-0bf74a616302"/>
    <ds:schemaRef ds:uri="http://schemas.microsoft.com/office/2006/metadata/properties"/>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2021-03-15T17:17:47Z</cp:lastPrinted>
  <dcterms:created xsi:type="dcterms:W3CDTF">2020-01-09T18:52:12Z</dcterms:created>
  <dcterms:modified xsi:type="dcterms:W3CDTF">2021-07-13T20:25:06Z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