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U:\sabrowndocs\POC FY2023\23 Budget Uploads July 2022\"/>
    </mc:Choice>
  </mc:AlternateContent>
  <xr:revisionPtr revIDLastSave="0" documentId="13_ncr:1_{326CE3D1-DD08-4795-97D3-565C330E884F}" xr6:coauthVersionLast="47" xr6:coauthVersionMax="47" xr10:uidLastSave="{00000000-0000-0000-0000-000000000000}"/>
  <bookViews>
    <workbookView xWindow="-120" yWindow="-120" windowWidth="29040" windowHeight="15840" firstSheet="1" activeTab="1"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Reconciliation'!$B$6:$O$98</definedName>
    <definedName name="_xlnm.Print_Area" localSheetId="2">'2. Charge and NPR Detail'!$A$2:$H$69</definedName>
    <definedName name="_xlnm.Print_Area" localSheetId="3">'3. Utilization'!$B$1:$D$16</definedName>
    <definedName name="_xlnm.Print_Area" localSheetId="4">'4. Inflation'!$B$1:$D$20</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3" i="13" l="1"/>
  <c r="D54" i="13"/>
  <c r="D52" i="13"/>
  <c r="F53" i="13"/>
  <c r="E53" i="13" s="1"/>
  <c r="F54" i="13"/>
  <c r="E54" i="13"/>
  <c r="E52" i="13"/>
  <c r="F52" i="13"/>
  <c r="I52" i="13"/>
  <c r="J52" i="13"/>
  <c r="C53" i="13"/>
  <c r="J41" i="13" l="1"/>
  <c r="I41" i="13"/>
  <c r="F41" i="13"/>
  <c r="F43" i="13"/>
  <c r="F42" i="13"/>
  <c r="E41" i="13"/>
  <c r="C41" i="13"/>
  <c r="C92" i="15" l="1"/>
  <c r="C81" i="15"/>
  <c r="C86" i="15"/>
  <c r="C45" i="15"/>
  <c r="D14" i="16" l="1"/>
  <c r="D10" i="16"/>
  <c r="D11" i="16"/>
  <c r="D12" i="16"/>
  <c r="D13" i="16" l="1"/>
  <c r="D9" i="16"/>
  <c r="D8" i="16"/>
  <c r="C36" i="15"/>
  <c r="C39" i="15"/>
  <c r="F58" i="15"/>
  <c r="F11" i="15" l="1"/>
  <c r="E16" i="16" l="1"/>
  <c r="C13" i="20"/>
  <c r="C14" i="20"/>
  <c r="C15" i="20"/>
  <c r="C16" i="20"/>
  <c r="C17" i="20"/>
  <c r="C18" i="20"/>
  <c r="C19" i="20"/>
  <c r="C20" i="20"/>
  <c r="C21" i="20"/>
  <c r="C22" i="20"/>
  <c r="E23" i="20"/>
  <c r="F23" i="20"/>
  <c r="D23" i="20"/>
  <c r="C12" i="20"/>
  <c r="E35" i="13"/>
  <c r="C35" i="13"/>
  <c r="E25" i="13"/>
  <c r="C25" i="13"/>
  <c r="G84" i="13"/>
  <c r="D41" i="15"/>
  <c r="E15" i="13" l="1"/>
  <c r="D16" i="16"/>
  <c r="F7" i="16"/>
  <c r="C18" i="7"/>
  <c r="D32" i="15"/>
  <c r="G70" i="15"/>
  <c r="G23" i="15"/>
  <c r="G25" i="15" s="1"/>
  <c r="C61" i="15"/>
  <c r="C60" i="15"/>
  <c r="C59" i="15"/>
  <c r="C13" i="15"/>
  <c r="C12" i="15"/>
  <c r="B10" i="4" s="1"/>
  <c r="F70" i="15"/>
  <c r="F23" i="15"/>
  <c r="F25" i="15" s="1"/>
  <c r="C19" i="15"/>
  <c r="C18" i="15"/>
  <c r="B14" i="4" s="1"/>
  <c r="C17" i="15"/>
  <c r="B13" i="4" s="1"/>
  <c r="C16" i="15"/>
  <c r="B12" i="4" s="1"/>
  <c r="C15" i="15"/>
  <c r="C14" i="15"/>
  <c r="B11" i="4" s="1"/>
  <c r="K23" i="20"/>
  <c r="J23" i="20"/>
  <c r="G23" i="20"/>
  <c r="H23" i="20"/>
  <c r="I23" i="20"/>
  <c r="F15" i="16"/>
  <c r="F14" i="16"/>
  <c r="F13" i="16"/>
  <c r="F12" i="16"/>
  <c r="F11" i="16"/>
  <c r="F10" i="16"/>
  <c r="F9" i="16"/>
  <c r="F8" i="16"/>
  <c r="D41" i="13"/>
  <c r="D69" i="13"/>
  <c r="C69" i="13"/>
  <c r="C59" i="13"/>
  <c r="D59" i="13"/>
  <c r="C15" i="13"/>
  <c r="H69" i="13"/>
  <c r="G69" i="13"/>
  <c r="F69" i="13"/>
  <c r="E68" i="13"/>
  <c r="E67" i="13"/>
  <c r="E66" i="13"/>
  <c r="E65" i="13"/>
  <c r="E64" i="13"/>
  <c r="J59" i="13"/>
  <c r="I59" i="13"/>
  <c r="H59" i="13"/>
  <c r="G59" i="13"/>
  <c r="F59" i="13"/>
  <c r="E59" i="13"/>
  <c r="J45" i="13"/>
  <c r="I45" i="13"/>
  <c r="H45" i="13"/>
  <c r="G45" i="13"/>
  <c r="F45" i="13"/>
  <c r="C45" i="13"/>
  <c r="E44" i="13"/>
  <c r="E45" i="13" s="1"/>
  <c r="D43" i="13"/>
  <c r="D42" i="13"/>
  <c r="C93" i="15"/>
  <c r="D89" i="15"/>
  <c r="D88" i="15"/>
  <c r="D91" i="15"/>
  <c r="D43" i="15"/>
  <c r="D42" i="15"/>
  <c r="F16" i="16" l="1"/>
  <c r="G72" i="15"/>
  <c r="G73" i="15" s="1"/>
  <c r="F72" i="15"/>
  <c r="F73" i="15" s="1"/>
  <c r="G26" i="15"/>
  <c r="F26" i="15"/>
  <c r="C95" i="15"/>
  <c r="C73" i="13"/>
  <c r="C23" i="20"/>
  <c r="D73" i="13"/>
  <c r="E69" i="13"/>
  <c r="F73" i="13" s="1"/>
  <c r="D15" i="7"/>
  <c r="C15" i="7"/>
  <c r="D17" i="7"/>
  <c r="C33" i="15"/>
  <c r="D87" i="15"/>
  <c r="D90" i="15"/>
  <c r="D92" i="15"/>
  <c r="D40" i="15"/>
  <c r="D45" i="15"/>
  <c r="D44" i="15"/>
  <c r="D39" i="15"/>
  <c r="H70" i="15"/>
  <c r="H72" i="15" s="1"/>
  <c r="H73" i="15" s="1"/>
  <c r="E70" i="15"/>
  <c r="D70" i="15"/>
  <c r="C69" i="15"/>
  <c r="C68" i="15"/>
  <c r="C67" i="15"/>
  <c r="C66" i="15"/>
  <c r="C65" i="15"/>
  <c r="C64" i="15"/>
  <c r="C63" i="15"/>
  <c r="C62" i="15"/>
  <c r="C58" i="15"/>
  <c r="E23" i="15"/>
  <c r="E25" i="15" s="1"/>
  <c r="H23" i="15"/>
  <c r="H25" i="15" s="1"/>
  <c r="H26" i="15" s="1"/>
  <c r="D23" i="15"/>
  <c r="D25" i="15" s="1"/>
  <c r="C20" i="15"/>
  <c r="C21" i="15"/>
  <c r="C22" i="15"/>
  <c r="C11" i="15"/>
  <c r="C74" i="13" s="1"/>
  <c r="C75" i="13" l="1"/>
  <c r="C96" i="15"/>
  <c r="E72" i="15"/>
  <c r="E73" i="15" s="1"/>
  <c r="D72" i="15"/>
  <c r="D73" i="15" s="1"/>
  <c r="E26" i="15"/>
  <c r="D26" i="15"/>
  <c r="E73" i="13"/>
  <c r="B15" i="4"/>
  <c r="C70" i="15"/>
  <c r="C72" i="15" l="1"/>
  <c r="C23" i="15"/>
  <c r="F74" i="13" l="1"/>
  <c r="F75" i="13" s="1"/>
  <c r="C25" i="15"/>
  <c r="C26" i="15" s="1"/>
  <c r="C73" i="15"/>
  <c r="B7" i="4" s="1"/>
  <c r="B5" i="4"/>
  <c r="D86" i="15"/>
  <c r="D85" i="15"/>
  <c r="D84" i="15"/>
  <c r="D83" i="15"/>
  <c r="D82" i="15"/>
  <c r="D81" i="15"/>
  <c r="D80" i="15"/>
  <c r="D79" i="15"/>
  <c r="D93" i="15" l="1"/>
  <c r="D38" i="15"/>
  <c r="D37" i="15"/>
  <c r="D36" i="15"/>
  <c r="D35" i="15"/>
  <c r="D34" i="15"/>
  <c r="D74" i="13" l="1"/>
  <c r="D75" i="13" s="1"/>
  <c r="C46" i="15"/>
  <c r="D33" i="15"/>
  <c r="D46" i="15" s="1"/>
  <c r="B6" i="4" l="1"/>
  <c r="E74" i="13"/>
  <c r="E75" i="13" s="1"/>
  <c r="C48" i="15"/>
  <c r="C49" i="15" l="1"/>
</calcChain>
</file>

<file path=xl/sharedStrings.xml><?xml version="1.0" encoding="utf-8"?>
<sst xmlns="http://schemas.openxmlformats.org/spreadsheetml/2006/main" count="346" uniqueCount="235">
  <si>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</si>
  <si>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</si>
  <si>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</si>
  <si>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</si>
  <si>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</si>
  <si>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</si>
  <si>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</si>
  <si>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</si>
  <si>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</si>
  <si>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</si>
  <si>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</si>
  <si>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</si>
  <si>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</si>
  <si>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</si>
  <si>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</si>
  <si>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</si>
  <si>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</si>
  <si>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</si>
  <si>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</si>
  <si>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</si>
  <si>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</si>
  <si>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</si>
  <si>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</si>
  <si>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</si>
  <si>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</si>
  <si>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</si>
  <si>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</si>
  <si>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</si>
  <si>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</si>
  <si>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</si>
  <si>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</si>
  <si>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</si>
  <si>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</si>
  <si>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</si>
  <si>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</si>
  <si>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</si>
  <si>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</si>
  <si>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</si>
  <si>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</si>
  <si>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</si>
  <si>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</si>
  <si>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</si>
  <si>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</si>
  <si>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</si>
  <si>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</si>
  <si>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</si>
  <si>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</si>
  <si>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</si>
  <si>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</si>
  <si>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</si>
  <si>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</si>
  <si>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</si>
  <si>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</si>
  <si>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</si>
  <si>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</si>
  <si>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</si>
  <si>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</si>
  <si>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</si>
  <si>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</si>
  <si>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</si>
  <si>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</si>
  <si>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</si>
  <si>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</si>
  <si>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</si>
  <si>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</si>
  <si>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</si>
  <si>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</si>
  <si>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</si>
  <si>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</si>
  <si>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</si>
  <si>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</si>
  <si>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</si>
  <si>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</si>
  <si>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</si>
  <si>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</si>
  <si>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</si>
  <si>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</si>
  <si>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</si>
  <si>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</si>
  <si>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</si>
  <si>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</si>
  <si>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</si>
  <si>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</si>
  <si>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</si>
  <si>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</si>
  <si>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</si>
  <si>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</si>
  <si>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</si>
  <si>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</si>
  <si>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</si>
  <si>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</si>
  <si>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</si>
  <si>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</si>
  <si>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</si>
  <si>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</si>
  <si>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</si>
  <si>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</si>
  <si>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</si>
  <si>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</si>
  <si>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</si>
  <si>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</si>
  <si>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</si>
  <si>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</si>
  <si>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</si>
  <si>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</si>
  <si>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</si>
  <si>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</si>
  <si>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</si>
  <si>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</si>
  <si>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</si>
  <si>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</si>
  <si>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</si>
  <si>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</si>
  <si>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</si>
  <si>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</si>
  <si>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</si>
  <si>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</si>
  <si>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</si>
  <si>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</si>
  <si>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</si>
  <si>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</si>
  <si>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</si>
  <si>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</si>
  <si>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</si>
  <si>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</si>
  <si>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</si>
  <si>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</si>
  <si>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</si>
  <si>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</si>
  <si>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</si>
  <si>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</si>
  <si>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</si>
  <si>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</si>
  <si>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</si>
  <si>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</si>
  <si>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</si>
  <si>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</si>
  <si>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</si>
  <si>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</si>
  <si>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</si>
  <si>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</si>
  <si>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</si>
  <si>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</si>
  <si>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</si>
  <si>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</si>
  <si>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</si>
  <si>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</si>
  <si>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</si>
  <si>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</si>
  <si>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</si>
  <si>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</si>
  <si>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</si>
  <si>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</si>
  <si>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</si>
  <si>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</si>
  <si>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</si>
  <si>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</si>
  <si>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</si>
  <si>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</si>
  <si>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</si>
  <si>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</si>
  <si>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</si>
  <si>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</si>
  <si>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</si>
  <si>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</si>
  <si>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</si>
  <si>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</si>
  <si>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</si>
  <si>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</si>
  <si>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</si>
  <si>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</si>
  <si>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</si>
  <si>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</si>
  <si>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</si>
  <si>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</si>
  <si>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</si>
  <si>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</si>
  <si>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</si>
  <si>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</si>
  <si>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</si>
  <si>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</si>
  <si>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</si>
  <si>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</si>
  <si>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</si>
  <si>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</si>
  <si>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</si>
  <si>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</si>
  <si>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</si>
  <si>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</si>
  <si>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</si>
  <si>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</si>
  <si>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</si>
  <si>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</si>
  <si>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</si>
  <si>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</si>
  <si>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</si>
  <si>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</si>
  <si>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</si>
  <si>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</si>
  <si>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</si>
  <si>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</si>
  <si>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</si>
  <si>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</si>
  <si>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</si>
  <si>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</si>
  <si>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</si>
  <si>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</si>
  <si>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</si>
  <si>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</si>
  <si>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</si>
  <si>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</si>
  <si>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</si>
  <si>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</si>
  <si>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</si>
  <si>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</si>
  <si>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</si>
  <si>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</si>
  <si>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</si>
  <si>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</si>
  <si>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</si>
  <si>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</si>
  <si>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CARES Act Funding</t>
  </si>
  <si>
    <t>Medicare Advance - Repayment</t>
  </si>
  <si>
    <t>PPP Funds</t>
  </si>
  <si>
    <t>Other: VAHHS Grant</t>
  </si>
  <si>
    <t>State of VT: COVID Vaccine Admin Fees</t>
  </si>
  <si>
    <t>April 2022 year-to-date</t>
  </si>
  <si>
    <t>Annual merit increases/market changes</t>
  </si>
  <si>
    <t>Benefits</t>
  </si>
  <si>
    <t>All Other</t>
  </si>
  <si>
    <t>Depreciation</t>
  </si>
  <si>
    <t>FY2023 budget based on current volumes in all areas,</t>
  </si>
  <si>
    <t xml:space="preserve">with the exception of Physician Practice, where </t>
  </si>
  <si>
    <t>additional encounters budgeted for new providers.</t>
  </si>
  <si>
    <t>No changes in utilization are expected, or budgeted.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</si>
</sst>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17">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24" fillId="3" borderId="4" xfId="3" applyFont="1" applyFill="1" applyBorder="1"/>
    <xf numFmtId="9" fontId="4" fillId="9" borderId="0" xfId="3" applyFont="1" applyFill="1" applyBorder="1"/>
    <xf numFmtId="0" fontId="8" fillId="4" borderId="9" xfId="5" applyFont="1" applyFill="1" applyBorder="1"/>
    <xf numFmtId="0" fontId="8" fillId="0" borderId="9" xfId="5" applyFont="1" applyBorder="1"/>
    <xf numFmtId="0" fontId="8" fillId="0" borderId="37" xfId="5" applyFont="1" applyBorder="1"/>
    <xf numFmtId="0" fontId="8" fillId="0" borderId="38" xfId="5" applyFont="1" applyBorder="1"/>
    <xf numFmtId="0" fontId="8" fillId="0" borderId="39" xfId="5" applyFont="1" applyBorder="1"/>
    <xf numFmtId="0" fontId="8" fillId="0" borderId="40" xfId="5" applyFont="1" applyBorder="1"/>
    <xf numFmtId="0" fontId="2" fillId="0" borderId="0" xfId="0" applyFont="1" applyFill="1" applyBorder="1" applyAlignment="1">
      <alignment horizontal="center"/>
    </xf>
    <xf numFmtId="0" fontId="8" fillId="9" borderId="12" xfId="5" applyFont="1" applyFill="1" applyBorder="1"/>
    <xf numFmtId="0" fontId="8" fillId="9" borderId="13" xfId="5" applyFont="1" applyFill="1" applyBorder="1"/>
    <xf numFmtId="0" fontId="8" fillId="9" borderId="6" xfId="5" applyFont="1" applyFill="1" applyBorder="1"/>
    <xf numFmtId="0" fontId="8" fillId="9" borderId="36" xfId="5" applyFont="1" applyFill="1" applyBorder="1"/>
    <xf numFmtId="0" fontId="2" fillId="0" borderId="19" xfId="0" applyFont="1" applyBorder="1" applyAlignment="1">
      <alignment horizontal="center" vertical="center"/>
    </xf>
    <xf numFmtId="0" fontId="2" fillId="0" borderId="18" xfId="0" applyFont="1" applyBorder="1" applyAlignment="1">
      <alignment horizontal="center" vertical="center"/>
    </xf>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0" fontId="0" fillId="0" borderId="15" xfId="0" applyBorder="1"/>
    <xf numFmtId="166" fontId="1" fillId="0" borderId="0" xfId="1" applyNumberFormat="1" applyFont="1"/>
    <xf numFmtId="166" fontId="1" fillId="0" borderId="17" xfId="1" applyNumberFormat="1" applyFont="1" applyBorder="1"/>
    <xf numFmtId="166" fontId="1" fillId="0" borderId="0" xfId="1" applyNumberFormat="1" applyFont="1" applyBorder="1"/>
    <xf numFmtId="166" fontId="1" fillId="9" borderId="0" xfId="1" applyNumberFormat="1" applyFont="1" applyFill="1"/>
    <xf numFmtId="166" fontId="1" fillId="9" borderId="17" xfId="1" applyNumberFormat="1" applyFont="1" applyFill="1" applyBorder="1"/>
    <xf numFmtId="166" fontId="1" fillId="0" borderId="15" xfId="1" applyNumberFormat="1" applyFont="1" applyFill="1" applyBorder="1"/>
    <xf numFmtId="166" fontId="1" fillId="0" borderId="0" xfId="1" applyNumberFormat="1" applyFont="1" applyFill="1" applyBorder="1"/>
    <xf numFmtId="166" fontId="1" fillId="0" borderId="17" xfId="1" applyNumberFormat="1" applyFont="1" applyFill="1" applyBorder="1"/>
    <xf numFmtId="166" fontId="1" fillId="0" borderId="14" xfId="1" applyNumberFormat="1" applyFont="1" applyBorder="1"/>
    <xf numFmtId="166" fontId="1" fillId="0" borderId="10" xfId="1" applyNumberFormat="1" applyFont="1" applyBorder="1"/>
    <xf numFmtId="166" fontId="1" fillId="9" borderId="14" xfId="1" applyNumberFormat="1" applyFont="1" applyFill="1" applyBorder="1"/>
    <xf numFmtId="166" fontId="1" fillId="9" borderId="10" xfId="1" applyNumberFormat="1" applyFont="1" applyFill="1" applyBorder="1"/>
    <xf numFmtId="165" fontId="0" fillId="3" borderId="4" xfId="3" applyNumberFormat="1" applyFont="1" applyFill="1" applyBorder="1" applyProtection="1">
      <protection locked="0"/>
    </xf>
    <xf numFmtId="165" fontId="0" fillId="0" borderId="4" xfId="3" applyNumberFormat="1" applyFont="1" applyFill="1" applyBorder="1" applyProtection="1">
      <protection locked="0"/>
    </xf>
    <xf numFmtId="165" fontId="0" fillId="0" borderId="4" xfId="2" applyNumberFormat="1" applyFont="1" applyFill="1" applyBorder="1" applyProtection="1">
      <protection locked="0"/>
    </xf>
    <xf numFmtId="165" fontId="0" fillId="0" borderId="4" xfId="1" applyNumberFormat="1" applyFont="1" applyBorder="1" applyProtection="1">
      <protection locked="0"/>
    </xf>
    <xf numFmtId="165" fontId="0" fillId="0" borderId="4" xfId="1" quotePrefix="1" applyNumberFormat="1" applyFont="1" applyBorder="1" applyAlignment="1" applyProtection="1">
      <alignment horizontal="right"/>
      <protection locked="0"/>
    </xf>
    <xf numFmtId="165" fontId="0" fillId="0" borderId="4" xfId="2" applyNumberFormat="1" applyFont="1" applyBorder="1" applyAlignment="1">
      <alignment horizontal="center"/>
    </xf>
    <xf numFmtId="165" fontId="0" fillId="3" borderId="4" xfId="2" applyNumberFormat="1" applyFont="1" applyFill="1" applyBorder="1" applyAlignment="1">
      <alignment horizontal="center"/>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7</xdr:col>
      <xdr:colOff>76200</xdr:colOff>
      <xdr:row>47</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32" t="s">
        <v>219</v>
      </c>
      <c r="B1" s="232"/>
    </row>
    <row r="2" spans="1:3" x14ac:dyDescent="0.25">
      <c r="A2" s="233" t="s">
        <v>0</v>
      </c>
      <c r="B2" s="233"/>
    </row>
    <row r="3" spans="1:3" ht="166.9" customHeight="1" x14ac:dyDescent="0.25">
      <c r="A3" s="231" t="s">
        <v>1</v>
      </c>
      <c r="B3" s="231"/>
    </row>
    <row r="4" spans="1:3" x14ac:dyDescent="0.25">
      <c r="B4" s="46"/>
    </row>
    <row r="5" spans="1:3" ht="15.75" x14ac:dyDescent="0.25">
      <c r="A5" s="111" t="s">
        <v>2</v>
      </c>
      <c r="B5" s="26" t="s">
        <v>3</v>
      </c>
      <c r="C5" s="45"/>
    </row>
    <row r="6" spans="1:3" ht="15.75" x14ac:dyDescent="0.25">
      <c r="A6" s="111" t="s">
        <v>2</v>
      </c>
      <c r="B6" s="45" t="s">
        <v>4</v>
      </c>
      <c r="C6" s="45"/>
    </row>
    <row r="7" spans="1:3" ht="15.75" x14ac:dyDescent="0.25">
      <c r="A7" s="110" t="s">
        <v>5</v>
      </c>
      <c r="B7" s="45" t="s">
        <v>6</v>
      </c>
      <c r="C7" s="45"/>
    </row>
    <row r="8" spans="1:3" ht="15.75" x14ac:dyDescent="0.25">
      <c r="A8" s="111" t="s">
        <v>2</v>
      </c>
      <c r="B8" s="26" t="s">
        <v>7</v>
      </c>
      <c r="C8" s="45"/>
    </row>
    <row r="9" spans="1:3" ht="15.75" x14ac:dyDescent="0.25">
      <c r="A9" s="111" t="s">
        <v>2</v>
      </c>
      <c r="B9" s="26" t="s">
        <v>213</v>
      </c>
      <c r="C9" s="45"/>
    </row>
    <row r="10" spans="1:3" ht="15.75" x14ac:dyDescent="0.25">
      <c r="A10" s="111" t="s">
        <v>2</v>
      </c>
      <c r="B10" s="208" t="s">
        <v>214</v>
      </c>
      <c r="C10" s="45"/>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97"/>
  <sheetViews>
    <sheetView showGridLines="0" tabSelected="1" zoomScaleNormal="100" zoomScaleSheetLayoutView="80" workbookViewId="0">
      <selection activeCell="E17" sqref="E17"/>
    </sheetView>
  </sheetViews>
  <sheetFormatPr defaultRowHeight="15" x14ac:dyDescent="0.25"/>
  <cols>
    <col min="1" max="1" width="14.42578125" customWidth="1"/>
    <col min="2" max="2" width="58.14062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35" t="s">
        <v>8</v>
      </c>
      <c r="C2" s="235"/>
      <c r="D2" s="235"/>
      <c r="E2" s="235"/>
      <c r="F2" s="235"/>
      <c r="G2" s="235"/>
      <c r="H2" s="235"/>
      <c r="I2" s="235"/>
      <c r="J2" s="235"/>
      <c r="K2" s="235"/>
      <c r="L2" s="235"/>
      <c r="M2" s="235"/>
      <c r="N2" s="235"/>
      <c r="O2" s="235"/>
    </row>
    <row r="3" spans="1:15" ht="21" x14ac:dyDescent="0.35">
      <c r="B3" s="236" t="s">
        <v>9</v>
      </c>
      <c r="C3" s="237"/>
      <c r="D3" s="237"/>
      <c r="E3" s="237"/>
      <c r="F3" s="237"/>
      <c r="G3" s="237"/>
      <c r="H3" s="237"/>
      <c r="I3" s="237"/>
      <c r="J3" s="237"/>
      <c r="K3" s="237"/>
      <c r="L3" s="237"/>
      <c r="M3" s="237"/>
      <c r="N3" s="237"/>
      <c r="O3" s="238"/>
    </row>
    <row r="4" spans="1:15" ht="21" x14ac:dyDescent="0.35">
      <c r="B4" s="242" t="s">
        <v>10</v>
      </c>
      <c r="C4" s="243"/>
      <c r="D4" s="243"/>
      <c r="E4" s="243"/>
      <c r="F4" s="243"/>
      <c r="G4" s="243"/>
      <c r="H4" s="243"/>
      <c r="I4" s="243"/>
      <c r="J4" s="243"/>
      <c r="K4" s="243"/>
      <c r="L4" s="243"/>
      <c r="M4" s="243"/>
      <c r="N4" s="243"/>
      <c r="O4" s="244"/>
    </row>
    <row r="6" spans="1:15" ht="18.75" x14ac:dyDescent="0.3">
      <c r="B6" s="239" t="s">
        <v>11</v>
      </c>
      <c r="C6" s="240"/>
      <c r="D6" s="240"/>
      <c r="E6" s="240"/>
      <c r="F6" s="240"/>
      <c r="G6" s="240"/>
      <c r="H6" s="240"/>
      <c r="I6" s="240"/>
      <c r="J6" s="240"/>
      <c r="K6" s="240"/>
      <c r="L6" s="240"/>
      <c r="M6" s="240"/>
      <c r="N6" s="240"/>
      <c r="O6" s="241"/>
    </row>
    <row r="7" spans="1:15" s="56" customFormat="1" ht="18.75" x14ac:dyDescent="0.3">
      <c r="B7" s="55"/>
      <c r="C7" s="55"/>
      <c r="D7" s="55"/>
      <c r="E7" s="55"/>
      <c r="F7" s="55"/>
      <c r="G7" s="55"/>
      <c r="H7" s="55"/>
      <c r="I7" s="55"/>
      <c r="J7" s="55"/>
      <c r="K7" s="55"/>
      <c r="L7" s="55"/>
      <c r="M7" s="55"/>
      <c r="N7" s="55"/>
      <c r="O7" s="55"/>
    </row>
    <row r="8" spans="1:15" ht="18.75" x14ac:dyDescent="0.3">
      <c r="B8" s="95" t="s">
        <v>156</v>
      </c>
      <c r="C8" s="4"/>
    </row>
    <row r="9" spans="1:15" ht="22.15" customHeight="1" x14ac:dyDescent="0.3">
      <c r="B9" s="4"/>
      <c r="C9" s="4"/>
      <c r="E9" s="83"/>
      <c r="F9" s="83"/>
      <c r="G9" s="83"/>
      <c r="H9" s="83"/>
      <c r="I9" s="83"/>
      <c r="K9" s="28"/>
    </row>
    <row r="10" spans="1:15" s="102" customFormat="1" ht="30" x14ac:dyDescent="0.25">
      <c r="B10" s="100" t="s">
        <v>12</v>
      </c>
      <c r="C10" s="100" t="s">
        <v>13</v>
      </c>
      <c r="D10" s="100" t="s">
        <v>14</v>
      </c>
      <c r="E10" s="100" t="s">
        <v>15</v>
      </c>
      <c r="F10" s="100" t="s">
        <v>16</v>
      </c>
      <c r="G10" s="100" t="s">
        <v>17</v>
      </c>
      <c r="H10" s="100" t="s">
        <v>18</v>
      </c>
      <c r="I10" s="101"/>
      <c r="J10" s="103"/>
    </row>
    <row r="11" spans="1:15" x14ac:dyDescent="0.25">
      <c r="B11" s="5" t="s">
        <v>157</v>
      </c>
      <c r="C11" s="87">
        <f>SUM(D11:H11)</f>
        <v>22072030</v>
      </c>
      <c r="D11" s="224">
        <v>13390175</v>
      </c>
      <c r="E11" s="87">
        <v>1516161</v>
      </c>
      <c r="F11" s="87">
        <f>8135051-G11-650664-318693</f>
        <v>6713512</v>
      </c>
      <c r="G11" s="87">
        <v>452182</v>
      </c>
      <c r="H11" s="87"/>
      <c r="J11" s="28"/>
    </row>
    <row r="12" spans="1:15" ht="14.45" customHeight="1" x14ac:dyDescent="0.25">
      <c r="A12" s="245"/>
      <c r="B12" s="8" t="s">
        <v>19</v>
      </c>
      <c r="C12" s="87">
        <f>SUM(D12:H12)</f>
        <v>1208344</v>
      </c>
      <c r="D12" s="225">
        <v>676915</v>
      </c>
      <c r="E12" s="226">
        <v>89365</v>
      </c>
      <c r="F12" s="227">
        <v>408512</v>
      </c>
      <c r="G12" s="227">
        <v>33552</v>
      </c>
      <c r="H12" s="227"/>
      <c r="L12" s="22"/>
      <c r="M12" s="23"/>
    </row>
    <row r="13" spans="1:15" x14ac:dyDescent="0.25">
      <c r="A13" s="245"/>
      <c r="B13" s="8" t="s">
        <v>20</v>
      </c>
      <c r="C13" s="87">
        <f>SUM(D13:H13)</f>
        <v>0</v>
      </c>
      <c r="D13" s="225"/>
      <c r="E13" s="226"/>
      <c r="F13" s="227"/>
      <c r="G13" s="227"/>
      <c r="H13" s="227"/>
      <c r="L13" s="22"/>
      <c r="M13" s="23"/>
    </row>
    <row r="14" spans="1:15" x14ac:dyDescent="0.25">
      <c r="A14" s="245"/>
      <c r="B14" s="8" t="s">
        <v>21</v>
      </c>
      <c r="C14" s="87">
        <f>SUM(D14:H14)</f>
        <v>1980139</v>
      </c>
      <c r="D14" s="225">
        <v>148136</v>
      </c>
      <c r="E14" s="226">
        <v>271144</v>
      </c>
      <c r="F14" s="227">
        <v>1341995</v>
      </c>
      <c r="G14" s="227">
        <v>218864</v>
      </c>
      <c r="H14" s="227"/>
      <c r="L14" s="22"/>
      <c r="M14" s="23"/>
    </row>
    <row r="15" spans="1:15" x14ac:dyDescent="0.25">
      <c r="A15" s="245"/>
      <c r="B15" s="8" t="s">
        <v>22</v>
      </c>
      <c r="C15" s="87">
        <f t="shared" ref="C15:C19" si="0">SUM(D15:H15)</f>
        <v>0</v>
      </c>
      <c r="D15" s="225"/>
      <c r="E15" s="226"/>
      <c r="F15" s="227"/>
      <c r="G15" s="227"/>
      <c r="H15" s="227"/>
      <c r="L15" s="22"/>
      <c r="M15" s="23"/>
    </row>
    <row r="16" spans="1:15" x14ac:dyDescent="0.25">
      <c r="A16" s="245"/>
      <c r="B16" s="10" t="s">
        <v>23</v>
      </c>
      <c r="C16" s="87">
        <f t="shared" si="0"/>
        <v>0</v>
      </c>
      <c r="D16" s="225"/>
      <c r="E16" s="226"/>
      <c r="F16" s="228"/>
      <c r="G16" s="228"/>
      <c r="H16" s="228"/>
      <c r="L16" s="22"/>
      <c r="M16" s="23"/>
    </row>
    <row r="17" spans="1:23" x14ac:dyDescent="0.25">
      <c r="A17" s="245"/>
      <c r="B17" s="10" t="s">
        <v>24</v>
      </c>
      <c r="C17" s="87">
        <f t="shared" si="0"/>
        <v>0</v>
      </c>
      <c r="D17" s="225"/>
      <c r="E17" s="226"/>
      <c r="F17" s="227"/>
      <c r="G17" s="227"/>
      <c r="H17" s="227"/>
      <c r="L17" s="22"/>
      <c r="M17" s="23"/>
    </row>
    <row r="18" spans="1:23" x14ac:dyDescent="0.25">
      <c r="A18" s="245"/>
      <c r="B18" s="10" t="s">
        <v>25</v>
      </c>
      <c r="C18" s="87">
        <f t="shared" si="0"/>
        <v>0</v>
      </c>
      <c r="D18" s="225"/>
      <c r="E18" s="226"/>
      <c r="F18" s="227"/>
      <c r="G18" s="227"/>
      <c r="H18" s="227"/>
      <c r="L18" s="22"/>
      <c r="M18" s="23"/>
    </row>
    <row r="19" spans="1:23" x14ac:dyDescent="0.25">
      <c r="A19" s="245"/>
      <c r="B19" s="10" t="s">
        <v>26</v>
      </c>
      <c r="C19" s="87">
        <f t="shared" si="0"/>
        <v>114742</v>
      </c>
      <c r="D19" s="225"/>
      <c r="E19" s="226"/>
      <c r="F19" s="227">
        <v>114742</v>
      </c>
      <c r="G19" s="227"/>
      <c r="H19" s="227"/>
      <c r="L19" s="22"/>
      <c r="M19" s="23"/>
    </row>
    <row r="20" spans="1:23" x14ac:dyDescent="0.25">
      <c r="B20" s="86" t="s">
        <v>27</v>
      </c>
      <c r="C20" s="87">
        <f>SUM(D20:H20)</f>
        <v>0</v>
      </c>
      <c r="D20" s="225"/>
      <c r="E20" s="226"/>
      <c r="F20" s="228"/>
      <c r="G20" s="228"/>
      <c r="H20" s="228"/>
      <c r="O20" s="22"/>
      <c r="P20" s="23"/>
    </row>
    <row r="21" spans="1:23" x14ac:dyDescent="0.25">
      <c r="B21" s="86" t="s">
        <v>27</v>
      </c>
      <c r="C21" s="87">
        <f>SUM(D21:H21)</f>
        <v>0</v>
      </c>
      <c r="D21" s="225"/>
      <c r="E21" s="226"/>
      <c r="F21" s="228"/>
      <c r="G21" s="228"/>
      <c r="H21" s="228"/>
      <c r="O21" s="22"/>
      <c r="P21" s="23"/>
    </row>
    <row r="22" spans="1:23" x14ac:dyDescent="0.25">
      <c r="B22" s="86" t="s">
        <v>27</v>
      </c>
      <c r="C22" s="87">
        <f>SUM(D22:H22)</f>
        <v>0</v>
      </c>
      <c r="D22" s="225"/>
      <c r="E22" s="226"/>
      <c r="F22" s="228"/>
      <c r="G22" s="228"/>
      <c r="H22" s="228"/>
      <c r="O22" s="22"/>
      <c r="P22" s="23"/>
    </row>
    <row r="23" spans="1:23" x14ac:dyDescent="0.25">
      <c r="B23" s="11" t="s">
        <v>158</v>
      </c>
      <c r="C23" s="6">
        <f t="shared" ref="C23:H23" si="1">SUM(C11:C22)</f>
        <v>25375255</v>
      </c>
      <c r="D23" s="52">
        <f t="shared" si="1"/>
        <v>14215226</v>
      </c>
      <c r="E23" s="52">
        <f t="shared" si="1"/>
        <v>1876670</v>
      </c>
      <c r="F23" s="52">
        <f t="shared" si="1"/>
        <v>8578761</v>
      </c>
      <c r="G23" s="52">
        <f t="shared" si="1"/>
        <v>704598</v>
      </c>
      <c r="H23" s="52">
        <f t="shared" si="1"/>
        <v>0</v>
      </c>
      <c r="O23" s="22"/>
      <c r="P23" s="23"/>
    </row>
    <row r="24" spans="1:23" x14ac:dyDescent="0.25">
      <c r="O24" s="22"/>
      <c r="P24" s="23"/>
    </row>
    <row r="25" spans="1:23" x14ac:dyDescent="0.25">
      <c r="B25" s="29" t="s">
        <v>159</v>
      </c>
      <c r="C25" s="64">
        <f>+C23-C11</f>
        <v>3303225</v>
      </c>
      <c r="D25" s="19">
        <f t="shared" ref="D25:H25" si="2">+D23-D11</f>
        <v>825051</v>
      </c>
      <c r="E25" s="19">
        <f t="shared" si="2"/>
        <v>360509</v>
      </c>
      <c r="F25" s="19">
        <f t="shared" si="2"/>
        <v>1865249</v>
      </c>
      <c r="G25" s="19">
        <f t="shared" si="2"/>
        <v>252416</v>
      </c>
      <c r="H25" s="19">
        <f t="shared" si="2"/>
        <v>0</v>
      </c>
      <c r="O25" s="22"/>
      <c r="P25" s="23"/>
    </row>
    <row r="26" spans="1:23" x14ac:dyDescent="0.25">
      <c r="B26" s="53" t="s">
        <v>160</v>
      </c>
      <c r="C26" s="54">
        <f>(C25)/C11</f>
        <v>0.14965660159033853</v>
      </c>
      <c r="D26" s="54">
        <f t="shared" ref="D26:H26" si="3">(D25)/D11</f>
        <v>6.1616147660504814E-2</v>
      </c>
      <c r="E26" s="54">
        <f t="shared" si="3"/>
        <v>0.23777751835062372</v>
      </c>
      <c r="F26" s="54">
        <f t="shared" si="3"/>
        <v>0.27783505861015811</v>
      </c>
      <c r="G26" s="54">
        <f t="shared" si="3"/>
        <v>0.55821770879866961</v>
      </c>
      <c r="H26" s="54" t="e">
        <f t="shared" si="3"/>
        <v>#DIV/0!</v>
      </c>
      <c r="O26" s="22"/>
      <c r="P26" s="23"/>
    </row>
    <row r="27" spans="1:23" x14ac:dyDescent="0.25">
      <c r="B27" s="114"/>
      <c r="C27" s="114"/>
      <c r="D27" s="114"/>
      <c r="E27" s="114"/>
      <c r="F27" s="114"/>
      <c r="G27" s="114"/>
      <c r="H27" s="114"/>
      <c r="I27" s="114"/>
      <c r="J27" s="114"/>
      <c r="O27" s="22"/>
      <c r="P27" s="23"/>
    </row>
    <row r="28" spans="1:23" ht="28.15" customHeight="1" x14ac:dyDescent="0.3">
      <c r="B28" s="95" t="s">
        <v>161</v>
      </c>
      <c r="C28" s="4"/>
      <c r="D28" s="15"/>
      <c r="E28" s="15"/>
      <c r="V28" s="22"/>
      <c r="W28" s="23"/>
    </row>
    <row r="29" spans="1:23" ht="18.75" x14ac:dyDescent="0.3">
      <c r="B29" s="95"/>
      <c r="C29" s="4"/>
      <c r="D29" s="15"/>
      <c r="E29" s="15"/>
      <c r="V29" s="22"/>
      <c r="W29" s="23"/>
    </row>
    <row r="30" spans="1:23" s="85" customFormat="1" x14ac:dyDescent="0.25">
      <c r="B30" s="97" t="s">
        <v>28</v>
      </c>
      <c r="C30" s="97" t="s">
        <v>29</v>
      </c>
      <c r="D30" s="97" t="s">
        <v>30</v>
      </c>
      <c r="E30" s="176"/>
      <c r="F30" s="177"/>
      <c r="G30" s="177"/>
      <c r="H30" s="177"/>
      <c r="V30" s="98"/>
      <c r="W30" s="99"/>
    </row>
    <row r="31" spans="1:23" x14ac:dyDescent="0.25">
      <c r="B31" s="5" t="s">
        <v>157</v>
      </c>
      <c r="C31" s="87">
        <v>24518885</v>
      </c>
      <c r="D31" s="7"/>
      <c r="E31" s="192"/>
      <c r="F31" s="192"/>
      <c r="G31" s="179"/>
      <c r="H31" s="179"/>
      <c r="V31" s="22"/>
      <c r="W31" s="23"/>
    </row>
    <row r="32" spans="1:23" x14ac:dyDescent="0.25">
      <c r="B32" s="8" t="s">
        <v>31</v>
      </c>
      <c r="C32" s="92">
        <v>1022116</v>
      </c>
      <c r="D32" s="94">
        <f>+C32/C$31</f>
        <v>4.1686887474695525E-2</v>
      </c>
      <c r="E32" s="178"/>
      <c r="F32" s="84"/>
      <c r="G32" s="179"/>
      <c r="H32" s="179"/>
      <c r="V32" s="22"/>
    </row>
    <row r="33" spans="2:22" x14ac:dyDescent="0.25">
      <c r="B33" s="175" t="s">
        <v>180</v>
      </c>
      <c r="C33" s="168">
        <f>'4. Inflation'!D16</f>
        <v>1161796.1800000002</v>
      </c>
      <c r="D33" s="9">
        <f t="shared" ref="D33:D45" si="4">+C33/C$31</f>
        <v>4.738372809367148E-2</v>
      </c>
      <c r="E33" s="180"/>
      <c r="F33" s="84"/>
      <c r="G33" s="179"/>
      <c r="H33" s="179"/>
      <c r="V33" s="22"/>
    </row>
    <row r="34" spans="2:22" x14ac:dyDescent="0.25">
      <c r="B34" s="10" t="s">
        <v>33</v>
      </c>
      <c r="C34" s="92">
        <v>361242</v>
      </c>
      <c r="D34" s="9">
        <f t="shared" si="4"/>
        <v>1.4733214826041233E-2</v>
      </c>
      <c r="E34" s="178"/>
      <c r="F34" s="178"/>
      <c r="G34" s="179"/>
      <c r="H34" s="179"/>
      <c r="V34" s="22"/>
    </row>
    <row r="35" spans="2:22" x14ac:dyDescent="0.25">
      <c r="B35" s="10" t="s">
        <v>34</v>
      </c>
      <c r="C35" s="92"/>
      <c r="D35" s="9">
        <f t="shared" si="4"/>
        <v>0</v>
      </c>
      <c r="E35" s="178"/>
      <c r="F35" s="178"/>
      <c r="G35" s="179"/>
      <c r="H35" s="179"/>
      <c r="V35" s="22"/>
    </row>
    <row r="36" spans="2:22" x14ac:dyDescent="0.25">
      <c r="B36" s="10" t="s">
        <v>35</v>
      </c>
      <c r="C36" s="92">
        <f>238950-192000</f>
        <v>46950</v>
      </c>
      <c r="D36" s="9">
        <f t="shared" si="4"/>
        <v>1.9148505325588827E-3</v>
      </c>
      <c r="E36" s="178"/>
      <c r="F36" s="178"/>
      <c r="G36" s="179"/>
      <c r="H36" s="179"/>
      <c r="V36" s="22"/>
    </row>
    <row r="37" spans="2:22" x14ac:dyDescent="0.25">
      <c r="B37" s="10" t="s">
        <v>36</v>
      </c>
      <c r="C37" s="92"/>
      <c r="D37" s="9">
        <f t="shared" si="4"/>
        <v>0</v>
      </c>
      <c r="E37" s="178"/>
      <c r="F37" s="178"/>
      <c r="G37" s="179"/>
      <c r="H37" s="179"/>
      <c r="V37" s="22"/>
    </row>
    <row r="38" spans="2:22" x14ac:dyDescent="0.25">
      <c r="B38" s="10" t="s">
        <v>37</v>
      </c>
      <c r="C38" s="92"/>
      <c r="D38" s="9">
        <f t="shared" si="4"/>
        <v>0</v>
      </c>
      <c r="E38" s="178"/>
      <c r="F38" s="178"/>
      <c r="G38" s="179"/>
      <c r="H38" s="179"/>
    </row>
    <row r="39" spans="2:22" x14ac:dyDescent="0.25">
      <c r="B39" s="10" t="s">
        <v>38</v>
      </c>
      <c r="C39" s="92">
        <f>951124-733091</f>
        <v>218033</v>
      </c>
      <c r="D39" s="94">
        <f t="shared" si="4"/>
        <v>8.8924516755146087E-3</v>
      </c>
      <c r="E39" s="178"/>
      <c r="F39" s="178"/>
      <c r="G39" s="179"/>
      <c r="H39" s="179"/>
    </row>
    <row r="40" spans="2:22" x14ac:dyDescent="0.25">
      <c r="B40" s="10" t="s">
        <v>39</v>
      </c>
      <c r="C40" s="92"/>
      <c r="D40" s="94">
        <f>+C40/C$31</f>
        <v>0</v>
      </c>
      <c r="E40" s="178"/>
      <c r="F40" s="178"/>
      <c r="G40" s="179"/>
      <c r="H40" s="179"/>
    </row>
    <row r="41" spans="2:22" x14ac:dyDescent="0.25">
      <c r="B41" s="86" t="s">
        <v>183</v>
      </c>
      <c r="C41" s="92"/>
      <c r="D41" s="94">
        <f>+C41/C$31</f>
        <v>0</v>
      </c>
      <c r="E41" s="178"/>
      <c r="F41" s="178"/>
      <c r="G41" s="179"/>
      <c r="H41" s="179"/>
    </row>
    <row r="42" spans="2:22" x14ac:dyDescent="0.25">
      <c r="B42" s="86" t="s">
        <v>184</v>
      </c>
      <c r="C42" s="92"/>
      <c r="D42" s="94">
        <f t="shared" ref="D42:D43" si="5">+C42/C$31</f>
        <v>0</v>
      </c>
      <c r="E42" s="178"/>
      <c r="F42" s="178"/>
      <c r="G42" s="179"/>
      <c r="H42" s="179"/>
    </row>
    <row r="43" spans="2:22" x14ac:dyDescent="0.25">
      <c r="B43" s="86" t="s">
        <v>185</v>
      </c>
      <c r="C43" s="92"/>
      <c r="D43" s="94">
        <f t="shared" si="5"/>
        <v>0</v>
      </c>
      <c r="E43" s="178"/>
      <c r="F43" s="178"/>
      <c r="G43" s="179"/>
      <c r="H43" s="179"/>
    </row>
    <row r="44" spans="2:22" x14ac:dyDescent="0.25">
      <c r="B44" s="86" t="s">
        <v>186</v>
      </c>
      <c r="C44" s="92"/>
      <c r="D44" s="94">
        <f t="shared" si="4"/>
        <v>0</v>
      </c>
      <c r="E44" s="178"/>
      <c r="F44" s="178"/>
      <c r="G44" s="179"/>
      <c r="H44" s="179"/>
    </row>
    <row r="45" spans="2:22" x14ac:dyDescent="0.25">
      <c r="B45" s="86" t="s">
        <v>230</v>
      </c>
      <c r="C45" s="92">
        <f>1010356-895131</f>
        <v>115225</v>
      </c>
      <c r="D45" s="94">
        <f t="shared" si="4"/>
        <v>4.69943882032156E-3</v>
      </c>
      <c r="E45" s="178"/>
      <c r="F45" s="178"/>
      <c r="G45" s="179"/>
      <c r="H45" s="179"/>
    </row>
    <row r="46" spans="2:22" x14ac:dyDescent="0.25">
      <c r="B46" s="11" t="s">
        <v>158</v>
      </c>
      <c r="C46" s="12">
        <f>SUM(C31:C45)</f>
        <v>27444247.18</v>
      </c>
      <c r="D46" s="13">
        <f>SUM(D32:D45)</f>
        <v>0.1193105714228033</v>
      </c>
      <c r="E46" s="178"/>
      <c r="F46" s="178"/>
      <c r="G46" s="179"/>
      <c r="H46" s="179"/>
    </row>
    <row r="47" spans="2:22" x14ac:dyDescent="0.25">
      <c r="B47" s="84"/>
      <c r="C47" s="84"/>
      <c r="D47" s="77"/>
      <c r="E47" s="77"/>
    </row>
    <row r="48" spans="2:22" x14ac:dyDescent="0.25">
      <c r="B48" s="29" t="s">
        <v>159</v>
      </c>
      <c r="C48" s="64">
        <f>+C46-C31</f>
        <v>2925362.1799999997</v>
      </c>
      <c r="D48" s="77"/>
      <c r="E48" s="77"/>
    </row>
    <row r="49" spans="1:23" x14ac:dyDescent="0.25">
      <c r="B49" s="53" t="s">
        <v>160</v>
      </c>
      <c r="C49" s="54">
        <f>(C48)/C31</f>
        <v>0.11931057142280327</v>
      </c>
      <c r="D49" s="77"/>
      <c r="E49" s="77"/>
    </row>
    <row r="50" spans="1:23" x14ac:dyDescent="0.25">
      <c r="B50" s="114"/>
      <c r="C50" s="114"/>
      <c r="D50" s="59"/>
      <c r="E50" s="59"/>
      <c r="F50" s="59"/>
      <c r="G50" s="59"/>
      <c r="H50" s="59"/>
      <c r="O50" s="22"/>
      <c r="P50" s="23"/>
    </row>
    <row r="52" spans="1:23" ht="18.75" x14ac:dyDescent="0.3">
      <c r="B52" s="239" t="s">
        <v>40</v>
      </c>
      <c r="C52" s="240"/>
      <c r="D52" s="240"/>
      <c r="E52" s="240"/>
      <c r="F52" s="240"/>
      <c r="G52" s="240"/>
      <c r="H52" s="240"/>
      <c r="I52" s="240"/>
      <c r="J52" s="240"/>
      <c r="K52" s="240"/>
      <c r="L52" s="240"/>
      <c r="M52" s="240"/>
      <c r="N52" s="240"/>
      <c r="O52" s="241"/>
      <c r="V52" s="22"/>
      <c r="W52" s="23"/>
    </row>
    <row r="53" spans="1:23" x14ac:dyDescent="0.25">
      <c r="B53" s="17"/>
    </row>
    <row r="54" spans="1:23" ht="18.75" x14ac:dyDescent="0.3">
      <c r="B54" s="95" t="s">
        <v>162</v>
      </c>
      <c r="C54" s="4"/>
    </row>
    <row r="55" spans="1:23" ht="18.75" x14ac:dyDescent="0.3">
      <c r="B55" s="95"/>
      <c r="C55" s="4"/>
    </row>
    <row r="56" spans="1:23" ht="18.75" x14ac:dyDescent="0.3">
      <c r="B56" s="95" t="s">
        <v>41</v>
      </c>
      <c r="C56" s="136" t="s">
        <v>226</v>
      </c>
    </row>
    <row r="57" spans="1:23" s="85" customFormat="1" ht="30" x14ac:dyDescent="0.25">
      <c r="B57" s="96" t="s">
        <v>12</v>
      </c>
      <c r="C57" s="96" t="s">
        <v>13</v>
      </c>
      <c r="D57" s="96" t="s">
        <v>14</v>
      </c>
      <c r="E57" s="96" t="s">
        <v>15</v>
      </c>
      <c r="F57" s="96" t="s">
        <v>16</v>
      </c>
      <c r="G57" s="96" t="s">
        <v>17</v>
      </c>
      <c r="H57" s="96" t="s">
        <v>18</v>
      </c>
    </row>
    <row r="58" spans="1:23" x14ac:dyDescent="0.25">
      <c r="B58" s="5" t="s">
        <v>163</v>
      </c>
      <c r="C58" s="87">
        <f>SUM(D58:H58)</f>
        <v>23917239</v>
      </c>
      <c r="D58" s="224">
        <v>13393545</v>
      </c>
      <c r="E58" s="87">
        <v>1746753</v>
      </c>
      <c r="F58" s="87">
        <f>9589146-G58-608437-203768</f>
        <v>8103642</v>
      </c>
      <c r="G58" s="87">
        <v>673299</v>
      </c>
      <c r="H58" s="93"/>
    </row>
    <row r="59" spans="1:23" ht="14.45" customHeight="1" x14ac:dyDescent="0.25">
      <c r="A59" s="234"/>
      <c r="B59" s="8" t="s">
        <v>19</v>
      </c>
      <c r="C59" s="87">
        <f>SUM(D59:H59)</f>
        <v>1208344</v>
      </c>
      <c r="D59" s="225">
        <v>676915</v>
      </c>
      <c r="E59" s="226">
        <v>89365</v>
      </c>
      <c r="F59" s="227">
        <v>408512</v>
      </c>
      <c r="G59" s="227">
        <v>33552</v>
      </c>
      <c r="H59" s="90"/>
      <c r="L59" s="22"/>
      <c r="M59" s="23"/>
    </row>
    <row r="60" spans="1:23" x14ac:dyDescent="0.25">
      <c r="A60" s="234"/>
      <c r="B60" s="8" t="s">
        <v>20</v>
      </c>
      <c r="C60" s="87">
        <f>SUM(D60:H60)</f>
        <v>0</v>
      </c>
      <c r="D60" s="225"/>
      <c r="E60" s="226"/>
      <c r="F60" s="227"/>
      <c r="G60" s="227"/>
      <c r="H60" s="90"/>
      <c r="L60" s="22"/>
      <c r="M60" s="23"/>
    </row>
    <row r="61" spans="1:23" x14ac:dyDescent="0.25">
      <c r="A61" s="234"/>
      <c r="B61" s="8" t="s">
        <v>21</v>
      </c>
      <c r="C61" s="87">
        <f>SUM(D61:H61)</f>
        <v>292082</v>
      </c>
      <c r="D61" s="225">
        <v>144766</v>
      </c>
      <c r="E61" s="226">
        <v>40552</v>
      </c>
      <c r="F61" s="227">
        <v>109017</v>
      </c>
      <c r="G61" s="227">
        <v>-2253</v>
      </c>
      <c r="H61" s="90"/>
      <c r="L61" s="22"/>
      <c r="M61" s="23"/>
    </row>
    <row r="62" spans="1:23" x14ac:dyDescent="0.25">
      <c r="A62" s="234"/>
      <c r="B62" s="8" t="s">
        <v>22</v>
      </c>
      <c r="C62" s="87">
        <f t="shared" ref="C62:C69" si="6">SUM(D62:H62)</f>
        <v>0</v>
      </c>
      <c r="D62" s="225"/>
      <c r="E62" s="226"/>
      <c r="F62" s="227"/>
      <c r="G62" s="227"/>
      <c r="H62" s="90"/>
      <c r="L62" s="22"/>
      <c r="M62" s="23"/>
    </row>
    <row r="63" spans="1:23" x14ac:dyDescent="0.25">
      <c r="B63" s="10" t="s">
        <v>23</v>
      </c>
      <c r="C63" s="87">
        <f t="shared" si="6"/>
        <v>0</v>
      </c>
      <c r="D63" s="225"/>
      <c r="E63" s="226"/>
      <c r="F63" s="228"/>
      <c r="G63" s="228"/>
      <c r="H63" s="91"/>
      <c r="L63" s="22"/>
      <c r="M63" s="23"/>
    </row>
    <row r="64" spans="1:23" x14ac:dyDescent="0.25">
      <c r="B64" s="10" t="s">
        <v>24</v>
      </c>
      <c r="C64" s="87">
        <f t="shared" si="6"/>
        <v>0</v>
      </c>
      <c r="D64" s="225"/>
      <c r="E64" s="226"/>
      <c r="F64" s="227"/>
      <c r="G64" s="227"/>
      <c r="H64" s="90"/>
      <c r="L64" s="22"/>
      <c r="M64" s="23"/>
    </row>
    <row r="65" spans="2:23" x14ac:dyDescent="0.25">
      <c r="B65" s="10" t="s">
        <v>25</v>
      </c>
      <c r="C65" s="87">
        <f t="shared" si="6"/>
        <v>0</v>
      </c>
      <c r="D65" s="225"/>
      <c r="E65" s="226"/>
      <c r="F65" s="227"/>
      <c r="G65" s="227"/>
      <c r="H65" s="90"/>
      <c r="L65" s="22"/>
      <c r="M65" s="23"/>
    </row>
    <row r="66" spans="2:23" x14ac:dyDescent="0.25">
      <c r="B66" s="10" t="s">
        <v>26</v>
      </c>
      <c r="C66" s="87">
        <f t="shared" si="6"/>
        <v>-42410</v>
      </c>
      <c r="D66" s="225"/>
      <c r="E66" s="226"/>
      <c r="F66" s="227">
        <v>-42410</v>
      </c>
      <c r="G66" s="227"/>
      <c r="H66" s="90"/>
      <c r="L66" s="22"/>
      <c r="M66" s="23"/>
    </row>
    <row r="67" spans="2:23" x14ac:dyDescent="0.25">
      <c r="B67" s="86" t="s">
        <v>27</v>
      </c>
      <c r="C67" s="87">
        <f t="shared" si="6"/>
        <v>0</v>
      </c>
      <c r="D67" s="225"/>
      <c r="E67" s="226"/>
      <c r="F67" s="228"/>
      <c r="G67" s="228"/>
      <c r="H67" s="91"/>
      <c r="L67" s="22"/>
      <c r="M67" s="23"/>
    </row>
    <row r="68" spans="2:23" x14ac:dyDescent="0.25">
      <c r="B68" s="86" t="s">
        <v>27</v>
      </c>
      <c r="C68" s="87">
        <f t="shared" si="6"/>
        <v>0</v>
      </c>
      <c r="D68" s="225"/>
      <c r="E68" s="226"/>
      <c r="F68" s="228"/>
      <c r="G68" s="228"/>
      <c r="H68" s="91"/>
      <c r="L68" s="22"/>
      <c r="M68" s="23"/>
    </row>
    <row r="69" spans="2:23" x14ac:dyDescent="0.25">
      <c r="B69" s="86" t="s">
        <v>27</v>
      </c>
      <c r="C69" s="87">
        <f t="shared" si="6"/>
        <v>0</v>
      </c>
      <c r="D69" s="88"/>
      <c r="E69" s="89"/>
      <c r="F69" s="91"/>
      <c r="G69" s="91"/>
      <c r="H69" s="91"/>
      <c r="L69" s="22"/>
      <c r="M69" s="23"/>
    </row>
    <row r="70" spans="2:23" x14ac:dyDescent="0.25">
      <c r="B70" s="11" t="s">
        <v>158</v>
      </c>
      <c r="C70" s="6">
        <f t="shared" ref="C70:H70" si="7">SUM(C58:C69)</f>
        <v>25375255</v>
      </c>
      <c r="D70" s="52">
        <f t="shared" si="7"/>
        <v>14215226</v>
      </c>
      <c r="E70" s="52">
        <f t="shared" si="7"/>
        <v>1876670</v>
      </c>
      <c r="F70" s="52">
        <f t="shared" si="7"/>
        <v>8578761</v>
      </c>
      <c r="G70" s="52">
        <f t="shared" si="7"/>
        <v>704598</v>
      </c>
      <c r="H70" s="52">
        <f t="shared" si="7"/>
        <v>0</v>
      </c>
      <c r="L70" s="22"/>
      <c r="M70" s="23"/>
    </row>
    <row r="71" spans="2:23" x14ac:dyDescent="0.25">
      <c r="L71" s="22"/>
      <c r="M71" s="23"/>
    </row>
    <row r="72" spans="2:23" x14ac:dyDescent="0.25">
      <c r="B72" s="29" t="s">
        <v>166</v>
      </c>
      <c r="C72" s="64">
        <f>+C70-C58</f>
        <v>1458016</v>
      </c>
      <c r="D72" s="64">
        <f t="shared" ref="D72:E72" si="8">+D70-D58</f>
        <v>821681</v>
      </c>
      <c r="E72" s="64">
        <f t="shared" si="8"/>
        <v>129917</v>
      </c>
      <c r="F72" s="19">
        <f>+F70-F58</f>
        <v>475119</v>
      </c>
      <c r="G72" s="19">
        <f>+G70-G58</f>
        <v>31299</v>
      </c>
      <c r="H72" s="19">
        <f>+H70-H58</f>
        <v>0</v>
      </c>
      <c r="L72" s="22"/>
      <c r="M72" s="23"/>
    </row>
    <row r="73" spans="2:23" x14ac:dyDescent="0.25">
      <c r="B73" s="53" t="s">
        <v>165</v>
      </c>
      <c r="C73" s="54">
        <f>(C72)/C58</f>
        <v>6.0960882650376157E-2</v>
      </c>
      <c r="D73" s="54">
        <f t="shared" ref="D73:H73" si="9">(D72)/D58</f>
        <v>6.1349030447129568E-2</v>
      </c>
      <c r="E73" s="54">
        <f t="shared" si="9"/>
        <v>7.437628559962399E-2</v>
      </c>
      <c r="F73" s="54">
        <f t="shared" si="9"/>
        <v>5.8630304744459343E-2</v>
      </c>
      <c r="G73" s="54">
        <f t="shared" si="9"/>
        <v>4.6486033693797259E-2</v>
      </c>
      <c r="H73" s="54" t="e">
        <f t="shared" si="9"/>
        <v>#DIV/0!</v>
      </c>
      <c r="L73" s="22"/>
      <c r="M73" s="23"/>
    </row>
    <row r="74" spans="2:23" x14ac:dyDescent="0.25">
      <c r="B74" s="114"/>
      <c r="C74" s="114"/>
      <c r="D74" s="114"/>
      <c r="E74" s="114"/>
      <c r="F74" s="114"/>
      <c r="G74" s="114"/>
      <c r="H74" s="114"/>
      <c r="I74" s="114"/>
      <c r="J74" s="114"/>
      <c r="K74" s="23"/>
      <c r="L74" s="23"/>
      <c r="M74" s="14"/>
      <c r="N74" s="24"/>
      <c r="V74" s="22"/>
      <c r="W74" s="23"/>
    </row>
    <row r="75" spans="2:23" ht="19.899999999999999" customHeight="1" x14ac:dyDescent="0.3">
      <c r="B75" s="95" t="s">
        <v>164</v>
      </c>
      <c r="C75" s="4"/>
      <c r="D75" s="15"/>
      <c r="E75" s="15"/>
      <c r="V75" s="22"/>
      <c r="W75" s="23"/>
    </row>
    <row r="76" spans="2:23" ht="18.75" x14ac:dyDescent="0.3">
      <c r="B76" s="95"/>
      <c r="C76" s="4"/>
      <c r="D76" s="15"/>
      <c r="E76" s="15"/>
      <c r="V76" s="22"/>
      <c r="W76" s="23"/>
    </row>
    <row r="77" spans="2:23" x14ac:dyDescent="0.25">
      <c r="B77" s="97" t="s">
        <v>28</v>
      </c>
      <c r="C77" s="97" t="s">
        <v>29</v>
      </c>
      <c r="D77" s="97" t="s">
        <v>30</v>
      </c>
      <c r="E77" s="60"/>
      <c r="V77" s="22"/>
      <c r="W77" s="23"/>
    </row>
    <row r="78" spans="2:23" x14ac:dyDescent="0.25">
      <c r="B78" s="5" t="s">
        <v>163</v>
      </c>
      <c r="C78" s="87">
        <v>25653252</v>
      </c>
      <c r="D78" s="7"/>
      <c r="E78" s="59"/>
      <c r="V78" s="22"/>
      <c r="W78" s="23"/>
    </row>
    <row r="79" spans="2:23" x14ac:dyDescent="0.25">
      <c r="B79" s="8" t="s">
        <v>31</v>
      </c>
      <c r="C79" s="92">
        <v>743422</v>
      </c>
      <c r="D79" s="9">
        <f>+C79/C$31</f>
        <v>3.0320383655292646E-2</v>
      </c>
      <c r="E79" s="61"/>
      <c r="V79" s="22"/>
    </row>
    <row r="80" spans="2:23" x14ac:dyDescent="0.25">
      <c r="B80" s="10" t="s">
        <v>32</v>
      </c>
      <c r="C80" s="92">
        <v>341975</v>
      </c>
      <c r="D80" s="9">
        <f t="shared" ref="D80:D92" si="10">+C80/C$31</f>
        <v>1.3947412372136824E-2</v>
      </c>
      <c r="E80" s="61"/>
      <c r="V80" s="22"/>
    </row>
    <row r="81" spans="2:22" x14ac:dyDescent="0.25">
      <c r="B81" s="10" t="s">
        <v>33</v>
      </c>
      <c r="C81" s="92">
        <f>13707423+1866201-12329249-1614156-561987</f>
        <v>1068232</v>
      </c>
      <c r="D81" s="9">
        <f t="shared" si="10"/>
        <v>4.3567723409934832E-2</v>
      </c>
      <c r="E81" s="61"/>
      <c r="V81" s="22"/>
    </row>
    <row r="82" spans="2:22" x14ac:dyDescent="0.25">
      <c r="B82" s="10" t="s">
        <v>34</v>
      </c>
      <c r="C82" s="92">
        <v>633226</v>
      </c>
      <c r="D82" s="9">
        <f t="shared" si="10"/>
        <v>2.5826052041110353E-2</v>
      </c>
      <c r="E82" s="61"/>
      <c r="V82" s="22"/>
    </row>
    <row r="83" spans="2:22" x14ac:dyDescent="0.25">
      <c r="B83" s="10" t="s">
        <v>35</v>
      </c>
      <c r="C83" s="92">
        <v>-1150029</v>
      </c>
      <c r="D83" s="9">
        <f t="shared" si="10"/>
        <v>-4.6903804965030015E-2</v>
      </c>
      <c r="E83" s="61"/>
      <c r="V83" s="22"/>
    </row>
    <row r="84" spans="2:22" x14ac:dyDescent="0.25">
      <c r="B84" s="10" t="s">
        <v>36</v>
      </c>
      <c r="C84" s="92"/>
      <c r="D84" s="9">
        <f t="shared" si="10"/>
        <v>0</v>
      </c>
      <c r="E84" s="61"/>
      <c r="V84" s="22"/>
    </row>
    <row r="85" spans="2:22" x14ac:dyDescent="0.25">
      <c r="B85" s="10" t="s">
        <v>37</v>
      </c>
      <c r="C85" s="92"/>
      <c r="D85" s="9">
        <f t="shared" si="10"/>
        <v>0</v>
      </c>
      <c r="E85" s="61"/>
    </row>
    <row r="86" spans="2:22" x14ac:dyDescent="0.25">
      <c r="B86" s="10" t="s">
        <v>38</v>
      </c>
      <c r="C86" s="92">
        <f>951124-892623</f>
        <v>58501</v>
      </c>
      <c r="D86" s="9">
        <f t="shared" si="10"/>
        <v>2.3859567839239018E-3</v>
      </c>
      <c r="E86" s="61"/>
    </row>
    <row r="87" spans="2:22" x14ac:dyDescent="0.25">
      <c r="B87" s="10" t="s">
        <v>39</v>
      </c>
      <c r="C87" s="92"/>
      <c r="D87" s="9">
        <f t="shared" si="10"/>
        <v>0</v>
      </c>
      <c r="E87" s="61"/>
    </row>
    <row r="88" spans="2:22" x14ac:dyDescent="0.25">
      <c r="B88" s="86" t="s">
        <v>183</v>
      </c>
      <c r="C88" s="92"/>
      <c r="D88" s="9">
        <f t="shared" ref="D88:D89" si="11">+C88/C$31</f>
        <v>0</v>
      </c>
      <c r="E88" s="61"/>
    </row>
    <row r="89" spans="2:22" x14ac:dyDescent="0.25">
      <c r="B89" s="86" t="s">
        <v>184</v>
      </c>
      <c r="C89" s="92"/>
      <c r="D89" s="9">
        <f t="shared" si="11"/>
        <v>0</v>
      </c>
      <c r="E89" s="61"/>
    </row>
    <row r="90" spans="2:22" x14ac:dyDescent="0.25">
      <c r="B90" s="86" t="s">
        <v>185</v>
      </c>
      <c r="C90" s="92"/>
      <c r="D90" s="9">
        <f t="shared" si="10"/>
        <v>0</v>
      </c>
      <c r="E90" s="61"/>
    </row>
    <row r="91" spans="2:22" x14ac:dyDescent="0.25">
      <c r="B91" s="86" t="s">
        <v>186</v>
      </c>
      <c r="C91" s="92"/>
      <c r="D91" s="9">
        <f t="shared" ref="D91" si="12">+C91/C$31</f>
        <v>0</v>
      </c>
      <c r="E91" s="61"/>
    </row>
    <row r="92" spans="2:22" x14ac:dyDescent="0.25">
      <c r="B92" s="86" t="s">
        <v>230</v>
      </c>
      <c r="C92" s="92">
        <f>1010356-914688</f>
        <v>95668</v>
      </c>
      <c r="D92" s="9">
        <f t="shared" si="10"/>
        <v>3.9018087486441572E-3</v>
      </c>
      <c r="E92" s="61"/>
    </row>
    <row r="93" spans="2:22" x14ac:dyDescent="0.25">
      <c r="B93" s="11" t="s">
        <v>158</v>
      </c>
      <c r="C93" s="12">
        <f>SUM(C78:C92)</f>
        <v>27444247</v>
      </c>
      <c r="D93" s="13">
        <f>SUM(D79:D92)</f>
        <v>7.3045532046012704E-2</v>
      </c>
      <c r="E93" s="61"/>
    </row>
    <row r="94" spans="2:22" x14ac:dyDescent="0.25">
      <c r="E94" s="56"/>
    </row>
    <row r="95" spans="2:22" x14ac:dyDescent="0.25">
      <c r="B95" s="29" t="s">
        <v>166</v>
      </c>
      <c r="C95" s="64">
        <f>+C93-C78</f>
        <v>1790995</v>
      </c>
      <c r="E95" s="56"/>
    </row>
    <row r="96" spans="2:22" x14ac:dyDescent="0.25">
      <c r="B96" s="53" t="s">
        <v>165</v>
      </c>
      <c r="C96" s="54">
        <f>(C95)/C78</f>
        <v>6.9815515007609949E-2</v>
      </c>
      <c r="E96" s="56"/>
    </row>
    <row r="97" spans="2:16" x14ac:dyDescent="0.25">
      <c r="B97" s="114"/>
      <c r="C97" s="114"/>
      <c r="D97" s="59"/>
      <c r="E97" s="59"/>
      <c r="F97" s="59"/>
      <c r="G97" s="59"/>
      <c r="H97" s="59"/>
      <c r="O97" s="22"/>
      <c r="P97" s="23"/>
    </row>
  </sheetData>
  <mergeCells count="7">
    <mergeCell ref="A59:A62"/>
    <mergeCell ref="B2:O2"/>
    <mergeCell ref="B3:O3"/>
    <mergeCell ref="B6:O6"/>
    <mergeCell ref="B4:O4"/>
    <mergeCell ref="B52:O52"/>
    <mergeCell ref="A12:A19"/>
  </mergeCells>
  <pageMargins left="0.7" right="0.7" top="0.5" bottom="0.5" header="0.3" footer="0.3"/>
  <pageSetup scale="48" fitToHeight="4" orientation="landscape" r:id="rId1"/>
  <headerFooter>
    <oddFooter>&amp;L&amp;D&amp;R&amp;F,&amp;A</oddFooter>
  </headerFooter>
  <rowBreaks count="1" manualBreakCount="1">
    <brk id="5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87"/>
  <sheetViews>
    <sheetView showGridLines="0" topLeftCell="A57" zoomScale="90" zoomScaleNormal="90" workbookViewId="0">
      <selection activeCell="R16" sqref="R16"/>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2" customWidth="1"/>
    <col min="9" max="11" width="17.7109375" style="1" customWidth="1"/>
    <col min="12" max="16384" width="8.85546875" style="1"/>
  </cols>
  <sheetData>
    <row r="2" spans="2:9" x14ac:dyDescent="0.25">
      <c r="B2" s="235" t="s">
        <v>42</v>
      </c>
      <c r="C2" s="235"/>
      <c r="D2" s="235"/>
      <c r="E2" s="235"/>
      <c r="F2" s="235"/>
      <c r="G2" s="235"/>
      <c r="H2" s="235"/>
      <c r="I2" s="235"/>
    </row>
    <row r="3" spans="2:9" ht="18.75" x14ac:dyDescent="0.3">
      <c r="B3" s="247" t="s">
        <v>9</v>
      </c>
      <c r="C3" s="248"/>
      <c r="D3" s="248"/>
      <c r="E3" s="248"/>
      <c r="F3" s="248"/>
      <c r="G3" s="248"/>
      <c r="H3" s="248"/>
      <c r="I3" s="249"/>
    </row>
    <row r="4" spans="2:9" ht="18.75" x14ac:dyDescent="0.3">
      <c r="B4" s="250" t="s">
        <v>43</v>
      </c>
      <c r="C4" s="251"/>
      <c r="D4" s="251"/>
      <c r="E4" s="251"/>
      <c r="F4" s="251"/>
      <c r="G4" s="251"/>
      <c r="H4" s="251"/>
      <c r="I4" s="252"/>
    </row>
    <row r="5" spans="2:9" ht="34.9" customHeight="1" x14ac:dyDescent="0.25">
      <c r="B5" s="246" t="s">
        <v>44</v>
      </c>
      <c r="C5" s="246"/>
      <c r="D5" s="246"/>
      <c r="E5" s="246"/>
      <c r="F5" s="246"/>
      <c r="G5" s="246"/>
      <c r="H5" s="115"/>
    </row>
    <row r="6" spans="2:9" x14ac:dyDescent="0.25">
      <c r="B6" s="116"/>
      <c r="C6" s="116"/>
      <c r="D6" s="116"/>
      <c r="E6" s="116"/>
      <c r="F6" s="116"/>
      <c r="G6" s="116"/>
      <c r="H6" s="115"/>
    </row>
    <row r="7" spans="2:9" ht="29.45" customHeight="1" x14ac:dyDescent="0.25">
      <c r="B7" s="256" t="s">
        <v>181</v>
      </c>
      <c r="C7" s="257"/>
      <c r="D7" s="257"/>
      <c r="E7" s="257"/>
      <c r="F7" s="258"/>
      <c r="H7" s="1"/>
    </row>
    <row r="8" spans="2:9" x14ac:dyDescent="0.25">
      <c r="B8" s="259" t="s">
        <v>45</v>
      </c>
      <c r="C8" s="260"/>
      <c r="D8" s="260"/>
      <c r="E8" s="260"/>
      <c r="F8" s="261"/>
      <c r="H8" s="1"/>
    </row>
    <row r="9" spans="2:9" ht="42.75" customHeight="1" x14ac:dyDescent="0.25">
      <c r="B9" s="3" t="s">
        <v>46</v>
      </c>
      <c r="C9" s="48" t="s">
        <v>47</v>
      </c>
      <c r="D9" s="48" t="s">
        <v>48</v>
      </c>
      <c r="E9" s="48" t="s">
        <v>167</v>
      </c>
      <c r="F9" s="48" t="s">
        <v>168</v>
      </c>
      <c r="H9" s="1"/>
    </row>
    <row r="10" spans="2:9" x14ac:dyDescent="0.25">
      <c r="B10" s="3"/>
      <c r="C10" s="3"/>
      <c r="D10" s="48"/>
      <c r="E10" s="3"/>
      <c r="F10" s="48"/>
      <c r="H10" s="1"/>
    </row>
    <row r="11" spans="2:9" x14ac:dyDescent="0.25">
      <c r="B11" s="3" t="s">
        <v>49</v>
      </c>
      <c r="C11" s="137">
        <v>453045</v>
      </c>
      <c r="D11" s="49">
        <v>0.05</v>
      </c>
      <c r="E11" s="137">
        <v>450983</v>
      </c>
      <c r="F11" s="49">
        <v>0.05</v>
      </c>
      <c r="H11" s="1"/>
    </row>
    <row r="12" spans="2:9" x14ac:dyDescent="0.25">
      <c r="B12" s="3" t="s">
        <v>50</v>
      </c>
      <c r="C12" s="137">
        <v>708541</v>
      </c>
      <c r="D12" s="49">
        <v>0.05</v>
      </c>
      <c r="E12" s="137">
        <v>1151809</v>
      </c>
      <c r="F12" s="49">
        <v>0.05</v>
      </c>
      <c r="H12" s="1"/>
    </row>
    <row r="13" spans="2:9" x14ac:dyDescent="0.25">
      <c r="B13" s="3" t="s">
        <v>51</v>
      </c>
      <c r="C13" s="137">
        <v>40132</v>
      </c>
      <c r="D13" s="49">
        <v>0.05</v>
      </c>
      <c r="E13" s="137">
        <v>295337</v>
      </c>
      <c r="F13" s="49">
        <v>0.05</v>
      </c>
      <c r="H13" s="1"/>
    </row>
    <row r="14" spans="2:9" x14ac:dyDescent="0.25">
      <c r="B14" s="3" t="s">
        <v>27</v>
      </c>
      <c r="C14" s="137">
        <v>0</v>
      </c>
      <c r="D14" s="49">
        <v>0.05</v>
      </c>
      <c r="E14" s="137">
        <v>0</v>
      </c>
      <c r="F14" s="49">
        <v>0.05</v>
      </c>
      <c r="H14" s="1"/>
    </row>
    <row r="15" spans="2:9" ht="30" x14ac:dyDescent="0.25">
      <c r="B15" s="58" t="s">
        <v>52</v>
      </c>
      <c r="C15" s="138">
        <f>SUM(C11:C14)</f>
        <v>1201718</v>
      </c>
      <c r="D15" s="184">
        <v>0.05</v>
      </c>
      <c r="E15" s="138">
        <f>SUM(E11:E14)</f>
        <v>1898129</v>
      </c>
      <c r="F15" s="184">
        <v>0.05</v>
      </c>
      <c r="H15" s="1"/>
    </row>
    <row r="16" spans="2:9" s="62" customFormat="1" x14ac:dyDescent="0.25">
      <c r="B16" s="117"/>
      <c r="C16" s="63"/>
      <c r="D16" s="63"/>
      <c r="E16" s="63"/>
      <c r="F16" s="63"/>
      <c r="G16" s="63"/>
      <c r="H16" s="63"/>
    </row>
    <row r="17" spans="2:11" s="62" customFormat="1" hidden="1" x14ac:dyDescent="0.25">
      <c r="B17" s="256" t="s">
        <v>191</v>
      </c>
      <c r="C17" s="257"/>
      <c r="D17" s="257"/>
      <c r="E17" s="257"/>
      <c r="F17" s="258"/>
      <c r="G17" s="185"/>
      <c r="H17" s="185"/>
      <c r="I17" s="108"/>
      <c r="J17" s="108"/>
      <c r="K17" s="108"/>
    </row>
    <row r="18" spans="2:11" s="62" customFormat="1" hidden="1" x14ac:dyDescent="0.25">
      <c r="B18" s="259" t="s">
        <v>201</v>
      </c>
      <c r="C18" s="260"/>
      <c r="D18" s="260"/>
      <c r="E18" s="260"/>
      <c r="F18" s="261"/>
      <c r="G18" s="185"/>
      <c r="H18" s="185"/>
      <c r="I18" s="108"/>
      <c r="J18" s="108"/>
      <c r="K18" s="108"/>
    </row>
    <row r="19" spans="2:11" s="62" customFormat="1" hidden="1" x14ac:dyDescent="0.25">
      <c r="B19" s="3" t="s">
        <v>46</v>
      </c>
      <c r="C19" s="48" t="s">
        <v>192</v>
      </c>
      <c r="D19" s="48" t="s">
        <v>193</v>
      </c>
      <c r="E19" s="48" t="s">
        <v>194</v>
      </c>
      <c r="F19" s="48" t="s">
        <v>195</v>
      </c>
      <c r="G19" s="185"/>
      <c r="H19" s="185"/>
      <c r="I19" s="108"/>
      <c r="J19" s="108"/>
      <c r="K19" s="108"/>
    </row>
    <row r="20" spans="2:11" s="62" customFormat="1" hidden="1" x14ac:dyDescent="0.25">
      <c r="B20" s="3"/>
      <c r="C20" s="3"/>
      <c r="D20" s="48"/>
      <c r="E20" s="3"/>
      <c r="F20" s="48"/>
      <c r="G20" s="185"/>
      <c r="H20" s="185"/>
      <c r="I20" s="108"/>
      <c r="J20" s="108"/>
      <c r="K20" s="108"/>
    </row>
    <row r="21" spans="2:11" s="62" customFormat="1" hidden="1" x14ac:dyDescent="0.25">
      <c r="B21" s="3" t="s">
        <v>49</v>
      </c>
      <c r="C21" s="137">
        <v>0</v>
      </c>
      <c r="D21" s="137">
        <v>0</v>
      </c>
      <c r="E21" s="137">
        <v>0</v>
      </c>
      <c r="F21" s="137">
        <v>0</v>
      </c>
      <c r="G21" s="185"/>
      <c r="H21" s="185"/>
      <c r="I21" s="108"/>
      <c r="J21" s="108"/>
      <c r="K21" s="108"/>
    </row>
    <row r="22" spans="2:11" s="62" customFormat="1" hidden="1" x14ac:dyDescent="0.25">
      <c r="B22" s="3" t="s">
        <v>50</v>
      </c>
      <c r="C22" s="137">
        <v>0</v>
      </c>
      <c r="D22" s="137">
        <v>0</v>
      </c>
      <c r="E22" s="137">
        <v>0</v>
      </c>
      <c r="F22" s="137">
        <v>0</v>
      </c>
      <c r="G22" s="185"/>
      <c r="H22" s="185"/>
      <c r="I22" s="108"/>
      <c r="J22" s="108"/>
      <c r="K22" s="108"/>
    </row>
    <row r="23" spans="2:11" s="62" customFormat="1" hidden="1" x14ac:dyDescent="0.25">
      <c r="B23" s="3" t="s">
        <v>51</v>
      </c>
      <c r="C23" s="137">
        <v>0</v>
      </c>
      <c r="D23" s="137">
        <v>0</v>
      </c>
      <c r="E23" s="137">
        <v>0</v>
      </c>
      <c r="F23" s="137">
        <v>0</v>
      </c>
      <c r="G23" s="185"/>
      <c r="H23" s="185"/>
      <c r="I23" s="108"/>
      <c r="J23" s="108"/>
      <c r="K23" s="108"/>
    </row>
    <row r="24" spans="2:11" s="62" customFormat="1" hidden="1" x14ac:dyDescent="0.25">
      <c r="B24" s="3" t="s">
        <v>27</v>
      </c>
      <c r="C24" s="137">
        <v>0</v>
      </c>
      <c r="D24" s="137">
        <v>0</v>
      </c>
      <c r="E24" s="137">
        <v>0</v>
      </c>
      <c r="F24" s="137">
        <v>0</v>
      </c>
      <c r="G24" s="185"/>
      <c r="H24" s="185"/>
      <c r="I24" s="108"/>
      <c r="J24" s="108"/>
      <c r="K24" s="108"/>
    </row>
    <row r="25" spans="2:11" s="62" customFormat="1" ht="30" hidden="1" x14ac:dyDescent="0.25">
      <c r="B25" s="58" t="s">
        <v>52</v>
      </c>
      <c r="C25" s="138">
        <f>SUM(C21:C24)</f>
        <v>0</v>
      </c>
      <c r="D25" s="138">
        <v>0</v>
      </c>
      <c r="E25" s="138">
        <f>SUM(E21:E24)</f>
        <v>0</v>
      </c>
      <c r="F25" s="138">
        <v>0</v>
      </c>
      <c r="G25" s="185"/>
      <c r="H25" s="185"/>
      <c r="I25" s="108"/>
      <c r="J25" s="108"/>
      <c r="K25" s="108"/>
    </row>
    <row r="26" spans="2:11" s="62" customFormat="1" hidden="1" x14ac:dyDescent="0.25">
      <c r="B26" s="117"/>
      <c r="C26" s="63"/>
      <c r="D26" s="63"/>
      <c r="E26" s="63"/>
      <c r="F26" s="63"/>
      <c r="G26" s="185"/>
      <c r="H26" s="185"/>
      <c r="I26" s="108"/>
      <c r="J26" s="108"/>
      <c r="K26" s="108"/>
    </row>
    <row r="27" spans="2:11" s="62" customFormat="1" hidden="1" x14ac:dyDescent="0.25">
      <c r="B27" s="256" t="s">
        <v>196</v>
      </c>
      <c r="C27" s="257"/>
      <c r="D27" s="257"/>
      <c r="E27" s="257"/>
      <c r="F27" s="258"/>
      <c r="G27" s="185"/>
      <c r="H27" s="185"/>
      <c r="I27" s="108"/>
      <c r="J27" s="108"/>
      <c r="K27" s="108"/>
    </row>
    <row r="28" spans="2:11" s="62" customFormat="1" hidden="1" x14ac:dyDescent="0.25">
      <c r="B28" s="259" t="s">
        <v>202</v>
      </c>
      <c r="C28" s="260"/>
      <c r="D28" s="260"/>
      <c r="E28" s="260"/>
      <c r="F28" s="261"/>
      <c r="G28" s="185"/>
      <c r="H28" s="185"/>
      <c r="I28" s="108"/>
      <c r="J28" s="108"/>
      <c r="K28" s="108"/>
    </row>
    <row r="29" spans="2:11" s="62" customFormat="1" hidden="1" x14ac:dyDescent="0.25">
      <c r="B29" s="3" t="s">
        <v>46</v>
      </c>
      <c r="C29" s="48" t="s">
        <v>197</v>
      </c>
      <c r="D29" s="48" t="s">
        <v>198</v>
      </c>
      <c r="E29" s="48" t="s">
        <v>199</v>
      </c>
      <c r="F29" s="48" t="s">
        <v>200</v>
      </c>
      <c r="G29" s="185"/>
      <c r="H29" s="185"/>
      <c r="I29" s="108"/>
      <c r="J29" s="108"/>
      <c r="K29" s="108"/>
    </row>
    <row r="30" spans="2:11" s="62" customFormat="1" hidden="1" x14ac:dyDescent="0.25">
      <c r="B30" s="3"/>
      <c r="C30" s="3"/>
      <c r="D30" s="48"/>
      <c r="E30" s="3"/>
      <c r="F30" s="48"/>
      <c r="G30" s="185"/>
      <c r="H30" s="185"/>
      <c r="I30" s="108"/>
      <c r="J30" s="108"/>
      <c r="K30" s="108"/>
    </row>
    <row r="31" spans="2:11" s="62" customFormat="1" hidden="1" x14ac:dyDescent="0.25">
      <c r="B31" s="3" t="s">
        <v>49</v>
      </c>
      <c r="C31" s="137">
        <v>0</v>
      </c>
      <c r="D31" s="137">
        <v>0</v>
      </c>
      <c r="E31" s="137">
        <v>0</v>
      </c>
      <c r="F31" s="137">
        <v>0</v>
      </c>
      <c r="G31" s="185"/>
      <c r="H31" s="185"/>
      <c r="I31" s="108"/>
      <c r="J31" s="108"/>
      <c r="K31" s="108"/>
    </row>
    <row r="32" spans="2:11" s="62" customFormat="1" hidden="1" x14ac:dyDescent="0.25">
      <c r="B32" s="3" t="s">
        <v>50</v>
      </c>
      <c r="C32" s="137">
        <v>0</v>
      </c>
      <c r="D32" s="137">
        <v>0</v>
      </c>
      <c r="E32" s="137">
        <v>0</v>
      </c>
      <c r="F32" s="137">
        <v>0</v>
      </c>
      <c r="G32" s="185"/>
      <c r="H32" s="185"/>
      <c r="I32" s="108"/>
      <c r="J32" s="108"/>
      <c r="K32" s="108"/>
    </row>
    <row r="33" spans="2:11" s="62" customFormat="1" hidden="1" x14ac:dyDescent="0.25">
      <c r="B33" s="3" t="s">
        <v>51</v>
      </c>
      <c r="C33" s="137">
        <v>0</v>
      </c>
      <c r="D33" s="137">
        <v>0</v>
      </c>
      <c r="E33" s="137">
        <v>0</v>
      </c>
      <c r="F33" s="137">
        <v>0</v>
      </c>
      <c r="G33" s="185"/>
      <c r="H33" s="185"/>
      <c r="I33" s="108"/>
      <c r="J33" s="108"/>
      <c r="K33" s="108"/>
    </row>
    <row r="34" spans="2:11" s="62" customFormat="1" hidden="1" x14ac:dyDescent="0.25">
      <c r="B34" s="3" t="s">
        <v>27</v>
      </c>
      <c r="C34" s="137">
        <v>0</v>
      </c>
      <c r="D34" s="137">
        <v>0</v>
      </c>
      <c r="E34" s="137">
        <v>0</v>
      </c>
      <c r="F34" s="137">
        <v>0</v>
      </c>
      <c r="G34" s="185"/>
      <c r="H34" s="185"/>
      <c r="I34" s="108"/>
      <c r="J34" s="108"/>
      <c r="K34" s="108"/>
    </row>
    <row r="35" spans="2:11" s="62" customFormat="1" ht="30" hidden="1" x14ac:dyDescent="0.25">
      <c r="B35" s="58" t="s">
        <v>52</v>
      </c>
      <c r="C35" s="138">
        <f>SUM(C31:C34)</f>
        <v>0</v>
      </c>
      <c r="D35" s="138">
        <v>0</v>
      </c>
      <c r="E35" s="138">
        <f>SUM(E31:E34)</f>
        <v>0</v>
      </c>
      <c r="F35" s="138">
        <v>0</v>
      </c>
      <c r="G35" s="185"/>
      <c r="H35" s="185"/>
      <c r="I35" s="108"/>
      <c r="J35" s="108"/>
      <c r="K35" s="108"/>
    </row>
    <row r="36" spans="2:11" s="62" customFormat="1" x14ac:dyDescent="0.25">
      <c r="B36" s="117"/>
      <c r="C36" s="63"/>
      <c r="D36" s="63"/>
      <c r="E36" s="63"/>
      <c r="F36" s="63"/>
      <c r="G36" s="63"/>
      <c r="H36" s="63"/>
    </row>
    <row r="37" spans="2:11" ht="45" customHeight="1" x14ac:dyDescent="0.25">
      <c r="B37" s="253" t="s">
        <v>53</v>
      </c>
      <c r="C37" s="254"/>
      <c r="D37" s="254"/>
      <c r="E37" s="254"/>
      <c r="F37" s="254"/>
      <c r="G37" s="254"/>
      <c r="H37" s="254"/>
      <c r="I37" s="254"/>
      <c r="J37" s="255"/>
    </row>
    <row r="38" spans="2:11" x14ac:dyDescent="0.25">
      <c r="B38" s="264" t="s">
        <v>54</v>
      </c>
      <c r="C38" s="265"/>
      <c r="D38" s="265"/>
      <c r="E38" s="265"/>
      <c r="F38" s="265"/>
      <c r="G38" s="265"/>
      <c r="H38" s="265"/>
      <c r="I38" s="265"/>
      <c r="J38" s="266"/>
    </row>
    <row r="39" spans="2:11" ht="42.75" customHeight="1" x14ac:dyDescent="0.25">
      <c r="B39" s="3" t="s">
        <v>46</v>
      </c>
      <c r="C39" s="48" t="s">
        <v>169</v>
      </c>
      <c r="D39" s="48" t="s">
        <v>55</v>
      </c>
      <c r="E39" s="48" t="s">
        <v>170</v>
      </c>
      <c r="F39" s="262" t="s">
        <v>56</v>
      </c>
      <c r="G39" s="263"/>
      <c r="H39" s="118" t="s">
        <v>57</v>
      </c>
      <c r="I39" s="118" t="s">
        <v>58</v>
      </c>
      <c r="J39" s="118" t="s">
        <v>59</v>
      </c>
    </row>
    <row r="40" spans="2:11" x14ac:dyDescent="0.25">
      <c r="B40" s="3"/>
      <c r="C40" s="48"/>
      <c r="D40" s="119"/>
      <c r="E40" s="48"/>
      <c r="F40" s="48" t="s">
        <v>60</v>
      </c>
      <c r="G40" s="48" t="s">
        <v>61</v>
      </c>
      <c r="H40" s="48"/>
      <c r="I40" s="48"/>
      <c r="J40" s="48"/>
    </row>
    <row r="41" spans="2:11" x14ac:dyDescent="0.25">
      <c r="B41" s="3" t="s">
        <v>49</v>
      </c>
      <c r="C41" s="120">
        <f>1571257+7926760</f>
        <v>9498017</v>
      </c>
      <c r="D41" s="121">
        <f>(E41/C41)-1</f>
        <v>-2.8812329984247986E-3</v>
      </c>
      <c r="E41" s="81">
        <f>1803437+7667214</f>
        <v>9470651</v>
      </c>
      <c r="F41" s="81">
        <f>276613+1481590</f>
        <v>1758203</v>
      </c>
      <c r="G41" s="81">
        <v>0</v>
      </c>
      <c r="H41" s="81">
        <v>14186</v>
      </c>
      <c r="I41" s="81">
        <f>214219+238633</f>
        <v>452852</v>
      </c>
      <c r="J41" s="81">
        <f>1312605+5932805</f>
        <v>7245410</v>
      </c>
    </row>
    <row r="42" spans="2:11" x14ac:dyDescent="0.25">
      <c r="B42" s="3" t="s">
        <v>50</v>
      </c>
      <c r="C42" s="120">
        <v>19429509</v>
      </c>
      <c r="D42" s="121">
        <f t="shared" ref="D42:D43" si="0">(E42/C42)-1</f>
        <v>0.21121197658674751</v>
      </c>
      <c r="E42" s="81">
        <v>23533254</v>
      </c>
      <c r="F42" s="81">
        <f>9746741+311782</f>
        <v>10058523</v>
      </c>
      <c r="G42" s="81">
        <v>0</v>
      </c>
      <c r="H42" s="81">
        <v>573401</v>
      </c>
      <c r="I42" s="81">
        <v>4587285</v>
      </c>
      <c r="J42" s="81">
        <v>8314045</v>
      </c>
      <c r="K42" s="113"/>
    </row>
    <row r="43" spans="2:11" x14ac:dyDescent="0.25">
      <c r="B43" s="3" t="s">
        <v>51</v>
      </c>
      <c r="C43" s="120">
        <v>5462035</v>
      </c>
      <c r="D43" s="121">
        <f t="shared" si="0"/>
        <v>0.28467375254827187</v>
      </c>
      <c r="E43" s="81">
        <v>7016933</v>
      </c>
      <c r="F43" s="81">
        <f>2884955+15659</f>
        <v>2900614</v>
      </c>
      <c r="G43" s="81">
        <v>0</v>
      </c>
      <c r="H43" s="81">
        <v>117011</v>
      </c>
      <c r="I43" s="81">
        <v>1778477</v>
      </c>
      <c r="J43" s="81">
        <v>2220831</v>
      </c>
    </row>
    <row r="44" spans="2:11" x14ac:dyDescent="0.25">
      <c r="B44" s="3" t="s">
        <v>27</v>
      </c>
      <c r="C44" s="120">
        <v>0</v>
      </c>
      <c r="D44" s="121"/>
      <c r="E44" s="81">
        <f t="shared" ref="E44" si="1">SUM(F44:J44)</f>
        <v>0</v>
      </c>
      <c r="F44" s="81"/>
      <c r="G44" s="81"/>
      <c r="H44" s="81"/>
      <c r="I44" s="81"/>
      <c r="J44" s="81"/>
    </row>
    <row r="45" spans="2:11" ht="30" x14ac:dyDescent="0.25">
      <c r="B45" s="58" t="s">
        <v>62</v>
      </c>
      <c r="C45" s="122">
        <f>SUM(C41:C44)</f>
        <v>34389561</v>
      </c>
      <c r="D45" s="123">
        <v>0</v>
      </c>
      <c r="E45" s="122">
        <f t="shared" ref="E45:J45" si="2">SUM(E41:E44)</f>
        <v>40020838</v>
      </c>
      <c r="F45" s="82">
        <f t="shared" si="2"/>
        <v>14717340</v>
      </c>
      <c r="G45" s="82">
        <f t="shared" si="2"/>
        <v>0</v>
      </c>
      <c r="H45" s="82">
        <f t="shared" si="2"/>
        <v>704598</v>
      </c>
      <c r="I45" s="82">
        <f t="shared" si="2"/>
        <v>6818614</v>
      </c>
      <c r="J45" s="82">
        <f t="shared" si="2"/>
        <v>17780286</v>
      </c>
    </row>
    <row r="46" spans="2:11" s="62" customFormat="1" x14ac:dyDescent="0.25">
      <c r="B46" s="117"/>
      <c r="C46" s="63" t="s">
        <v>63</v>
      </c>
      <c r="D46" s="63"/>
      <c r="E46" s="63" t="s">
        <v>63</v>
      </c>
      <c r="F46" s="63"/>
      <c r="G46" s="63"/>
      <c r="H46" s="63"/>
    </row>
    <row r="47" spans="2:11" s="62" customFormat="1" x14ac:dyDescent="0.25">
      <c r="B47" s="117"/>
      <c r="C47" s="63"/>
      <c r="D47" s="63"/>
      <c r="E47" s="63"/>
      <c r="F47" s="63"/>
      <c r="G47" s="63"/>
      <c r="H47" s="63"/>
    </row>
    <row r="48" spans="2:11" s="62" customFormat="1" ht="23.45" customHeight="1" x14ac:dyDescent="0.25">
      <c r="B48" s="253" t="s">
        <v>182</v>
      </c>
      <c r="C48" s="254"/>
      <c r="D48" s="254"/>
      <c r="E48" s="254"/>
      <c r="F48" s="254"/>
      <c r="G48" s="254"/>
      <c r="H48" s="254"/>
      <c r="I48" s="254"/>
      <c r="J48" s="255"/>
    </row>
    <row r="49" spans="2:10" x14ac:dyDescent="0.25">
      <c r="B49" s="264" t="s">
        <v>64</v>
      </c>
      <c r="C49" s="265"/>
      <c r="D49" s="265"/>
      <c r="E49" s="265"/>
      <c r="F49" s="265"/>
      <c r="G49" s="265"/>
      <c r="H49" s="265"/>
      <c r="I49" s="265"/>
      <c r="J49" s="266"/>
    </row>
    <row r="50" spans="2:10" ht="42.75" customHeight="1" x14ac:dyDescent="0.25">
      <c r="B50" s="3" t="s">
        <v>65</v>
      </c>
      <c r="C50" s="3" t="s">
        <v>67</v>
      </c>
      <c r="D50" s="48" t="s">
        <v>66</v>
      </c>
      <c r="E50" s="48" t="s">
        <v>171</v>
      </c>
      <c r="F50" s="267" t="s">
        <v>68</v>
      </c>
      <c r="G50" s="268"/>
      <c r="H50" s="48" t="s">
        <v>69</v>
      </c>
      <c r="I50" s="48" t="s">
        <v>70</v>
      </c>
      <c r="J50" s="48" t="s">
        <v>71</v>
      </c>
    </row>
    <row r="51" spans="2:10" ht="15.75" customHeight="1" x14ac:dyDescent="0.25">
      <c r="B51" s="3"/>
      <c r="C51" s="3"/>
      <c r="D51" s="3"/>
      <c r="E51" s="48"/>
      <c r="F51" s="48" t="s">
        <v>60</v>
      </c>
      <c r="G51" s="48" t="s">
        <v>61</v>
      </c>
      <c r="H51" s="48"/>
      <c r="I51" s="48"/>
      <c r="J51" s="48"/>
    </row>
    <row r="52" spans="2:10" x14ac:dyDescent="0.25">
      <c r="B52" s="3" t="s">
        <v>49</v>
      </c>
      <c r="C52" s="120">
        <v>9980626</v>
      </c>
      <c r="D52" s="120">
        <f>E52-C52</f>
        <v>195674</v>
      </c>
      <c r="E52" s="124">
        <f>SUM(F52:J52)</f>
        <v>10176300</v>
      </c>
      <c r="F52" s="124">
        <f>198310+1667061</f>
        <v>1865371</v>
      </c>
      <c r="G52" s="124">
        <v>0</v>
      </c>
      <c r="H52" s="124">
        <v>14186</v>
      </c>
      <c r="I52" s="124">
        <f>145874+41594</f>
        <v>187468</v>
      </c>
      <c r="J52" s="124">
        <f>1145170+6964105</f>
        <v>8109275</v>
      </c>
    </row>
    <row r="53" spans="2:10" x14ac:dyDescent="0.25">
      <c r="B53" s="3" t="s">
        <v>50</v>
      </c>
      <c r="C53" s="120">
        <f>8474963-281500</f>
        <v>8193463</v>
      </c>
      <c r="D53" s="120">
        <f t="shared" ref="D53:D54" si="3">E53-C53</f>
        <v>1539785</v>
      </c>
      <c r="E53" s="124">
        <f>SUM(F53:J53)</f>
        <v>9733248</v>
      </c>
      <c r="F53" s="124">
        <f>5814868-189652-36000-548884</f>
        <v>5040332</v>
      </c>
      <c r="G53" s="124">
        <v>0</v>
      </c>
      <c r="H53" s="124">
        <v>573401</v>
      </c>
      <c r="I53" s="124">
        <v>663675</v>
      </c>
      <c r="J53" s="124">
        <v>3455840</v>
      </c>
    </row>
    <row r="54" spans="2:10" x14ac:dyDescent="0.25">
      <c r="B54" s="3" t="s">
        <v>51</v>
      </c>
      <c r="C54" s="120">
        <v>3897941</v>
      </c>
      <c r="D54" s="120">
        <f t="shared" si="3"/>
        <v>1567766</v>
      </c>
      <c r="E54" s="124">
        <f>SUM(F54:J54)</f>
        <v>5465707</v>
      </c>
      <c r="F54" s="124">
        <f>1789137-30230-85849</f>
        <v>1673058</v>
      </c>
      <c r="G54" s="124">
        <v>0</v>
      </c>
      <c r="H54" s="124">
        <v>117011</v>
      </c>
      <c r="I54" s="124">
        <v>1025527</v>
      </c>
      <c r="J54" s="124">
        <v>2650111</v>
      </c>
    </row>
    <row r="55" spans="2:10" x14ac:dyDescent="0.25">
      <c r="B55" s="3" t="s">
        <v>27</v>
      </c>
      <c r="C55" s="120">
        <v>0</v>
      </c>
      <c r="D55" s="120">
        <v>0</v>
      </c>
      <c r="E55" s="124">
        <v>0</v>
      </c>
      <c r="F55" s="124">
        <v>0</v>
      </c>
      <c r="G55" s="124">
        <v>0</v>
      </c>
      <c r="H55" s="124">
        <v>0</v>
      </c>
      <c r="I55" s="124">
        <v>0</v>
      </c>
      <c r="J55" s="124">
        <v>0</v>
      </c>
    </row>
    <row r="56" spans="2:10" x14ac:dyDescent="0.25">
      <c r="B56" s="3"/>
      <c r="C56" s="3"/>
      <c r="D56" s="3"/>
      <c r="E56" s="124"/>
      <c r="F56" s="124"/>
      <c r="G56" s="124"/>
      <c r="H56" s="124"/>
      <c r="I56" s="124"/>
      <c r="J56" s="124"/>
    </row>
    <row r="57" spans="2:10" x14ac:dyDescent="0.25">
      <c r="B57" s="3"/>
      <c r="C57" s="3"/>
      <c r="D57" s="3"/>
      <c r="E57" s="124"/>
      <c r="F57" s="124"/>
      <c r="G57" s="124"/>
      <c r="H57" s="124"/>
      <c r="I57" s="124"/>
      <c r="J57" s="124"/>
    </row>
    <row r="58" spans="2:10" x14ac:dyDescent="0.25">
      <c r="B58" s="3"/>
      <c r="C58" s="3"/>
      <c r="D58" s="3"/>
      <c r="E58" s="124"/>
      <c r="F58" s="124"/>
      <c r="G58" s="124"/>
      <c r="H58" s="124"/>
      <c r="I58" s="124"/>
      <c r="J58" s="124"/>
    </row>
    <row r="59" spans="2:10" x14ac:dyDescent="0.25">
      <c r="B59" s="58" t="s">
        <v>72</v>
      </c>
      <c r="C59" s="125">
        <f>SUM(C52:C58)</f>
        <v>22072030</v>
      </c>
      <c r="D59" s="125">
        <f>SUM(D52:D58)</f>
        <v>3303225</v>
      </c>
      <c r="E59" s="125">
        <f t="shared" ref="E59:J59" si="4">SUM(E52:E58)</f>
        <v>25375255</v>
      </c>
      <c r="F59" s="125">
        <f t="shared" si="4"/>
        <v>8578761</v>
      </c>
      <c r="G59" s="125">
        <f t="shared" si="4"/>
        <v>0</v>
      </c>
      <c r="H59" s="125">
        <f t="shared" si="4"/>
        <v>704598</v>
      </c>
      <c r="I59" s="125">
        <f t="shared" si="4"/>
        <v>1876670</v>
      </c>
      <c r="J59" s="125">
        <f t="shared" si="4"/>
        <v>14215226</v>
      </c>
    </row>
    <row r="60" spans="2:10" s="62" customFormat="1" x14ac:dyDescent="0.25">
      <c r="C60" s="63"/>
      <c r="D60" s="63"/>
      <c r="E60" s="63"/>
      <c r="F60" s="126"/>
      <c r="G60" s="126"/>
      <c r="H60" s="126"/>
    </row>
    <row r="61" spans="2:10" s="62" customFormat="1" x14ac:dyDescent="0.25">
      <c r="C61" s="63"/>
      <c r="D61" s="63"/>
      <c r="E61" s="63"/>
      <c r="F61" s="126"/>
      <c r="G61" s="126"/>
      <c r="H61" s="126"/>
    </row>
    <row r="62" spans="2:10" s="62" customFormat="1" x14ac:dyDescent="0.25">
      <c r="B62" s="264" t="s">
        <v>73</v>
      </c>
      <c r="C62" s="265"/>
      <c r="D62" s="265"/>
      <c r="E62" s="265"/>
      <c r="F62" s="265"/>
      <c r="G62" s="265"/>
      <c r="H62" s="266"/>
    </row>
    <row r="63" spans="2:10" s="62" customFormat="1" ht="42.6" customHeight="1" x14ac:dyDescent="0.25">
      <c r="B63" s="3" t="s">
        <v>65</v>
      </c>
      <c r="C63" s="3" t="s">
        <v>172</v>
      </c>
      <c r="D63" s="48" t="s">
        <v>66</v>
      </c>
      <c r="E63" s="48" t="s">
        <v>173</v>
      </c>
      <c r="F63" s="173" t="s">
        <v>74</v>
      </c>
      <c r="G63" s="48" t="s">
        <v>75</v>
      </c>
      <c r="H63" s="48" t="s">
        <v>76</v>
      </c>
    </row>
    <row r="64" spans="2:10" s="62" customFormat="1" x14ac:dyDescent="0.25">
      <c r="B64" s="3" t="s">
        <v>49</v>
      </c>
      <c r="C64" s="120">
        <v>0</v>
      </c>
      <c r="D64" s="120">
        <v>0</v>
      </c>
      <c r="E64" s="124">
        <f>SUM(F64:H64)</f>
        <v>0</v>
      </c>
      <c r="F64" s="124">
        <v>0</v>
      </c>
      <c r="G64" s="124">
        <v>0</v>
      </c>
      <c r="H64" s="124">
        <v>0</v>
      </c>
    </row>
    <row r="65" spans="2:10" s="62" customFormat="1" x14ac:dyDescent="0.25">
      <c r="B65" s="3" t="s">
        <v>50</v>
      </c>
      <c r="C65" s="120">
        <v>0</v>
      </c>
      <c r="D65" s="120">
        <v>0</v>
      </c>
      <c r="E65" s="124">
        <f t="shared" ref="E65:E68" si="5">SUM(F65:H65)</f>
        <v>0</v>
      </c>
      <c r="F65" s="124">
        <v>0</v>
      </c>
      <c r="G65" s="124">
        <v>0</v>
      </c>
      <c r="H65" s="124">
        <v>0</v>
      </c>
    </row>
    <row r="66" spans="2:10" s="62" customFormat="1" x14ac:dyDescent="0.25">
      <c r="B66" s="3" t="s">
        <v>51</v>
      </c>
      <c r="C66" s="120">
        <v>0</v>
      </c>
      <c r="D66" s="120">
        <v>0</v>
      </c>
      <c r="E66" s="124">
        <f t="shared" si="5"/>
        <v>0</v>
      </c>
      <c r="F66" s="124">
        <v>0</v>
      </c>
      <c r="G66" s="124">
        <v>0</v>
      </c>
      <c r="H66" s="124">
        <v>0</v>
      </c>
    </row>
    <row r="67" spans="2:10" s="62" customFormat="1" x14ac:dyDescent="0.25">
      <c r="B67" s="3" t="s">
        <v>77</v>
      </c>
      <c r="C67" s="120">
        <v>0</v>
      </c>
      <c r="D67" s="120">
        <v>0</v>
      </c>
      <c r="E67" s="124">
        <f t="shared" si="5"/>
        <v>0</v>
      </c>
      <c r="F67" s="124">
        <v>0</v>
      </c>
      <c r="G67" s="124">
        <v>0</v>
      </c>
      <c r="H67" s="124">
        <v>0</v>
      </c>
    </row>
    <row r="68" spans="2:10" s="62" customFormat="1" x14ac:dyDescent="0.25">
      <c r="B68" s="3" t="s">
        <v>78</v>
      </c>
      <c r="C68" s="120">
        <v>0</v>
      </c>
      <c r="D68" s="120">
        <v>0</v>
      </c>
      <c r="E68" s="124">
        <f t="shared" si="5"/>
        <v>0</v>
      </c>
      <c r="F68" s="124">
        <v>0</v>
      </c>
      <c r="G68" s="124">
        <v>0</v>
      </c>
      <c r="H68" s="124">
        <v>0</v>
      </c>
    </row>
    <row r="69" spans="2:10" s="62" customFormat="1" x14ac:dyDescent="0.25">
      <c r="B69" s="58" t="s">
        <v>79</v>
      </c>
      <c r="C69" s="125">
        <f>SUM(C64:C68)</f>
        <v>0</v>
      </c>
      <c r="D69" s="125">
        <f>SUM(D64:D68)</f>
        <v>0</v>
      </c>
      <c r="E69" s="125">
        <f>SUM(E64:E68)</f>
        <v>0</v>
      </c>
      <c r="F69" s="125">
        <f t="shared" ref="F69:H69" si="6">SUM(F64:F68)</f>
        <v>0</v>
      </c>
      <c r="G69" s="125">
        <f t="shared" si="6"/>
        <v>0</v>
      </c>
      <c r="H69" s="125">
        <f t="shared" si="6"/>
        <v>0</v>
      </c>
    </row>
    <row r="70" spans="2:10" s="62" customFormat="1" x14ac:dyDescent="0.25">
      <c r="C70" s="63"/>
      <c r="D70" s="63"/>
      <c r="E70" s="63"/>
      <c r="F70" s="62" t="s">
        <v>80</v>
      </c>
      <c r="G70" s="126"/>
      <c r="H70" s="126"/>
    </row>
    <row r="71" spans="2:10" s="62" customFormat="1" ht="15.75" thickBot="1" x14ac:dyDescent="0.3">
      <c r="B71" s="115"/>
      <c r="C71" s="126"/>
      <c r="D71" s="126"/>
      <c r="E71" s="126"/>
      <c r="F71" s="126"/>
      <c r="G71" s="126"/>
      <c r="H71" s="126"/>
    </row>
    <row r="72" spans="2:10" s="62" customFormat="1" ht="30" x14ac:dyDescent="0.25">
      <c r="B72" s="127"/>
      <c r="C72" s="128" t="s">
        <v>220</v>
      </c>
      <c r="D72" s="128" t="s">
        <v>66</v>
      </c>
      <c r="E72" s="128" t="s">
        <v>55</v>
      </c>
      <c r="F72" s="129" t="s">
        <v>174</v>
      </c>
      <c r="G72" s="126"/>
      <c r="H72" s="126"/>
      <c r="I72" s="126"/>
    </row>
    <row r="73" spans="2:10" s="62" customFormat="1" x14ac:dyDescent="0.25">
      <c r="B73" s="140" t="s">
        <v>81</v>
      </c>
      <c r="C73" s="139">
        <f>C59+C69</f>
        <v>22072030</v>
      </c>
      <c r="D73" s="139">
        <f>D59+D69</f>
        <v>3303225</v>
      </c>
      <c r="E73" s="139">
        <f>D73/C73</f>
        <v>0.14965660159033853</v>
      </c>
      <c r="F73" s="141">
        <f>E59+E69</f>
        <v>25375255</v>
      </c>
      <c r="G73" s="126"/>
      <c r="H73" s="126"/>
      <c r="I73" s="126"/>
    </row>
    <row r="74" spans="2:10" s="62" customFormat="1" x14ac:dyDescent="0.25">
      <c r="B74" s="140" t="s">
        <v>82</v>
      </c>
      <c r="C74" s="142">
        <f>'1. Reconciliation'!C11</f>
        <v>22072030</v>
      </c>
      <c r="D74" s="142">
        <f>'1. Reconciliation'!C25</f>
        <v>3303225</v>
      </c>
      <c r="E74" s="143">
        <f>'1. Reconciliation'!C26</f>
        <v>0.14965660159033853</v>
      </c>
      <c r="F74" s="144">
        <f>'1. Reconciliation'!C23</f>
        <v>25375255</v>
      </c>
      <c r="G74" s="126"/>
      <c r="H74" s="126"/>
      <c r="I74" s="126"/>
    </row>
    <row r="75" spans="2:10" s="62" customFormat="1" ht="18" customHeight="1" thickBot="1" x14ac:dyDescent="0.3">
      <c r="B75" s="145" t="s">
        <v>83</v>
      </c>
      <c r="C75" s="146">
        <f>C73-C74</f>
        <v>0</v>
      </c>
      <c r="D75" s="146">
        <f t="shared" ref="D75:F75" si="7">D73-D74</f>
        <v>0</v>
      </c>
      <c r="E75" s="146">
        <f t="shared" si="7"/>
        <v>0</v>
      </c>
      <c r="F75" s="147">
        <f t="shared" si="7"/>
        <v>0</v>
      </c>
      <c r="G75" s="126"/>
      <c r="H75" s="126"/>
      <c r="I75" s="126"/>
    </row>
    <row r="76" spans="2:10" s="62" customFormat="1" x14ac:dyDescent="0.25">
      <c r="G76" s="126"/>
      <c r="H76" s="126"/>
      <c r="I76" s="126"/>
      <c r="J76" s="1"/>
    </row>
    <row r="77" spans="2:10" x14ac:dyDescent="0.25">
      <c r="B77" s="130"/>
      <c r="C77" s="131"/>
      <c r="D77" s="132"/>
      <c r="E77" s="133"/>
      <c r="F77" s="133"/>
      <c r="G77" s="133"/>
      <c r="H77" s="134"/>
    </row>
    <row r="78" spans="2:10" x14ac:dyDescent="0.25">
      <c r="B78" s="275" t="s">
        <v>190</v>
      </c>
      <c r="C78" s="276"/>
      <c r="D78" s="276"/>
      <c r="E78" s="276"/>
      <c r="F78" s="276"/>
      <c r="G78" s="277"/>
      <c r="H78" s="134"/>
    </row>
    <row r="79" spans="2:10" x14ac:dyDescent="0.25">
      <c r="B79" s="264" t="s">
        <v>84</v>
      </c>
      <c r="C79" s="265"/>
      <c r="D79" s="265"/>
      <c r="E79" s="265"/>
      <c r="F79" s="265"/>
      <c r="G79" s="266"/>
      <c r="H79" s="135"/>
    </row>
    <row r="80" spans="2:10" x14ac:dyDescent="0.25">
      <c r="B80" s="278" t="s">
        <v>187</v>
      </c>
      <c r="C80" s="279"/>
      <c r="D80" s="279"/>
      <c r="E80" s="279"/>
      <c r="F80" s="280"/>
      <c r="G80" s="181" t="s">
        <v>188</v>
      </c>
    </row>
    <row r="81" spans="2:7" x14ac:dyDescent="0.25">
      <c r="B81" s="269" t="s">
        <v>140</v>
      </c>
      <c r="C81" s="270"/>
      <c r="D81" s="270"/>
      <c r="E81" s="270"/>
      <c r="F81" s="271"/>
      <c r="G81" s="182">
        <v>81702</v>
      </c>
    </row>
    <row r="82" spans="2:7" x14ac:dyDescent="0.25">
      <c r="B82" s="269" t="s">
        <v>116</v>
      </c>
      <c r="C82" s="270"/>
      <c r="D82" s="270"/>
      <c r="E82" s="270"/>
      <c r="F82" s="271"/>
      <c r="G82" s="182">
        <v>135383</v>
      </c>
    </row>
    <row r="83" spans="2:7" x14ac:dyDescent="0.25">
      <c r="B83" s="269" t="s">
        <v>115</v>
      </c>
      <c r="C83" s="270"/>
      <c r="D83" s="270"/>
      <c r="E83" s="270"/>
      <c r="F83" s="271"/>
      <c r="G83" s="182">
        <v>17873</v>
      </c>
    </row>
    <row r="84" spans="2:7" ht="15.75" thickBot="1" x14ac:dyDescent="0.3">
      <c r="B84" s="272" t="s">
        <v>189</v>
      </c>
      <c r="C84" s="273"/>
      <c r="D84" s="273"/>
      <c r="E84" s="273"/>
      <c r="F84" s="274"/>
      <c r="G84" s="183">
        <f>SUM(G81:G83)</f>
        <v>234958</v>
      </c>
    </row>
    <row r="85" spans="2:7" ht="15.75" thickTop="1" x14ac:dyDescent="0.25"/>
    <row r="87" spans="2:7" x14ac:dyDescent="0.25">
      <c r="C87" s="20"/>
    </row>
  </sheetData>
  <mergeCells count="24">
    <mergeCell ref="B82:F82"/>
    <mergeCell ref="B83:F83"/>
    <mergeCell ref="B84:F84"/>
    <mergeCell ref="B62:H62"/>
    <mergeCell ref="B78:G78"/>
    <mergeCell ref="B79:G79"/>
    <mergeCell ref="B80:F80"/>
    <mergeCell ref="B81:F81"/>
    <mergeCell ref="F39:G39"/>
    <mergeCell ref="B48:J48"/>
    <mergeCell ref="B38:J38"/>
    <mergeCell ref="B49:J49"/>
    <mergeCell ref="F50:G50"/>
    <mergeCell ref="B5:G5"/>
    <mergeCell ref="B2:I2"/>
    <mergeCell ref="B3:I3"/>
    <mergeCell ref="B4:I4"/>
    <mergeCell ref="B37:J37"/>
    <mergeCell ref="B17:F17"/>
    <mergeCell ref="B18:F18"/>
    <mergeCell ref="B27:F27"/>
    <mergeCell ref="B28:F28"/>
    <mergeCell ref="B7:F7"/>
    <mergeCell ref="B8:F8"/>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D19"/>
  <sheetViews>
    <sheetView showGridLines="0" zoomScale="90" zoomScaleNormal="90" workbookViewId="0">
      <selection activeCell="B11" sqref="B11"/>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81" t="s">
        <v>85</v>
      </c>
      <c r="C1" s="281"/>
      <c r="D1" s="281"/>
    </row>
    <row r="2" spans="2:4" ht="21" x14ac:dyDescent="0.35">
      <c r="B2" s="282" t="s">
        <v>5</v>
      </c>
      <c r="C2" s="283"/>
      <c r="D2" s="284"/>
    </row>
    <row r="3" spans="2:4" ht="18.75" x14ac:dyDescent="0.3">
      <c r="B3" s="286" t="s">
        <v>86</v>
      </c>
      <c r="C3" s="287"/>
      <c r="D3" s="288"/>
    </row>
    <row r="4" spans="2:4" ht="74.25" customHeight="1" x14ac:dyDescent="0.25">
      <c r="B4" s="285" t="s">
        <v>218</v>
      </c>
      <c r="C4" s="285"/>
      <c r="D4" s="285"/>
    </row>
    <row r="5" spans="2:4" x14ac:dyDescent="0.25">
      <c r="B5" s="21"/>
      <c r="C5" s="2"/>
      <c r="D5" s="2"/>
    </row>
    <row r="6" spans="2:4" x14ac:dyDescent="0.25">
      <c r="B6" s="290" t="s">
        <v>87</v>
      </c>
      <c r="C6" s="289" t="s">
        <v>88</v>
      </c>
      <c r="D6" s="289" t="s">
        <v>89</v>
      </c>
    </row>
    <row r="7" spans="2:4" x14ac:dyDescent="0.25">
      <c r="B7" s="290"/>
      <c r="C7" s="289"/>
      <c r="D7" s="289"/>
    </row>
    <row r="8" spans="2:4" x14ac:dyDescent="0.25">
      <c r="B8" s="79" t="s">
        <v>157</v>
      </c>
      <c r="C8" s="169"/>
      <c r="D8" s="171"/>
    </row>
    <row r="9" spans="2:4" x14ac:dyDescent="0.25">
      <c r="B9" s="112"/>
      <c r="C9" s="49"/>
      <c r="D9" s="172"/>
    </row>
    <row r="10" spans="2:4" x14ac:dyDescent="0.25">
      <c r="B10" s="3" t="s">
        <v>234</v>
      </c>
      <c r="C10" s="49"/>
      <c r="D10" s="172"/>
    </row>
    <row r="11" spans="2:4" x14ac:dyDescent="0.25">
      <c r="B11" s="3" t="s">
        <v>231</v>
      </c>
      <c r="C11" s="49"/>
      <c r="D11" s="172"/>
    </row>
    <row r="12" spans="2:4" x14ac:dyDescent="0.25">
      <c r="B12" s="3" t="s">
        <v>232</v>
      </c>
      <c r="C12" s="49"/>
      <c r="D12" s="172"/>
    </row>
    <row r="13" spans="2:4" x14ac:dyDescent="0.25">
      <c r="B13" s="3" t="s">
        <v>233</v>
      </c>
      <c r="C13" s="49"/>
      <c r="D13" s="172"/>
    </row>
    <row r="14" spans="2:4" x14ac:dyDescent="0.25">
      <c r="B14" s="3"/>
      <c r="C14" s="49"/>
      <c r="D14" s="172"/>
    </row>
    <row r="15" spans="2:4" x14ac:dyDescent="0.25">
      <c r="B15" s="79" t="s">
        <v>158</v>
      </c>
      <c r="C15" s="169">
        <f>SUM(C8:C14)</f>
        <v>0</v>
      </c>
      <c r="D15" s="171">
        <f t="shared" ref="D15" si="0">SUM(D8:D14)</f>
        <v>0</v>
      </c>
    </row>
    <row r="16" spans="2:4" x14ac:dyDescent="0.25">
      <c r="B16" s="76"/>
      <c r="C16" s="44"/>
      <c r="D16" s="44"/>
    </row>
    <row r="17" spans="2:4" x14ac:dyDescent="0.25">
      <c r="B17" s="29" t="s">
        <v>175</v>
      </c>
      <c r="C17" s="104"/>
      <c r="D17" s="80">
        <f>SUM(D9:D14)</f>
        <v>0</v>
      </c>
    </row>
    <row r="18" spans="2:4" x14ac:dyDescent="0.25">
      <c r="B18" s="29" t="s">
        <v>176</v>
      </c>
      <c r="C18" s="170" t="e">
        <f>C15/C8-1</f>
        <v>#DIV/0!</v>
      </c>
      <c r="D18" s="105"/>
    </row>
    <row r="19" spans="2:4" x14ac:dyDescent="0.25">
      <c r="B19" s="76" t="s">
        <v>90</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M39"/>
  <sheetViews>
    <sheetView showGridLines="0" zoomScale="90" zoomScaleNormal="90" workbookViewId="0">
      <selection activeCell="D8" sqref="D8:D9"/>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35" t="s">
        <v>91</v>
      </c>
      <c r="C1" s="235"/>
      <c r="D1" s="235"/>
      <c r="E1" s="235"/>
      <c r="F1" s="235"/>
      <c r="G1" s="235"/>
    </row>
    <row r="2" spans="2:7" ht="18.75" x14ac:dyDescent="0.3">
      <c r="B2" s="292" t="s">
        <v>9</v>
      </c>
      <c r="C2" s="293"/>
      <c r="D2" s="293"/>
      <c r="E2" s="293"/>
      <c r="F2" s="293"/>
      <c r="G2" s="294"/>
    </row>
    <row r="3" spans="2:7" ht="18.75" x14ac:dyDescent="0.3">
      <c r="B3" s="286" t="s">
        <v>92</v>
      </c>
      <c r="C3" s="287"/>
      <c r="D3" s="287"/>
      <c r="E3" s="287"/>
      <c r="F3" s="287"/>
      <c r="G3" s="288"/>
    </row>
    <row r="4" spans="2:7" ht="63" customHeight="1" x14ac:dyDescent="0.25">
      <c r="B4" s="295" t="s">
        <v>216</v>
      </c>
      <c r="C4" s="296"/>
      <c r="D4" s="296"/>
      <c r="E4" s="296"/>
      <c r="F4" s="296"/>
      <c r="G4" s="297"/>
    </row>
    <row r="5" spans="2:7" ht="17.45" customHeight="1" x14ac:dyDescent="0.25">
      <c r="B5" s="47" t="s">
        <v>93</v>
      </c>
      <c r="C5" s="298" t="s">
        <v>94</v>
      </c>
      <c r="D5" s="299"/>
      <c r="E5" s="299"/>
      <c r="F5" s="300"/>
      <c r="G5" s="57" t="s">
        <v>95</v>
      </c>
    </row>
    <row r="6" spans="2:7" ht="31.5" customHeight="1" x14ac:dyDescent="0.25">
      <c r="B6" s="16"/>
      <c r="C6" s="50" t="s">
        <v>96</v>
      </c>
      <c r="D6" s="51" t="s">
        <v>97</v>
      </c>
      <c r="E6" s="148" t="s">
        <v>215</v>
      </c>
      <c r="F6" s="148" t="s">
        <v>98</v>
      </c>
      <c r="G6" s="16"/>
    </row>
    <row r="7" spans="2:7" ht="31.5" customHeight="1" x14ac:dyDescent="0.25">
      <c r="B7" s="149" t="s">
        <v>99</v>
      </c>
      <c r="C7" s="150">
        <v>0.02</v>
      </c>
      <c r="D7" s="151">
        <v>500000</v>
      </c>
      <c r="E7" s="152">
        <v>0.6</v>
      </c>
      <c r="F7" s="153">
        <f>C7*E7</f>
        <v>1.2E-2</v>
      </c>
      <c r="G7" s="149" t="s">
        <v>100</v>
      </c>
    </row>
    <row r="8" spans="2:7" ht="27" customHeight="1" x14ac:dyDescent="0.25">
      <c r="B8" s="16" t="s">
        <v>101</v>
      </c>
      <c r="C8" s="50">
        <v>0.05</v>
      </c>
      <c r="D8" s="229">
        <f>1466048*C8</f>
        <v>73302.400000000009</v>
      </c>
      <c r="E8" s="50">
        <v>0.5</v>
      </c>
      <c r="F8" s="9">
        <f>C8*E8</f>
        <v>2.5000000000000001E-2</v>
      </c>
      <c r="G8" s="16" t="s">
        <v>227</v>
      </c>
    </row>
    <row r="9" spans="2:7" ht="27" customHeight="1" x14ac:dyDescent="0.25">
      <c r="B9" s="16" t="s">
        <v>102</v>
      </c>
      <c r="C9" s="50">
        <v>0.05</v>
      </c>
      <c r="D9" s="229">
        <f>12223891*C9</f>
        <v>611194.55000000005</v>
      </c>
      <c r="E9" s="50">
        <v>0.06</v>
      </c>
      <c r="F9" s="9">
        <f t="shared" ref="F9:F15" si="0">C9*E9</f>
        <v>3.0000000000000001E-3</v>
      </c>
      <c r="G9" s="16" t="s">
        <v>227</v>
      </c>
    </row>
    <row r="10" spans="2:7" ht="27" customHeight="1" x14ac:dyDescent="0.25">
      <c r="B10" s="16" t="s">
        <v>37</v>
      </c>
      <c r="C10" s="50">
        <v>0.03</v>
      </c>
      <c r="D10" s="229">
        <f>367896*C10</f>
        <v>11036.88</v>
      </c>
      <c r="E10" s="50">
        <v>0.02</v>
      </c>
      <c r="F10" s="9">
        <f t="shared" si="0"/>
        <v>5.9999999999999995E-4</v>
      </c>
      <c r="G10" s="16"/>
    </row>
    <row r="11" spans="2:7" ht="27" customHeight="1" x14ac:dyDescent="0.25">
      <c r="B11" s="16" t="s">
        <v>103</v>
      </c>
      <c r="C11" s="50">
        <v>0.13</v>
      </c>
      <c r="D11" s="229">
        <f>453021*C11</f>
        <v>58892.73</v>
      </c>
      <c r="E11" s="50">
        <v>0.02</v>
      </c>
      <c r="F11" s="9">
        <f t="shared" si="0"/>
        <v>2.6000000000000003E-3</v>
      </c>
      <c r="G11" s="16"/>
    </row>
    <row r="12" spans="2:7" ht="27" customHeight="1" x14ac:dyDescent="0.25">
      <c r="B12" s="16" t="s">
        <v>104</v>
      </c>
      <c r="C12" s="50">
        <v>0.21</v>
      </c>
      <c r="D12" s="229">
        <f>364768*C12</f>
        <v>76601.279999999999</v>
      </c>
      <c r="E12" s="50">
        <v>0.02</v>
      </c>
      <c r="F12" s="9">
        <f t="shared" si="0"/>
        <v>4.1999999999999997E-3</v>
      </c>
      <c r="G12" s="16"/>
    </row>
    <row r="13" spans="2:7" ht="27" customHeight="1" x14ac:dyDescent="0.25">
      <c r="B13" s="30" t="s">
        <v>228</v>
      </c>
      <c r="C13" s="50">
        <v>0.05</v>
      </c>
      <c r="D13" s="229">
        <f>4686197*C13</f>
        <v>234309.85</v>
      </c>
      <c r="E13" s="50">
        <v>0.2</v>
      </c>
      <c r="F13" s="9">
        <f t="shared" si="0"/>
        <v>1.0000000000000002E-2</v>
      </c>
      <c r="G13" s="16"/>
    </row>
    <row r="14" spans="2:7" ht="27" customHeight="1" x14ac:dyDescent="0.25">
      <c r="B14" s="30" t="s">
        <v>229</v>
      </c>
      <c r="C14" s="50">
        <v>0.03</v>
      </c>
      <c r="D14" s="229">
        <f>3215283*C14</f>
        <v>96458.489999999991</v>
      </c>
      <c r="E14" s="50">
        <v>0.18</v>
      </c>
      <c r="F14" s="9">
        <f t="shared" si="0"/>
        <v>5.3999999999999994E-3</v>
      </c>
      <c r="G14" s="16"/>
    </row>
    <row r="15" spans="2:7" ht="27" customHeight="1" x14ac:dyDescent="0.25">
      <c r="B15" s="30" t="s">
        <v>105</v>
      </c>
      <c r="C15" s="50"/>
      <c r="D15" s="229"/>
      <c r="E15" s="50"/>
      <c r="F15" s="9">
        <f t="shared" si="0"/>
        <v>0</v>
      </c>
      <c r="G15" s="16"/>
    </row>
    <row r="16" spans="2:7" x14ac:dyDescent="0.25">
      <c r="B16" s="11" t="s">
        <v>13</v>
      </c>
      <c r="C16" s="78" t="s">
        <v>106</v>
      </c>
      <c r="D16" s="230">
        <f>SUM(D8:D15)</f>
        <v>1161796.1800000002</v>
      </c>
      <c r="E16" s="210">
        <f>SUM(E8:E15)</f>
        <v>1</v>
      </c>
      <c r="F16" s="209">
        <f>SUM(F8:F15)</f>
        <v>5.0800000000000005E-2</v>
      </c>
      <c r="G16" s="11"/>
    </row>
    <row r="17" spans="2:6" x14ac:dyDescent="0.25">
      <c r="B17" s="18" t="s">
        <v>217</v>
      </c>
      <c r="E17" t="s">
        <v>212</v>
      </c>
    </row>
    <row r="19" spans="2:6" x14ac:dyDescent="0.25">
      <c r="B19" s="291" t="s">
        <v>107</v>
      </c>
      <c r="C19" s="291"/>
      <c r="D19" s="291"/>
      <c r="E19" s="291"/>
      <c r="F19" s="174"/>
    </row>
    <row r="21" spans="2:6" ht="26.25" x14ac:dyDescent="0.4">
      <c r="B21" s="203" t="s">
        <v>211</v>
      </c>
    </row>
    <row r="39" spans="13:13" x14ac:dyDescent="0.25">
      <c r="M39" s="14"/>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8"/>
  <sheetViews>
    <sheetView showGridLines="0" workbookViewId="0">
      <selection activeCell="I27" sqref="I27"/>
    </sheetView>
  </sheetViews>
  <sheetFormatPr defaultColWidth="8.85546875" defaultRowHeight="15" x14ac:dyDescent="0.25"/>
  <cols>
    <col min="1" max="1" width="8.85546875" style="1"/>
    <col min="2" max="2" width="32.28515625" style="41" customWidth="1"/>
    <col min="3" max="4" width="22.28515625" style="41" customWidth="1"/>
    <col min="5" max="5" width="17.5703125" style="41" customWidth="1"/>
    <col min="6" max="6" width="19.5703125" style="41" customWidth="1"/>
    <col min="7" max="16384" width="8.85546875" style="1"/>
  </cols>
  <sheetData>
    <row r="1" spans="2:6" s="108" customFormat="1" x14ac:dyDescent="0.25">
      <c r="B1" s="109"/>
      <c r="C1" s="109"/>
      <c r="D1" s="109"/>
      <c r="E1" s="109"/>
      <c r="F1" s="109"/>
    </row>
    <row r="2" spans="2:6" ht="15.75" x14ac:dyDescent="0.25">
      <c r="B2" s="302" t="s">
        <v>108</v>
      </c>
      <c r="C2" s="302"/>
      <c r="D2" s="302"/>
      <c r="E2" s="302"/>
      <c r="F2" s="302"/>
    </row>
    <row r="3" spans="2:6" ht="18.75" x14ac:dyDescent="0.3">
      <c r="B3" s="303" t="s">
        <v>2</v>
      </c>
      <c r="C3" s="304"/>
      <c r="D3" s="304"/>
      <c r="E3" s="304"/>
      <c r="F3" s="305"/>
    </row>
    <row r="4" spans="2:6" ht="18.75" x14ac:dyDescent="0.3">
      <c r="B4" s="286" t="s">
        <v>109</v>
      </c>
      <c r="C4" s="287"/>
      <c r="D4" s="287"/>
      <c r="E4" s="287"/>
      <c r="F4" s="288"/>
    </row>
    <row r="5" spans="2:6" ht="15.75" x14ac:dyDescent="0.25">
      <c r="B5" s="31"/>
      <c r="C5" s="31"/>
      <c r="D5" s="31"/>
      <c r="E5" s="31"/>
      <c r="F5" s="31"/>
    </row>
    <row r="6" spans="2:6" ht="67.5" customHeight="1" x14ac:dyDescent="0.25">
      <c r="B6" s="301" t="s">
        <v>205</v>
      </c>
      <c r="C6" s="301"/>
      <c r="D6" s="301"/>
      <c r="E6" s="301"/>
      <c r="F6" s="301"/>
    </row>
    <row r="7" spans="2:6" ht="15.75" x14ac:dyDescent="0.25">
      <c r="B7" s="31"/>
      <c r="C7" s="31"/>
      <c r="D7" s="31"/>
      <c r="E7" s="31"/>
      <c r="F7" s="31"/>
    </row>
    <row r="8" spans="2:6" ht="48" customHeight="1" x14ac:dyDescent="0.25">
      <c r="B8" s="32" t="s">
        <v>110</v>
      </c>
      <c r="C8" s="33" t="s">
        <v>177</v>
      </c>
      <c r="D8" s="33" t="s">
        <v>111</v>
      </c>
      <c r="E8" s="33" t="s">
        <v>112</v>
      </c>
      <c r="F8" s="34" t="s">
        <v>113</v>
      </c>
    </row>
    <row r="9" spans="2:6" ht="25.5" customHeight="1" x14ac:dyDescent="0.25">
      <c r="B9" s="35"/>
      <c r="C9" s="36" t="s">
        <v>114</v>
      </c>
      <c r="D9" s="36" t="s">
        <v>178</v>
      </c>
      <c r="E9" s="36" t="s">
        <v>178</v>
      </c>
      <c r="F9" s="37" t="s">
        <v>179</v>
      </c>
    </row>
    <row r="10" spans="2:6" ht="24" customHeight="1" x14ac:dyDescent="0.25">
      <c r="B10" s="38" t="s">
        <v>115</v>
      </c>
      <c r="C10" s="39"/>
      <c r="D10" s="39"/>
      <c r="E10" s="39"/>
      <c r="F10" s="40"/>
    </row>
    <row r="11" spans="2:6" ht="15.75" x14ac:dyDescent="0.25">
      <c r="B11" s="38" t="s">
        <v>116</v>
      </c>
      <c r="C11" s="39"/>
      <c r="D11" s="39"/>
      <c r="E11" s="39"/>
      <c r="F11" s="40"/>
    </row>
    <row r="12" spans="2:6" ht="15.75" x14ac:dyDescent="0.25">
      <c r="B12" s="38" t="s">
        <v>140</v>
      </c>
      <c r="C12" s="39"/>
      <c r="D12" s="39"/>
      <c r="E12" s="39"/>
      <c r="F12" s="40"/>
    </row>
    <row r="13" spans="2:6" ht="15.75" x14ac:dyDescent="0.25">
      <c r="B13" s="201" t="s">
        <v>203</v>
      </c>
      <c r="C13" s="193"/>
      <c r="D13" s="193"/>
      <c r="E13" s="193"/>
      <c r="F13" s="194"/>
    </row>
    <row r="14" spans="2:6" ht="15.75" x14ac:dyDescent="0.25">
      <c r="B14" s="202" t="s">
        <v>204</v>
      </c>
      <c r="C14" s="195"/>
      <c r="D14" s="195"/>
      <c r="E14" s="195"/>
      <c r="F14" s="196"/>
    </row>
    <row r="15" spans="2:6" ht="16.5" thickBot="1" x14ac:dyDescent="0.3">
      <c r="B15" s="191" t="s">
        <v>117</v>
      </c>
      <c r="C15" s="189"/>
      <c r="D15" s="189"/>
      <c r="E15" s="189"/>
      <c r="F15" s="190"/>
    </row>
    <row r="16" spans="2:6" ht="15.75" x14ac:dyDescent="0.25">
      <c r="B16" s="35" t="s">
        <v>118</v>
      </c>
      <c r="C16" s="186"/>
      <c r="D16" s="187"/>
      <c r="E16" s="187"/>
      <c r="F16" s="188"/>
    </row>
    <row r="17" spans="2:5" ht="15.75" x14ac:dyDescent="0.25">
      <c r="B17" s="31"/>
    </row>
    <row r="18" spans="2:5" ht="15.75" x14ac:dyDescent="0.25">
      <c r="B18" s="42"/>
      <c r="E18" s="4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24"/>
  <sheetViews>
    <sheetView showGridLines="0" zoomScale="94" zoomScaleNormal="100" zoomScaleSheetLayoutView="55" workbookViewId="0">
      <selection activeCell="I12" sqref="I12"/>
    </sheetView>
  </sheetViews>
  <sheetFormatPr defaultColWidth="9.140625" defaultRowHeight="15" customHeight="1" x14ac:dyDescent="0.25"/>
  <cols>
    <col min="1" max="1" width="3.5703125" style="106" customWidth="1"/>
    <col min="2" max="2" width="39.7109375" style="106" customWidth="1"/>
    <col min="3" max="3" width="24" style="106" customWidth="1"/>
    <col min="4" max="11" width="22.7109375" style="106" customWidth="1"/>
    <col min="12" max="16384" width="9.140625" style="106"/>
  </cols>
  <sheetData>
    <row r="2" spans="2:11" s="1" customFormat="1" ht="15.75" x14ac:dyDescent="0.25">
      <c r="B2" s="302" t="s">
        <v>119</v>
      </c>
      <c r="C2" s="302"/>
      <c r="D2" s="302"/>
      <c r="E2" s="302"/>
      <c r="F2" s="302"/>
      <c r="G2" s="302"/>
      <c r="H2" s="302"/>
      <c r="I2" s="302"/>
      <c r="J2" s="302"/>
      <c r="K2" s="302"/>
    </row>
    <row r="3" spans="2:11" s="1" customFormat="1" ht="18.75" x14ac:dyDescent="0.3">
      <c r="B3" s="303" t="s">
        <v>120</v>
      </c>
      <c r="C3" s="304"/>
      <c r="D3" s="304"/>
      <c r="E3" s="304"/>
      <c r="F3" s="304"/>
      <c r="G3" s="304"/>
      <c r="H3" s="304"/>
      <c r="I3" s="304"/>
      <c r="J3" s="304"/>
      <c r="K3" s="305"/>
    </row>
    <row r="4" spans="2:11" s="1" customFormat="1" ht="18.75" x14ac:dyDescent="0.3">
      <c r="B4" s="286" t="s">
        <v>121</v>
      </c>
      <c r="C4" s="287"/>
      <c r="D4" s="287"/>
      <c r="E4" s="287"/>
      <c r="F4" s="287"/>
      <c r="G4" s="287"/>
      <c r="H4" s="287"/>
      <c r="I4" s="287"/>
      <c r="J4" s="287"/>
      <c r="K4" s="288"/>
    </row>
    <row r="5" spans="2:11" s="108" customFormat="1" ht="18.75" x14ac:dyDescent="0.3">
      <c r="B5" s="155"/>
      <c r="C5" s="155"/>
      <c r="D5" s="155"/>
      <c r="E5" s="155"/>
      <c r="F5" s="155"/>
      <c r="G5" s="155"/>
      <c r="H5" s="155"/>
      <c r="I5" s="155"/>
      <c r="J5" s="155"/>
      <c r="K5" s="155"/>
    </row>
    <row r="6" spans="2:11" s="108" customFormat="1" ht="18.75" customHeight="1" x14ac:dyDescent="0.25">
      <c r="B6" s="308" t="s">
        <v>210</v>
      </c>
      <c r="C6" s="308"/>
      <c r="D6" s="308"/>
      <c r="E6" s="308"/>
      <c r="F6" s="308"/>
      <c r="G6" s="308"/>
      <c r="H6" s="308"/>
      <c r="I6" s="308"/>
      <c r="J6" s="308"/>
      <c r="K6" s="308"/>
    </row>
    <row r="7" spans="2:11" s="108" customFormat="1" ht="18.75" customHeight="1" x14ac:dyDescent="0.25">
      <c r="B7" s="308"/>
      <c r="C7" s="308"/>
      <c r="D7" s="308"/>
      <c r="E7" s="308"/>
      <c r="F7" s="308"/>
      <c r="G7" s="308"/>
      <c r="H7" s="308"/>
      <c r="I7" s="308"/>
      <c r="J7" s="308"/>
      <c r="K7" s="308"/>
    </row>
    <row r="8" spans="2:11" s="108" customFormat="1" ht="18.75" x14ac:dyDescent="0.3">
      <c r="B8" s="107"/>
      <c r="C8" s="107"/>
      <c r="D8" s="107"/>
      <c r="E8" s="107"/>
      <c r="F8" s="107"/>
      <c r="G8" s="107"/>
      <c r="H8" s="107"/>
    </row>
    <row r="9" spans="2:11" s="156" customFormat="1" x14ac:dyDescent="0.25">
      <c r="B9" s="157"/>
      <c r="D9" s="157"/>
      <c r="E9" s="157"/>
      <c r="F9" s="157"/>
      <c r="G9" s="157"/>
      <c r="H9" s="157"/>
      <c r="I9" s="158"/>
      <c r="J9" s="158"/>
      <c r="K9" s="158"/>
    </row>
    <row r="10" spans="2:11" s="154" customFormat="1" ht="15" customHeight="1" x14ac:dyDescent="0.25">
      <c r="B10" s="306" t="s">
        <v>122</v>
      </c>
      <c r="C10" s="167" t="s">
        <v>123</v>
      </c>
      <c r="D10" s="197" t="s">
        <v>123</v>
      </c>
      <c r="E10" s="163" t="s">
        <v>124</v>
      </c>
      <c r="F10" s="164" t="s">
        <v>209</v>
      </c>
      <c r="G10" s="198" t="s">
        <v>123</v>
      </c>
      <c r="H10" s="163" t="s">
        <v>124</v>
      </c>
      <c r="I10" s="164" t="s">
        <v>209</v>
      </c>
      <c r="J10" s="204" t="s">
        <v>124</v>
      </c>
      <c r="K10" s="205" t="s">
        <v>209</v>
      </c>
    </row>
    <row r="11" spans="2:11" s="154" customFormat="1" x14ac:dyDescent="0.25">
      <c r="B11" s="307"/>
      <c r="C11" s="166" t="s">
        <v>125</v>
      </c>
      <c r="D11" s="313" t="s">
        <v>208</v>
      </c>
      <c r="E11" s="309"/>
      <c r="F11" s="310"/>
      <c r="G11" s="309" t="s">
        <v>126</v>
      </c>
      <c r="H11" s="309"/>
      <c r="I11" s="310"/>
      <c r="J11" s="311" t="s">
        <v>206</v>
      </c>
      <c r="K11" s="312"/>
    </row>
    <row r="12" spans="2:11" ht="15" customHeight="1" x14ac:dyDescent="0.25">
      <c r="B12" s="159" t="s">
        <v>221</v>
      </c>
      <c r="C12" s="200">
        <f>+D12+G12</f>
        <v>0</v>
      </c>
      <c r="D12" s="212"/>
      <c r="E12" s="22">
        <v>518535</v>
      </c>
      <c r="F12" s="213">
        <v>1859966</v>
      </c>
      <c r="G12" s="214"/>
      <c r="H12" s="212"/>
      <c r="I12" s="213"/>
      <c r="J12" s="215"/>
      <c r="K12" s="216"/>
    </row>
    <row r="13" spans="2:11" ht="15" customHeight="1" x14ac:dyDescent="0.25">
      <c r="B13" s="159" t="s">
        <v>222</v>
      </c>
      <c r="C13" s="200">
        <f t="shared" ref="C13:C22" si="0">+D13+G13</f>
        <v>0</v>
      </c>
      <c r="D13" s="212"/>
      <c r="E13" s="212"/>
      <c r="F13" s="213">
        <v>3958532</v>
      </c>
      <c r="G13" s="214"/>
      <c r="H13" s="212"/>
      <c r="I13" s="213">
        <v>368023</v>
      </c>
      <c r="J13" s="215"/>
      <c r="K13" s="216"/>
    </row>
    <row r="14" spans="2:11" ht="15" customHeight="1" x14ac:dyDescent="0.25">
      <c r="B14" s="159" t="s">
        <v>223</v>
      </c>
      <c r="C14" s="200">
        <f t="shared" si="0"/>
        <v>0</v>
      </c>
      <c r="D14" s="22">
        <v>0</v>
      </c>
      <c r="E14" s="22">
        <v>2973589</v>
      </c>
      <c r="F14" s="213">
        <v>0</v>
      </c>
      <c r="G14" s="214"/>
      <c r="H14" s="212"/>
      <c r="I14" s="213"/>
      <c r="J14" s="215"/>
      <c r="K14" s="216"/>
    </row>
    <row r="15" spans="2:11" ht="15" customHeight="1" x14ac:dyDescent="0.25">
      <c r="B15" s="211" t="s">
        <v>224</v>
      </c>
      <c r="C15" s="200">
        <f t="shared" si="0"/>
        <v>48547</v>
      </c>
      <c r="D15" s="22">
        <v>48547</v>
      </c>
      <c r="E15" s="22">
        <v>48547</v>
      </c>
      <c r="F15" s="213">
        <v>0</v>
      </c>
      <c r="G15" s="214"/>
      <c r="H15" s="212"/>
      <c r="I15" s="213"/>
      <c r="J15" s="215"/>
      <c r="K15" s="216"/>
    </row>
    <row r="16" spans="2:11" ht="15" customHeight="1" x14ac:dyDescent="0.25">
      <c r="B16" s="159" t="s">
        <v>225</v>
      </c>
      <c r="C16" s="200">
        <f t="shared" si="0"/>
        <v>149380</v>
      </c>
      <c r="D16" s="217">
        <v>118640</v>
      </c>
      <c r="E16" s="218">
        <v>118640</v>
      </c>
      <c r="F16" s="219"/>
      <c r="G16" s="214">
        <v>30740</v>
      </c>
      <c r="H16" s="212">
        <v>30740</v>
      </c>
      <c r="I16" s="213"/>
      <c r="J16" s="215"/>
      <c r="K16" s="216"/>
    </row>
    <row r="17" spans="2:11" ht="15" customHeight="1" x14ac:dyDescent="0.25">
      <c r="B17" s="159" t="s">
        <v>207</v>
      </c>
      <c r="C17" s="200">
        <f t="shared" si="0"/>
        <v>0</v>
      </c>
      <c r="D17" s="217"/>
      <c r="E17" s="218"/>
      <c r="F17" s="219"/>
      <c r="G17" s="214"/>
      <c r="H17" s="212"/>
      <c r="I17" s="213"/>
      <c r="J17" s="215"/>
      <c r="K17" s="216"/>
    </row>
    <row r="18" spans="2:11" ht="15" customHeight="1" x14ac:dyDescent="0.25">
      <c r="B18" s="159" t="s">
        <v>207</v>
      </c>
      <c r="C18" s="200">
        <f t="shared" si="0"/>
        <v>0</v>
      </c>
      <c r="D18" s="217"/>
      <c r="E18" s="218"/>
      <c r="F18" s="219"/>
      <c r="G18" s="214"/>
      <c r="H18" s="212"/>
      <c r="I18" s="213"/>
      <c r="J18" s="215"/>
      <c r="K18" s="216"/>
    </row>
    <row r="19" spans="2:11" ht="15" customHeight="1" x14ac:dyDescent="0.25">
      <c r="B19" s="159" t="s">
        <v>207</v>
      </c>
      <c r="C19" s="200">
        <f t="shared" si="0"/>
        <v>0</v>
      </c>
      <c r="D19" s="217"/>
      <c r="E19" s="218"/>
      <c r="F19" s="219"/>
      <c r="G19" s="214"/>
      <c r="H19" s="212"/>
      <c r="I19" s="213"/>
      <c r="J19" s="215"/>
      <c r="K19" s="216"/>
    </row>
    <row r="20" spans="2:11" ht="15" customHeight="1" x14ac:dyDescent="0.25">
      <c r="B20" s="159" t="s">
        <v>207</v>
      </c>
      <c r="C20" s="200">
        <f t="shared" si="0"/>
        <v>0</v>
      </c>
      <c r="D20" s="217"/>
      <c r="E20" s="218"/>
      <c r="F20" s="219"/>
      <c r="G20" s="214"/>
      <c r="H20" s="212"/>
      <c r="I20" s="213"/>
      <c r="J20" s="215"/>
      <c r="K20" s="216"/>
    </row>
    <row r="21" spans="2:11" ht="15" customHeight="1" x14ac:dyDescent="0.25">
      <c r="B21" s="159" t="s">
        <v>207</v>
      </c>
      <c r="C21" s="200">
        <f t="shared" si="0"/>
        <v>0</v>
      </c>
      <c r="D21" s="217"/>
      <c r="E21" s="218"/>
      <c r="F21" s="219"/>
      <c r="G21" s="214"/>
      <c r="H21" s="212"/>
      <c r="I21" s="213"/>
      <c r="J21" s="215"/>
      <c r="K21" s="216"/>
    </row>
    <row r="22" spans="2:11" ht="15" customHeight="1" x14ac:dyDescent="0.25">
      <c r="B22" s="159" t="s">
        <v>207</v>
      </c>
      <c r="C22" s="200">
        <f t="shared" si="0"/>
        <v>0</v>
      </c>
      <c r="D22" s="217"/>
      <c r="E22" s="218"/>
      <c r="F22" s="219"/>
      <c r="G22" s="220"/>
      <c r="H22" s="220"/>
      <c r="I22" s="221"/>
      <c r="J22" s="222"/>
      <c r="K22" s="223"/>
    </row>
    <row r="23" spans="2:11" ht="15" customHeight="1" thickBot="1" x14ac:dyDescent="0.3">
      <c r="B23" s="160" t="s">
        <v>127</v>
      </c>
      <c r="C23" s="199">
        <f>SUM(C12:C22)</f>
        <v>197927</v>
      </c>
      <c r="D23" s="165">
        <f t="shared" ref="D23:F23" si="1">SUM(D12:D22)</f>
        <v>167187</v>
      </c>
      <c r="E23" s="161">
        <f t="shared" si="1"/>
        <v>3659311</v>
      </c>
      <c r="F23" s="162">
        <f t="shared" si="1"/>
        <v>5818498</v>
      </c>
      <c r="G23" s="161">
        <f t="shared" ref="G23:I23" si="2">SUM(G12:G22)</f>
        <v>30740</v>
      </c>
      <c r="H23" s="161">
        <f t="shared" si="2"/>
        <v>30740</v>
      </c>
      <c r="I23" s="162">
        <f t="shared" si="2"/>
        <v>368023</v>
      </c>
      <c r="J23" s="206">
        <f t="shared" ref="J23" si="3">SUM(J12:J22)</f>
        <v>0</v>
      </c>
      <c r="K23" s="207">
        <f t="shared" ref="K23" si="4">SUM(K12:K22)</f>
        <v>0</v>
      </c>
    </row>
    <row r="24" spans="2:11" ht="15" customHeight="1" thickTop="1" x14ac:dyDescent="0.25"/>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5" customWidth="1"/>
    <col min="2" max="2" width="13.85546875" style="65" customWidth="1"/>
  </cols>
  <sheetData>
    <row r="2" spans="1:2" x14ac:dyDescent="0.25">
      <c r="A2" s="314" t="s">
        <v>128</v>
      </c>
      <c r="B2" s="314"/>
    </row>
    <row r="3" spans="1:2" ht="15.75" x14ac:dyDescent="0.25">
      <c r="A3" s="315" t="s">
        <v>129</v>
      </c>
      <c r="B3" s="315"/>
    </row>
    <row r="4" spans="1:2" ht="24.6" customHeight="1" x14ac:dyDescent="0.25">
      <c r="A4" s="316" t="s">
        <v>130</v>
      </c>
      <c r="B4" s="316"/>
    </row>
    <row r="5" spans="1:2" x14ac:dyDescent="0.25">
      <c r="A5" s="66" t="s">
        <v>131</v>
      </c>
      <c r="B5" s="67">
        <f>'1. Reconciliation'!C23</f>
        <v>25375255</v>
      </c>
    </row>
    <row r="6" spans="1:2" x14ac:dyDescent="0.25">
      <c r="A6" s="66" t="s">
        <v>132</v>
      </c>
      <c r="B6" s="68">
        <f>'1. Reconciliation'!C26</f>
        <v>0.14965660159033853</v>
      </c>
    </row>
    <row r="7" spans="1:2" x14ac:dyDescent="0.25">
      <c r="A7" s="66" t="s">
        <v>133</v>
      </c>
      <c r="B7" s="68">
        <f>'1. Reconciliation'!C73</f>
        <v>6.0960882650376157E-2</v>
      </c>
    </row>
    <row r="8" spans="1:2" x14ac:dyDescent="0.25">
      <c r="A8" s="69"/>
      <c r="B8" s="70"/>
    </row>
    <row r="9" spans="1:2" x14ac:dyDescent="0.25">
      <c r="A9" s="71" t="s">
        <v>134</v>
      </c>
      <c r="B9" s="72"/>
    </row>
    <row r="10" spans="1:2" ht="39.6" customHeight="1" x14ac:dyDescent="0.25">
      <c r="A10" s="66" t="s">
        <v>135</v>
      </c>
      <c r="B10" s="73">
        <f>+'1. Reconciliation'!C12</f>
        <v>1208344</v>
      </c>
    </row>
    <row r="11" spans="1:2" x14ac:dyDescent="0.25">
      <c r="A11" s="66" t="s">
        <v>136</v>
      </c>
      <c r="B11" s="73">
        <f>+'1. Reconciliation'!C14</f>
        <v>1980139</v>
      </c>
    </row>
    <row r="12" spans="1:2" x14ac:dyDescent="0.25">
      <c r="A12" s="66" t="s">
        <v>23</v>
      </c>
      <c r="B12" s="73">
        <f>+'1. Reconciliation'!C16</f>
        <v>0</v>
      </c>
    </row>
    <row r="13" spans="1:2" x14ac:dyDescent="0.25">
      <c r="A13" s="66" t="s">
        <v>24</v>
      </c>
      <c r="B13" s="73">
        <f>+'1. Reconciliation'!C17</f>
        <v>0</v>
      </c>
    </row>
    <row r="14" spans="1:2" ht="44.45" customHeight="1" x14ac:dyDescent="0.25">
      <c r="A14" s="66" t="s">
        <v>25</v>
      </c>
      <c r="B14" s="73">
        <f>+'1. Reconciliation'!C18</f>
        <v>0</v>
      </c>
    </row>
    <row r="15" spans="1:2" x14ac:dyDescent="0.25">
      <c r="A15" s="74" t="s">
        <v>137</v>
      </c>
      <c r="B15" s="75">
        <f>SUM(B10:B14)</f>
        <v>3188483</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138</v>
      </c>
    </row>
    <row r="3" spans="2:5" x14ac:dyDescent="0.25">
      <c r="B3" t="s">
        <v>139</v>
      </c>
      <c r="C3" t="s">
        <v>140</v>
      </c>
      <c r="D3" t="s">
        <v>116</v>
      </c>
      <c r="E3" t="s">
        <v>115</v>
      </c>
    </row>
    <row r="4" spans="2:5" x14ac:dyDescent="0.25">
      <c r="B4" s="16" t="s">
        <v>141</v>
      </c>
      <c r="C4" s="25">
        <v>180</v>
      </c>
      <c r="D4" s="25">
        <v>100</v>
      </c>
      <c r="E4" s="16" t="s">
        <v>142</v>
      </c>
    </row>
    <row r="5" spans="2:5" x14ac:dyDescent="0.25">
      <c r="B5" s="16" t="s">
        <v>143</v>
      </c>
      <c r="C5" s="25">
        <v>163</v>
      </c>
      <c r="D5" s="25">
        <v>100</v>
      </c>
      <c r="E5" s="25">
        <v>85</v>
      </c>
    </row>
    <row r="6" spans="2:5" x14ac:dyDescent="0.25">
      <c r="B6" s="16" t="s">
        <v>144</v>
      </c>
      <c r="C6" s="25">
        <v>186</v>
      </c>
      <c r="D6" s="25">
        <v>100</v>
      </c>
      <c r="E6" s="25">
        <v>58</v>
      </c>
    </row>
    <row r="7" spans="2:5" x14ac:dyDescent="0.25">
      <c r="B7" s="16" t="s">
        <v>145</v>
      </c>
      <c r="C7" s="25">
        <v>92</v>
      </c>
      <c r="D7" s="25">
        <v>100</v>
      </c>
      <c r="E7" s="25">
        <v>52</v>
      </c>
    </row>
    <row r="8" spans="2:5" x14ac:dyDescent="0.25">
      <c r="B8" s="16" t="s">
        <v>146</v>
      </c>
      <c r="C8" s="25">
        <v>166</v>
      </c>
      <c r="D8" s="25">
        <v>100</v>
      </c>
      <c r="E8" s="25">
        <v>76</v>
      </c>
    </row>
    <row r="9" spans="2:5" x14ac:dyDescent="0.25">
      <c r="B9" s="16" t="s">
        <v>147</v>
      </c>
      <c r="C9" s="25">
        <v>130</v>
      </c>
      <c r="D9" s="25">
        <v>100</v>
      </c>
      <c r="E9" s="25">
        <v>75</v>
      </c>
    </row>
    <row r="10" spans="2:5" x14ac:dyDescent="0.25">
      <c r="B10" s="16" t="s">
        <v>148</v>
      </c>
      <c r="C10" s="25">
        <v>160</v>
      </c>
      <c r="D10" s="25">
        <v>100</v>
      </c>
      <c r="E10" s="25">
        <v>79</v>
      </c>
    </row>
    <row r="11" spans="2:5" x14ac:dyDescent="0.25">
      <c r="B11" s="16" t="s">
        <v>149</v>
      </c>
      <c r="C11" s="25">
        <v>120</v>
      </c>
      <c r="D11" s="25">
        <v>100</v>
      </c>
      <c r="E11" s="25">
        <v>81</v>
      </c>
    </row>
    <row r="12" spans="2:5" x14ac:dyDescent="0.25">
      <c r="B12" s="16" t="s">
        <v>150</v>
      </c>
      <c r="C12" s="25">
        <v>160</v>
      </c>
      <c r="D12" s="25">
        <v>100</v>
      </c>
      <c r="E12" s="25">
        <v>72</v>
      </c>
    </row>
    <row r="13" spans="2:5" x14ac:dyDescent="0.25">
      <c r="B13" s="16" t="s">
        <v>151</v>
      </c>
      <c r="C13" s="25">
        <v>150</v>
      </c>
      <c r="D13" s="25">
        <v>100</v>
      </c>
      <c r="E13" s="16">
        <v>55</v>
      </c>
    </row>
    <row r="14" spans="2:5" x14ac:dyDescent="0.25">
      <c r="B14" s="16" t="s">
        <v>152</v>
      </c>
      <c r="C14" s="25">
        <v>264</v>
      </c>
      <c r="D14" s="25">
        <v>100</v>
      </c>
      <c r="E14" s="25">
        <v>44</v>
      </c>
    </row>
    <row r="15" spans="2:5" x14ac:dyDescent="0.25">
      <c r="B15" s="16" t="s">
        <v>153</v>
      </c>
      <c r="C15" s="25">
        <v>178</v>
      </c>
      <c r="D15" s="25">
        <v>100</v>
      </c>
      <c r="E15" s="25">
        <v>108</v>
      </c>
    </row>
    <row r="16" spans="2:5" x14ac:dyDescent="0.25">
      <c r="B16" s="16" t="s">
        <v>154</v>
      </c>
      <c r="C16" s="25">
        <v>185</v>
      </c>
      <c r="D16" s="25">
        <v>100</v>
      </c>
      <c r="E16" s="25">
        <v>89</v>
      </c>
    </row>
    <row r="17" spans="2:5" x14ac:dyDescent="0.25">
      <c r="B17" s="16" t="s">
        <v>155</v>
      </c>
      <c r="C17" s="25">
        <v>228</v>
      </c>
      <c r="D17" s="25">
        <v>100</v>
      </c>
      <c r="E17" s="25">
        <v>76</v>
      </c>
    </row>
  </sheetData>
  <sortState xmlns:xlrd2="http://schemas.microsoft.com/office/spreadsheetml/2017/richdata2"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2.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8dbc17e-cec9-4211-a89f-0bf74a616302"/>
    <ds:schemaRef ds:uri="2819d22d-c924-42b3-954a-d3b43813cc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Stephen A. Brown</cp:lastModifiedBy>
  <cp:revision/>
  <cp:lastPrinted>2022-07-06T12:25:24Z</cp:lastPrinted>
  <dcterms:created xsi:type="dcterms:W3CDTF">2020-01-09T18:52:12Z</dcterms:created>
  <dcterms:modified xsi:type="dcterms:W3CDTF">2022-07-08T18:32:55Z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