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Accounting\Regulatory- Tax, CMS, State, GMCB\Green Mountain Care Board\FY 2023\Budget FY23\Submitted\"/>
    </mc:Choice>
  </mc:AlternateContent>
  <bookViews>
    <workbookView xWindow="3540" yWindow="0" windowWidth="23040" windowHeight="8610" tabRatio="785" firstSheet="1" activeTab="1"/>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Reconciliation'!$B$6:$O$92</definedName>
    <definedName name="_xlnm.Print_Area" localSheetId="2">'2. Charge and NPR Detail'!$A$2:$H$69</definedName>
    <definedName name="_xlnm.Print_Area" localSheetId="3">'3. Utilization'!$B$1:$D$17</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15" l="1"/>
  <c r="E58" i="15"/>
  <c r="D58" i="15"/>
  <c r="C58" i="15"/>
  <c r="C19" i="7" l="1"/>
  <c r="H67" i="15"/>
  <c r="G91" i="13" l="1"/>
  <c r="E67" i="15" s="1"/>
  <c r="E91" i="13" l="1"/>
  <c r="D18" i="7"/>
  <c r="D10" i="8" l="1"/>
  <c r="I12" i="20" l="1"/>
  <c r="G12" i="20"/>
  <c r="F23" i="20" l="1"/>
  <c r="E23" i="20"/>
  <c r="D23" i="20"/>
  <c r="C13" i="20" l="1"/>
  <c r="C14" i="20"/>
  <c r="C15" i="20"/>
  <c r="C16" i="20"/>
  <c r="C17" i="20"/>
  <c r="C18" i="20"/>
  <c r="C19" i="20"/>
  <c r="C20" i="20"/>
  <c r="C21" i="20"/>
  <c r="C22" i="20"/>
  <c r="C12" i="20"/>
  <c r="E35" i="13"/>
  <c r="C35" i="13"/>
  <c r="E25" i="13"/>
  <c r="C25" i="13"/>
  <c r="B10" i="4" l="1"/>
  <c r="D16" i="16"/>
  <c r="F7" i="16"/>
  <c r="G68" i="15"/>
  <c r="G69" i="15" s="1"/>
  <c r="G22" i="15"/>
  <c r="G23" i="15" s="1"/>
  <c r="B14" i="4"/>
  <c r="B13" i="4"/>
  <c r="B12" i="4"/>
  <c r="K23" i="20"/>
  <c r="J23" i="20"/>
  <c r="G23" i="20"/>
  <c r="H23" i="20"/>
  <c r="I23" i="20"/>
  <c r="E44" i="13"/>
  <c r="E9" i="16" l="1"/>
  <c r="F9" i="16" s="1"/>
  <c r="E8" i="16"/>
  <c r="E15" i="16"/>
  <c r="F15" i="16" s="1"/>
  <c r="E12" i="16"/>
  <c r="F12" i="16" s="1"/>
  <c r="E10" i="16"/>
  <c r="F10" i="16" s="1"/>
  <c r="E14" i="16"/>
  <c r="F14" i="16" s="1"/>
  <c r="E11" i="16"/>
  <c r="F11" i="16" s="1"/>
  <c r="E13" i="16"/>
  <c r="F13" i="16" s="1"/>
  <c r="F91" i="13"/>
  <c r="F67" i="15" s="1"/>
  <c r="H91" i="13"/>
  <c r="F22" i="15"/>
  <c r="F23" i="15" s="1"/>
  <c r="C89" i="15"/>
  <c r="C90" i="15" s="1"/>
  <c r="C73" i="13"/>
  <c r="C23" i="20"/>
  <c r="D73" i="13"/>
  <c r="F73" i="13"/>
  <c r="D16" i="7"/>
  <c r="H68" i="15"/>
  <c r="H69" i="15" s="1"/>
  <c r="H22" i="15"/>
  <c r="H23" i="15" s="1"/>
  <c r="C74" i="13"/>
  <c r="F8" i="16" l="1"/>
  <c r="F16" i="16" s="1"/>
  <c r="E16" i="16"/>
  <c r="D67" i="15"/>
  <c r="E22" i="15"/>
  <c r="E23" i="15" s="1"/>
  <c r="C75" i="13"/>
  <c r="E73" i="13"/>
  <c r="C47" i="15" l="1"/>
  <c r="C45" i="15" l="1"/>
  <c r="C46" i="15" s="1"/>
  <c r="B11" i="4"/>
  <c r="B15" i="4" s="1"/>
  <c r="C22" i="15" l="1"/>
  <c r="D22" i="15"/>
  <c r="D23" i="15" s="1"/>
  <c r="C67" i="15" l="1"/>
  <c r="B5" i="4"/>
  <c r="F74" i="13"/>
  <c r="F75" i="13" s="1"/>
  <c r="D74" i="13"/>
  <c r="D75" i="13" s="1"/>
  <c r="C23" i="15"/>
  <c r="E74" i="13" l="1"/>
  <c r="E75" i="13" s="1"/>
  <c r="B6" i="4"/>
  <c r="E68" i="15" l="1"/>
  <c r="E69" i="15" s="1"/>
  <c r="F68" i="15"/>
  <c r="F69" i="15" s="1"/>
  <c r="D68" i="15" l="1"/>
  <c r="D69" i="15" s="1"/>
  <c r="C68" i="15"/>
  <c r="C69" i="15" s="1"/>
  <c r="B7" i="4" s="1"/>
</calcChain>
</file>

<file path=xl/sharedStrings.xml><?xml version="1.0" encoding="utf-8"?>
<sst xmlns="http://schemas.openxmlformats.org/spreadsheetml/2006/main" count="350" uniqueCount="249">
  <si>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</si>
  <si>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</si>
  <si>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</si>
  <si>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</si>
  <si>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</si>
  <si>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</si>
  <si>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</si>
  <si>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</si>
  <si>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</si>
  <si>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</si>
  <si>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</si>
  <si>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</si>
  <si>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</si>
  <si>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</si>
  <si>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</si>
  <si>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</si>
  <si>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</si>
  <si>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</si>
  <si>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</si>
  <si>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</si>
  <si>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</si>
  <si>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</si>
  <si>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</si>
  <si>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</si>
  <si>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</si>
  <si>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</si>
  <si>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</si>
  <si>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</si>
  <si>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</si>
  <si>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</si>
  <si>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</si>
  <si>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</si>
  <si>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</si>
  <si>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</si>
  <si>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</si>
  <si>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</si>
  <si>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</si>
  <si>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</si>
  <si>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</si>
  <si>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</si>
  <si>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</si>
  <si>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</si>
  <si>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</si>
  <si>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</si>
  <si>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</si>
  <si>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</si>
  <si>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</si>
  <si>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</si>
  <si>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</si>
  <si>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</si>
  <si>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</si>
  <si>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</si>
  <si>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</si>
  <si>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</si>
  <si>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</si>
  <si>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</si>
  <si>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</si>
  <si>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</si>
  <si>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</si>
  <si>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</si>
  <si>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</si>
  <si>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</si>
  <si>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</si>
  <si>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</si>
  <si>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</si>
  <si>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</si>
  <si>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</si>
  <si>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</si>
  <si>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</si>
  <si>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</si>
  <si>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</si>
  <si>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</si>
  <si>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</si>
  <si>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</si>
  <si>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</si>
  <si>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</si>
  <si>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</si>
  <si>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</si>
  <si>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</si>
  <si>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</si>
  <si>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</si>
  <si>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</si>
  <si>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</si>
  <si>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</si>
  <si>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</si>
  <si>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</si>
  <si>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</si>
  <si>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</si>
  <si>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</si>
  <si>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</si>
  <si>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</si>
  <si>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</si>
  <si>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</si>
  <si>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</si>
  <si>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</si>
  <si>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</si>
  <si>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</si>
  <si>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</si>
  <si>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</si>
  <si>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</si>
  <si>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</si>
  <si>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</si>
  <si>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</si>
  <si>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</si>
  <si>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</si>
  <si>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</si>
  <si>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</si>
  <si>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</si>
  <si>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</si>
  <si>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</si>
  <si>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</si>
  <si>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</si>
  <si>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</si>
  <si>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</si>
  <si>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</si>
  <si>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</si>
  <si>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</si>
  <si>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</si>
  <si>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</si>
  <si>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</si>
  <si>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</si>
  <si>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</si>
  <si>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</si>
  <si>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</si>
  <si>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</si>
  <si>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</si>
  <si>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</si>
  <si>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</si>
  <si>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</si>
  <si>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</si>
  <si>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</si>
  <si>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</si>
  <si>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</si>
  <si>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</si>
  <si>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</si>
  <si>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</si>
  <si>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</si>
  <si>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</si>
  <si>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</si>
  <si>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</si>
  <si>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</si>
  <si>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</si>
  <si>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</si>
  <si>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</si>
  <si>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</si>
  <si>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</si>
  <si>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</si>
  <si>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</si>
  <si>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</si>
  <si>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</si>
  <si>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</si>
  <si>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</si>
  <si>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</si>
  <si>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</si>
  <si>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</si>
  <si>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</si>
  <si>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</si>
  <si>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</si>
  <si>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</si>
  <si>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</si>
  <si>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</si>
  <si>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</si>
  <si>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</si>
  <si>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</si>
  <si>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</si>
  <si>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</si>
  <si>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</si>
  <si>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</si>
  <si>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</si>
  <si>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</si>
  <si>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</si>
  <si>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</si>
  <si>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</si>
  <si>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</si>
  <si>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</si>
  <si>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</si>
  <si>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</si>
  <si>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</si>
  <si>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</si>
  <si>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</si>
  <si>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</si>
  <si>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</si>
  <si>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</si>
  <si>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Equipment / Software / Other  Maintenance</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</si>
  <si>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</si>
  <si>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</si>
  <si>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</si>
  <si>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</si>
  <si>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</si>
  <si>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</si>
  <si>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</si>
  <si>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</si>
  <si>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</si>
  <si>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</si>
  <si>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</si>
  <si>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</si>
  <si>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</si>
  <si>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</si>
  <si>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</si>
  <si>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</si>
  <si>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</si>
  <si>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</si>
  <si>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</si>
  <si>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</si>
  <si>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</si>
  <si>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</si>
  <si>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</si>
  <si>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</si>
  <si>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</si>
  <si>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</si>
  <si>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</si>
  <si>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</si>
  <si>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</si>
  <si>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</si>
  <si>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</si>
  <si>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</si>
  <si>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</si>
  <si>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</si>
  <si>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Medicare Advanced Payments (2020)</t>
  </si>
  <si>
    <t>VT Hazard Pay Grant</t>
  </si>
  <si>
    <t>FEMA</t>
  </si>
  <si>
    <t>Cares Act Funding</t>
  </si>
  <si>
    <t>SHIP Flex</t>
  </si>
  <si>
    <t xml:space="preserve">CIC </t>
  </si>
  <si>
    <t>Yes</t>
  </si>
  <si>
    <t>No</t>
  </si>
  <si>
    <t>Gas &amp; Oil</t>
  </si>
  <si>
    <t>EMERGENCY ROOM</t>
  </si>
  <si>
    <t>OR/SAME DAY SURGERY</t>
  </si>
  <si>
    <t>RADIOLOGY</t>
  </si>
  <si>
    <t>LABORATORY</t>
  </si>
  <si>
    <t>PHYSICAL THERAPY</t>
  </si>
  <si>
    <t>PSYCHIATRY</t>
  </si>
  <si>
    <t>REHAB</t>
  </si>
  <si>
    <t xml:space="preserve"> $                                   -  </t>
  </si>
  <si>
    <t>Insurance</t>
  </si>
  <si>
    <t>Interest</t>
  </si>
  <si>
    <t>Depreciation</t>
  </si>
  <si>
    <t>ACO Dues</t>
  </si>
  <si>
    <t>Purchased/Shared Services</t>
  </si>
  <si>
    <t>Risk Reserves</t>
  </si>
  <si>
    <t>Reform Payments</t>
  </si>
  <si>
    <t>Travelers</t>
  </si>
  <si>
    <t>Vacant Positions</t>
  </si>
  <si>
    <t>annual wage package</t>
  </si>
  <si>
    <t>provider wage increase</t>
  </si>
  <si>
    <t>PHM</t>
  </si>
  <si>
    <t>Recruitment and Other HR</t>
  </si>
  <si>
    <t>Travelers (nurses,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</si>
</sst>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b/>
      <sz val="11"/>
      <color rgb="FFFF0000"/>
      <name val="Calibri"/>
      <family val="2"/>
      <scheme val="minor"/>
    </font>
    <font>
      <sz val="1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55">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166" fontId="0" fillId="0" borderId="4" xfId="1" applyNumberFormat="1" applyFont="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9" fontId="4" fillId="11" borderId="14" xfId="2" applyNumberFormat="1"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2" fillId="0" borderId="34" xfId="0" applyFont="1" applyBorder="1" applyAlignment="1">
      <alignment horizontal="left" indent="3"/>
    </xf>
    <xf numFmtId="0" fontId="2" fillId="0" borderId="18"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9" fontId="4" fillId="9" borderId="0" xfId="3" applyFont="1" applyFill="1" applyBorder="1"/>
    <xf numFmtId="0" fontId="8" fillId="4" borderId="9" xfId="5" applyFont="1" applyFill="1" applyBorder="1"/>
    <xf numFmtId="0" fontId="8" fillId="0" borderId="9" xfId="5" applyFont="1" applyBorder="1"/>
    <xf numFmtId="0" fontId="8" fillId="0" borderId="37" xfId="5" applyFont="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8" fillId="9" borderId="36" xfId="5" applyFont="1" applyFill="1" applyBorder="1"/>
    <xf numFmtId="0" fontId="2" fillId="0" borderId="19" xfId="0" applyFont="1" applyBorder="1" applyAlignment="1">
      <alignment horizontal="center" vertical="center"/>
    </xf>
    <xf numFmtId="0" fontId="2" fillId="0" borderId="18" xfId="0" applyFont="1" applyBorder="1" applyAlignment="1">
      <alignment horizontal="center" vertical="center"/>
    </xf>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165" fontId="1" fillId="0" borderId="0" xfId="2" applyNumberFormat="1" applyFont="1" applyBorder="1"/>
    <xf numFmtId="165" fontId="0" fillId="0" borderId="0" xfId="2" applyNumberFormat="1" applyFont="1" applyFill="1" applyBorder="1"/>
    <xf numFmtId="165" fontId="1" fillId="0" borderId="17" xfId="2" applyNumberFormat="1" applyFont="1" applyBorder="1"/>
    <xf numFmtId="165" fontId="1" fillId="0" borderId="14" xfId="2" applyNumberFormat="1" applyFont="1" applyBorder="1"/>
    <xf numFmtId="165" fontId="1" fillId="0" borderId="10" xfId="2" applyNumberFormat="1" applyFont="1" applyBorder="1"/>
    <xf numFmtId="165" fontId="1" fillId="0" borderId="34" xfId="2" applyNumberFormat="1" applyFont="1" applyBorder="1"/>
    <xf numFmtId="165" fontId="1" fillId="0" borderId="32" xfId="2" applyNumberFormat="1" applyFont="1" applyBorder="1"/>
    <xf numFmtId="165" fontId="1" fillId="0" borderId="33" xfId="2" applyNumberFormat="1" applyFont="1" applyBorder="1"/>
    <xf numFmtId="165" fontId="1" fillId="0" borderId="0" xfId="2" applyNumberFormat="1" applyFont="1" applyFill="1" applyBorder="1"/>
    <xf numFmtId="0" fontId="0" fillId="0" borderId="15" xfId="0" applyFont="1" applyBorder="1"/>
    <xf numFmtId="165" fontId="8" fillId="0" borderId="12" xfId="2" applyNumberFormat="1" applyFont="1" applyBorder="1"/>
    <xf numFmtId="165" fontId="8" fillId="0" borderId="13" xfId="2" applyNumberFormat="1" applyFont="1" applyBorder="1"/>
    <xf numFmtId="166" fontId="8" fillId="0" borderId="12" xfId="1" applyNumberFormat="1" applyFont="1" applyBorder="1"/>
    <xf numFmtId="0" fontId="5" fillId="0" borderId="1" xfId="5" applyFont="1" applyBorder="1" applyAlignment="1">
      <alignment horizontal="center" wrapText="1"/>
    </xf>
    <xf numFmtId="165" fontId="0" fillId="0" borderId="4" xfId="2" applyNumberFormat="1" applyFont="1" applyBorder="1" applyAlignment="1">
      <alignment horizontal="center"/>
    </xf>
    <xf numFmtId="165" fontId="0" fillId="3" borderId="4" xfId="2" applyNumberFormat="1" applyFont="1" applyFill="1" applyBorder="1" applyAlignment="1">
      <alignment horizontal="center"/>
    </xf>
    <xf numFmtId="0" fontId="4" fillId="0" borderId="4" xfId="5" applyFont="1" applyBorder="1"/>
    <xf numFmtId="164" fontId="4" fillId="0" borderId="4" xfId="3" applyNumberFormat="1" applyFont="1" applyBorder="1"/>
    <xf numFmtId="165" fontId="4" fillId="0" borderId="23" xfId="2" applyNumberFormat="1" applyFont="1" applyBorder="1" applyAlignment="1"/>
    <xf numFmtId="164" fontId="24" fillId="3" borderId="4" xfId="3" applyNumberFormat="1" applyFont="1" applyFill="1" applyBorder="1"/>
    <xf numFmtId="165" fontId="4" fillId="0" borderId="4" xfId="2" applyNumberFormat="1" applyFont="1" applyBorder="1"/>
    <xf numFmtId="165" fontId="4" fillId="3" borderId="4" xfId="2" applyNumberFormat="1" applyFont="1" applyFill="1" applyBorder="1"/>
    <xf numFmtId="165" fontId="1" fillId="0" borderId="23" xfId="2" applyNumberFormat="1" applyFont="1" applyFill="1" applyBorder="1"/>
    <xf numFmtId="165" fontId="4" fillId="11" borderId="0" xfId="2" applyNumberFormat="1" applyFont="1" applyFill="1" applyBorder="1"/>
    <xf numFmtId="165" fontId="4" fillId="11" borderId="14" xfId="2" applyNumberFormat="1" applyFont="1" applyFill="1" applyBorder="1"/>
    <xf numFmtId="165" fontId="4" fillId="14" borderId="28" xfId="2" applyNumberFormat="1" applyFont="1" applyFill="1" applyBorder="1" applyAlignment="1">
      <alignment horizontal="center" wrapText="1"/>
    </xf>
    <xf numFmtId="165" fontId="4" fillId="11" borderId="30" xfId="2" applyNumberFormat="1" applyFont="1" applyFill="1" applyBorder="1"/>
    <xf numFmtId="165" fontId="4" fillId="11" borderId="31" xfId="2" applyNumberFormat="1" applyFont="1" applyFill="1" applyBorder="1"/>
    <xf numFmtId="165" fontId="4" fillId="14" borderId="29" xfId="2" applyNumberFormat="1" applyFont="1" applyFill="1" applyBorder="1" applyAlignment="1">
      <alignment horizontal="center" wrapText="1"/>
    </xf>
    <xf numFmtId="165" fontId="0" fillId="0" borderId="4" xfId="1" applyNumberFormat="1" applyFont="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quotePrefix="1" applyNumberFormat="1" applyFont="1" applyBorder="1" applyAlignment="1" applyProtection="1">
      <alignment horizontal="right"/>
      <protection locked="0"/>
    </xf>
    <xf numFmtId="165" fontId="0" fillId="5" borderId="0" xfId="3" applyNumberFormat="1" applyFont="1" applyFill="1" applyBorder="1"/>
    <xf numFmtId="165" fontId="0" fillId="3" borderId="4" xfId="3" applyNumberFormat="1" applyFont="1" applyFill="1" applyBorder="1" applyProtection="1">
      <protection locked="0"/>
    </xf>
    <xf numFmtId="9" fontId="0" fillId="0" borderId="0" xfId="3" applyFont="1" applyFill="1" applyBorder="1" applyAlignment="1">
      <alignment horizontal="left"/>
    </xf>
    <xf numFmtId="3" fontId="0" fillId="0" borderId="0" xfId="0" applyNumberFormat="1"/>
    <xf numFmtId="164" fontId="0" fillId="5" borderId="0" xfId="3" applyNumberFormat="1" applyFont="1" applyFill="1" applyBorder="1" applyAlignment="1">
      <alignment horizontal="left"/>
    </xf>
    <xf numFmtId="164" fontId="4" fillId="5" borderId="0" xfId="3" applyNumberFormat="1" applyFont="1" applyFill="1" applyBorder="1"/>
    <xf numFmtId="9" fontId="0" fillId="0" borderId="0" xfId="3" applyFont="1"/>
    <xf numFmtId="164" fontId="0" fillId="0" borderId="0" xfId="3" applyNumberFormat="1" applyFont="1"/>
    <xf numFmtId="9" fontId="0" fillId="0" borderId="0" xfId="0" applyNumberFormat="1"/>
    <xf numFmtId="9" fontId="0" fillId="0" borderId="0" xfId="0" applyNumberFormat="1" applyFill="1"/>
    <xf numFmtId="44" fontId="4" fillId="5" borderId="0" xfId="5" applyNumberFormat="1" applyFill="1"/>
    <xf numFmtId="166" fontId="4" fillId="5" borderId="0" xfId="1" applyNumberFormat="1" applyFont="1" applyFill="1"/>
    <xf numFmtId="165" fontId="4" fillId="5" borderId="0" xfId="2" applyNumberFormat="1" applyFont="1" applyFill="1" applyBorder="1"/>
    <xf numFmtId="165" fontId="4" fillId="5" borderId="0" xfId="5" applyNumberFormat="1" applyFill="1"/>
    <xf numFmtId="166" fontId="4" fillId="5" borderId="0" xfId="5" applyNumberFormat="1" applyFill="1"/>
    <xf numFmtId="166" fontId="4" fillId="5" borderId="0" xfId="1" applyNumberFormat="1" applyFont="1" applyFill="1" applyBorder="1"/>
    <xf numFmtId="43" fontId="0" fillId="0" borderId="0" xfId="1" applyFont="1" applyAlignment="1">
      <alignment horizontal="center"/>
    </xf>
    <xf numFmtId="165" fontId="4" fillId="3" borderId="1" xfId="2" applyNumberFormat="1" applyFont="1" applyFill="1" applyBorder="1"/>
    <xf numFmtId="0" fontId="4" fillId="0" borderId="0" xfId="5" applyBorder="1"/>
    <xf numFmtId="0" fontId="4" fillId="0" borderId="15" xfId="5" applyBorder="1"/>
    <xf numFmtId="165" fontId="4" fillId="0" borderId="1" xfId="2" applyNumberFormat="1" applyFont="1" applyBorder="1"/>
    <xf numFmtId="44" fontId="4" fillId="0" borderId="1" xfId="2" applyFont="1" applyBorder="1"/>
    <xf numFmtId="9" fontId="5" fillId="0" borderId="4" xfId="3" applyNumberFormat="1" applyFont="1" applyBorder="1"/>
    <xf numFmtId="0" fontId="2" fillId="0" borderId="0" xfId="0" applyFont="1"/>
    <xf numFmtId="166" fontId="26" fillId="0" borderId="0" xfId="1" applyNumberFormat="1" applyFont="1" applyAlignment="1">
      <alignment horizontal="center"/>
    </xf>
    <xf numFmtId="165" fontId="26" fillId="0" borderId="0" xfId="0" applyNumberFormat="1" applyFont="1"/>
    <xf numFmtId="9" fontId="0" fillId="0" borderId="0" xfId="3" applyFont="1" applyFill="1"/>
    <xf numFmtId="166" fontId="4" fillId="5" borderId="0" xfId="2" applyNumberFormat="1" applyFont="1" applyFill="1" applyBorder="1"/>
    <xf numFmtId="165" fontId="4" fillId="0" borderId="0" xfId="5" applyNumberFormat="1"/>
    <xf numFmtId="166" fontId="4" fillId="0" borderId="0" xfId="1" applyNumberFormat="1" applyFont="1"/>
    <xf numFmtId="166" fontId="0" fillId="0" borderId="0" xfId="1" applyNumberFormat="1" applyFont="1" applyAlignment="1">
      <alignment horizontal="center" vertical="center"/>
    </xf>
    <xf numFmtId="9" fontId="4" fillId="0" borderId="0" xfId="3" applyFont="1" applyFill="1"/>
    <xf numFmtId="44" fontId="4" fillId="0" borderId="0" xfId="2" applyFont="1" applyFill="1" applyBorder="1"/>
    <xf numFmtId="165" fontId="4" fillId="0" borderId="0" xfId="2" applyNumberFormat="1" applyFont="1" applyFill="1" applyBorder="1"/>
    <xf numFmtId="165" fontId="4" fillId="0" borderId="0" xfId="5" applyNumberFormat="1" applyFill="1"/>
    <xf numFmtId="0" fontId="4" fillId="5" borderId="0" xfId="5"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0" fillId="0" borderId="0" xfId="0" applyAlignment="1">
      <alignment horizontal="center"/>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0" xfId="5" applyFill="1" applyAlignment="1">
      <alignment horizontal="center"/>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xf numFmtId="165" fontId="27" fillId="3" borderId="4" xfId="2" applyNumberFormat="1" applyFont="1" applyFill="1" applyBorder="1" applyProtection="1">
      <protection locked="0"/>
    </xf>
    <xf numFmtId="165" fontId="27" fillId="0" borderId="4" xfId="3" applyNumberFormat="1" applyFont="1" applyFill="1" applyBorder="1" applyProtection="1">
      <protection locked="0"/>
    </xf>
    <xf numFmtId="165" fontId="27" fillId="0" borderId="4" xfId="2" applyNumberFormat="1" applyFont="1" applyFill="1" applyBorder="1" applyProtection="1">
      <protection locked="0"/>
    </xf>
    <xf numFmtId="165" fontId="27" fillId="0" borderId="4" xfId="1" applyNumberFormat="1" applyFont="1" applyBorder="1" applyProtection="1">
      <protection locked="0"/>
    </xf>
  </cellXfs>
  <cellStyles count="9">
    <cellStyle name="Comma" xfId="1" builtinId="3"/>
    <cellStyle name="Comma 2" xfId="7"/>
    <cellStyle name="Currency" xfId="2" builtinId="4"/>
    <cellStyle name="Hyperlink" xfId="4" builtinId="8"/>
    <cellStyle name="Hyperlink 2" xfId="6"/>
    <cellStyle name="Normal" xfId="0" builtinId="0"/>
    <cellStyle name="Normal 2" xfId="5"/>
    <cellStyle name="Normal 2 2" xfId="8"/>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7</xdr:col>
      <xdr:colOff>76200</xdr:colOff>
      <xdr:row>47</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3"/>
  <sheetViews>
    <sheetView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64" t="s">
        <v>216</v>
      </c>
      <c r="B1" s="264"/>
    </row>
    <row r="2" spans="1:3" x14ac:dyDescent="0.25">
      <c r="A2" s="265" t="s">
        <v>0</v>
      </c>
      <c r="B2" s="265"/>
    </row>
    <row r="3" spans="1:3" ht="166.9" customHeight="1" x14ac:dyDescent="0.25">
      <c r="A3" s="263" t="s">
        <v>1</v>
      </c>
      <c r="B3" s="263"/>
    </row>
    <row r="4" spans="1:3" x14ac:dyDescent="0.25">
      <c r="B4" s="46"/>
    </row>
    <row r="5" spans="1:3" ht="15.75" x14ac:dyDescent="0.25">
      <c r="A5" s="106" t="s">
        <v>2</v>
      </c>
      <c r="B5" s="26" t="s">
        <v>3</v>
      </c>
      <c r="C5" s="45"/>
    </row>
    <row r="6" spans="1:3" ht="15.75" x14ac:dyDescent="0.25">
      <c r="A6" s="106" t="s">
        <v>2</v>
      </c>
      <c r="B6" s="45" t="s">
        <v>4</v>
      </c>
      <c r="C6" s="45"/>
    </row>
    <row r="7" spans="1:3" ht="15.75" x14ac:dyDescent="0.25">
      <c r="A7" s="105" t="s">
        <v>5</v>
      </c>
      <c r="B7" s="45" t="s">
        <v>6</v>
      </c>
      <c r="C7" s="45"/>
    </row>
    <row r="8" spans="1:3" ht="15.75" x14ac:dyDescent="0.25">
      <c r="A8" s="106" t="s">
        <v>2</v>
      </c>
      <c r="B8" s="26" t="s">
        <v>7</v>
      </c>
      <c r="C8" s="45"/>
    </row>
    <row r="9" spans="1:3" ht="15.75" x14ac:dyDescent="0.25">
      <c r="A9" s="106" t="s">
        <v>2</v>
      </c>
      <c r="B9" s="26" t="s">
        <v>210</v>
      </c>
      <c r="C9" s="45"/>
    </row>
    <row r="10" spans="1:3" ht="15.75" x14ac:dyDescent="0.25">
      <c r="A10" s="106" t="s">
        <v>2</v>
      </c>
      <c r="B10" s="191" t="s">
        <v>211</v>
      </c>
      <c r="C10" s="45"/>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W91"/>
  <sheetViews>
    <sheetView showGridLines="0" tabSelected="1" topLeftCell="A34" zoomScale="145" zoomScaleNormal="145" zoomScaleSheetLayoutView="80" workbookViewId="0">
      <selection activeCell="C12" sqref="C12"/>
    </sheetView>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 min="9" max="9" width="16.42578125" customWidth="1"/>
    <col min="10" max="10" width="25.28515625" customWidth="1"/>
    <col min="11" max="11" width="15.140625" customWidth="1"/>
    <col min="12" max="12" width="11.140625" customWidth="1"/>
    <col min="13" max="13" width="15.140625" customWidth="1"/>
    <col min="14" max="14" width="24.5703125" customWidth="1"/>
    <col min="15" max="15" width="15.28515625" bestFit="1" customWidth="1"/>
    <col min="16" max="16" width="36" customWidth="1"/>
    <col min="22" max="22" width="15.28515625" bestFit="1" customWidth="1"/>
    <col min="23" max="23" width="10.28515625" bestFit="1" customWidth="1"/>
  </cols>
  <sheetData>
    <row r="2" spans="1:15" x14ac:dyDescent="0.25">
      <c r="B2" s="267" t="s">
        <v>8</v>
      </c>
      <c r="C2" s="267"/>
      <c r="D2" s="267"/>
      <c r="E2" s="267"/>
      <c r="F2" s="267"/>
      <c r="G2" s="267"/>
      <c r="H2" s="267"/>
      <c r="I2" s="267"/>
      <c r="J2" s="267"/>
      <c r="K2" s="267"/>
      <c r="L2" s="267"/>
      <c r="M2" s="267"/>
      <c r="N2" s="267"/>
      <c r="O2" s="267"/>
    </row>
    <row r="3" spans="1:15" ht="21" x14ac:dyDescent="0.35">
      <c r="B3" s="268" t="s">
        <v>9</v>
      </c>
      <c r="C3" s="269"/>
      <c r="D3" s="269"/>
      <c r="E3" s="269"/>
      <c r="F3" s="269"/>
      <c r="G3" s="269"/>
      <c r="H3" s="269"/>
      <c r="I3" s="269"/>
      <c r="J3" s="269"/>
      <c r="K3" s="269"/>
      <c r="L3" s="269"/>
      <c r="M3" s="269"/>
      <c r="N3" s="269"/>
      <c r="O3" s="270"/>
    </row>
    <row r="4" spans="1:15" ht="21" x14ac:dyDescent="0.35">
      <c r="B4" s="274" t="s">
        <v>10</v>
      </c>
      <c r="C4" s="275"/>
      <c r="D4" s="275"/>
      <c r="E4" s="275"/>
      <c r="F4" s="275"/>
      <c r="G4" s="275"/>
      <c r="H4" s="275"/>
      <c r="I4" s="275"/>
      <c r="J4" s="275"/>
      <c r="K4" s="275"/>
      <c r="L4" s="275"/>
      <c r="M4" s="275"/>
      <c r="N4" s="275"/>
      <c r="O4" s="276"/>
    </row>
    <row r="6" spans="1:15" ht="18.75" x14ac:dyDescent="0.3">
      <c r="B6" s="271" t="s">
        <v>11</v>
      </c>
      <c r="C6" s="272"/>
      <c r="D6" s="272"/>
      <c r="E6" s="272"/>
      <c r="F6" s="272"/>
      <c r="G6" s="272"/>
      <c r="H6" s="272"/>
      <c r="I6" s="272"/>
      <c r="J6" s="272"/>
      <c r="K6" s="272"/>
      <c r="L6" s="272"/>
      <c r="M6" s="272"/>
      <c r="N6" s="272"/>
      <c r="O6" s="273"/>
    </row>
    <row r="7" spans="1:15" s="56" customFormat="1" ht="18.75" x14ac:dyDescent="0.3">
      <c r="B7" s="55"/>
      <c r="C7" s="55"/>
      <c r="D7" s="55"/>
      <c r="E7" s="55"/>
      <c r="F7" s="55"/>
      <c r="G7" s="55"/>
      <c r="H7" s="55"/>
      <c r="I7" s="55"/>
      <c r="J7" s="55"/>
      <c r="K7" s="55"/>
      <c r="L7" s="55"/>
      <c r="M7" s="55"/>
      <c r="N7" s="55"/>
      <c r="O7" s="55"/>
    </row>
    <row r="8" spans="1:15" ht="18.75" x14ac:dyDescent="0.3">
      <c r="B8" s="90" t="s">
        <v>155</v>
      </c>
      <c r="C8" s="4"/>
      <c r="L8" s="278"/>
      <c r="M8" s="278"/>
    </row>
    <row r="9" spans="1:15" ht="22.15" customHeight="1" x14ac:dyDescent="0.3">
      <c r="B9" s="4"/>
      <c r="C9" s="4"/>
      <c r="D9" s="234"/>
      <c r="E9" s="234"/>
      <c r="F9" s="234"/>
      <c r="I9" s="83"/>
      <c r="K9" s="28"/>
      <c r="L9" s="86"/>
      <c r="M9" s="86"/>
      <c r="N9" s="86"/>
      <c r="O9" s="86"/>
    </row>
    <row r="10" spans="1:15" s="97" customFormat="1" ht="30" x14ac:dyDescent="0.25">
      <c r="B10" s="95" t="s">
        <v>12</v>
      </c>
      <c r="C10" s="95" t="s">
        <v>13</v>
      </c>
      <c r="D10" s="95" t="s">
        <v>14</v>
      </c>
      <c r="E10" s="95" t="s">
        <v>15</v>
      </c>
      <c r="F10" s="95" t="s">
        <v>16</v>
      </c>
      <c r="G10" s="95" t="s">
        <v>17</v>
      </c>
      <c r="H10" s="95" t="s">
        <v>18</v>
      </c>
      <c r="I10" s="96"/>
      <c r="J10" s="98"/>
      <c r="L10" s="234"/>
      <c r="M10" s="234"/>
      <c r="N10" s="257"/>
      <c r="O10" s="257"/>
    </row>
    <row r="11" spans="1:15" x14ac:dyDescent="0.25">
      <c r="B11" s="5" t="s">
        <v>156</v>
      </c>
      <c r="C11" s="88">
        <v>59640912</v>
      </c>
      <c r="D11" s="228">
        <v>31604098</v>
      </c>
      <c r="E11" s="88">
        <v>5119009</v>
      </c>
      <c r="F11" s="88">
        <v>22517804</v>
      </c>
      <c r="G11" s="88">
        <v>0</v>
      </c>
      <c r="H11" s="88">
        <v>400000</v>
      </c>
      <c r="J11" s="28"/>
      <c r="K11" s="97"/>
      <c r="L11" s="234"/>
      <c r="M11" s="234"/>
      <c r="N11" s="22"/>
      <c r="O11" s="22"/>
    </row>
    <row r="12" spans="1:15" ht="14.45" customHeight="1" x14ac:dyDescent="0.25">
      <c r="A12" s="277"/>
      <c r="B12" s="8" t="s">
        <v>19</v>
      </c>
      <c r="C12" s="88">
        <v>2926886.3664000002</v>
      </c>
      <c r="D12" s="224">
        <v>1619444.7408</v>
      </c>
      <c r="E12" s="224">
        <v>87286.585800000001</v>
      </c>
      <c r="F12" s="224">
        <v>1220155.0398000001</v>
      </c>
      <c r="G12" s="224"/>
      <c r="H12" s="224"/>
      <c r="I12" s="14"/>
      <c r="J12" s="14"/>
      <c r="K12" s="97"/>
      <c r="L12" s="234"/>
      <c r="M12" s="234"/>
      <c r="N12" s="22"/>
      <c r="O12" s="22"/>
    </row>
    <row r="13" spans="1:15" x14ac:dyDescent="0.25">
      <c r="A13" s="277"/>
      <c r="B13" s="8" t="s">
        <v>20</v>
      </c>
      <c r="C13" s="88">
        <v>140000</v>
      </c>
      <c r="D13" s="224"/>
      <c r="E13" s="224"/>
      <c r="F13" s="224"/>
      <c r="G13" s="224"/>
      <c r="H13" s="224">
        <v>140000</v>
      </c>
      <c r="L13" s="22"/>
      <c r="M13" s="23"/>
      <c r="N13" s="22"/>
      <c r="O13" s="22"/>
    </row>
    <row r="14" spans="1:15" x14ac:dyDescent="0.25">
      <c r="A14" s="277"/>
      <c r="B14" s="8" t="s">
        <v>21</v>
      </c>
      <c r="C14" s="88">
        <v>3813801.0120000001</v>
      </c>
      <c r="D14" s="224">
        <v>2110174.1640000003</v>
      </c>
      <c r="E14" s="224">
        <v>113736.4515</v>
      </c>
      <c r="F14" s="224">
        <v>1589890.3965</v>
      </c>
      <c r="G14" s="224"/>
      <c r="H14" s="224"/>
      <c r="I14" s="14"/>
      <c r="J14" s="14"/>
      <c r="L14" s="22"/>
    </row>
    <row r="15" spans="1:15" x14ac:dyDescent="0.25">
      <c r="A15" s="277"/>
      <c r="B15" s="8" t="s">
        <v>22</v>
      </c>
      <c r="C15" s="88">
        <v>641776</v>
      </c>
      <c r="D15" s="224"/>
      <c r="E15" s="224">
        <v>641776</v>
      </c>
      <c r="F15" s="224"/>
      <c r="G15" s="224"/>
      <c r="H15" s="224"/>
      <c r="L15" s="22"/>
      <c r="M15" s="23"/>
    </row>
    <row r="16" spans="1:15" x14ac:dyDescent="0.25">
      <c r="A16" s="277"/>
      <c r="B16" s="10" t="s">
        <v>240</v>
      </c>
      <c r="C16" s="88">
        <v>-200000</v>
      </c>
      <c r="D16" s="224">
        <v>-155357</v>
      </c>
      <c r="E16" s="224">
        <v>-44643</v>
      </c>
      <c r="F16" s="224"/>
      <c r="G16" s="224"/>
      <c r="H16" s="224"/>
      <c r="L16" s="22"/>
      <c r="M16" s="23"/>
    </row>
    <row r="17" spans="1:23" x14ac:dyDescent="0.25">
      <c r="A17" s="277"/>
      <c r="B17" s="10" t="s">
        <v>246</v>
      </c>
      <c r="C17" s="88">
        <v>130000</v>
      </c>
      <c r="D17" s="224">
        <v>-10000</v>
      </c>
      <c r="E17" s="224">
        <v>150000</v>
      </c>
      <c r="F17" s="224">
        <v>-10000</v>
      </c>
      <c r="G17" s="224"/>
      <c r="H17" s="224"/>
      <c r="L17" s="22"/>
      <c r="M17" s="23"/>
    </row>
    <row r="18" spans="1:23" x14ac:dyDescent="0.25">
      <c r="A18" s="277"/>
      <c r="B18" s="10" t="s">
        <v>25</v>
      </c>
      <c r="C18" s="88">
        <v>-831854</v>
      </c>
      <c r="D18" s="224">
        <v>-930619</v>
      </c>
      <c r="E18" s="224">
        <v>-106411</v>
      </c>
      <c r="F18" s="224">
        <v>205176</v>
      </c>
      <c r="G18" s="224"/>
      <c r="H18" s="224"/>
      <c r="L18" s="22"/>
      <c r="M18" s="23"/>
    </row>
    <row r="19" spans="1:23" x14ac:dyDescent="0.25">
      <c r="A19" s="277"/>
      <c r="B19" s="10" t="s">
        <v>26</v>
      </c>
      <c r="C19" s="88">
        <v>-392051</v>
      </c>
      <c r="D19" s="224"/>
      <c r="E19" s="224"/>
      <c r="F19" s="224">
        <v>-392051</v>
      </c>
      <c r="G19" s="224">
        <v>0</v>
      </c>
      <c r="H19" s="224"/>
      <c r="L19" s="22"/>
      <c r="M19" s="23"/>
    </row>
    <row r="20" spans="1:23" x14ac:dyDescent="0.25">
      <c r="B20" s="11" t="s">
        <v>157</v>
      </c>
      <c r="C20" s="6">
        <v>65869470.378399998</v>
      </c>
      <c r="D20" s="52">
        <v>34237740.904799998</v>
      </c>
      <c r="E20" s="52">
        <v>5960754.0373</v>
      </c>
      <c r="F20" s="52">
        <v>25130974.436299998</v>
      </c>
      <c r="G20" s="52">
        <v>0</v>
      </c>
      <c r="H20" s="52">
        <v>540000</v>
      </c>
      <c r="O20" s="22"/>
      <c r="P20" s="23"/>
    </row>
    <row r="21" spans="1:23" x14ac:dyDescent="0.25">
      <c r="C21" s="252"/>
      <c r="D21" s="251"/>
      <c r="E21" s="251"/>
      <c r="F21" s="251"/>
      <c r="G21" s="250"/>
      <c r="H21" s="251"/>
      <c r="O21" s="22"/>
      <c r="P21" s="23"/>
    </row>
    <row r="22" spans="1:23" x14ac:dyDescent="0.25">
      <c r="B22" s="29" t="s">
        <v>158</v>
      </c>
      <c r="C22" s="64">
        <f t="shared" ref="C22:H22" si="0">+C20-C11</f>
        <v>6228558.3783999979</v>
      </c>
      <c r="D22" s="19">
        <f t="shared" si="0"/>
        <v>2633642.9047999978</v>
      </c>
      <c r="E22" s="19">
        <f t="shared" si="0"/>
        <v>841745.03729999997</v>
      </c>
      <c r="F22" s="19">
        <f t="shared" si="0"/>
        <v>2613170.4362999983</v>
      </c>
      <c r="G22" s="19">
        <f t="shared" si="0"/>
        <v>0</v>
      </c>
      <c r="H22" s="19">
        <f t="shared" si="0"/>
        <v>140000</v>
      </c>
      <c r="O22" s="22"/>
      <c r="P22" s="23"/>
    </row>
    <row r="23" spans="1:23" x14ac:dyDescent="0.25">
      <c r="B23" s="53" t="s">
        <v>159</v>
      </c>
      <c r="C23" s="54">
        <f t="shared" ref="C23:H23" si="1">(C22)/C11</f>
        <v>0.10443432485405317</v>
      </c>
      <c r="D23" s="54">
        <f t="shared" si="1"/>
        <v>8.3332323067723618E-2</v>
      </c>
      <c r="E23" s="54">
        <f t="shared" si="1"/>
        <v>0.16443515479265616</v>
      </c>
      <c r="F23" s="54">
        <f t="shared" si="1"/>
        <v>0.11604907993248358</v>
      </c>
      <c r="G23" s="54" t="e">
        <f t="shared" si="1"/>
        <v>#DIV/0!</v>
      </c>
      <c r="H23" s="54">
        <f t="shared" si="1"/>
        <v>0.35</v>
      </c>
      <c r="O23" s="22"/>
      <c r="P23" s="23"/>
    </row>
    <row r="24" spans="1:23" x14ac:dyDescent="0.25">
      <c r="B24" s="108"/>
      <c r="C24" s="227"/>
      <c r="D24" s="234"/>
      <c r="E24" s="234"/>
      <c r="F24" s="234"/>
      <c r="G24" s="234"/>
      <c r="H24" s="234"/>
      <c r="I24" s="234"/>
      <c r="J24" s="234"/>
      <c r="O24" s="22"/>
      <c r="P24" s="23"/>
    </row>
    <row r="25" spans="1:23" ht="28.15" customHeight="1" x14ac:dyDescent="0.3">
      <c r="B25" s="90" t="s">
        <v>160</v>
      </c>
      <c r="C25" s="4"/>
      <c r="D25" s="234"/>
      <c r="E25" s="234"/>
      <c r="F25" s="234"/>
      <c r="G25" s="234"/>
      <c r="H25" s="234"/>
      <c r="I25" s="234"/>
      <c r="J25" s="234"/>
      <c r="V25" s="22"/>
      <c r="W25" s="23"/>
    </row>
    <row r="26" spans="1:23" ht="18.75" x14ac:dyDescent="0.3">
      <c r="B26" s="90"/>
      <c r="C26" s="234"/>
      <c r="D26" s="15"/>
      <c r="E26" s="15"/>
      <c r="G26" s="234"/>
      <c r="H26" s="234"/>
      <c r="I26" s="234"/>
      <c r="J26" s="234"/>
      <c r="U26" s="22"/>
      <c r="V26" s="23"/>
    </row>
    <row r="27" spans="1:23" s="86" customFormat="1" x14ac:dyDescent="0.25">
      <c r="B27" s="92" t="s">
        <v>28</v>
      </c>
      <c r="C27" s="92" t="s">
        <v>29</v>
      </c>
      <c r="D27" s="92" t="s">
        <v>30</v>
      </c>
      <c r="E27" s="161"/>
      <c r="F27" s="162"/>
      <c r="G27" s="162"/>
      <c r="H27" s="162"/>
      <c r="V27" s="93"/>
      <c r="W27" s="94"/>
    </row>
    <row r="28" spans="1:23" x14ac:dyDescent="0.25">
      <c r="B28" s="5" t="s">
        <v>156</v>
      </c>
      <c r="C28" s="88">
        <v>62951120</v>
      </c>
      <c r="D28" s="7"/>
      <c r="E28" s="175"/>
      <c r="F28" s="175"/>
      <c r="G28" s="233"/>
      <c r="H28" s="164"/>
      <c r="I28" s="233"/>
      <c r="J28" s="233"/>
      <c r="K28" s="235"/>
      <c r="V28" s="22"/>
      <c r="W28" s="23"/>
    </row>
    <row r="29" spans="1:23" x14ac:dyDescent="0.25">
      <c r="B29" s="8" t="s">
        <v>31</v>
      </c>
      <c r="C29" s="89">
        <v>72250</v>
      </c>
      <c r="D29" s="9">
        <v>1.1477158786054958E-3</v>
      </c>
      <c r="E29" s="163"/>
      <c r="F29" s="84"/>
      <c r="G29" s="235"/>
      <c r="H29" s="236"/>
      <c r="I29" s="235"/>
      <c r="J29" s="235"/>
      <c r="V29" s="22"/>
    </row>
    <row r="30" spans="1:23" x14ac:dyDescent="0.25">
      <c r="B30" s="160" t="s">
        <v>180</v>
      </c>
      <c r="C30" s="154">
        <v>1781868.7103499998</v>
      </c>
      <c r="D30" s="9">
        <v>2.8305591867944523E-2</v>
      </c>
      <c r="E30" s="165"/>
      <c r="F30" s="84"/>
      <c r="G30" s="253"/>
      <c r="H30" s="253"/>
      <c r="I30" s="253"/>
      <c r="J30" s="253"/>
      <c r="K30" s="235"/>
      <c r="V30" s="22"/>
    </row>
    <row r="31" spans="1:23" x14ac:dyDescent="0.25">
      <c r="B31" s="10" t="s">
        <v>33</v>
      </c>
      <c r="C31" s="89">
        <v>1288082.183749998</v>
      </c>
      <c r="D31" s="9">
        <v>2.0461624570778058E-2</v>
      </c>
      <c r="E31" s="163"/>
      <c r="F31" s="163"/>
      <c r="G31" s="253"/>
      <c r="H31" s="164"/>
      <c r="I31" s="253"/>
      <c r="J31" s="253"/>
      <c r="V31" s="22"/>
    </row>
    <row r="32" spans="1:23" x14ac:dyDescent="0.25">
      <c r="B32" s="10" t="s">
        <v>34</v>
      </c>
      <c r="C32" s="89">
        <v>307829</v>
      </c>
      <c r="D32" s="9">
        <v>4.8899685978581481E-3</v>
      </c>
      <c r="E32" s="163"/>
      <c r="F32" s="163"/>
      <c r="G32" s="164"/>
      <c r="H32" s="164"/>
      <c r="V32" s="22"/>
    </row>
    <row r="33" spans="2:22" x14ac:dyDescent="0.25">
      <c r="B33" s="10" t="s">
        <v>35</v>
      </c>
      <c r="C33" s="89">
        <v>376000</v>
      </c>
      <c r="D33" s="9">
        <v>5.972888171012684E-3</v>
      </c>
      <c r="E33" s="163"/>
      <c r="F33" s="163"/>
      <c r="G33" s="164"/>
      <c r="H33" s="164"/>
      <c r="V33" s="22"/>
    </row>
    <row r="34" spans="2:22" x14ac:dyDescent="0.25">
      <c r="B34" s="10" t="s">
        <v>36</v>
      </c>
      <c r="C34" s="89">
        <v>215220</v>
      </c>
      <c r="D34" s="9">
        <v>3.4188430642695476E-3</v>
      </c>
      <c r="E34" s="163"/>
      <c r="F34" s="163"/>
      <c r="G34" s="164"/>
      <c r="H34" s="164"/>
      <c r="V34" s="22"/>
    </row>
    <row r="35" spans="2:22" x14ac:dyDescent="0.25">
      <c r="B35" s="10" t="s">
        <v>37</v>
      </c>
      <c r="C35" s="89">
        <v>1031143.2175</v>
      </c>
      <c r="D35" s="9">
        <v>1.6380061506451354E-2</v>
      </c>
      <c r="E35" s="229"/>
      <c r="F35" s="163"/>
      <c r="G35" s="164"/>
      <c r="H35" s="164"/>
    </row>
    <row r="36" spans="2:22" x14ac:dyDescent="0.25">
      <c r="B36" s="10" t="s">
        <v>38</v>
      </c>
      <c r="C36" s="89">
        <v>399947</v>
      </c>
      <c r="D36" s="9">
        <v>6.3532944290744945E-3</v>
      </c>
      <c r="E36" s="163"/>
      <c r="F36" s="163"/>
      <c r="G36" s="164"/>
      <c r="H36" s="164"/>
    </row>
    <row r="37" spans="2:22" x14ac:dyDescent="0.25">
      <c r="B37" s="10" t="s">
        <v>237</v>
      </c>
      <c r="C37" s="89">
        <v>-280885</v>
      </c>
      <c r="D37" s="9">
        <v>-4.4619539731779196E-3</v>
      </c>
      <c r="E37" s="163"/>
      <c r="F37" s="163"/>
      <c r="G37" s="164"/>
      <c r="H37" s="164"/>
    </row>
    <row r="38" spans="2:22" x14ac:dyDescent="0.25">
      <c r="B38" s="87" t="s">
        <v>239</v>
      </c>
      <c r="C38" s="89">
        <v>421617</v>
      </c>
      <c r="D38" s="9">
        <v>6.6975297659517419E-3</v>
      </c>
      <c r="E38" s="229"/>
      <c r="F38" s="163"/>
      <c r="G38" s="164"/>
      <c r="H38" s="164"/>
    </row>
    <row r="39" spans="2:22" x14ac:dyDescent="0.25">
      <c r="B39" s="87" t="s">
        <v>183</v>
      </c>
      <c r="C39" s="89">
        <v>-87805</v>
      </c>
      <c r="D39" s="9">
        <v>-1.394812355999385E-3</v>
      </c>
      <c r="E39" s="163"/>
      <c r="F39" s="163"/>
      <c r="G39" s="164"/>
      <c r="H39" s="164"/>
    </row>
    <row r="40" spans="2:22" x14ac:dyDescent="0.25">
      <c r="B40" s="87" t="s">
        <v>236</v>
      </c>
      <c r="C40" s="89">
        <v>-5999</v>
      </c>
      <c r="D40" s="9">
        <v>-9.5296159941236948E-5</v>
      </c>
      <c r="E40" s="163"/>
      <c r="F40" s="163"/>
      <c r="G40" s="164"/>
      <c r="H40" s="164"/>
    </row>
    <row r="41" spans="2:22" x14ac:dyDescent="0.25">
      <c r="B41" s="87" t="s">
        <v>39</v>
      </c>
      <c r="C41" s="89">
        <v>-114704</v>
      </c>
      <c r="D41" s="9">
        <v>-1.8221121403399971E-3</v>
      </c>
      <c r="E41" s="163"/>
      <c r="F41" s="163"/>
      <c r="G41" s="164"/>
      <c r="H41" s="164"/>
    </row>
    <row r="42" spans="2:22" x14ac:dyDescent="0.25">
      <c r="B42" s="87" t="s">
        <v>238</v>
      </c>
      <c r="C42" s="89">
        <v>-71483</v>
      </c>
      <c r="D42" s="9">
        <v>-1.1355318221502651E-3</v>
      </c>
      <c r="E42" s="163"/>
      <c r="F42" s="163"/>
      <c r="G42" s="164"/>
      <c r="H42" s="164"/>
    </row>
    <row r="43" spans="2:22" x14ac:dyDescent="0.25">
      <c r="B43" s="11" t="s">
        <v>157</v>
      </c>
      <c r="C43" s="12">
        <v>68284201.111599997</v>
      </c>
      <c r="D43" s="13">
        <v>8.4717811400337267E-2</v>
      </c>
      <c r="E43" s="163"/>
      <c r="F43" s="163"/>
      <c r="G43" s="164"/>
      <c r="H43" s="164"/>
    </row>
    <row r="44" spans="2:22" x14ac:dyDescent="0.25">
      <c r="B44" s="84"/>
      <c r="C44" s="85">
        <v>68284201</v>
      </c>
      <c r="D44" s="77"/>
      <c r="E44" s="77"/>
    </row>
    <row r="45" spans="2:22" x14ac:dyDescent="0.25">
      <c r="B45" s="29" t="s">
        <v>158</v>
      </c>
      <c r="C45" s="64">
        <f>+C43-C28</f>
        <v>5333081.1115999967</v>
      </c>
      <c r="D45" s="77"/>
      <c r="E45" s="77"/>
    </row>
    <row r="46" spans="2:22" x14ac:dyDescent="0.25">
      <c r="B46" s="53" t="s">
        <v>159</v>
      </c>
      <c r="C46" s="54">
        <f>(C45)/C28</f>
        <v>8.4717811400337226E-2</v>
      </c>
      <c r="D46" s="77"/>
      <c r="E46" s="77"/>
    </row>
    <row r="47" spans="2:22" x14ac:dyDescent="0.25">
      <c r="B47" s="108"/>
      <c r="C47" s="227">
        <f>C43-C44</f>
        <v>0.11159999668598175</v>
      </c>
      <c r="D47" s="59"/>
      <c r="E47" s="59"/>
      <c r="F47" s="59"/>
      <c r="G47" s="59"/>
      <c r="H47" s="59"/>
      <c r="O47" s="22"/>
      <c r="P47" s="23"/>
    </row>
    <row r="49" spans="1:23" ht="18.75" x14ac:dyDescent="0.3">
      <c r="B49" s="271" t="s">
        <v>40</v>
      </c>
      <c r="C49" s="272"/>
      <c r="D49" s="272"/>
      <c r="E49" s="272"/>
      <c r="F49" s="272"/>
      <c r="G49" s="272"/>
      <c r="H49" s="272"/>
      <c r="I49" s="272"/>
      <c r="J49" s="272"/>
      <c r="K49" s="272"/>
      <c r="L49" s="272"/>
      <c r="M49" s="272"/>
      <c r="N49" s="272"/>
      <c r="O49" s="273"/>
      <c r="V49" s="22"/>
      <c r="W49" s="23"/>
    </row>
    <row r="50" spans="1:23" x14ac:dyDescent="0.25">
      <c r="B50" s="17"/>
    </row>
    <row r="51" spans="1:23" ht="18.75" x14ac:dyDescent="0.3">
      <c r="B51" s="90" t="s">
        <v>161</v>
      </c>
      <c r="C51" s="4"/>
    </row>
    <row r="52" spans="1:23" ht="18.75" x14ac:dyDescent="0.3">
      <c r="B52" s="90"/>
      <c r="C52" s="4"/>
    </row>
    <row r="53" spans="1:23" ht="18.75" x14ac:dyDescent="0.3">
      <c r="B53" s="90" t="s">
        <v>41</v>
      </c>
      <c r="C53" s="129" t="s">
        <v>162</v>
      </c>
    </row>
    <row r="54" spans="1:23" s="86" customFormat="1" ht="30" x14ac:dyDescent="0.25">
      <c r="B54" s="91" t="s">
        <v>12</v>
      </c>
      <c r="C54" s="91" t="s">
        <v>13</v>
      </c>
      <c r="D54" s="91" t="s">
        <v>14</v>
      </c>
      <c r="E54" s="91" t="s">
        <v>15</v>
      </c>
      <c r="F54" s="91" t="s">
        <v>16</v>
      </c>
      <c r="G54" s="91" t="s">
        <v>17</v>
      </c>
      <c r="H54" s="91" t="s">
        <v>18</v>
      </c>
    </row>
    <row r="55" spans="1:23" x14ac:dyDescent="0.25">
      <c r="B55" s="5" t="s">
        <v>163</v>
      </c>
      <c r="C55" s="88">
        <v>62703351</v>
      </c>
      <c r="D55" s="228">
        <v>32251746.25</v>
      </c>
      <c r="E55" s="228">
        <v>5628382.1200000001</v>
      </c>
      <c r="F55" s="228">
        <v>24283223.030000001</v>
      </c>
      <c r="G55" s="228"/>
      <c r="H55" s="88">
        <v>540000</v>
      </c>
      <c r="J55" s="14"/>
      <c r="K55" s="14"/>
    </row>
    <row r="56" spans="1:23" ht="14.45" customHeight="1" x14ac:dyDescent="0.25">
      <c r="A56" s="266"/>
      <c r="B56" s="8" t="s">
        <v>19</v>
      </c>
      <c r="C56" s="351">
        <v>2854647.5644699144</v>
      </c>
      <c r="D56" s="352">
        <v>1579475.052531041</v>
      </c>
      <c r="E56" s="353">
        <v>85132.254059216822</v>
      </c>
      <c r="F56" s="354">
        <v>1190040.257879656</v>
      </c>
      <c r="G56" s="223"/>
      <c r="H56" s="223"/>
      <c r="L56" s="22"/>
      <c r="M56" s="23"/>
    </row>
    <row r="57" spans="1:23" x14ac:dyDescent="0.25">
      <c r="A57" s="266"/>
      <c r="B57" s="8" t="s">
        <v>20</v>
      </c>
      <c r="C57" s="351">
        <v>0</v>
      </c>
      <c r="D57" s="352"/>
      <c r="E57" s="353"/>
      <c r="F57" s="354"/>
      <c r="G57" s="223"/>
      <c r="H57" s="223"/>
      <c r="L57" s="22"/>
      <c r="M57" s="23"/>
    </row>
    <row r="58" spans="1:23" x14ac:dyDescent="0.25">
      <c r="A58" s="266"/>
      <c r="B58" s="8" t="s">
        <v>21</v>
      </c>
      <c r="C58" s="351">
        <f>-C56+2988816</f>
        <v>134168.43553008558</v>
      </c>
      <c r="D58" s="352">
        <f>-D56+1653710.38</f>
        <v>74235.327468958916</v>
      </c>
      <c r="E58" s="352">
        <f>-E56+89133.47</f>
        <v>4001.2159407831787</v>
      </c>
      <c r="F58" s="352">
        <f>-F56+1245972.15</f>
        <v>55931.892120343866</v>
      </c>
      <c r="G58" s="223"/>
      <c r="H58" s="223"/>
      <c r="J58" s="14"/>
      <c r="K58" s="14"/>
      <c r="L58" s="22"/>
      <c r="M58" s="23"/>
    </row>
    <row r="59" spans="1:23" x14ac:dyDescent="0.25">
      <c r="A59" s="266"/>
      <c r="B59" s="8" t="s">
        <v>22</v>
      </c>
      <c r="C59" s="88">
        <v>-18190</v>
      </c>
      <c r="D59" s="224"/>
      <c r="E59" s="225">
        <v>-18190</v>
      </c>
      <c r="F59" s="223"/>
      <c r="G59" s="223"/>
      <c r="H59" s="223"/>
      <c r="L59" s="22"/>
      <c r="M59" s="23"/>
    </row>
    <row r="60" spans="1:23" x14ac:dyDescent="0.25">
      <c r="B60" s="10" t="s">
        <v>23</v>
      </c>
      <c r="C60" s="88">
        <v>0</v>
      </c>
      <c r="D60" s="224"/>
      <c r="E60" s="225"/>
      <c r="F60" s="226"/>
      <c r="G60" s="226"/>
      <c r="H60" s="226"/>
      <c r="L60" s="22"/>
      <c r="M60" s="23"/>
    </row>
    <row r="61" spans="1:23" x14ac:dyDescent="0.25">
      <c r="B61" s="10" t="s">
        <v>24</v>
      </c>
      <c r="C61" s="88">
        <v>0</v>
      </c>
      <c r="D61" s="224"/>
      <c r="E61" s="225"/>
      <c r="F61" s="223"/>
      <c r="G61" s="223"/>
      <c r="H61" s="223"/>
      <c r="L61" s="22"/>
      <c r="M61" s="23"/>
    </row>
    <row r="62" spans="1:23" x14ac:dyDescent="0.25">
      <c r="B62" s="10" t="s">
        <v>25</v>
      </c>
      <c r="C62" s="88">
        <v>-24502.400000000009</v>
      </c>
      <c r="D62" s="224">
        <v>-100178.7</v>
      </c>
      <c r="E62" s="225">
        <v>181334.74</v>
      </c>
      <c r="F62" s="223">
        <v>-105658.44</v>
      </c>
      <c r="G62" s="223"/>
      <c r="H62" s="223"/>
      <c r="L62" s="22"/>
      <c r="M62" s="23"/>
    </row>
    <row r="63" spans="1:23" x14ac:dyDescent="0.25">
      <c r="B63" s="10" t="s">
        <v>26</v>
      </c>
      <c r="C63" s="88">
        <v>-303694</v>
      </c>
      <c r="D63" s="224"/>
      <c r="E63" s="225"/>
      <c r="F63" s="223">
        <v>-303694</v>
      </c>
      <c r="G63" s="223"/>
      <c r="H63" s="223"/>
      <c r="L63" s="22"/>
      <c r="M63" s="23"/>
    </row>
    <row r="64" spans="1:23" x14ac:dyDescent="0.25">
      <c r="B64" s="87" t="s">
        <v>240</v>
      </c>
      <c r="C64" s="88">
        <v>500000.00000000006</v>
      </c>
      <c r="D64" s="224">
        <v>425357.06939851504</v>
      </c>
      <c r="E64" s="225">
        <v>74642.930601485001</v>
      </c>
      <c r="F64" s="226"/>
      <c r="G64" s="226"/>
      <c r="H64" s="226"/>
      <c r="L64" s="22"/>
      <c r="M64" s="23"/>
    </row>
    <row r="65" spans="2:23" x14ac:dyDescent="0.25">
      <c r="B65" s="87" t="s">
        <v>241</v>
      </c>
      <c r="C65" s="88">
        <v>23689</v>
      </c>
      <c r="D65" s="224">
        <v>7106</v>
      </c>
      <c r="E65" s="225">
        <v>5451</v>
      </c>
      <c r="F65" s="226">
        <v>11132</v>
      </c>
      <c r="G65" s="226"/>
      <c r="H65" s="226"/>
      <c r="L65" s="22"/>
      <c r="M65" s="23"/>
    </row>
    <row r="66" spans="2:23" x14ac:dyDescent="0.25">
      <c r="B66" s="11" t="s">
        <v>157</v>
      </c>
      <c r="C66" s="6">
        <v>65869469.600000001</v>
      </c>
      <c r="D66" s="52">
        <v>34237740.999398515</v>
      </c>
      <c r="E66" s="52">
        <v>5960754.2606014851</v>
      </c>
      <c r="F66" s="52">
        <v>25130974.739999998</v>
      </c>
      <c r="G66" s="52">
        <v>0</v>
      </c>
      <c r="H66" s="52">
        <v>540000</v>
      </c>
      <c r="L66" s="22"/>
      <c r="M66" s="23"/>
    </row>
    <row r="67" spans="2:23" x14ac:dyDescent="0.25">
      <c r="C67" s="14">
        <f>C20</f>
        <v>65869470.378399998</v>
      </c>
      <c r="D67" s="93">
        <f>D21</f>
        <v>0</v>
      </c>
      <c r="E67" s="93">
        <f>E21</f>
        <v>0</v>
      </c>
      <c r="F67" s="93">
        <f>F21</f>
        <v>0</v>
      </c>
      <c r="G67" s="22"/>
      <c r="H67" s="22">
        <f>'2. Charge and NPR Detail'!I55</f>
        <v>540000</v>
      </c>
      <c r="L67" s="22"/>
      <c r="M67" s="23"/>
    </row>
    <row r="68" spans="2:23" x14ac:dyDescent="0.25">
      <c r="B68" s="29" t="s">
        <v>166</v>
      </c>
      <c r="C68" s="64">
        <f t="shared" ref="C68:H68" si="2">+C66-C55</f>
        <v>3166118.6000000015</v>
      </c>
      <c r="D68" s="64">
        <f t="shared" si="2"/>
        <v>1985994.7493985146</v>
      </c>
      <c r="E68" s="64">
        <f t="shared" si="2"/>
        <v>332372.14060148504</v>
      </c>
      <c r="F68" s="19">
        <f t="shared" si="2"/>
        <v>847751.70999999717</v>
      </c>
      <c r="G68" s="19">
        <f t="shared" si="2"/>
        <v>0</v>
      </c>
      <c r="H68" s="19">
        <f t="shared" si="2"/>
        <v>0</v>
      </c>
      <c r="L68" s="22"/>
      <c r="M68" s="23"/>
    </row>
    <row r="69" spans="2:23" x14ac:dyDescent="0.25">
      <c r="B69" s="53" t="s">
        <v>165</v>
      </c>
      <c r="C69" s="54">
        <f t="shared" ref="C69:H69" si="3">(C68)/C55</f>
        <v>5.049361078006822E-2</v>
      </c>
      <c r="D69" s="54">
        <f t="shared" si="3"/>
        <v>6.1577898263369679E-2</v>
      </c>
      <c r="E69" s="54">
        <f t="shared" si="3"/>
        <v>5.9052874079111924E-2</v>
      </c>
      <c r="F69" s="54">
        <f t="shared" si="3"/>
        <v>3.4911004562807289E-2</v>
      </c>
      <c r="G69" s="54" t="e">
        <f t="shared" si="3"/>
        <v>#DIV/0!</v>
      </c>
      <c r="H69" s="54">
        <f t="shared" si="3"/>
        <v>0</v>
      </c>
      <c r="L69" s="22"/>
      <c r="M69" s="23"/>
    </row>
    <row r="70" spans="2:23" x14ac:dyDescent="0.25">
      <c r="B70" s="108"/>
      <c r="C70" s="227"/>
      <c r="D70" s="243"/>
      <c r="E70" s="243"/>
      <c r="F70" s="243"/>
      <c r="K70" s="23"/>
      <c r="L70" s="23"/>
      <c r="M70" s="14"/>
      <c r="N70" s="24"/>
      <c r="V70" s="22"/>
      <c r="W70" s="23"/>
    </row>
    <row r="71" spans="2:23" ht="19.899999999999999" customHeight="1" x14ac:dyDescent="0.3">
      <c r="B71" s="90" t="s">
        <v>164</v>
      </c>
      <c r="C71" s="4"/>
      <c r="D71" s="15"/>
      <c r="E71" s="15"/>
      <c r="F71" s="15"/>
      <c r="V71" s="22"/>
      <c r="W71" s="23"/>
    </row>
    <row r="72" spans="2:23" ht="18.75" x14ac:dyDescent="0.3">
      <c r="B72" s="90"/>
      <c r="C72" s="4"/>
      <c r="D72" s="15"/>
      <c r="E72" s="15"/>
      <c r="V72" s="22"/>
      <c r="W72" s="23"/>
    </row>
    <row r="73" spans="2:23" x14ac:dyDescent="0.25">
      <c r="B73" s="92" t="s">
        <v>28</v>
      </c>
      <c r="C73" s="92" t="s">
        <v>29</v>
      </c>
      <c r="D73" s="92" t="s">
        <v>30</v>
      </c>
      <c r="E73" s="60"/>
      <c r="V73" s="22"/>
      <c r="W73" s="23"/>
    </row>
    <row r="74" spans="2:23" x14ac:dyDescent="0.25">
      <c r="B74" s="5" t="s">
        <v>163</v>
      </c>
      <c r="C74" s="88">
        <v>65362731.800000019</v>
      </c>
      <c r="D74" s="7"/>
      <c r="E74" s="59"/>
      <c r="V74" s="22"/>
      <c r="W74" s="23"/>
    </row>
    <row r="75" spans="2:23" x14ac:dyDescent="0.25">
      <c r="B75" s="8" t="s">
        <v>243</v>
      </c>
      <c r="C75" s="89">
        <v>1440000</v>
      </c>
      <c r="D75" s="9">
        <v>2.287489086770815E-2</v>
      </c>
      <c r="E75" s="61"/>
      <c r="V75" s="22"/>
    </row>
    <row r="76" spans="2:23" x14ac:dyDescent="0.25">
      <c r="B76" s="10" t="s">
        <v>32</v>
      </c>
      <c r="C76" s="89">
        <v>726488.75000000559</v>
      </c>
      <c r="D76" s="9">
        <v>1.1540521439491554E-2</v>
      </c>
      <c r="E76" s="61"/>
      <c r="F76" s="230"/>
      <c r="V76" s="22"/>
    </row>
    <row r="77" spans="2:23" x14ac:dyDescent="0.25">
      <c r="B77" s="10" t="s">
        <v>34</v>
      </c>
      <c r="C77" s="89">
        <v>449325</v>
      </c>
      <c r="D77" s="9">
        <v>7.1376807910645589E-3</v>
      </c>
      <c r="E77" s="61"/>
      <c r="V77" s="22"/>
    </row>
    <row r="78" spans="2:23" x14ac:dyDescent="0.25">
      <c r="B78" s="10" t="s">
        <v>248</v>
      </c>
      <c r="C78" s="89">
        <v>-629569</v>
      </c>
      <c r="D78" s="9">
        <v>-1.0000918172702884E-2</v>
      </c>
      <c r="E78" s="61"/>
      <c r="V78" s="22"/>
    </row>
    <row r="79" spans="2:23" x14ac:dyDescent="0.25">
      <c r="B79" s="10" t="s">
        <v>36</v>
      </c>
      <c r="C79" s="89">
        <v>-107500</v>
      </c>
      <c r="D79" s="9">
        <v>-1.707674144637935E-3</v>
      </c>
      <c r="E79" s="231"/>
      <c r="V79" s="22"/>
    </row>
    <row r="80" spans="2:23" x14ac:dyDescent="0.25">
      <c r="B80" s="10" t="s">
        <v>38</v>
      </c>
      <c r="C80" s="89">
        <v>-132000</v>
      </c>
      <c r="D80" s="9">
        <v>-2.0968649962065807E-3</v>
      </c>
      <c r="E80" s="231"/>
    </row>
    <row r="81" spans="2:16" x14ac:dyDescent="0.25">
      <c r="B81" s="10" t="s">
        <v>39</v>
      </c>
      <c r="C81" s="89">
        <v>-48431</v>
      </c>
      <c r="D81" s="9">
        <v>-7.6934294417637045E-4</v>
      </c>
      <c r="E81" s="231"/>
    </row>
    <row r="82" spans="2:16" x14ac:dyDescent="0.25">
      <c r="B82" s="87" t="s">
        <v>237</v>
      </c>
      <c r="C82" s="89">
        <v>222912</v>
      </c>
      <c r="D82" s="9">
        <v>3.5410331063212221E-3</v>
      </c>
      <c r="E82" s="231"/>
    </row>
    <row r="83" spans="2:16" x14ac:dyDescent="0.25">
      <c r="B83" s="87" t="s">
        <v>247</v>
      </c>
      <c r="C83" s="89">
        <v>235657</v>
      </c>
      <c r="D83" s="9">
        <v>3.7434917758413194E-3</v>
      </c>
      <c r="E83" s="61"/>
      <c r="G83" s="24"/>
    </row>
    <row r="84" spans="2:16" x14ac:dyDescent="0.25">
      <c r="B84" s="87" t="s">
        <v>183</v>
      </c>
      <c r="C84" s="89">
        <v>198100</v>
      </c>
      <c r="D84" s="9">
        <v>3.1468860283979062E-3</v>
      </c>
      <c r="E84" s="61"/>
    </row>
    <row r="85" spans="2:16" x14ac:dyDescent="0.25">
      <c r="B85" s="87" t="s">
        <v>239</v>
      </c>
      <c r="C85" s="89">
        <v>580000</v>
      </c>
      <c r="D85" s="9">
        <v>9.2134977106046716E-3</v>
      </c>
      <c r="E85" s="61"/>
    </row>
    <row r="86" spans="2:16" x14ac:dyDescent="0.25">
      <c r="B86" s="87" t="s">
        <v>238</v>
      </c>
      <c r="C86" s="89">
        <v>-13513</v>
      </c>
      <c r="D86" s="9">
        <v>-2.1465861131620851E-4</v>
      </c>
      <c r="E86" s="61"/>
    </row>
    <row r="87" spans="2:16" x14ac:dyDescent="0.25">
      <c r="B87" s="11" t="s">
        <v>157</v>
      </c>
      <c r="C87" s="12">
        <v>68284201.550000027</v>
      </c>
      <c r="D87" s="13">
        <v>4.6408542850389402E-2</v>
      </c>
      <c r="E87" s="61"/>
    </row>
    <row r="88" spans="2:16" x14ac:dyDescent="0.25">
      <c r="C88" s="14"/>
      <c r="E88" s="56"/>
    </row>
    <row r="89" spans="2:16" x14ac:dyDescent="0.25">
      <c r="B89" s="29" t="s">
        <v>166</v>
      </c>
      <c r="C89" s="64">
        <f>+C87-C74</f>
        <v>2921469.7500000075</v>
      </c>
      <c r="E89" s="56"/>
    </row>
    <row r="90" spans="2:16" x14ac:dyDescent="0.25">
      <c r="B90" s="53" t="s">
        <v>165</v>
      </c>
      <c r="C90" s="54">
        <f>(C89)/C74</f>
        <v>4.4696261455828667E-2</v>
      </c>
      <c r="E90" s="56"/>
    </row>
    <row r="91" spans="2:16" x14ac:dyDescent="0.25">
      <c r="B91" s="108"/>
      <c r="C91" s="227"/>
      <c r="D91" s="59"/>
      <c r="E91" s="59"/>
      <c r="F91" s="59"/>
      <c r="G91" s="59"/>
      <c r="H91" s="59"/>
      <c r="O91" s="22"/>
      <c r="P91" s="23"/>
    </row>
  </sheetData>
  <mergeCells count="8">
    <mergeCell ref="A56:A59"/>
    <mergeCell ref="B2:O2"/>
    <mergeCell ref="B3:O3"/>
    <mergeCell ref="B6:O6"/>
    <mergeCell ref="B4:O4"/>
    <mergeCell ref="B49:O49"/>
    <mergeCell ref="A12:A19"/>
    <mergeCell ref="L8:M8"/>
  </mergeCells>
  <pageMargins left="0.7" right="0.7" top="0.5" bottom="0.5" header="0.3" footer="0.3"/>
  <pageSetup scale="48" fitToHeight="4" orientation="landscape" r:id="rId1"/>
  <headerFooter>
    <oddFooter>&amp;L&amp;D&amp;R&amp;F,&amp;A</oddFooter>
  </headerFooter>
  <rowBreaks count="1" manualBreakCount="1">
    <brk id="48"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T91"/>
  <sheetViews>
    <sheetView showGridLines="0" zoomScale="90" zoomScaleNormal="90" workbookViewId="0">
      <selection activeCell="F45" sqref="F45"/>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2" customWidth="1"/>
    <col min="9" max="11" width="17.7109375" style="1" customWidth="1"/>
    <col min="12" max="12" width="12" style="1" customWidth="1"/>
    <col min="13" max="13" width="14.5703125" style="1" customWidth="1"/>
    <col min="14" max="14" width="14" style="1" bestFit="1" customWidth="1"/>
    <col min="15" max="15" width="22.85546875" style="1" bestFit="1" customWidth="1"/>
    <col min="16" max="16" width="20.42578125" style="1" customWidth="1"/>
    <col min="17" max="17" width="15.5703125" style="1" customWidth="1"/>
    <col min="18" max="18" width="13.42578125" style="1" customWidth="1"/>
    <col min="19" max="19" width="13.28515625" style="1" bestFit="1" customWidth="1"/>
    <col min="20" max="16384" width="8.85546875" style="1"/>
  </cols>
  <sheetData>
    <row r="2" spans="2:9" x14ac:dyDescent="0.25">
      <c r="B2" s="267" t="s">
        <v>42</v>
      </c>
      <c r="C2" s="267"/>
      <c r="D2" s="267"/>
      <c r="E2" s="267"/>
      <c r="F2" s="267"/>
      <c r="G2" s="267"/>
      <c r="H2" s="267"/>
      <c r="I2" s="267"/>
    </row>
    <row r="3" spans="2:9" ht="18.75" x14ac:dyDescent="0.3">
      <c r="B3" s="280" t="s">
        <v>9</v>
      </c>
      <c r="C3" s="281"/>
      <c r="D3" s="281"/>
      <c r="E3" s="281"/>
      <c r="F3" s="281"/>
      <c r="G3" s="281"/>
      <c r="H3" s="281"/>
      <c r="I3" s="282"/>
    </row>
    <row r="4" spans="2:9" ht="18.75" x14ac:dyDescent="0.3">
      <c r="B4" s="283" t="s">
        <v>43</v>
      </c>
      <c r="C4" s="284"/>
      <c r="D4" s="284"/>
      <c r="E4" s="284"/>
      <c r="F4" s="284"/>
      <c r="G4" s="284"/>
      <c r="H4" s="284"/>
      <c r="I4" s="285"/>
    </row>
    <row r="5" spans="2:9" ht="34.9" customHeight="1" x14ac:dyDescent="0.25">
      <c r="B5" s="279" t="s">
        <v>44</v>
      </c>
      <c r="C5" s="279"/>
      <c r="D5" s="279"/>
      <c r="E5" s="279"/>
      <c r="F5" s="279"/>
      <c r="G5" s="279"/>
      <c r="H5" s="109"/>
    </row>
    <row r="6" spans="2:9" x14ac:dyDescent="0.25">
      <c r="B6" s="110"/>
      <c r="C6" s="110"/>
      <c r="D6" s="110"/>
      <c r="E6" s="110"/>
      <c r="F6" s="110"/>
      <c r="G6" s="110"/>
      <c r="H6" s="109"/>
    </row>
    <row r="7" spans="2:9" ht="29.45" customHeight="1" x14ac:dyDescent="0.25">
      <c r="B7" s="289" t="s">
        <v>181</v>
      </c>
      <c r="C7" s="290"/>
      <c r="D7" s="290"/>
      <c r="E7" s="290"/>
      <c r="F7" s="291"/>
      <c r="H7" s="1"/>
    </row>
    <row r="8" spans="2:9" x14ac:dyDescent="0.25">
      <c r="B8" s="292" t="s">
        <v>45</v>
      </c>
      <c r="C8" s="293"/>
      <c r="D8" s="293"/>
      <c r="E8" s="293"/>
      <c r="F8" s="294"/>
      <c r="H8" s="1"/>
    </row>
    <row r="9" spans="2:9" ht="42.75" customHeight="1" x14ac:dyDescent="0.25">
      <c r="B9" s="3" t="s">
        <v>46</v>
      </c>
      <c r="C9" s="48" t="s">
        <v>47</v>
      </c>
      <c r="D9" s="48" t="s">
        <v>48</v>
      </c>
      <c r="E9" s="48" t="s">
        <v>167</v>
      </c>
      <c r="F9" s="48" t="s">
        <v>168</v>
      </c>
      <c r="H9" s="1"/>
    </row>
    <row r="10" spans="2:9" x14ac:dyDescent="0.25">
      <c r="B10" s="3"/>
      <c r="C10" s="3"/>
      <c r="D10" s="48"/>
      <c r="E10" s="3"/>
      <c r="F10" s="48"/>
      <c r="H10" s="1"/>
    </row>
    <row r="11" spans="2:9" x14ac:dyDescent="0.25">
      <c r="B11" s="3" t="s">
        <v>49</v>
      </c>
      <c r="C11" s="130">
        <v>734027</v>
      </c>
      <c r="D11" s="211">
        <v>2.1999999999999999E-2</v>
      </c>
      <c r="E11" s="130">
        <v>1807071.874658905</v>
      </c>
      <c r="F11" s="211">
        <v>5.545834533965021E-2</v>
      </c>
      <c r="H11" s="1"/>
    </row>
    <row r="12" spans="2:9" x14ac:dyDescent="0.25">
      <c r="B12" s="3" t="s">
        <v>50</v>
      </c>
      <c r="C12" s="130">
        <v>1390387</v>
      </c>
      <c r="D12" s="211">
        <v>2.1999999999999999E-2</v>
      </c>
      <c r="E12" s="130">
        <v>3687261.751592651</v>
      </c>
      <c r="F12" s="211">
        <v>4.9456587786750425E-2</v>
      </c>
      <c r="H12" s="1"/>
    </row>
    <row r="13" spans="2:9" x14ac:dyDescent="0.25">
      <c r="B13" s="3" t="s">
        <v>51</v>
      </c>
      <c r="C13" s="130">
        <v>490991</v>
      </c>
      <c r="D13" s="211">
        <v>2.1999999999999999E-2</v>
      </c>
      <c r="E13" s="130">
        <v>696204.78999999538</v>
      </c>
      <c r="F13" s="211">
        <v>3.0001918993482309E-2</v>
      </c>
      <c r="H13" s="1"/>
    </row>
    <row r="14" spans="2:9" x14ac:dyDescent="0.25">
      <c r="B14" s="3" t="s">
        <v>27</v>
      </c>
      <c r="C14" s="130" t="s">
        <v>234</v>
      </c>
      <c r="D14" s="49">
        <v>0</v>
      </c>
      <c r="E14" s="130">
        <v>0</v>
      </c>
      <c r="F14" s="49">
        <v>0</v>
      </c>
      <c r="H14" s="1"/>
    </row>
    <row r="15" spans="2:9" ht="30" x14ac:dyDescent="0.25">
      <c r="B15" s="58" t="s">
        <v>52</v>
      </c>
      <c r="C15" s="131">
        <v>2615405</v>
      </c>
      <c r="D15" s="117">
        <v>2.1999999999999999E-2</v>
      </c>
      <c r="E15" s="131">
        <v>6190538.4162515514</v>
      </c>
      <c r="F15" s="213">
        <v>4.7E-2</v>
      </c>
      <c r="H15" s="1"/>
    </row>
    <row r="16" spans="2:9" s="62" customFormat="1" x14ac:dyDescent="0.25">
      <c r="B16" s="111"/>
      <c r="C16" s="63"/>
      <c r="D16" s="63"/>
      <c r="E16" s="63"/>
      <c r="F16" s="63"/>
      <c r="G16" s="63"/>
      <c r="H16" s="63"/>
    </row>
    <row r="17" spans="2:11" s="62" customFormat="1" hidden="1" x14ac:dyDescent="0.25">
      <c r="B17" s="289" t="s">
        <v>188</v>
      </c>
      <c r="C17" s="290"/>
      <c r="D17" s="290"/>
      <c r="E17" s="290"/>
      <c r="F17" s="291"/>
      <c r="G17" s="168"/>
      <c r="H17" s="168"/>
      <c r="I17" s="103"/>
      <c r="J17" s="103"/>
      <c r="K17" s="103"/>
    </row>
    <row r="18" spans="2:11" s="62" customFormat="1" hidden="1" x14ac:dyDescent="0.25">
      <c r="B18" s="292" t="s">
        <v>198</v>
      </c>
      <c r="C18" s="293"/>
      <c r="D18" s="293"/>
      <c r="E18" s="293"/>
      <c r="F18" s="294"/>
      <c r="G18" s="168"/>
      <c r="H18" s="168"/>
      <c r="I18" s="103"/>
      <c r="J18" s="103"/>
      <c r="K18" s="103"/>
    </row>
    <row r="19" spans="2:11" s="62" customFormat="1" hidden="1" x14ac:dyDescent="0.25">
      <c r="B19" s="3" t="s">
        <v>46</v>
      </c>
      <c r="C19" s="48" t="s">
        <v>189</v>
      </c>
      <c r="D19" s="48" t="s">
        <v>190</v>
      </c>
      <c r="E19" s="48" t="s">
        <v>191</v>
      </c>
      <c r="F19" s="48" t="s">
        <v>192</v>
      </c>
      <c r="G19" s="168"/>
      <c r="H19" s="168"/>
      <c r="I19" s="103"/>
      <c r="J19" s="103"/>
      <c r="K19" s="103"/>
    </row>
    <row r="20" spans="2:11" s="62" customFormat="1" hidden="1" x14ac:dyDescent="0.25">
      <c r="B20" s="3"/>
      <c r="C20" s="3"/>
      <c r="D20" s="48"/>
      <c r="E20" s="3"/>
      <c r="F20" s="48"/>
      <c r="G20" s="168"/>
      <c r="H20" s="168"/>
      <c r="I20" s="103"/>
      <c r="J20" s="103"/>
      <c r="K20" s="103"/>
    </row>
    <row r="21" spans="2:11" s="62" customFormat="1" hidden="1" x14ac:dyDescent="0.25">
      <c r="B21" s="3" t="s">
        <v>49</v>
      </c>
      <c r="C21" s="130">
        <v>0</v>
      </c>
      <c r="D21" s="130">
        <v>0</v>
      </c>
      <c r="E21" s="130">
        <v>0</v>
      </c>
      <c r="F21" s="130">
        <v>0</v>
      </c>
      <c r="G21" s="168"/>
      <c r="H21" s="168"/>
      <c r="I21" s="103"/>
      <c r="J21" s="103"/>
      <c r="K21" s="103"/>
    </row>
    <row r="22" spans="2:11" s="62" customFormat="1" hidden="1" x14ac:dyDescent="0.25">
      <c r="B22" s="3" t="s">
        <v>50</v>
      </c>
      <c r="C22" s="130">
        <v>0</v>
      </c>
      <c r="D22" s="130">
        <v>0</v>
      </c>
      <c r="E22" s="130">
        <v>0</v>
      </c>
      <c r="F22" s="130">
        <v>0</v>
      </c>
      <c r="G22" s="168"/>
      <c r="H22" s="168"/>
      <c r="I22" s="103"/>
      <c r="J22" s="103"/>
      <c r="K22" s="103"/>
    </row>
    <row r="23" spans="2:11" s="62" customFormat="1" hidden="1" x14ac:dyDescent="0.25">
      <c r="B23" s="3" t="s">
        <v>51</v>
      </c>
      <c r="C23" s="130">
        <v>0</v>
      </c>
      <c r="D23" s="130">
        <v>0</v>
      </c>
      <c r="E23" s="130">
        <v>0</v>
      </c>
      <c r="F23" s="130">
        <v>0</v>
      </c>
      <c r="G23" s="168"/>
      <c r="H23" s="168"/>
      <c r="I23" s="103"/>
      <c r="J23" s="103"/>
      <c r="K23" s="103"/>
    </row>
    <row r="24" spans="2:11" s="62" customFormat="1" hidden="1" x14ac:dyDescent="0.25">
      <c r="B24" s="3" t="s">
        <v>27</v>
      </c>
      <c r="C24" s="130">
        <v>0</v>
      </c>
      <c r="D24" s="130">
        <v>0</v>
      </c>
      <c r="E24" s="130">
        <v>0</v>
      </c>
      <c r="F24" s="130">
        <v>0</v>
      </c>
      <c r="G24" s="168"/>
      <c r="H24" s="168"/>
      <c r="I24" s="103"/>
      <c r="J24" s="103"/>
      <c r="K24" s="103"/>
    </row>
    <row r="25" spans="2:11" s="62" customFormat="1" ht="30" hidden="1" x14ac:dyDescent="0.25">
      <c r="B25" s="58" t="s">
        <v>52</v>
      </c>
      <c r="C25" s="131">
        <f>SUM(C21:C24)</f>
        <v>0</v>
      </c>
      <c r="D25" s="131">
        <v>0</v>
      </c>
      <c r="E25" s="131">
        <f>SUM(E21:E24)</f>
        <v>0</v>
      </c>
      <c r="F25" s="131">
        <v>0</v>
      </c>
      <c r="G25" s="168"/>
      <c r="H25" s="168"/>
      <c r="I25" s="103"/>
      <c r="J25" s="103"/>
      <c r="K25" s="103"/>
    </row>
    <row r="26" spans="2:11" s="62" customFormat="1" hidden="1" x14ac:dyDescent="0.25">
      <c r="B26" s="111"/>
      <c r="C26" s="63"/>
      <c r="D26" s="63"/>
      <c r="E26" s="63"/>
      <c r="F26" s="63"/>
      <c r="G26" s="168"/>
      <c r="H26" s="168"/>
      <c r="I26" s="103"/>
      <c r="J26" s="103"/>
      <c r="K26" s="103"/>
    </row>
    <row r="27" spans="2:11" s="62" customFormat="1" hidden="1" x14ac:dyDescent="0.25">
      <c r="B27" s="289" t="s">
        <v>193</v>
      </c>
      <c r="C27" s="290"/>
      <c r="D27" s="290"/>
      <c r="E27" s="290"/>
      <c r="F27" s="291"/>
      <c r="G27" s="168"/>
      <c r="H27" s="168"/>
      <c r="I27" s="103"/>
      <c r="J27" s="103"/>
      <c r="K27" s="103"/>
    </row>
    <row r="28" spans="2:11" s="62" customFormat="1" hidden="1" x14ac:dyDescent="0.25">
      <c r="B28" s="292" t="s">
        <v>199</v>
      </c>
      <c r="C28" s="293"/>
      <c r="D28" s="293"/>
      <c r="E28" s="293"/>
      <c r="F28" s="294"/>
      <c r="G28" s="168"/>
      <c r="H28" s="168"/>
      <c r="I28" s="103"/>
      <c r="J28" s="103"/>
      <c r="K28" s="103"/>
    </row>
    <row r="29" spans="2:11" s="62" customFormat="1" hidden="1" x14ac:dyDescent="0.25">
      <c r="B29" s="3" t="s">
        <v>46</v>
      </c>
      <c r="C29" s="48" t="s">
        <v>194</v>
      </c>
      <c r="D29" s="48" t="s">
        <v>195</v>
      </c>
      <c r="E29" s="48" t="s">
        <v>196</v>
      </c>
      <c r="F29" s="48" t="s">
        <v>197</v>
      </c>
      <c r="G29" s="168"/>
      <c r="H29" s="168"/>
      <c r="I29" s="103"/>
      <c r="J29" s="103"/>
      <c r="K29" s="103"/>
    </row>
    <row r="30" spans="2:11" s="62" customFormat="1" hidden="1" x14ac:dyDescent="0.25">
      <c r="B30" s="3"/>
      <c r="C30" s="3"/>
      <c r="D30" s="48"/>
      <c r="E30" s="3"/>
      <c r="F30" s="48"/>
      <c r="G30" s="168"/>
      <c r="H30" s="168"/>
      <c r="I30" s="103"/>
      <c r="J30" s="103"/>
      <c r="K30" s="103"/>
    </row>
    <row r="31" spans="2:11" s="62" customFormat="1" hidden="1" x14ac:dyDescent="0.25">
      <c r="B31" s="3" t="s">
        <v>49</v>
      </c>
      <c r="C31" s="130">
        <v>0</v>
      </c>
      <c r="D31" s="130">
        <v>0</v>
      </c>
      <c r="E31" s="130">
        <v>0</v>
      </c>
      <c r="F31" s="130">
        <v>0</v>
      </c>
      <c r="G31" s="168"/>
      <c r="H31" s="168"/>
      <c r="I31" s="103"/>
      <c r="J31" s="103"/>
      <c r="K31" s="103"/>
    </row>
    <row r="32" spans="2:11" s="62" customFormat="1" hidden="1" x14ac:dyDescent="0.25">
      <c r="B32" s="3" t="s">
        <v>50</v>
      </c>
      <c r="C32" s="130">
        <v>0</v>
      </c>
      <c r="D32" s="130">
        <v>0</v>
      </c>
      <c r="E32" s="130">
        <v>0</v>
      </c>
      <c r="F32" s="130">
        <v>0</v>
      </c>
      <c r="G32" s="168"/>
      <c r="H32" s="168"/>
      <c r="I32" s="103"/>
      <c r="J32" s="103"/>
      <c r="K32" s="103"/>
    </row>
    <row r="33" spans="2:11" s="62" customFormat="1" hidden="1" x14ac:dyDescent="0.25">
      <c r="B33" s="3" t="s">
        <v>51</v>
      </c>
      <c r="C33" s="130">
        <v>0</v>
      </c>
      <c r="D33" s="130">
        <v>0</v>
      </c>
      <c r="E33" s="130">
        <v>0</v>
      </c>
      <c r="F33" s="130">
        <v>0</v>
      </c>
      <c r="G33" s="168"/>
      <c r="H33" s="168"/>
      <c r="I33" s="103"/>
      <c r="J33" s="103"/>
      <c r="K33" s="103"/>
    </row>
    <row r="34" spans="2:11" s="62" customFormat="1" hidden="1" x14ac:dyDescent="0.25">
      <c r="B34" s="3" t="s">
        <v>27</v>
      </c>
      <c r="C34" s="130">
        <v>0</v>
      </c>
      <c r="D34" s="130">
        <v>0</v>
      </c>
      <c r="E34" s="130">
        <v>0</v>
      </c>
      <c r="F34" s="130">
        <v>0</v>
      </c>
      <c r="G34" s="168"/>
      <c r="H34" s="168"/>
      <c r="I34" s="103"/>
      <c r="J34" s="103"/>
      <c r="K34" s="103"/>
    </row>
    <row r="35" spans="2:11" s="62" customFormat="1" ht="30" hidden="1" x14ac:dyDescent="0.25">
      <c r="B35" s="58" t="s">
        <v>52</v>
      </c>
      <c r="C35" s="131">
        <f>SUM(C31:C34)</f>
        <v>0</v>
      </c>
      <c r="D35" s="131">
        <v>0</v>
      </c>
      <c r="E35" s="131">
        <f>SUM(E31:E34)</f>
        <v>0</v>
      </c>
      <c r="F35" s="131">
        <v>0</v>
      </c>
      <c r="G35" s="168"/>
      <c r="H35" s="168"/>
      <c r="I35" s="103"/>
      <c r="J35" s="103"/>
      <c r="K35" s="103"/>
    </row>
    <row r="36" spans="2:11" s="62" customFormat="1" x14ac:dyDescent="0.25">
      <c r="B36" s="111"/>
      <c r="C36" s="63"/>
      <c r="D36" s="63"/>
      <c r="E36" s="63"/>
      <c r="F36" s="63"/>
      <c r="G36" s="63"/>
      <c r="H36" s="63"/>
    </row>
    <row r="37" spans="2:11" ht="45" customHeight="1" x14ac:dyDescent="0.25">
      <c r="B37" s="286" t="s">
        <v>53</v>
      </c>
      <c r="C37" s="287"/>
      <c r="D37" s="287"/>
      <c r="E37" s="287"/>
      <c r="F37" s="287"/>
      <c r="G37" s="287"/>
      <c r="H37" s="287"/>
      <c r="I37" s="287"/>
      <c r="J37" s="288"/>
    </row>
    <row r="38" spans="2:11" x14ac:dyDescent="0.25">
      <c r="B38" s="297" t="s">
        <v>54</v>
      </c>
      <c r="C38" s="298"/>
      <c r="D38" s="298"/>
      <c r="E38" s="298"/>
      <c r="F38" s="298"/>
      <c r="G38" s="298"/>
      <c r="H38" s="298"/>
      <c r="I38" s="298"/>
      <c r="J38" s="299"/>
    </row>
    <row r="39" spans="2:11" ht="42.75" customHeight="1" x14ac:dyDescent="0.25">
      <c r="B39" s="3" t="s">
        <v>46</v>
      </c>
      <c r="C39" s="48" t="s">
        <v>169</v>
      </c>
      <c r="D39" s="48" t="s">
        <v>55</v>
      </c>
      <c r="E39" s="48" t="s">
        <v>170</v>
      </c>
      <c r="F39" s="295" t="s">
        <v>56</v>
      </c>
      <c r="G39" s="296"/>
      <c r="H39" s="112" t="s">
        <v>57</v>
      </c>
      <c r="I39" s="112" t="s">
        <v>58</v>
      </c>
      <c r="J39" s="112" t="s">
        <v>59</v>
      </c>
    </row>
    <row r="40" spans="2:11" x14ac:dyDescent="0.25">
      <c r="B40" s="3"/>
      <c r="C40" s="48"/>
      <c r="D40" s="113"/>
      <c r="E40" s="48"/>
      <c r="F40" s="48" t="s">
        <v>60</v>
      </c>
      <c r="G40" s="48" t="s">
        <v>61</v>
      </c>
      <c r="H40" s="48"/>
      <c r="I40" s="48"/>
      <c r="J40" s="48"/>
    </row>
    <row r="41" spans="2:11" x14ac:dyDescent="0.25">
      <c r="B41" s="3" t="s">
        <v>49</v>
      </c>
      <c r="C41" s="81">
        <v>32097600</v>
      </c>
      <c r="D41" s="115">
        <v>7.1462698699556793E-2</v>
      </c>
      <c r="E41" s="81">
        <v>34391381.117778897</v>
      </c>
      <c r="F41" s="81">
        <v>4586139.1906404309</v>
      </c>
      <c r="G41" s="81">
        <v>2485324.8093595696</v>
      </c>
      <c r="H41" s="81">
        <v>524024</v>
      </c>
      <c r="I41" s="81">
        <v>4489083</v>
      </c>
      <c r="J41" s="81">
        <v>22306809</v>
      </c>
    </row>
    <row r="42" spans="2:11" x14ac:dyDescent="0.25">
      <c r="B42" s="3" t="s">
        <v>50</v>
      </c>
      <c r="C42" s="81">
        <v>67183863</v>
      </c>
      <c r="D42" s="115">
        <v>0.16460681064225646</v>
      </c>
      <c r="E42" s="81">
        <v>78242784.415056303</v>
      </c>
      <c r="F42" s="81">
        <v>21073060.232089769</v>
      </c>
      <c r="G42" s="81">
        <v>6595808.7679102309</v>
      </c>
      <c r="H42" s="81">
        <v>750240</v>
      </c>
      <c r="I42" s="81">
        <v>8315793</v>
      </c>
      <c r="J42" s="81">
        <v>41507884</v>
      </c>
      <c r="K42" s="107"/>
    </row>
    <row r="43" spans="2:11" x14ac:dyDescent="0.25">
      <c r="B43" s="3" t="s">
        <v>51</v>
      </c>
      <c r="C43" s="81">
        <v>22997839</v>
      </c>
      <c r="D43" s="115">
        <v>3.9295333792014109E-2</v>
      </c>
      <c r="E43" s="81">
        <v>23901546.760000002</v>
      </c>
      <c r="F43" s="81">
        <v>6402681.9610895766</v>
      </c>
      <c r="G43" s="81">
        <v>1865958.0389104232</v>
      </c>
      <c r="H43" s="81">
        <v>415249</v>
      </c>
      <c r="I43" s="81">
        <v>3807130</v>
      </c>
      <c r="J43" s="81">
        <v>11410527</v>
      </c>
    </row>
    <row r="44" spans="2:11" x14ac:dyDescent="0.25">
      <c r="B44" s="3" t="s">
        <v>27</v>
      </c>
      <c r="C44" s="81"/>
      <c r="D44" s="115"/>
      <c r="E44" s="81">
        <f t="shared" ref="E44" si="0">SUM(F44:J44)</f>
        <v>0</v>
      </c>
      <c r="F44" s="81"/>
      <c r="G44" s="81"/>
      <c r="H44" s="81"/>
      <c r="I44" s="81"/>
      <c r="J44" s="81"/>
    </row>
    <row r="45" spans="2:11" ht="30" x14ac:dyDescent="0.25">
      <c r="B45" s="58" t="s">
        <v>62</v>
      </c>
      <c r="C45" s="116">
        <v>122279302</v>
      </c>
      <c r="D45" s="117">
        <v>0.11658890801351807</v>
      </c>
      <c r="E45" s="116">
        <v>136535712.29283521</v>
      </c>
      <c r="F45" s="82">
        <v>32061881.383819778</v>
      </c>
      <c r="G45" s="82">
        <v>10947091.616180222</v>
      </c>
      <c r="H45" s="82">
        <v>1689513</v>
      </c>
      <c r="I45" s="82">
        <v>16612006</v>
      </c>
      <c r="J45" s="82">
        <v>75225220</v>
      </c>
    </row>
    <row r="46" spans="2:11" s="62" customFormat="1" x14ac:dyDescent="0.25">
      <c r="B46" s="111"/>
      <c r="C46" s="63" t="s">
        <v>63</v>
      </c>
      <c r="D46" s="63"/>
      <c r="E46" s="63" t="s">
        <v>63</v>
      </c>
      <c r="F46" s="63"/>
      <c r="G46" s="63"/>
      <c r="H46" s="63"/>
    </row>
    <row r="47" spans="2:11" s="62" customFormat="1" x14ac:dyDescent="0.25">
      <c r="B47" s="111"/>
      <c r="C47" s="63"/>
      <c r="D47" s="63"/>
      <c r="E47" s="63"/>
      <c r="G47" s="232"/>
      <c r="H47" s="232"/>
      <c r="I47" s="232"/>
      <c r="J47" s="232"/>
    </row>
    <row r="48" spans="2:11" s="62" customFormat="1" ht="23.45" customHeight="1" x14ac:dyDescent="0.25">
      <c r="B48" s="286" t="s">
        <v>182</v>
      </c>
      <c r="C48" s="287"/>
      <c r="D48" s="287"/>
      <c r="E48" s="287"/>
      <c r="F48" s="287"/>
      <c r="G48" s="287"/>
      <c r="H48" s="287"/>
      <c r="I48" s="287"/>
      <c r="J48" s="288"/>
    </row>
    <row r="49" spans="2:20" x14ac:dyDescent="0.25">
      <c r="B49" s="297" t="s">
        <v>64</v>
      </c>
      <c r="C49" s="298"/>
      <c r="D49" s="298"/>
      <c r="E49" s="298"/>
      <c r="F49" s="298"/>
      <c r="G49" s="298"/>
      <c r="H49" s="298"/>
      <c r="I49" s="298"/>
      <c r="J49" s="299"/>
    </row>
    <row r="50" spans="2:20" ht="42.75" customHeight="1" x14ac:dyDescent="0.25">
      <c r="B50" s="3" t="s">
        <v>65</v>
      </c>
      <c r="C50" s="3" t="s">
        <v>67</v>
      </c>
      <c r="D50" s="48" t="s">
        <v>66</v>
      </c>
      <c r="E50" s="48" t="s">
        <v>171</v>
      </c>
      <c r="F50" s="300" t="s">
        <v>68</v>
      </c>
      <c r="G50" s="301"/>
      <c r="H50" s="48" t="s">
        <v>69</v>
      </c>
      <c r="I50" s="48" t="s">
        <v>70</v>
      </c>
      <c r="J50" s="48" t="s">
        <v>71</v>
      </c>
    </row>
    <row r="51" spans="2:20" ht="15.75" customHeight="1" x14ac:dyDescent="0.25">
      <c r="B51" s="3"/>
      <c r="C51" s="3"/>
      <c r="D51" s="3"/>
      <c r="E51" s="48"/>
      <c r="F51" s="48" t="s">
        <v>60</v>
      </c>
      <c r="G51" s="48" t="s">
        <v>61</v>
      </c>
      <c r="H51" s="48"/>
      <c r="I51" s="48"/>
      <c r="J51" s="207"/>
      <c r="K51" s="246"/>
    </row>
    <row r="52" spans="2:20" x14ac:dyDescent="0.25">
      <c r="B52" s="3" t="s">
        <v>49</v>
      </c>
      <c r="C52" s="214">
        <v>18186273.338837739</v>
      </c>
      <c r="D52" s="114">
        <v>1776125.5949347503</v>
      </c>
      <c r="E52" s="214">
        <v>19962398.933772489</v>
      </c>
      <c r="F52" s="214">
        <v>3872894.4462293461</v>
      </c>
      <c r="G52" s="214">
        <v>2018092.9944179002</v>
      </c>
      <c r="H52" s="214"/>
      <c r="I52" s="214">
        <v>1228482.6530600714</v>
      </c>
      <c r="J52" s="247">
        <v>12842928.84006517</v>
      </c>
      <c r="K52" s="246"/>
    </row>
    <row r="53" spans="2:20" x14ac:dyDescent="0.25">
      <c r="B53" s="3" t="s">
        <v>50</v>
      </c>
      <c r="C53" s="214">
        <v>30775907.276562944</v>
      </c>
      <c r="D53" s="114">
        <v>3260168.7935874686</v>
      </c>
      <c r="E53" s="214">
        <v>34036076.070150413</v>
      </c>
      <c r="F53" s="214">
        <v>11744831.09615846</v>
      </c>
      <c r="G53" s="214">
        <v>3676099.2028913544</v>
      </c>
      <c r="H53" s="214"/>
      <c r="I53" s="214">
        <v>1869724.6111657983</v>
      </c>
      <c r="J53" s="247">
        <v>16745421.1599348</v>
      </c>
      <c r="K53" s="246"/>
    </row>
    <row r="54" spans="2:20" x14ac:dyDescent="0.25">
      <c r="B54" s="3" t="s">
        <v>51</v>
      </c>
      <c r="C54" s="214">
        <v>8461449.3845993169</v>
      </c>
      <c r="D54" s="114">
        <v>480487.61540068313</v>
      </c>
      <c r="E54" s="214">
        <v>8941937</v>
      </c>
      <c r="F54" s="214">
        <v>2770429.9970697952</v>
      </c>
      <c r="G54" s="214">
        <v>948627.00293020473</v>
      </c>
      <c r="H54" s="214"/>
      <c r="I54" s="214">
        <v>298132</v>
      </c>
      <c r="J54" s="247">
        <v>4924748</v>
      </c>
      <c r="K54" s="246"/>
    </row>
    <row r="55" spans="2:20" x14ac:dyDescent="0.25">
      <c r="B55" s="3" t="s">
        <v>18</v>
      </c>
      <c r="C55" s="118">
        <v>400000</v>
      </c>
      <c r="D55" s="114">
        <v>140000</v>
      </c>
      <c r="E55" s="214">
        <v>540000</v>
      </c>
      <c r="F55" s="118">
        <v>0</v>
      </c>
      <c r="G55" s="118">
        <v>0</v>
      </c>
      <c r="H55" s="118">
        <v>0</v>
      </c>
      <c r="I55" s="214">
        <v>540000</v>
      </c>
      <c r="J55" s="248">
        <v>0</v>
      </c>
      <c r="K55" s="246"/>
    </row>
    <row r="56" spans="2:20" x14ac:dyDescent="0.25">
      <c r="B56" s="3"/>
      <c r="C56" s="118"/>
      <c r="D56" s="3"/>
      <c r="E56" s="118"/>
      <c r="F56" s="118"/>
      <c r="G56" s="118"/>
      <c r="H56" s="118"/>
      <c r="I56" s="118"/>
      <c r="J56" s="248"/>
      <c r="K56" s="246"/>
    </row>
    <row r="57" spans="2:20" x14ac:dyDescent="0.25">
      <c r="B57" s="3"/>
      <c r="C57" s="118"/>
      <c r="D57" s="3"/>
      <c r="E57" s="118"/>
      <c r="F57" s="118"/>
      <c r="G57" s="118"/>
      <c r="H57" s="118"/>
      <c r="I57" s="118"/>
      <c r="J57" s="248"/>
      <c r="K57" s="246"/>
    </row>
    <row r="58" spans="2:20" x14ac:dyDescent="0.25">
      <c r="B58" s="3"/>
      <c r="C58" s="118"/>
      <c r="D58" s="3"/>
      <c r="E58" s="118"/>
      <c r="F58" s="118"/>
      <c r="G58" s="118"/>
      <c r="H58" s="118"/>
      <c r="I58" s="118"/>
      <c r="J58" s="248"/>
      <c r="K58" s="246"/>
    </row>
    <row r="59" spans="2:20" x14ac:dyDescent="0.25">
      <c r="B59" s="58" t="s">
        <v>72</v>
      </c>
      <c r="C59" s="215">
        <v>57823630</v>
      </c>
      <c r="D59" s="215">
        <v>5656782.003922902</v>
      </c>
      <c r="E59" s="215">
        <v>63480412.003922902</v>
      </c>
      <c r="F59" s="215">
        <v>18388155.539457601</v>
      </c>
      <c r="G59" s="215">
        <v>6642819.2002394591</v>
      </c>
      <c r="H59" s="215">
        <v>0</v>
      </c>
      <c r="I59" s="215">
        <v>3936339.2642258694</v>
      </c>
      <c r="J59" s="244">
        <v>34513097.99999997</v>
      </c>
      <c r="K59" s="246"/>
    </row>
    <row r="60" spans="2:20" s="62" customFormat="1" x14ac:dyDescent="0.25">
      <c r="C60" s="63"/>
      <c r="D60" s="63"/>
      <c r="E60" s="242"/>
      <c r="F60" s="254"/>
      <c r="G60" s="254"/>
      <c r="H60" s="239"/>
      <c r="I60" s="240"/>
      <c r="J60" s="238"/>
      <c r="K60" s="245"/>
      <c r="L60" s="1"/>
      <c r="M60" s="1"/>
      <c r="N60" s="1"/>
      <c r="O60" s="1"/>
      <c r="P60" s="1"/>
      <c r="Q60" s="1"/>
      <c r="R60" s="1"/>
    </row>
    <row r="61" spans="2:20" s="62" customFormat="1" x14ac:dyDescent="0.25">
      <c r="C61" s="63"/>
      <c r="D61" s="63"/>
      <c r="E61" s="63"/>
      <c r="F61" s="120"/>
      <c r="G61" s="120"/>
      <c r="H61" s="242"/>
      <c r="I61" s="237"/>
      <c r="J61" s="241"/>
      <c r="K61" s="262"/>
      <c r="L61" s="1"/>
      <c r="M61" s="1"/>
      <c r="N61" s="1"/>
      <c r="O61" s="1"/>
      <c r="P61" s="1"/>
      <c r="Q61" s="1"/>
      <c r="R61" s="1"/>
    </row>
    <row r="62" spans="2:20" s="62" customFormat="1" x14ac:dyDescent="0.25">
      <c r="B62" s="297" t="s">
        <v>73</v>
      </c>
      <c r="C62" s="298"/>
      <c r="D62" s="298"/>
      <c r="E62" s="298"/>
      <c r="F62" s="298"/>
      <c r="G62" s="298"/>
      <c r="H62" s="299"/>
      <c r="I62" s="240"/>
      <c r="L62" s="1"/>
      <c r="M62" s="1"/>
      <c r="N62" s="1"/>
      <c r="O62" s="1"/>
      <c r="P62" s="1"/>
      <c r="Q62" s="1"/>
      <c r="R62" s="1"/>
    </row>
    <row r="63" spans="2:20" s="62" customFormat="1" ht="42.6" customHeight="1" x14ac:dyDescent="0.25">
      <c r="B63" s="3" t="s">
        <v>65</v>
      </c>
      <c r="C63" s="3" t="s">
        <v>172</v>
      </c>
      <c r="D63" s="48" t="s">
        <v>66</v>
      </c>
      <c r="E63" s="48" t="s">
        <v>173</v>
      </c>
      <c r="F63" s="158" t="s">
        <v>74</v>
      </c>
      <c r="G63" s="48" t="s">
        <v>75</v>
      </c>
      <c r="H63" s="48" t="s">
        <v>76</v>
      </c>
      <c r="I63" s="103"/>
      <c r="J63" s="103"/>
      <c r="K63" s="103"/>
      <c r="L63" s="1"/>
      <c r="M63" s="1"/>
      <c r="N63" s="1"/>
      <c r="O63" s="1"/>
      <c r="P63" s="1"/>
      <c r="Q63" s="1"/>
      <c r="R63" s="1"/>
      <c r="S63" s="103"/>
      <c r="T63" s="103"/>
    </row>
    <row r="64" spans="2:20" s="62" customFormat="1" x14ac:dyDescent="0.25">
      <c r="B64" s="3" t="s">
        <v>49</v>
      </c>
      <c r="C64" s="114">
        <v>438964.22244215949</v>
      </c>
      <c r="D64" s="114">
        <v>185831.77755784051</v>
      </c>
      <c r="E64" s="214">
        <v>624796</v>
      </c>
      <c r="F64" s="214">
        <v>0</v>
      </c>
      <c r="G64" s="214">
        <v>624796</v>
      </c>
      <c r="H64" s="214">
        <v>0</v>
      </c>
      <c r="I64" s="103"/>
      <c r="J64" s="103"/>
      <c r="K64" s="103"/>
      <c r="L64" s="1"/>
      <c r="M64" s="1"/>
      <c r="N64" s="1"/>
      <c r="O64" s="1"/>
      <c r="P64" s="1"/>
      <c r="Q64" s="1"/>
      <c r="R64" s="1"/>
      <c r="S64" s="103"/>
      <c r="T64" s="103"/>
    </row>
    <row r="65" spans="2:20" s="62" customFormat="1" x14ac:dyDescent="0.25">
      <c r="B65" s="3" t="s">
        <v>50</v>
      </c>
      <c r="C65" s="114">
        <v>918801.1621571572</v>
      </c>
      <c r="D65" s="114">
        <v>238227.8378428428</v>
      </c>
      <c r="E65" s="214">
        <v>1157029</v>
      </c>
      <c r="F65" s="214">
        <v>0</v>
      </c>
      <c r="G65" s="214">
        <v>1157029</v>
      </c>
      <c r="H65" s="214">
        <v>0</v>
      </c>
      <c r="I65" s="103"/>
      <c r="J65" s="103"/>
      <c r="K65" s="103"/>
      <c r="L65" s="1"/>
      <c r="M65" s="1"/>
      <c r="N65" s="1"/>
      <c r="O65" s="1"/>
      <c r="P65" s="1"/>
      <c r="Q65" s="1"/>
      <c r="R65" s="1"/>
      <c r="S65" s="103"/>
      <c r="T65" s="103"/>
    </row>
    <row r="66" spans="2:20" s="62" customFormat="1" x14ac:dyDescent="0.25">
      <c r="B66" s="3" t="s">
        <v>51</v>
      </c>
      <c r="C66" s="114">
        <v>314516.61540068325</v>
      </c>
      <c r="D66" s="114">
        <v>217716.38459931675</v>
      </c>
      <c r="E66" s="214">
        <v>532233</v>
      </c>
      <c r="F66" s="214">
        <v>0</v>
      </c>
      <c r="G66" s="214">
        <v>532233</v>
      </c>
      <c r="H66" s="214">
        <v>0</v>
      </c>
      <c r="I66" s="103"/>
      <c r="J66" s="103"/>
      <c r="K66" s="103"/>
      <c r="L66" s="1"/>
      <c r="M66" s="1"/>
      <c r="N66" s="1"/>
      <c r="O66" s="1"/>
      <c r="P66" s="1"/>
      <c r="Q66" s="1"/>
      <c r="R66" s="1"/>
      <c r="S66" s="103"/>
      <c r="T66" s="103"/>
    </row>
    <row r="67" spans="2:20" s="62" customFormat="1" x14ac:dyDescent="0.25">
      <c r="B67" s="3" t="s">
        <v>77</v>
      </c>
      <c r="C67" s="214">
        <v>-300000</v>
      </c>
      <c r="D67" s="114">
        <v>-200000</v>
      </c>
      <c r="E67" s="214">
        <v>-500000</v>
      </c>
      <c r="F67" s="214">
        <v>0</v>
      </c>
      <c r="G67" s="214">
        <v>-74643</v>
      </c>
      <c r="H67" s="214">
        <v>-425357</v>
      </c>
      <c r="I67" s="103"/>
      <c r="J67" s="103"/>
      <c r="K67" s="103"/>
      <c r="L67" s="103"/>
      <c r="M67" s="103"/>
      <c r="N67" s="103"/>
      <c r="O67" s="103"/>
      <c r="P67" s="103"/>
      <c r="Q67" s="103"/>
      <c r="R67" s="103"/>
      <c r="S67" s="103"/>
      <c r="T67" s="103"/>
    </row>
    <row r="68" spans="2:20" s="62" customFormat="1" x14ac:dyDescent="0.25">
      <c r="B68" s="3" t="s">
        <v>78</v>
      </c>
      <c r="C68" s="214">
        <v>445000</v>
      </c>
      <c r="D68" s="114">
        <v>130000</v>
      </c>
      <c r="E68" s="214">
        <v>575000</v>
      </c>
      <c r="F68" s="214">
        <v>100000</v>
      </c>
      <c r="G68" s="214">
        <v>325000</v>
      </c>
      <c r="H68" s="214">
        <v>150000</v>
      </c>
      <c r="I68" s="103"/>
      <c r="J68" s="103"/>
      <c r="K68" s="103"/>
      <c r="L68" s="103"/>
      <c r="M68" s="103"/>
      <c r="N68" s="103"/>
      <c r="O68" s="103"/>
      <c r="P68" s="103"/>
      <c r="Q68" s="103"/>
      <c r="R68" s="103"/>
      <c r="S68" s="103"/>
      <c r="T68" s="103"/>
    </row>
    <row r="69" spans="2:20" s="62" customFormat="1" x14ac:dyDescent="0.25">
      <c r="B69" s="58" t="s">
        <v>79</v>
      </c>
      <c r="C69" s="215">
        <v>1817282</v>
      </c>
      <c r="D69" s="119">
        <v>571776</v>
      </c>
      <c r="E69" s="215">
        <v>2389058</v>
      </c>
      <c r="F69" s="215">
        <v>100000</v>
      </c>
      <c r="G69" s="215">
        <v>2564415</v>
      </c>
      <c r="H69" s="215">
        <v>-275357</v>
      </c>
      <c r="I69" s="103"/>
      <c r="J69" s="103"/>
      <c r="K69" s="258"/>
      <c r="L69" s="103"/>
      <c r="M69" s="103"/>
      <c r="N69" s="103"/>
      <c r="O69" s="103"/>
      <c r="P69" s="103"/>
      <c r="Q69" s="103"/>
      <c r="R69" s="103"/>
      <c r="S69" s="103"/>
      <c r="T69" s="103"/>
    </row>
    <row r="70" spans="2:20" s="62" customFormat="1" x14ac:dyDescent="0.25">
      <c r="C70" s="63"/>
      <c r="D70" s="63"/>
      <c r="E70" s="63"/>
      <c r="F70" s="62" t="s">
        <v>80</v>
      </c>
      <c r="G70" s="120"/>
      <c r="H70" s="120"/>
      <c r="I70" s="103"/>
      <c r="J70" s="103"/>
      <c r="K70" s="258"/>
      <c r="L70" s="103"/>
      <c r="M70" s="103"/>
      <c r="N70" s="103"/>
      <c r="O70" s="103"/>
      <c r="P70" s="103"/>
      <c r="Q70" s="103"/>
      <c r="R70" s="103"/>
      <c r="S70" s="103"/>
      <c r="T70" s="103"/>
    </row>
    <row r="71" spans="2:20" s="62" customFormat="1" ht="15.75" thickBot="1" x14ac:dyDescent="0.3">
      <c r="B71" s="109"/>
      <c r="C71" s="120"/>
      <c r="D71" s="120"/>
      <c r="E71" s="120"/>
      <c r="F71" s="120"/>
      <c r="G71" s="120"/>
      <c r="H71" s="120"/>
      <c r="I71" s="103"/>
      <c r="J71" s="103"/>
      <c r="K71" s="258"/>
      <c r="L71" s="103"/>
      <c r="M71" s="103"/>
      <c r="N71" s="103"/>
      <c r="O71" s="103"/>
      <c r="P71" s="103"/>
      <c r="Q71" s="103"/>
      <c r="R71" s="103"/>
      <c r="S71" s="103"/>
      <c r="T71" s="103"/>
    </row>
    <row r="72" spans="2:20" s="62" customFormat="1" ht="30" x14ac:dyDescent="0.25">
      <c r="B72" s="121"/>
      <c r="C72" s="122" t="s">
        <v>217</v>
      </c>
      <c r="D72" s="122" t="s">
        <v>66</v>
      </c>
      <c r="E72" s="122" t="s">
        <v>55</v>
      </c>
      <c r="F72" s="123" t="s">
        <v>174</v>
      </c>
      <c r="G72" s="120"/>
      <c r="H72" s="120"/>
      <c r="I72" s="103"/>
      <c r="J72" s="103"/>
      <c r="K72" s="103"/>
      <c r="L72" s="103"/>
      <c r="M72" s="103"/>
      <c r="N72" s="103"/>
      <c r="O72" s="103"/>
      <c r="P72" s="103"/>
      <c r="Q72" s="103"/>
      <c r="R72" s="103"/>
      <c r="S72" s="103"/>
      <c r="T72" s="103"/>
    </row>
    <row r="73" spans="2:20" s="62" customFormat="1" x14ac:dyDescent="0.25">
      <c r="B73" s="133" t="s">
        <v>81</v>
      </c>
      <c r="C73" s="217">
        <f>C59+C69</f>
        <v>59640912</v>
      </c>
      <c r="D73" s="217">
        <f>D59+D69</f>
        <v>6228558.003922902</v>
      </c>
      <c r="E73" s="132">
        <f>D73/C73</f>
        <v>0.1044343185751905</v>
      </c>
      <c r="F73" s="220">
        <f>E59+E69</f>
        <v>65869470.003922902</v>
      </c>
      <c r="G73" s="120"/>
      <c r="I73" s="259"/>
      <c r="J73" s="311"/>
      <c r="K73" s="311"/>
      <c r="L73" s="311"/>
      <c r="M73" s="103"/>
      <c r="N73" s="103"/>
      <c r="O73" s="103"/>
      <c r="P73" s="311"/>
      <c r="Q73" s="311"/>
      <c r="R73" s="311"/>
      <c r="S73" s="103"/>
      <c r="T73" s="103"/>
    </row>
    <row r="74" spans="2:20" s="62" customFormat="1" x14ac:dyDescent="0.25">
      <c r="B74" s="133" t="s">
        <v>82</v>
      </c>
      <c r="C74" s="218">
        <f>'1. Reconciliation'!C11</f>
        <v>59640912</v>
      </c>
      <c r="D74" s="218">
        <f>'1. Reconciliation'!C22</f>
        <v>6228558.3783999979</v>
      </c>
      <c r="E74" s="134">
        <f>'1. Reconciliation'!C23</f>
        <v>0.10443432485405317</v>
      </c>
      <c r="F74" s="221">
        <f>'1. Reconciliation'!C20</f>
        <v>65869470.378399998</v>
      </c>
      <c r="G74" s="120"/>
      <c r="I74" s="259"/>
      <c r="J74" s="259"/>
      <c r="K74" s="103"/>
      <c r="L74" s="103"/>
      <c r="M74" s="103"/>
      <c r="N74" s="103"/>
      <c r="O74" s="103"/>
      <c r="P74" s="259"/>
      <c r="Q74" s="103"/>
      <c r="R74" s="103"/>
      <c r="S74" s="103"/>
      <c r="T74" s="103"/>
    </row>
    <row r="75" spans="2:20" s="62" customFormat="1" ht="18" customHeight="1" thickBot="1" x14ac:dyDescent="0.3">
      <c r="B75" s="135" t="s">
        <v>83</v>
      </c>
      <c r="C75" s="219">
        <f>C73-C74</f>
        <v>0</v>
      </c>
      <c r="D75" s="219">
        <f t="shared" ref="D75:F75" si="1">D73-D74</f>
        <v>-0.37447709590196609</v>
      </c>
      <c r="E75" s="136">
        <f>E73-E74</f>
        <v>-6.2788626659093794E-9</v>
      </c>
      <c r="F75" s="222">
        <f t="shared" si="1"/>
        <v>-0.37447709590196609</v>
      </c>
      <c r="G75" s="120"/>
      <c r="I75" s="259"/>
      <c r="J75" s="260"/>
      <c r="K75" s="261"/>
      <c r="L75" s="261"/>
      <c r="M75" s="103"/>
      <c r="N75" s="103"/>
      <c r="O75" s="103"/>
      <c r="P75" s="103"/>
      <c r="Q75" s="103"/>
      <c r="R75" s="103"/>
      <c r="S75" s="103"/>
      <c r="T75" s="103"/>
    </row>
    <row r="76" spans="2:20" s="62" customFormat="1" x14ac:dyDescent="0.25">
      <c r="G76" s="120"/>
      <c r="I76" s="259"/>
      <c r="J76" s="260"/>
      <c r="K76" s="260"/>
      <c r="L76" s="260"/>
      <c r="M76" s="261"/>
      <c r="N76" s="261"/>
      <c r="O76" s="261"/>
      <c r="P76" s="261"/>
      <c r="Q76" s="103"/>
      <c r="R76" s="103"/>
      <c r="S76" s="261"/>
      <c r="T76" s="103"/>
    </row>
    <row r="77" spans="2:20" x14ac:dyDescent="0.25">
      <c r="B77" s="124"/>
      <c r="C77" s="125"/>
      <c r="D77" s="126"/>
      <c r="E77" s="127"/>
      <c r="F77" s="127"/>
      <c r="G77" s="127"/>
      <c r="I77" s="259"/>
      <c r="J77" s="260"/>
      <c r="K77" s="260"/>
      <c r="L77" s="260"/>
      <c r="M77" s="261"/>
      <c r="N77" s="261"/>
      <c r="O77" s="261"/>
      <c r="P77" s="261"/>
      <c r="Q77" s="103"/>
      <c r="R77" s="103"/>
      <c r="S77" s="261"/>
      <c r="T77" s="103"/>
    </row>
    <row r="78" spans="2:20" x14ac:dyDescent="0.25">
      <c r="B78" s="302" t="s">
        <v>187</v>
      </c>
      <c r="C78" s="303"/>
      <c r="D78" s="303"/>
      <c r="E78" s="303"/>
      <c r="F78" s="303"/>
      <c r="G78" s="304"/>
      <c r="I78" s="259"/>
      <c r="J78" s="260"/>
      <c r="K78" s="260"/>
      <c r="L78" s="260"/>
      <c r="M78" s="261"/>
      <c r="N78" s="261"/>
      <c r="O78" s="261"/>
      <c r="P78" s="103"/>
      <c r="Q78" s="103"/>
      <c r="R78" s="103"/>
      <c r="S78" s="103"/>
      <c r="T78" s="103"/>
    </row>
    <row r="79" spans="2:20" x14ac:dyDescent="0.25">
      <c r="B79" s="297" t="s">
        <v>84</v>
      </c>
      <c r="C79" s="298"/>
      <c r="D79" s="298"/>
      <c r="E79" s="298"/>
      <c r="F79" s="298"/>
      <c r="G79" s="299"/>
      <c r="H79" s="128"/>
      <c r="I79" s="103"/>
      <c r="J79" s="261"/>
      <c r="K79" s="261"/>
      <c r="L79" s="261"/>
      <c r="M79" s="103"/>
      <c r="N79" s="103"/>
      <c r="O79" s="103"/>
      <c r="P79" s="103"/>
      <c r="Q79" s="103"/>
      <c r="R79" s="103"/>
      <c r="S79" s="103"/>
      <c r="T79" s="103"/>
    </row>
    <row r="80" spans="2:20" x14ac:dyDescent="0.25">
      <c r="B80" s="305" t="s">
        <v>184</v>
      </c>
      <c r="C80" s="306"/>
      <c r="D80" s="306"/>
      <c r="E80" s="306"/>
      <c r="F80" s="307"/>
      <c r="G80" s="166" t="s">
        <v>185</v>
      </c>
      <c r="I80" s="103"/>
      <c r="J80" s="103"/>
      <c r="K80" s="103"/>
      <c r="L80" s="103"/>
      <c r="M80" s="103"/>
      <c r="N80" s="103"/>
      <c r="O80" s="103"/>
      <c r="P80" s="261"/>
      <c r="Q80" s="103"/>
      <c r="R80" s="103"/>
      <c r="S80" s="103"/>
      <c r="T80" s="103"/>
    </row>
    <row r="81" spans="2:20" x14ac:dyDescent="0.25">
      <c r="B81" s="308" t="s">
        <v>139</v>
      </c>
      <c r="C81" s="309"/>
      <c r="D81" s="309"/>
      <c r="E81" s="309"/>
      <c r="F81" s="310"/>
      <c r="G81" s="167">
        <v>185192</v>
      </c>
      <c r="I81" s="103"/>
      <c r="J81" s="103"/>
      <c r="K81" s="103"/>
      <c r="L81" s="103"/>
      <c r="M81" s="103"/>
      <c r="N81" s="103"/>
      <c r="O81" s="103"/>
      <c r="P81" s="103"/>
      <c r="Q81" s="103"/>
      <c r="R81" s="103"/>
      <c r="S81" s="103"/>
      <c r="T81" s="103"/>
    </row>
    <row r="82" spans="2:20" x14ac:dyDescent="0.25">
      <c r="B82" s="308" t="s">
        <v>115</v>
      </c>
      <c r="C82" s="309"/>
      <c r="D82" s="309"/>
      <c r="E82" s="309"/>
      <c r="F82" s="310"/>
      <c r="G82" s="167">
        <v>317017</v>
      </c>
      <c r="I82" s="103"/>
      <c r="J82" s="103"/>
      <c r="K82" s="103"/>
      <c r="L82" s="103"/>
      <c r="M82" s="103"/>
      <c r="N82" s="103"/>
      <c r="O82" s="103"/>
      <c r="P82" s="103"/>
      <c r="Q82" s="103"/>
      <c r="R82" s="103"/>
      <c r="S82" s="103"/>
      <c r="T82" s="103"/>
    </row>
    <row r="83" spans="2:20" x14ac:dyDescent="0.25">
      <c r="B83" s="308" t="s">
        <v>114</v>
      </c>
      <c r="C83" s="309"/>
      <c r="D83" s="309"/>
      <c r="E83" s="309"/>
      <c r="F83" s="310"/>
      <c r="G83" s="167">
        <v>17622</v>
      </c>
      <c r="I83" s="103"/>
      <c r="J83" s="103"/>
      <c r="K83" s="103"/>
      <c r="L83" s="103"/>
      <c r="M83" s="103"/>
      <c r="N83" s="103"/>
      <c r="O83" s="103"/>
      <c r="P83" s="103"/>
      <c r="Q83" s="103"/>
      <c r="R83" s="103"/>
      <c r="S83" s="103"/>
      <c r="T83" s="103"/>
    </row>
    <row r="84" spans="2:20" ht="15.75" thickBot="1" x14ac:dyDescent="0.3">
      <c r="B84" s="312" t="s">
        <v>186</v>
      </c>
      <c r="C84" s="313"/>
      <c r="D84" s="313"/>
      <c r="E84" s="313"/>
      <c r="F84" s="314"/>
      <c r="G84" s="212">
        <v>519831</v>
      </c>
    </row>
    <row r="85" spans="2:20" ht="15.75" thickTop="1" x14ac:dyDescent="0.25"/>
    <row r="87" spans="2:20" x14ac:dyDescent="0.25">
      <c r="C87" s="20"/>
    </row>
    <row r="91" spans="2:20" x14ac:dyDescent="0.25">
      <c r="E91" s="255">
        <f>E59+E69</f>
        <v>65869470.003922902</v>
      </c>
      <c r="F91" s="255">
        <f>F59+G59+F69</f>
        <v>25130974.739697061</v>
      </c>
      <c r="G91" s="255">
        <f>I59+G69</f>
        <v>6500754.2642258694</v>
      </c>
      <c r="H91" s="255">
        <f>J59+H69</f>
        <v>34237740.99999997</v>
      </c>
      <c r="I91" s="256"/>
    </row>
  </sheetData>
  <mergeCells count="26">
    <mergeCell ref="J73:L73"/>
    <mergeCell ref="P73:R73"/>
    <mergeCell ref="B82:F82"/>
    <mergeCell ref="B83:F83"/>
    <mergeCell ref="B84:F84"/>
    <mergeCell ref="B62:H62"/>
    <mergeCell ref="B78:G78"/>
    <mergeCell ref="B79:G79"/>
    <mergeCell ref="B80:F80"/>
    <mergeCell ref="B81:F81"/>
    <mergeCell ref="F39:G39"/>
    <mergeCell ref="B48:J48"/>
    <mergeCell ref="B38:J38"/>
    <mergeCell ref="B49:J49"/>
    <mergeCell ref="F50:G50"/>
    <mergeCell ref="B5:G5"/>
    <mergeCell ref="B2:I2"/>
    <mergeCell ref="B3:I3"/>
    <mergeCell ref="B4:I4"/>
    <mergeCell ref="B37:J37"/>
    <mergeCell ref="B17:F17"/>
    <mergeCell ref="B18:F18"/>
    <mergeCell ref="B27:F27"/>
    <mergeCell ref="B28:F28"/>
    <mergeCell ref="B7:F7"/>
    <mergeCell ref="B8:F8"/>
  </mergeCells>
  <pageMargins left="0.7" right="0.7" top="0.75" bottom="0.75" header="0.3" footer="0.3"/>
  <pageSetup scale="66" orientation="landscape" r:id="rId1"/>
  <headerFooter>
    <oddFooter>&amp;L&amp;D&amp;R&amp;F,&amp;A,</oddFooter>
  </headerFooter>
  <ignoredErrors>
    <ignoredError sqref="E73:E74"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20"/>
  <sheetViews>
    <sheetView showGridLines="0" zoomScale="90" zoomScaleNormal="90" workbookViewId="0">
      <selection activeCell="D30" sqref="D29:D30"/>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9" width="8.85546875" style="1"/>
    <col min="10" max="10" width="5.5703125" style="1" bestFit="1" customWidth="1"/>
    <col min="11" max="11" width="23.7109375" style="1" bestFit="1" customWidth="1"/>
    <col min="12" max="13" width="23.7109375" style="1" customWidth="1"/>
    <col min="14" max="15" width="13.28515625" style="1" bestFit="1" customWidth="1"/>
    <col min="16" max="16" width="12.85546875" style="1" bestFit="1" customWidth="1"/>
    <col min="17" max="17" width="14" style="1" bestFit="1" customWidth="1"/>
    <col min="18" max="16384" width="8.85546875" style="1"/>
  </cols>
  <sheetData>
    <row r="1" spans="2:4" x14ac:dyDescent="0.25">
      <c r="B1" s="315" t="s">
        <v>85</v>
      </c>
      <c r="C1" s="315"/>
      <c r="D1" s="315"/>
    </row>
    <row r="2" spans="2:4" ht="21" x14ac:dyDescent="0.35">
      <c r="B2" s="316" t="s">
        <v>5</v>
      </c>
      <c r="C2" s="317"/>
      <c r="D2" s="318"/>
    </row>
    <row r="3" spans="2:4" ht="18.75" x14ac:dyDescent="0.3">
      <c r="B3" s="320" t="s">
        <v>86</v>
      </c>
      <c r="C3" s="321"/>
      <c r="D3" s="322"/>
    </row>
    <row r="4" spans="2:4" ht="74.25" customHeight="1" x14ac:dyDescent="0.25">
      <c r="B4" s="319" t="s">
        <v>215</v>
      </c>
      <c r="C4" s="319"/>
      <c r="D4" s="319"/>
    </row>
    <row r="5" spans="2:4" x14ac:dyDescent="0.25">
      <c r="B5" s="21"/>
      <c r="C5" s="2"/>
      <c r="D5" s="2"/>
    </row>
    <row r="6" spans="2:4" x14ac:dyDescent="0.25">
      <c r="B6" s="324" t="s">
        <v>87</v>
      </c>
      <c r="C6" s="323" t="s">
        <v>88</v>
      </c>
      <c r="D6" s="323" t="s">
        <v>89</v>
      </c>
    </row>
    <row r="7" spans="2:4" x14ac:dyDescent="0.25">
      <c r="B7" s="324"/>
      <c r="C7" s="323"/>
      <c r="D7" s="323"/>
    </row>
    <row r="8" spans="2:4" x14ac:dyDescent="0.25">
      <c r="B8" s="79" t="s">
        <v>156</v>
      </c>
      <c r="C8" s="155"/>
      <c r="D8" s="156"/>
    </row>
    <row r="9" spans="2:4" x14ac:dyDescent="0.25">
      <c r="B9" s="210" t="s">
        <v>233</v>
      </c>
      <c r="C9" s="211">
        <v>-5.4870093891827038E-2</v>
      </c>
      <c r="D9" s="157">
        <v>-488711.62000000069</v>
      </c>
    </row>
    <row r="10" spans="2:4" x14ac:dyDescent="0.25">
      <c r="B10" s="210" t="s">
        <v>227</v>
      </c>
      <c r="C10" s="211">
        <v>7.6806107967598819E-2</v>
      </c>
      <c r="D10" s="157">
        <v>660767.50847698201</v>
      </c>
    </row>
    <row r="11" spans="2:4" x14ac:dyDescent="0.25">
      <c r="B11" s="210" t="s">
        <v>228</v>
      </c>
      <c r="C11" s="211">
        <v>-7.2121941099045808E-2</v>
      </c>
      <c r="D11" s="157">
        <v>-726501.01194601948</v>
      </c>
    </row>
    <row r="12" spans="2:4" x14ac:dyDescent="0.25">
      <c r="B12" s="210" t="s">
        <v>229</v>
      </c>
      <c r="C12" s="211">
        <v>0.1104236251216973</v>
      </c>
      <c r="D12" s="157">
        <v>2428940.049999997</v>
      </c>
    </row>
    <row r="13" spans="2:4" x14ac:dyDescent="0.25">
      <c r="B13" s="210" t="s">
        <v>230</v>
      </c>
      <c r="C13" s="211">
        <v>0.11114206998779094</v>
      </c>
      <c r="D13" s="157">
        <v>1703498.310000001</v>
      </c>
    </row>
    <row r="14" spans="2:4" x14ac:dyDescent="0.25">
      <c r="B14" s="210" t="s">
        <v>231</v>
      </c>
      <c r="C14" s="211">
        <v>-4.0509705909370981E-2</v>
      </c>
      <c r="D14" s="157">
        <v>-367783.65</v>
      </c>
    </row>
    <row r="15" spans="2:4" x14ac:dyDescent="0.25">
      <c r="B15" s="210" t="s">
        <v>232</v>
      </c>
      <c r="C15" s="211">
        <v>-0.25797251750064809</v>
      </c>
      <c r="D15" s="157">
        <v>-283843.64999999991</v>
      </c>
    </row>
    <row r="16" spans="2:4" x14ac:dyDescent="0.25">
      <c r="B16" s="79" t="s">
        <v>157</v>
      </c>
      <c r="C16" s="155"/>
      <c r="D16" s="156">
        <f>SUM(D8:D15)</f>
        <v>2926365.9365309598</v>
      </c>
    </row>
    <row r="17" spans="2:4" x14ac:dyDescent="0.25">
      <c r="B17" s="76"/>
      <c r="C17" s="44"/>
      <c r="D17" s="44"/>
    </row>
    <row r="18" spans="2:4" x14ac:dyDescent="0.25">
      <c r="B18" s="29" t="s">
        <v>175</v>
      </c>
      <c r="C18" s="99"/>
      <c r="D18" s="80">
        <f>SUM(D9:D15)</f>
        <v>2926365.9365309598</v>
      </c>
    </row>
    <row r="19" spans="2:4" x14ac:dyDescent="0.25">
      <c r="B19" s="29" t="s">
        <v>176</v>
      </c>
      <c r="C19" s="249" t="e">
        <f>C16/C8-1</f>
        <v>#DIV/0!</v>
      </c>
      <c r="D19" s="100"/>
    </row>
    <row r="20" spans="2:4" x14ac:dyDescent="0.25">
      <c r="B20" s="76" t="s">
        <v>90</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9"/>
  <sheetViews>
    <sheetView showGridLines="0" zoomScale="90" zoomScaleNormal="90" workbookViewId="0">
      <selection activeCell="C8" sqref="C8:D15"/>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67" t="s">
        <v>91</v>
      </c>
      <c r="C1" s="267"/>
      <c r="D1" s="267"/>
      <c r="E1" s="267"/>
      <c r="F1" s="267"/>
      <c r="G1" s="267"/>
    </row>
    <row r="2" spans="2:7" ht="18.75" x14ac:dyDescent="0.3">
      <c r="B2" s="326" t="s">
        <v>9</v>
      </c>
      <c r="C2" s="327"/>
      <c r="D2" s="327"/>
      <c r="E2" s="327"/>
      <c r="F2" s="327"/>
      <c r="G2" s="328"/>
    </row>
    <row r="3" spans="2:7" ht="18.75" x14ac:dyDescent="0.3">
      <c r="B3" s="320" t="s">
        <v>92</v>
      </c>
      <c r="C3" s="321"/>
      <c r="D3" s="321"/>
      <c r="E3" s="321"/>
      <c r="F3" s="321"/>
      <c r="G3" s="322"/>
    </row>
    <row r="4" spans="2:7" ht="63" customHeight="1" x14ac:dyDescent="0.25">
      <c r="B4" s="329" t="s">
        <v>213</v>
      </c>
      <c r="C4" s="330"/>
      <c r="D4" s="330"/>
      <c r="E4" s="330"/>
      <c r="F4" s="330"/>
      <c r="G4" s="331"/>
    </row>
    <row r="5" spans="2:7" ht="17.45" customHeight="1" x14ac:dyDescent="0.25">
      <c r="B5" s="47" t="s">
        <v>93</v>
      </c>
      <c r="C5" s="332" t="s">
        <v>94</v>
      </c>
      <c r="D5" s="333"/>
      <c r="E5" s="333"/>
      <c r="F5" s="334"/>
      <c r="G5" s="57" t="s">
        <v>95</v>
      </c>
    </row>
    <row r="6" spans="2:7" ht="31.5" customHeight="1" x14ac:dyDescent="0.25">
      <c r="B6" s="16"/>
      <c r="C6" s="50" t="s">
        <v>96</v>
      </c>
      <c r="D6" s="51" t="s">
        <v>97</v>
      </c>
      <c r="E6" s="137" t="s">
        <v>212</v>
      </c>
      <c r="F6" s="137" t="s">
        <v>98</v>
      </c>
      <c r="G6" s="16"/>
    </row>
    <row r="7" spans="2:7" ht="31.5" customHeight="1" x14ac:dyDescent="0.25">
      <c r="B7" s="138" t="s">
        <v>99</v>
      </c>
      <c r="C7" s="139">
        <v>0.02</v>
      </c>
      <c r="D7" s="140">
        <v>500000</v>
      </c>
      <c r="E7" s="141">
        <v>0.6</v>
      </c>
      <c r="F7" s="142">
        <f>C7*E7</f>
        <v>1.2E-2</v>
      </c>
      <c r="G7" s="138" t="s">
        <v>100</v>
      </c>
    </row>
    <row r="8" spans="2:7" ht="27" customHeight="1" x14ac:dyDescent="0.25">
      <c r="B8" s="16" t="s">
        <v>101</v>
      </c>
      <c r="C8" s="50">
        <v>4.2750000000000003E-2</v>
      </c>
      <c r="D8" s="208">
        <v>335238.44625000004</v>
      </c>
      <c r="E8" s="50">
        <f>D8/$D$16</f>
        <v>0.18813869074795725</v>
      </c>
      <c r="F8" s="9">
        <f t="shared" ref="F8:F15" si="0">C8*E8</f>
        <v>8.042929029475173E-3</v>
      </c>
      <c r="G8" s="16" t="s">
        <v>245</v>
      </c>
    </row>
    <row r="9" spans="2:7" ht="27" customHeight="1" x14ac:dyDescent="0.25">
      <c r="B9" s="16" t="s">
        <v>102</v>
      </c>
      <c r="C9" s="50">
        <v>0.03</v>
      </c>
      <c r="D9" s="208">
        <v>767412.41999999993</v>
      </c>
      <c r="E9" s="50">
        <f t="shared" ref="E9:E15" si="1">D9/$D$16</f>
        <v>0.43067843076343293</v>
      </c>
      <c r="F9" s="9">
        <f t="shared" si="0"/>
        <v>1.2920352922902988E-2</v>
      </c>
      <c r="G9" s="16" t="s">
        <v>244</v>
      </c>
    </row>
    <row r="10" spans="2:7" ht="27" customHeight="1" x14ac:dyDescent="0.25">
      <c r="B10" s="16" t="s">
        <v>37</v>
      </c>
      <c r="C10" s="50">
        <v>3.0300000000000001E-2</v>
      </c>
      <c r="D10" s="208">
        <v>80954.782500000001</v>
      </c>
      <c r="E10" s="50">
        <f t="shared" si="1"/>
        <v>4.5432518136590785E-2</v>
      </c>
      <c r="F10" s="9">
        <f t="shared" si="0"/>
        <v>1.3766052995387008E-3</v>
      </c>
      <c r="G10" s="16"/>
    </row>
    <row r="11" spans="2:7" ht="27" customHeight="1" x14ac:dyDescent="0.25">
      <c r="B11" s="16" t="s">
        <v>103</v>
      </c>
      <c r="C11" s="50">
        <v>0.08</v>
      </c>
      <c r="D11" s="208">
        <v>145272.50480000005</v>
      </c>
      <c r="E11" s="50">
        <f t="shared" si="1"/>
        <v>8.1528175424027294E-2</v>
      </c>
      <c r="F11" s="9">
        <f t="shared" si="0"/>
        <v>6.5222540339221835E-3</v>
      </c>
      <c r="G11" s="16"/>
    </row>
    <row r="12" spans="2:7" ht="27" customHeight="1" x14ac:dyDescent="0.25">
      <c r="B12" s="16" t="s">
        <v>104</v>
      </c>
      <c r="C12" s="50">
        <v>0.08</v>
      </c>
      <c r="D12" s="208">
        <v>67623.556799999991</v>
      </c>
      <c r="E12" s="50">
        <f t="shared" si="1"/>
        <v>3.7950919956789168E-2</v>
      </c>
      <c r="F12" s="9">
        <f t="shared" si="0"/>
        <v>3.0360735965431337E-3</v>
      </c>
      <c r="G12" s="16"/>
    </row>
    <row r="13" spans="2:7" ht="27" customHeight="1" x14ac:dyDescent="0.25">
      <c r="B13" s="30" t="s">
        <v>226</v>
      </c>
      <c r="C13" s="50">
        <v>0.22</v>
      </c>
      <c r="D13" s="208">
        <v>78980</v>
      </c>
      <c r="E13" s="50">
        <f t="shared" si="1"/>
        <v>4.432425326357884E-2</v>
      </c>
      <c r="F13" s="9">
        <f t="shared" si="0"/>
        <v>9.7513357179873448E-3</v>
      </c>
      <c r="G13" s="16"/>
    </row>
    <row r="14" spans="2:7" ht="27" customHeight="1" x14ac:dyDescent="0.25">
      <c r="B14" s="30" t="s">
        <v>242</v>
      </c>
      <c r="C14" s="50">
        <v>0.5</v>
      </c>
      <c r="D14" s="208">
        <v>112500</v>
      </c>
      <c r="E14" s="50">
        <f t="shared" si="1"/>
        <v>6.3135964701856409E-2</v>
      </c>
      <c r="F14" s="9">
        <f t="shared" si="0"/>
        <v>3.1567982350928205E-2</v>
      </c>
      <c r="G14" s="16"/>
    </row>
    <row r="15" spans="2:7" ht="27" customHeight="1" x14ac:dyDescent="0.25">
      <c r="B15" s="30" t="s">
        <v>235</v>
      </c>
      <c r="C15" s="50">
        <v>0.23799999999999999</v>
      </c>
      <c r="D15" s="208">
        <v>193887</v>
      </c>
      <c r="E15" s="50">
        <f t="shared" si="1"/>
        <v>0.10881104700576742</v>
      </c>
      <c r="F15" s="9">
        <f t="shared" si="0"/>
        <v>2.5897029187372644E-2</v>
      </c>
      <c r="G15" s="16"/>
    </row>
    <row r="16" spans="2:7" x14ac:dyDescent="0.25">
      <c r="B16" s="11" t="s">
        <v>13</v>
      </c>
      <c r="C16" s="78" t="s">
        <v>105</v>
      </c>
      <c r="D16" s="209">
        <f>SUM(D8:D15)</f>
        <v>1781868.7103499998</v>
      </c>
      <c r="E16" s="193">
        <f>SUM(E8:E15)</f>
        <v>1</v>
      </c>
      <c r="F16" s="192">
        <f>SUM(F8:F15)</f>
        <v>9.9114562138670384E-2</v>
      </c>
      <c r="G16" s="11"/>
    </row>
    <row r="17" spans="2:6" x14ac:dyDescent="0.25">
      <c r="B17" s="18" t="s">
        <v>214</v>
      </c>
      <c r="E17" t="s">
        <v>209</v>
      </c>
    </row>
    <row r="19" spans="2:6" x14ac:dyDescent="0.25">
      <c r="B19" s="325" t="s">
        <v>106</v>
      </c>
      <c r="C19" s="325"/>
      <c r="D19" s="325"/>
      <c r="E19" s="325"/>
      <c r="F19" s="159"/>
    </row>
    <row r="21" spans="2:6" ht="26.25" x14ac:dyDescent="0.4">
      <c r="B21" s="185" t="s">
        <v>208</v>
      </c>
    </row>
    <row r="39" spans="13:13" x14ac:dyDescent="0.25">
      <c r="M39" s="1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F18"/>
  <sheetViews>
    <sheetView showGridLines="0" workbookViewId="0">
      <selection activeCell="F29" sqref="F29"/>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19.5703125" style="41" customWidth="1"/>
    <col min="7" max="16384" width="8.85546875" style="1"/>
  </cols>
  <sheetData>
    <row r="1" spans="2:6" s="103" customFormat="1" x14ac:dyDescent="0.25">
      <c r="B1" s="104"/>
      <c r="C1" s="104"/>
      <c r="D1" s="104"/>
      <c r="E1" s="104"/>
      <c r="F1" s="104"/>
    </row>
    <row r="2" spans="2:6" ht="15.75" x14ac:dyDescent="0.25">
      <c r="B2" s="336" t="s">
        <v>107</v>
      </c>
      <c r="C2" s="336"/>
      <c r="D2" s="336"/>
      <c r="E2" s="336"/>
      <c r="F2" s="336"/>
    </row>
    <row r="3" spans="2:6" ht="18.75" x14ac:dyDescent="0.3">
      <c r="B3" s="337" t="s">
        <v>2</v>
      </c>
      <c r="C3" s="338"/>
      <c r="D3" s="338"/>
      <c r="E3" s="338"/>
      <c r="F3" s="339"/>
    </row>
    <row r="4" spans="2:6" ht="18.75" x14ac:dyDescent="0.3">
      <c r="B4" s="320" t="s">
        <v>108</v>
      </c>
      <c r="C4" s="321"/>
      <c r="D4" s="321"/>
      <c r="E4" s="321"/>
      <c r="F4" s="322"/>
    </row>
    <row r="5" spans="2:6" ht="15.75" x14ac:dyDescent="0.25">
      <c r="B5" s="31"/>
      <c r="C5" s="31"/>
      <c r="D5" s="31"/>
      <c r="E5" s="31"/>
      <c r="F5" s="31"/>
    </row>
    <row r="6" spans="2:6" ht="67.5" customHeight="1" x14ac:dyDescent="0.25">
      <c r="B6" s="335" t="s">
        <v>202</v>
      </c>
      <c r="C6" s="335"/>
      <c r="D6" s="335"/>
      <c r="E6" s="335"/>
      <c r="F6" s="335"/>
    </row>
    <row r="7" spans="2:6" ht="15.75" x14ac:dyDescent="0.25">
      <c r="B7" s="31"/>
      <c r="C7" s="31"/>
      <c r="D7" s="31"/>
      <c r="E7" s="31"/>
      <c r="F7" s="31"/>
    </row>
    <row r="8" spans="2:6" ht="48" customHeight="1" x14ac:dyDescent="0.25">
      <c r="B8" s="32" t="s">
        <v>109</v>
      </c>
      <c r="C8" s="33" t="s">
        <v>177</v>
      </c>
      <c r="D8" s="33" t="s">
        <v>110</v>
      </c>
      <c r="E8" s="33" t="s">
        <v>111</v>
      </c>
      <c r="F8" s="34" t="s">
        <v>112</v>
      </c>
    </row>
    <row r="9" spans="2:6" ht="25.5" customHeight="1" x14ac:dyDescent="0.25">
      <c r="B9" s="35"/>
      <c r="C9" s="36" t="s">
        <v>113</v>
      </c>
      <c r="D9" s="36" t="s">
        <v>178</v>
      </c>
      <c r="E9" s="36" t="s">
        <v>178</v>
      </c>
      <c r="F9" s="37" t="s">
        <v>179</v>
      </c>
    </row>
    <row r="10" spans="2:6" ht="24" customHeight="1" x14ac:dyDescent="0.25">
      <c r="B10" s="38" t="s">
        <v>114</v>
      </c>
      <c r="C10" s="39" t="s">
        <v>224</v>
      </c>
      <c r="D10" s="206">
        <f>1611+283</f>
        <v>1894</v>
      </c>
      <c r="E10" s="204">
        <v>2314058</v>
      </c>
      <c r="F10" s="205">
        <v>74643</v>
      </c>
    </row>
    <row r="11" spans="2:6" ht="15.75" x14ac:dyDescent="0.25">
      <c r="B11" s="38" t="s">
        <v>115</v>
      </c>
      <c r="C11" s="39" t="s">
        <v>224</v>
      </c>
      <c r="D11" s="206">
        <v>1672</v>
      </c>
      <c r="E11" s="204">
        <v>0</v>
      </c>
      <c r="F11" s="205">
        <v>425357</v>
      </c>
    </row>
    <row r="12" spans="2:6" ht="15.75" x14ac:dyDescent="0.25">
      <c r="B12" s="38" t="s">
        <v>139</v>
      </c>
      <c r="C12" s="39" t="s">
        <v>224</v>
      </c>
      <c r="D12" s="39"/>
      <c r="E12" s="39"/>
      <c r="F12" s="40"/>
    </row>
    <row r="13" spans="2:6" ht="15.75" x14ac:dyDescent="0.25">
      <c r="B13" s="183" t="s">
        <v>200</v>
      </c>
      <c r="C13" s="176" t="s">
        <v>225</v>
      </c>
      <c r="D13" s="176">
        <v>0</v>
      </c>
      <c r="E13" s="176">
        <v>0</v>
      </c>
      <c r="F13" s="177">
        <v>0</v>
      </c>
    </row>
    <row r="14" spans="2:6" ht="15.75" x14ac:dyDescent="0.25">
      <c r="B14" s="184" t="s">
        <v>201</v>
      </c>
      <c r="C14" s="178" t="s">
        <v>225</v>
      </c>
      <c r="D14" s="178">
        <v>0</v>
      </c>
      <c r="E14" s="178">
        <v>0</v>
      </c>
      <c r="F14" s="179">
        <v>0</v>
      </c>
    </row>
    <row r="15" spans="2:6" ht="16.5" thickBot="1" x14ac:dyDescent="0.3">
      <c r="B15" s="174" t="s">
        <v>116</v>
      </c>
      <c r="C15" s="172" t="s">
        <v>225</v>
      </c>
      <c r="D15" s="172"/>
      <c r="E15" s="172"/>
      <c r="F15" s="173"/>
    </row>
    <row r="16" spans="2:6" ht="15.75" x14ac:dyDescent="0.25">
      <c r="B16" s="35" t="s">
        <v>117</v>
      </c>
      <c r="C16" s="169"/>
      <c r="D16" s="170"/>
      <c r="E16" s="170"/>
      <c r="F16" s="171"/>
    </row>
    <row r="17" spans="2:5" ht="15.75" x14ac:dyDescent="0.25">
      <c r="B17" s="31"/>
    </row>
    <row r="18" spans="2:5" ht="15.75" x14ac:dyDescent="0.25">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24"/>
  <sheetViews>
    <sheetView showGridLines="0" zoomScale="94" zoomScaleNormal="100" zoomScaleSheetLayoutView="55" workbookViewId="0">
      <selection activeCell="H22" sqref="H22"/>
    </sheetView>
  </sheetViews>
  <sheetFormatPr defaultColWidth="9.140625" defaultRowHeight="15" customHeight="1" x14ac:dyDescent="0.25"/>
  <cols>
    <col min="1" max="1" width="3.5703125" style="101" customWidth="1"/>
    <col min="2" max="2" width="39.7109375" style="101" customWidth="1"/>
    <col min="3" max="3" width="24" style="101" customWidth="1"/>
    <col min="4" max="11" width="22.7109375" style="101" customWidth="1"/>
    <col min="12" max="16384" width="9.140625" style="101"/>
  </cols>
  <sheetData>
    <row r="2" spans="2:11" s="1" customFormat="1" ht="15.75" x14ac:dyDescent="0.25">
      <c r="B2" s="336" t="s">
        <v>118</v>
      </c>
      <c r="C2" s="336"/>
      <c r="D2" s="336"/>
      <c r="E2" s="336"/>
      <c r="F2" s="336"/>
      <c r="G2" s="336"/>
      <c r="H2" s="336"/>
      <c r="I2" s="336"/>
      <c r="J2" s="336"/>
      <c r="K2" s="336"/>
    </row>
    <row r="3" spans="2:11" s="1" customFormat="1" ht="18.75" x14ac:dyDescent="0.3">
      <c r="B3" s="337" t="s">
        <v>119</v>
      </c>
      <c r="C3" s="338"/>
      <c r="D3" s="338"/>
      <c r="E3" s="338"/>
      <c r="F3" s="338"/>
      <c r="G3" s="338"/>
      <c r="H3" s="338"/>
      <c r="I3" s="338"/>
      <c r="J3" s="338"/>
      <c r="K3" s="339"/>
    </row>
    <row r="4" spans="2:11" s="1" customFormat="1" ht="18.75" x14ac:dyDescent="0.3">
      <c r="B4" s="320" t="s">
        <v>120</v>
      </c>
      <c r="C4" s="321"/>
      <c r="D4" s="321"/>
      <c r="E4" s="321"/>
      <c r="F4" s="321"/>
      <c r="G4" s="321"/>
      <c r="H4" s="321"/>
      <c r="I4" s="321"/>
      <c r="J4" s="321"/>
      <c r="K4" s="322"/>
    </row>
    <row r="5" spans="2:11" s="103" customFormat="1" ht="18.75" x14ac:dyDescent="0.3">
      <c r="B5" s="144"/>
      <c r="C5" s="144"/>
      <c r="D5" s="144"/>
      <c r="E5" s="144"/>
      <c r="F5" s="144"/>
      <c r="G5" s="144"/>
      <c r="H5" s="144"/>
      <c r="I5" s="144"/>
      <c r="J5" s="144"/>
      <c r="K5" s="144"/>
    </row>
    <row r="6" spans="2:11" s="103" customFormat="1" ht="18.75" customHeight="1" x14ac:dyDescent="0.25">
      <c r="B6" s="342" t="s">
        <v>207</v>
      </c>
      <c r="C6" s="342"/>
      <c r="D6" s="342"/>
      <c r="E6" s="342"/>
      <c r="F6" s="342"/>
      <c r="G6" s="342"/>
      <c r="H6" s="342"/>
      <c r="I6" s="342"/>
      <c r="J6" s="342"/>
      <c r="K6" s="342"/>
    </row>
    <row r="7" spans="2:11" s="103" customFormat="1" ht="18.75" customHeight="1" x14ac:dyDescent="0.25">
      <c r="B7" s="342"/>
      <c r="C7" s="342"/>
      <c r="D7" s="342"/>
      <c r="E7" s="342"/>
      <c r="F7" s="342"/>
      <c r="G7" s="342"/>
      <c r="H7" s="342"/>
      <c r="I7" s="342"/>
      <c r="J7" s="342"/>
      <c r="K7" s="342"/>
    </row>
    <row r="8" spans="2:11" s="103" customFormat="1" ht="18.75" x14ac:dyDescent="0.3">
      <c r="B8" s="102"/>
      <c r="C8" s="102"/>
      <c r="D8" s="102"/>
      <c r="E8" s="102"/>
      <c r="F8" s="102"/>
      <c r="G8" s="102"/>
      <c r="H8" s="102"/>
    </row>
    <row r="9" spans="2:11" s="145" customFormat="1" x14ac:dyDescent="0.25">
      <c r="B9" s="146"/>
      <c r="D9" s="146"/>
      <c r="E9" s="146"/>
      <c r="F9" s="146"/>
      <c r="G9" s="146"/>
      <c r="H9" s="146"/>
      <c r="I9" s="147"/>
      <c r="J9" s="147"/>
      <c r="K9" s="147"/>
    </row>
    <row r="10" spans="2:11" s="143" customFormat="1" ht="15" customHeight="1" x14ac:dyDescent="0.25">
      <c r="B10" s="340" t="s">
        <v>121</v>
      </c>
      <c r="C10" s="153" t="s">
        <v>122</v>
      </c>
      <c r="D10" s="180" t="s">
        <v>122</v>
      </c>
      <c r="E10" s="150" t="s">
        <v>123</v>
      </c>
      <c r="F10" s="151" t="s">
        <v>206</v>
      </c>
      <c r="G10" s="181" t="s">
        <v>122</v>
      </c>
      <c r="H10" s="150" t="s">
        <v>123</v>
      </c>
      <c r="I10" s="151" t="s">
        <v>206</v>
      </c>
      <c r="J10" s="186" t="s">
        <v>123</v>
      </c>
      <c r="K10" s="187" t="s">
        <v>206</v>
      </c>
    </row>
    <row r="11" spans="2:11" s="143" customFormat="1" x14ac:dyDescent="0.25">
      <c r="B11" s="341"/>
      <c r="C11" s="152" t="s">
        <v>124</v>
      </c>
      <c r="D11" s="347" t="s">
        <v>205</v>
      </c>
      <c r="E11" s="343"/>
      <c r="F11" s="344"/>
      <c r="G11" s="343" t="s">
        <v>125</v>
      </c>
      <c r="H11" s="343"/>
      <c r="I11" s="344"/>
      <c r="J11" s="345" t="s">
        <v>203</v>
      </c>
      <c r="K11" s="346"/>
    </row>
    <row r="12" spans="2:11" ht="15" customHeight="1" x14ac:dyDescent="0.25">
      <c r="B12" s="203" t="s">
        <v>221</v>
      </c>
      <c r="C12" s="182">
        <f>+D12+G12</f>
        <v>1516800.8499999999</v>
      </c>
      <c r="D12" s="194">
        <v>0</v>
      </c>
      <c r="E12" s="195">
        <v>0</v>
      </c>
      <c r="F12" s="196">
        <v>2722857</v>
      </c>
      <c r="G12" s="202">
        <f>1361648.95+155151.9</f>
        <v>1516800.8499999999</v>
      </c>
      <c r="H12" s="202">
        <v>0</v>
      </c>
      <c r="I12" s="196">
        <f>G12+F12</f>
        <v>4239657.8499999996</v>
      </c>
      <c r="J12" s="188">
        <v>0</v>
      </c>
      <c r="K12" s="188">
        <v>0</v>
      </c>
    </row>
    <row r="13" spans="2:11" ht="15" customHeight="1" x14ac:dyDescent="0.25">
      <c r="B13" s="203" t="s">
        <v>218</v>
      </c>
      <c r="C13" s="182">
        <f t="shared" ref="C13:C22" si="0">+D13+G13</f>
        <v>0</v>
      </c>
      <c r="D13" s="195">
        <v>0</v>
      </c>
      <c r="E13" s="195">
        <v>0</v>
      </c>
      <c r="F13" s="196">
        <v>3141145.22</v>
      </c>
      <c r="G13" s="202">
        <v>0</v>
      </c>
      <c r="H13" s="202">
        <v>0</v>
      </c>
      <c r="I13" s="196">
        <v>0</v>
      </c>
      <c r="J13" s="188">
        <v>0</v>
      </c>
      <c r="K13" s="188">
        <v>0</v>
      </c>
    </row>
    <row r="14" spans="2:11" ht="15" customHeight="1" x14ac:dyDescent="0.25">
      <c r="B14" s="148" t="s">
        <v>204</v>
      </c>
      <c r="C14" s="182">
        <f t="shared" si="0"/>
        <v>0</v>
      </c>
      <c r="D14" s="195">
        <v>0</v>
      </c>
      <c r="E14" s="195">
        <v>0</v>
      </c>
      <c r="F14" s="196">
        <v>0</v>
      </c>
      <c r="G14" s="202">
        <v>0</v>
      </c>
      <c r="H14" s="202">
        <v>0</v>
      </c>
      <c r="I14" s="196">
        <v>0</v>
      </c>
      <c r="J14" s="188">
        <v>0</v>
      </c>
      <c r="K14" s="188">
        <v>0</v>
      </c>
    </row>
    <row r="15" spans="2:11" ht="15" customHeight="1" x14ac:dyDescent="0.25">
      <c r="B15" s="148" t="s">
        <v>204</v>
      </c>
      <c r="C15" s="182">
        <f t="shared" si="0"/>
        <v>0</v>
      </c>
      <c r="D15" s="195">
        <v>0</v>
      </c>
      <c r="E15" s="195">
        <v>0</v>
      </c>
      <c r="F15" s="196">
        <v>0</v>
      </c>
      <c r="G15" s="202">
        <v>0</v>
      </c>
      <c r="H15" s="202">
        <v>0</v>
      </c>
      <c r="I15" s="196">
        <v>0</v>
      </c>
      <c r="J15" s="188">
        <v>0</v>
      </c>
      <c r="K15" s="188">
        <v>0</v>
      </c>
    </row>
    <row r="16" spans="2:11" ht="15" customHeight="1" x14ac:dyDescent="0.25">
      <c r="B16" s="148" t="s">
        <v>204</v>
      </c>
      <c r="C16" s="182">
        <f t="shared" si="0"/>
        <v>0</v>
      </c>
      <c r="D16" s="195">
        <v>0</v>
      </c>
      <c r="E16" s="195">
        <v>0</v>
      </c>
      <c r="F16" s="196">
        <v>0</v>
      </c>
      <c r="G16" s="202">
        <v>0</v>
      </c>
      <c r="H16" s="202">
        <v>0</v>
      </c>
      <c r="I16" s="196">
        <v>0</v>
      </c>
      <c r="J16" s="188">
        <v>0</v>
      </c>
      <c r="K16" s="188">
        <v>0</v>
      </c>
    </row>
    <row r="17" spans="2:11" ht="15" customHeight="1" x14ac:dyDescent="0.25">
      <c r="B17" s="203" t="s">
        <v>219</v>
      </c>
      <c r="C17" s="182">
        <f t="shared" si="0"/>
        <v>202400</v>
      </c>
      <c r="D17" s="195">
        <v>202400</v>
      </c>
      <c r="E17" s="195">
        <v>202400</v>
      </c>
      <c r="F17" s="196">
        <v>0</v>
      </c>
      <c r="G17" s="202">
        <v>0</v>
      </c>
      <c r="H17" s="202">
        <v>0</v>
      </c>
      <c r="I17" s="196">
        <v>0</v>
      </c>
      <c r="J17" s="188">
        <v>0</v>
      </c>
      <c r="K17" s="188">
        <v>0</v>
      </c>
    </row>
    <row r="18" spans="2:11" ht="15" customHeight="1" x14ac:dyDescent="0.25">
      <c r="B18" s="148" t="s">
        <v>204</v>
      </c>
      <c r="C18" s="182">
        <f t="shared" si="0"/>
        <v>0</v>
      </c>
      <c r="D18" s="195">
        <v>0</v>
      </c>
      <c r="E18" s="195">
        <v>0</v>
      </c>
      <c r="F18" s="196">
        <v>0</v>
      </c>
      <c r="G18" s="202">
        <v>0</v>
      </c>
      <c r="H18" s="202">
        <v>0</v>
      </c>
      <c r="I18" s="196">
        <v>0</v>
      </c>
      <c r="J18" s="188">
        <v>0</v>
      </c>
      <c r="K18" s="188">
        <v>0</v>
      </c>
    </row>
    <row r="19" spans="2:11" ht="15" customHeight="1" x14ac:dyDescent="0.25">
      <c r="B19" s="148" t="s">
        <v>204</v>
      </c>
      <c r="C19" s="182">
        <f t="shared" si="0"/>
        <v>0</v>
      </c>
      <c r="D19" s="195">
        <v>0</v>
      </c>
      <c r="E19" s="195">
        <v>0</v>
      </c>
      <c r="F19" s="196">
        <v>0</v>
      </c>
      <c r="G19" s="202">
        <v>0</v>
      </c>
      <c r="H19" s="202">
        <v>0</v>
      </c>
      <c r="I19" s="196">
        <v>0</v>
      </c>
      <c r="J19" s="188">
        <v>0</v>
      </c>
      <c r="K19" s="188">
        <v>0</v>
      </c>
    </row>
    <row r="20" spans="2:11" ht="15" customHeight="1" x14ac:dyDescent="0.25">
      <c r="B20" s="203" t="s">
        <v>223</v>
      </c>
      <c r="C20" s="182">
        <f t="shared" si="0"/>
        <v>41625</v>
      </c>
      <c r="D20" s="195">
        <v>0</v>
      </c>
      <c r="E20" s="195">
        <v>0</v>
      </c>
      <c r="F20" s="196">
        <v>0</v>
      </c>
      <c r="G20" s="202">
        <v>41625</v>
      </c>
      <c r="H20" s="202">
        <v>51625</v>
      </c>
      <c r="I20" s="196">
        <v>0</v>
      </c>
      <c r="J20" s="188">
        <v>0</v>
      </c>
      <c r="K20" s="188">
        <v>0</v>
      </c>
    </row>
    <row r="21" spans="2:11" ht="15" customHeight="1" x14ac:dyDescent="0.25">
      <c r="B21" s="203" t="s">
        <v>220</v>
      </c>
      <c r="C21" s="182">
        <f t="shared" si="0"/>
        <v>77852</v>
      </c>
      <c r="D21" s="195">
        <v>77852</v>
      </c>
      <c r="E21" s="195">
        <v>77852</v>
      </c>
      <c r="F21" s="196">
        <v>0</v>
      </c>
      <c r="G21" s="202">
        <v>0</v>
      </c>
      <c r="H21" s="202">
        <v>0</v>
      </c>
      <c r="I21" s="196">
        <v>0</v>
      </c>
      <c r="J21" s="188">
        <v>0</v>
      </c>
      <c r="K21" s="188">
        <v>0</v>
      </c>
    </row>
    <row r="22" spans="2:11" ht="15" customHeight="1" x14ac:dyDescent="0.25">
      <c r="B22" s="203" t="s">
        <v>222</v>
      </c>
      <c r="C22" s="182">
        <f t="shared" si="0"/>
        <v>13340.59</v>
      </c>
      <c r="D22" s="197">
        <v>0</v>
      </c>
      <c r="E22" s="197">
        <v>0</v>
      </c>
      <c r="F22" s="198">
        <v>0</v>
      </c>
      <c r="G22" s="202">
        <v>13340.59</v>
      </c>
      <c r="H22" s="202">
        <v>13340.59</v>
      </c>
      <c r="I22" s="196">
        <v>0</v>
      </c>
      <c r="J22" s="188">
        <v>0</v>
      </c>
      <c r="K22" s="188">
        <v>0</v>
      </c>
    </row>
    <row r="23" spans="2:11" ht="15" customHeight="1" thickBot="1" x14ac:dyDescent="0.3">
      <c r="B23" s="149" t="s">
        <v>126</v>
      </c>
      <c r="C23" s="216">
        <f>SUM(C12:C22)</f>
        <v>1852018.44</v>
      </c>
      <c r="D23" s="199">
        <f t="shared" ref="D23:F23" si="1">SUM(D12:D22)</f>
        <v>280252</v>
      </c>
      <c r="E23" s="200">
        <f t="shared" si="1"/>
        <v>280252</v>
      </c>
      <c r="F23" s="201">
        <f t="shared" si="1"/>
        <v>5864002.2200000007</v>
      </c>
      <c r="G23" s="200">
        <f t="shared" ref="G23:I23" si="2">SUM(G12:G22)</f>
        <v>1571766.44</v>
      </c>
      <c r="H23" s="200">
        <f t="shared" si="2"/>
        <v>64965.59</v>
      </c>
      <c r="I23" s="201">
        <f t="shared" si="2"/>
        <v>4239657.8499999996</v>
      </c>
      <c r="J23" s="189">
        <f t="shared" ref="J23" si="3">SUM(J12:J22)</f>
        <v>0</v>
      </c>
      <c r="K23" s="190">
        <f t="shared" ref="K23" si="4">SUM(K12:K22)</f>
        <v>0</v>
      </c>
    </row>
    <row r="24" spans="2: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5" customWidth="1"/>
    <col min="2" max="2" width="13.85546875" style="65" customWidth="1"/>
  </cols>
  <sheetData>
    <row r="2" spans="1:2" x14ac:dyDescent="0.25">
      <c r="A2" s="348" t="s">
        <v>127</v>
      </c>
      <c r="B2" s="348"/>
    </row>
    <row r="3" spans="1:2" ht="15.75" x14ac:dyDescent="0.25">
      <c r="A3" s="349" t="s">
        <v>128</v>
      </c>
      <c r="B3" s="349"/>
    </row>
    <row r="4" spans="1:2" ht="24.6" customHeight="1" x14ac:dyDescent="0.25">
      <c r="A4" s="350" t="s">
        <v>129</v>
      </c>
      <c r="B4" s="350"/>
    </row>
    <row r="5" spans="1:2" x14ac:dyDescent="0.25">
      <c r="A5" s="66" t="s">
        <v>130</v>
      </c>
      <c r="B5" s="67">
        <f>'1. Reconciliation'!C20</f>
        <v>65869470.378399998</v>
      </c>
    </row>
    <row r="6" spans="1:2" x14ac:dyDescent="0.25">
      <c r="A6" s="66" t="s">
        <v>131</v>
      </c>
      <c r="B6" s="68">
        <f>'1. Reconciliation'!C23</f>
        <v>0.10443432485405317</v>
      </c>
    </row>
    <row r="7" spans="1:2" x14ac:dyDescent="0.25">
      <c r="A7" s="66" t="s">
        <v>132</v>
      </c>
      <c r="B7" s="68">
        <f>'1. Reconciliation'!C69</f>
        <v>5.049361078006822E-2</v>
      </c>
    </row>
    <row r="8" spans="1:2" x14ac:dyDescent="0.25">
      <c r="A8" s="69"/>
      <c r="B8" s="70"/>
    </row>
    <row r="9" spans="1:2" x14ac:dyDescent="0.25">
      <c r="A9" s="71" t="s">
        <v>133</v>
      </c>
      <c r="B9" s="72"/>
    </row>
    <row r="10" spans="1:2" ht="39.6" customHeight="1" x14ac:dyDescent="0.25">
      <c r="A10" s="66" t="s">
        <v>134</v>
      </c>
      <c r="B10" s="73">
        <f>+'1. Reconciliation'!C12</f>
        <v>2926886.3664000002</v>
      </c>
    </row>
    <row r="11" spans="1:2" x14ac:dyDescent="0.25">
      <c r="A11" s="66" t="s">
        <v>135</v>
      </c>
      <c r="B11" s="73">
        <f>+'1. Reconciliation'!C14</f>
        <v>3813801.0120000001</v>
      </c>
    </row>
    <row r="12" spans="1:2" x14ac:dyDescent="0.25">
      <c r="A12" s="66" t="s">
        <v>23</v>
      </c>
      <c r="B12" s="73">
        <f>+'1. Reconciliation'!C16</f>
        <v>-200000</v>
      </c>
    </row>
    <row r="13" spans="1:2" x14ac:dyDescent="0.25">
      <c r="A13" s="66" t="s">
        <v>24</v>
      </c>
      <c r="B13" s="73">
        <f>+'1. Reconciliation'!C17</f>
        <v>130000</v>
      </c>
    </row>
    <row r="14" spans="1:2" ht="44.45" customHeight="1" x14ac:dyDescent="0.25">
      <c r="A14" s="66" t="s">
        <v>25</v>
      </c>
      <c r="B14" s="73">
        <f>+'1. Reconciliation'!C18</f>
        <v>-831854</v>
      </c>
    </row>
    <row r="15" spans="1:2" x14ac:dyDescent="0.25">
      <c r="A15" s="74" t="s">
        <v>136</v>
      </c>
      <c r="B15" s="75">
        <f>SUM(B10:B14)</f>
        <v>5838833.3783999998</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137</v>
      </c>
    </row>
    <row r="3" spans="2:5" x14ac:dyDescent="0.25">
      <c r="B3" t="s">
        <v>138</v>
      </c>
      <c r="C3" t="s">
        <v>139</v>
      </c>
      <c r="D3" t="s">
        <v>115</v>
      </c>
      <c r="E3" t="s">
        <v>114</v>
      </c>
    </row>
    <row r="4" spans="2:5" x14ac:dyDescent="0.25">
      <c r="B4" s="16" t="s">
        <v>140</v>
      </c>
      <c r="C4" s="25">
        <v>180</v>
      </c>
      <c r="D4" s="25">
        <v>100</v>
      </c>
      <c r="E4" s="16" t="s">
        <v>141</v>
      </c>
    </row>
    <row r="5" spans="2:5" x14ac:dyDescent="0.25">
      <c r="B5" s="16" t="s">
        <v>142</v>
      </c>
      <c r="C5" s="25">
        <v>163</v>
      </c>
      <c r="D5" s="25">
        <v>100</v>
      </c>
      <c r="E5" s="25">
        <v>85</v>
      </c>
    </row>
    <row r="6" spans="2:5" x14ac:dyDescent="0.25">
      <c r="B6" s="16" t="s">
        <v>143</v>
      </c>
      <c r="C6" s="25">
        <v>186</v>
      </c>
      <c r="D6" s="25">
        <v>100</v>
      </c>
      <c r="E6" s="25">
        <v>58</v>
      </c>
    </row>
    <row r="7" spans="2:5" x14ac:dyDescent="0.25">
      <c r="B7" s="16" t="s">
        <v>144</v>
      </c>
      <c r="C7" s="25">
        <v>92</v>
      </c>
      <c r="D7" s="25">
        <v>100</v>
      </c>
      <c r="E7" s="25">
        <v>52</v>
      </c>
    </row>
    <row r="8" spans="2:5" x14ac:dyDescent="0.25">
      <c r="B8" s="16" t="s">
        <v>145</v>
      </c>
      <c r="C8" s="25">
        <v>166</v>
      </c>
      <c r="D8" s="25">
        <v>100</v>
      </c>
      <c r="E8" s="25">
        <v>76</v>
      </c>
    </row>
    <row r="9" spans="2:5" x14ac:dyDescent="0.25">
      <c r="B9" s="16" t="s">
        <v>146</v>
      </c>
      <c r="C9" s="25">
        <v>130</v>
      </c>
      <c r="D9" s="25">
        <v>100</v>
      </c>
      <c r="E9" s="25">
        <v>75</v>
      </c>
    </row>
    <row r="10" spans="2:5" x14ac:dyDescent="0.25">
      <c r="B10" s="16" t="s">
        <v>147</v>
      </c>
      <c r="C10" s="25">
        <v>160</v>
      </c>
      <c r="D10" s="25">
        <v>100</v>
      </c>
      <c r="E10" s="25">
        <v>79</v>
      </c>
    </row>
    <row r="11" spans="2:5" x14ac:dyDescent="0.25">
      <c r="B11" s="16" t="s">
        <v>148</v>
      </c>
      <c r="C11" s="25">
        <v>120</v>
      </c>
      <c r="D11" s="25">
        <v>100</v>
      </c>
      <c r="E11" s="25">
        <v>81</v>
      </c>
    </row>
    <row r="12" spans="2:5" x14ac:dyDescent="0.25">
      <c r="B12" s="16" t="s">
        <v>149</v>
      </c>
      <c r="C12" s="25">
        <v>160</v>
      </c>
      <c r="D12" s="25">
        <v>100</v>
      </c>
      <c r="E12" s="25">
        <v>72</v>
      </c>
    </row>
    <row r="13" spans="2:5" x14ac:dyDescent="0.25">
      <c r="B13" s="16" t="s">
        <v>150</v>
      </c>
      <c r="C13" s="25">
        <v>150</v>
      </c>
      <c r="D13" s="25">
        <v>100</v>
      </c>
      <c r="E13" s="16">
        <v>55</v>
      </c>
    </row>
    <row r="14" spans="2:5" x14ac:dyDescent="0.25">
      <c r="B14" s="16" t="s">
        <v>151</v>
      </c>
      <c r="C14" s="25">
        <v>264</v>
      </c>
      <c r="D14" s="25">
        <v>100</v>
      </c>
      <c r="E14" s="25">
        <v>44</v>
      </c>
    </row>
    <row r="15" spans="2:5" x14ac:dyDescent="0.25">
      <c r="B15" s="16" t="s">
        <v>152</v>
      </c>
      <c r="C15" s="25">
        <v>178</v>
      </c>
      <c r="D15" s="25">
        <v>100</v>
      </c>
      <c r="E15" s="25">
        <v>108</v>
      </c>
    </row>
    <row r="16" spans="2:5" x14ac:dyDescent="0.25">
      <c r="B16" s="16" t="s">
        <v>153</v>
      </c>
      <c r="C16" s="25">
        <v>185</v>
      </c>
      <c r="D16" s="25">
        <v>100</v>
      </c>
      <c r="E16" s="25">
        <v>89</v>
      </c>
    </row>
    <row r="17" spans="2:5" x14ac:dyDescent="0.25">
      <c r="B17" s="16" t="s">
        <v>154</v>
      </c>
      <c r="C17" s="25">
        <v>228</v>
      </c>
      <c r="D17" s="25">
        <v>100</v>
      </c>
      <c r="E17" s="25">
        <v>76</v>
      </c>
    </row>
  </sheetData>
  <sortState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2.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DD72E-62BB-4083-B4E4-70A11D422880}">
  <ds:schemaRefs>
    <ds:schemaRef ds:uri="http://purl.org/dc/dcmitype/"/>
    <ds:schemaRef ds:uri="http://schemas.microsoft.com/office/2006/documentManagement/types"/>
    <ds:schemaRef ds:uri="http://purl.org/dc/elements/1.1/"/>
    <ds:schemaRef ds:uri="http://schemas.microsoft.com/office/infopath/2007/PartnerControls"/>
    <ds:schemaRef ds:uri="18dbc17e-cec9-4211-a89f-0bf74a616302"/>
    <ds:schemaRef ds:uri="2819d22d-c924-42b3-954a-d3b43813cc67"/>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Andrew S. Garami</cp:lastModifiedBy>
  <cp:revision/>
  <dcterms:created xsi:type="dcterms:W3CDTF">2020-01-09T18:52:12Z</dcterms:created>
  <dcterms:modified xsi:type="dcterms:W3CDTF">2022-08-30T18:22:55Z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