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8.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office\office\Accounting\FY2023\Adaptive\Budget Entry\"/>
    </mc:Choice>
  </mc:AlternateContent>
  <xr:revisionPtr revIDLastSave="0" documentId="8_{5751A818-DF05-4344-8231-688E5C0ED8F5}" xr6:coauthVersionLast="47" xr6:coauthVersionMax="47" xr10:uidLastSave="{00000000-0000-0000-0000-000000000000}"/>
  <bookViews>
    <workbookView xWindow="28680" yWindow="-120" windowWidth="29040" windowHeight="17640" firstSheet="1" activeTab="6" xr2:uid="{EDA287F5-79D0-4FF5-98F1-6BE045AC2F7D}"/>
  </bookViews>
  <sheets>
    <sheet name="Overview" sheetId="1" r:id="rId1"/>
    <sheet name="1. Reconciliation" sheetId="2" r:id="rId2"/>
    <sheet name="2. Charge and NPR Detail" sheetId="3" r:id="rId3"/>
    <sheet name="3. Utilization" sheetId="4" r:id="rId4"/>
    <sheet name="4. Inflation" sheetId="5" r:id="rId5"/>
    <sheet name="5. Value Based Care Participati" sheetId="6" r:id="rId6"/>
    <sheet name="6. COVID-19 Advances, Relief Fu" sheetId="7" r:id="rId7"/>
    <sheet name="Edit of Request Summary" sheetId="8"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Reconciliation'!$B$6:$O$98</definedName>
    <definedName name="_xlnm.Print_Area" localSheetId="2">'2. Charge and NPR Detail'!$A$2:$H$68</definedName>
    <definedName name="_xlnm.Print_Area" localSheetId="3">'3. Utilization'!$B$1:$D$16</definedName>
    <definedName name="_xlnm.Print_Area" localSheetId="4">'4. Inflation'!$B$1:$D$21</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 name="Z_34211852_B453_4CDA_9F61_C6EBB49F5732_.wvu.PrintArea" localSheetId="1" hidden="1">'1. Reconciliation'!$B$6:$O$98</definedName>
    <definedName name="Z_34211852_B453_4CDA_9F61_C6EBB49F5732_.wvu.PrintArea" localSheetId="2" hidden="1">'2. Charge and NPR Detail'!$A$2:$H$68</definedName>
    <definedName name="Z_34211852_B453_4CDA_9F61_C6EBB49F5732_.wvu.PrintArea" localSheetId="3" hidden="1">'3. Utilization'!$B$1:$D$16</definedName>
    <definedName name="Z_34211852_B453_4CDA_9F61_C6EBB49F5732_.wvu.PrintArea" localSheetId="4" hidden="1">'4. Inflation'!$B$1:$D$21</definedName>
    <definedName name="Z_34211852_B453_4CDA_9F61_C6EBB49F5732_.wvu.PrintArea" localSheetId="5" hidden="1">'5. Value Based Care Participati'!$B$2:$F$17</definedName>
    <definedName name="Z_34211852_B453_4CDA_9F61_C6EBB49F5732_.wvu.PrintArea" localSheetId="0" hidden="1">Overview!$A$1:$B$11</definedName>
    <definedName name="Z_34211852_B453_4CDA_9F61_C6EBB49F5732_.wvu.PrintTitles" localSheetId="1" hidden="1">'1. Reconciliation'!$2:$4</definedName>
    <definedName name="Z_34211852_B453_4CDA_9F61_C6EBB49F5732_.wvu.Rows" localSheetId="2" hidden="1">'2. Charge and NPR Detail'!$17:$35</definedName>
    <definedName name="Z_66DB97CC_E9CD_4D25_A10F_98CC991DB916_.wvu.PrintArea" localSheetId="1" hidden="1">'1. Reconciliation'!$B$6:$O$98</definedName>
    <definedName name="Z_66DB97CC_E9CD_4D25_A10F_98CC991DB916_.wvu.PrintArea" localSheetId="2" hidden="1">'2. Charge and NPR Detail'!$A$2:$H$68</definedName>
    <definedName name="Z_66DB97CC_E9CD_4D25_A10F_98CC991DB916_.wvu.PrintArea" localSheetId="3" hidden="1">'3. Utilization'!$B$1:$D$16</definedName>
    <definedName name="Z_66DB97CC_E9CD_4D25_A10F_98CC991DB916_.wvu.PrintArea" localSheetId="4" hidden="1">'4. Inflation'!$B$1:$D$21</definedName>
    <definedName name="Z_66DB97CC_E9CD_4D25_A10F_98CC991DB916_.wvu.PrintArea" localSheetId="5" hidden="1">'5. Value Based Care Participati'!$B$2:$F$17</definedName>
    <definedName name="Z_66DB97CC_E9CD_4D25_A10F_98CC991DB916_.wvu.PrintArea" localSheetId="0" hidden="1">Overview!$A$1:$B$11</definedName>
    <definedName name="Z_66DB97CC_E9CD_4D25_A10F_98CC991DB916_.wvu.PrintTitles" localSheetId="1" hidden="1">'1. Reconciliation'!$2:$4</definedName>
    <definedName name="Z_66DB97CC_E9CD_4D25_A10F_98CC991DB916_.wvu.Rows" localSheetId="2" hidden="1">'2. Charge and NPR Detail'!$17:$35</definedName>
  </definedNames>
  <calcPr calcId="191028"/>
  <customWorkbookViews>
    <customWorkbookView name="Anita Flagg - Personal View" guid="{34211852-B453-4CDA-9F61-C6EBB49F5732}" mergeInterval="0" personalView="1" maximized="1" xWindow="1912" yWindow="-8" windowWidth="1936" windowHeight="1176" activeSheetId="7"/>
    <customWorkbookView name="Tracey Paul - Personal View" guid="{66DB97CC-E9CD-4D25-A10F-98CC991DB916}" mergeInterval="0" personalView="1" maximized="1" xWindow="-8" yWindow="-8" windowWidth="1936" windowHeight="1056"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0" i="3" l="1"/>
  <c r="C11" i="2"/>
  <c r="C58" i="2"/>
  <c r="D46" i="2"/>
  <c r="C54" i="3" l="1"/>
  <c r="C53" i="3"/>
  <c r="C52" i="3"/>
  <c r="C57" i="3"/>
  <c r="E57" i="3"/>
  <c r="D57" i="3" s="1"/>
  <c r="F57" i="3"/>
  <c r="E56" i="3"/>
  <c r="D56" i="3" s="1"/>
  <c r="E55" i="3"/>
  <c r="D55" i="3" s="1"/>
  <c r="F54" i="3"/>
  <c r="J41" i="3"/>
  <c r="F43" i="3"/>
  <c r="F42" i="3"/>
  <c r="F53" i="3" s="1"/>
  <c r="E41" i="3"/>
  <c r="J54" i="3"/>
  <c r="J53" i="3"/>
  <c r="J52" i="3"/>
  <c r="I54" i="3"/>
  <c r="I53" i="3"/>
  <c r="I52" i="3"/>
  <c r="H54" i="3"/>
  <c r="H53" i="3"/>
  <c r="H52" i="3"/>
  <c r="F52" i="3"/>
  <c r="C41" i="3"/>
  <c r="C12" i="3"/>
  <c r="C88" i="2"/>
  <c r="F61" i="2"/>
  <c r="F59" i="2"/>
  <c r="D41" i="2"/>
  <c r="D39" i="2"/>
  <c r="E52" i="3" l="1"/>
  <c r="D52" i="3" s="1"/>
  <c r="E53" i="3"/>
  <c r="D53" i="3" s="1"/>
  <c r="E54" i="3"/>
  <c r="D54" i="3" s="1"/>
  <c r="D17" i="5"/>
  <c r="E58" i="3" l="1"/>
  <c r="M58" i="3" s="1"/>
  <c r="D58" i="3"/>
  <c r="E15" i="5"/>
  <c r="F15" i="5" s="1"/>
  <c r="C80" i="2"/>
  <c r="E14" i="5"/>
  <c r="F14" i="5" s="1"/>
  <c r="F16" i="6" l="1"/>
  <c r="E16" i="6"/>
  <c r="D16" i="6"/>
  <c r="F10" i="6"/>
  <c r="F14" i="2" l="1"/>
  <c r="C14" i="2" s="1"/>
  <c r="C18" i="2"/>
  <c r="F12" i="2"/>
  <c r="C13" i="7" l="1"/>
  <c r="C14" i="7"/>
  <c r="C15" i="7"/>
  <c r="C16" i="7"/>
  <c r="C17" i="7"/>
  <c r="C18" i="7"/>
  <c r="C19" i="7"/>
  <c r="C20" i="7"/>
  <c r="C21" i="7"/>
  <c r="C22" i="7"/>
  <c r="E23" i="7"/>
  <c r="F23" i="7"/>
  <c r="D23" i="7"/>
  <c r="C12" i="7"/>
  <c r="E35" i="3"/>
  <c r="C35" i="3"/>
  <c r="E25" i="3"/>
  <c r="C25" i="3"/>
  <c r="G83" i="3"/>
  <c r="E15" i="3" l="1"/>
  <c r="F7" i="5"/>
  <c r="D32" i="2"/>
  <c r="G70" i="2"/>
  <c r="G72" i="2" s="1"/>
  <c r="G73" i="2" s="1"/>
  <c r="G23" i="2"/>
  <c r="G25" i="2" s="1"/>
  <c r="G26" i="2" s="1"/>
  <c r="C61" i="2"/>
  <c r="C60" i="2"/>
  <c r="C59" i="2"/>
  <c r="C13" i="2"/>
  <c r="C12" i="2"/>
  <c r="B10" i="8" s="1"/>
  <c r="F70" i="2"/>
  <c r="F72" i="2" s="1"/>
  <c r="F73" i="2" s="1"/>
  <c r="F23" i="2"/>
  <c r="F25" i="2" s="1"/>
  <c r="F26" i="2" s="1"/>
  <c r="C19" i="2"/>
  <c r="B14" i="8"/>
  <c r="C17" i="2"/>
  <c r="B13" i="8" s="1"/>
  <c r="C16" i="2"/>
  <c r="B12" i="8" s="1"/>
  <c r="C15" i="2"/>
  <c r="B11" i="8"/>
  <c r="K23" i="7"/>
  <c r="J23" i="7"/>
  <c r="G23" i="7"/>
  <c r="H23" i="7"/>
  <c r="I23" i="7"/>
  <c r="F12" i="5"/>
  <c r="F10" i="5"/>
  <c r="D41" i="3"/>
  <c r="C68" i="3"/>
  <c r="C58" i="3"/>
  <c r="C15" i="3"/>
  <c r="H68" i="3"/>
  <c r="G68" i="3"/>
  <c r="F68" i="3"/>
  <c r="E67" i="3"/>
  <c r="E66" i="3"/>
  <c r="E65" i="3"/>
  <c r="D65" i="3" s="1"/>
  <c r="E64" i="3"/>
  <c r="D64" i="3" s="1"/>
  <c r="E63" i="3"/>
  <c r="J58" i="3"/>
  <c r="I58" i="3"/>
  <c r="H58" i="3"/>
  <c r="G58" i="3"/>
  <c r="F58" i="3"/>
  <c r="J45" i="3"/>
  <c r="I45" i="3"/>
  <c r="H45" i="3"/>
  <c r="G45" i="3"/>
  <c r="F45" i="3"/>
  <c r="C45" i="3"/>
  <c r="E44" i="3"/>
  <c r="E45" i="3" s="1"/>
  <c r="D45" i="3" s="1"/>
  <c r="D43" i="3"/>
  <c r="D42" i="3"/>
  <c r="C93" i="2"/>
  <c r="D89" i="2"/>
  <c r="D88" i="2"/>
  <c r="D91" i="2"/>
  <c r="D43" i="2"/>
  <c r="D42" i="2"/>
  <c r="D68" i="3" l="1"/>
  <c r="D72" i="3" s="1"/>
  <c r="E11" i="5"/>
  <c r="F11" i="5" s="1"/>
  <c r="E9" i="5"/>
  <c r="F9" i="5" s="1"/>
  <c r="E8" i="5"/>
  <c r="E17" i="5" s="1"/>
  <c r="E13" i="5"/>
  <c r="F13" i="5" s="1"/>
  <c r="C95" i="2"/>
  <c r="C96" i="2" s="1"/>
  <c r="C72" i="3"/>
  <c r="C23" i="7"/>
  <c r="E68" i="3"/>
  <c r="F72" i="3" s="1"/>
  <c r="D15" i="4"/>
  <c r="C15" i="4"/>
  <c r="C18" i="4" s="1"/>
  <c r="D17" i="4"/>
  <c r="C33" i="2"/>
  <c r="D87" i="2"/>
  <c r="D90" i="2"/>
  <c r="D92" i="2"/>
  <c r="D40" i="2"/>
  <c r="D45" i="2"/>
  <c r="D44" i="2"/>
  <c r="H70" i="2"/>
  <c r="H72" i="2" s="1"/>
  <c r="H73" i="2" s="1"/>
  <c r="E70" i="2"/>
  <c r="E72" i="2" s="1"/>
  <c r="E73" i="2" s="1"/>
  <c r="D70" i="2"/>
  <c r="D72" i="2" s="1"/>
  <c r="D73" i="2" s="1"/>
  <c r="C69" i="2"/>
  <c r="C68" i="2"/>
  <c r="C67" i="2"/>
  <c r="C66" i="2"/>
  <c r="C65" i="2"/>
  <c r="C64" i="2"/>
  <c r="C63" i="2"/>
  <c r="C62" i="2"/>
  <c r="E23" i="2"/>
  <c r="E25" i="2" s="1"/>
  <c r="E26" i="2" s="1"/>
  <c r="H23" i="2"/>
  <c r="H25" i="2" s="1"/>
  <c r="H26" i="2" s="1"/>
  <c r="D23" i="2"/>
  <c r="D25" i="2" s="1"/>
  <c r="D26" i="2" s="1"/>
  <c r="C20" i="2"/>
  <c r="C23" i="2" s="1"/>
  <c r="C21" i="2"/>
  <c r="C22" i="2"/>
  <c r="C73" i="3"/>
  <c r="C74" i="3" l="1"/>
  <c r="F8" i="5"/>
  <c r="F17" i="5" s="1"/>
  <c r="E72" i="3"/>
  <c r="B15" i="8"/>
  <c r="C70" i="2"/>
  <c r="C72" i="2" l="1"/>
  <c r="F73" i="3" l="1"/>
  <c r="F74" i="3" s="1"/>
  <c r="C25" i="2"/>
  <c r="C26" i="2" s="1"/>
  <c r="C73" i="2"/>
  <c r="B7" i="8" s="1"/>
  <c r="B5" i="8"/>
  <c r="D86" i="2"/>
  <c r="D85" i="2"/>
  <c r="D84" i="2"/>
  <c r="D83" i="2"/>
  <c r="D82" i="2"/>
  <c r="D81" i="2"/>
  <c r="D80" i="2"/>
  <c r="D79" i="2"/>
  <c r="D93" i="2" l="1"/>
  <c r="D38" i="2"/>
  <c r="D37" i="2"/>
  <c r="D36" i="2"/>
  <c r="D35" i="2"/>
  <c r="D34" i="2"/>
  <c r="D73" i="3" l="1"/>
  <c r="D74" i="3" s="1"/>
  <c r="C46" i="2"/>
  <c r="D33" i="2"/>
  <c r="B6" i="8" l="1"/>
  <c r="E73" i="3"/>
  <c r="E74" i="3" s="1"/>
  <c r="C48" i="2"/>
  <c r="C49" i="2" s="1"/>
</calcChain>
</file>

<file path=xl/sharedStrings.xml><?xml version="1.0" encoding="utf-8"?>
<sst xmlns="http://schemas.openxmlformats.org/spreadsheetml/2006/main" count="355" uniqueCount="240">
  <si>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</si>
  <si>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</si>
  <si>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</si>
  <si>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</si>
  <si>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</si>
  <si>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</si>
  <si>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</si>
  <si>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</si>
  <si>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</si>
  <si>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</si>
  <si>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</si>
  <si>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</si>
  <si>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</si>
  <si>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</si>
  <si>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</si>
  <si>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</si>
  <si>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</si>
  <si>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</si>
  <si>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</si>
  <si>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Rate Effect</t>
  </si>
  <si>
    <t>Disproportionate Share Payments (DSH)</t>
  </si>
  <si>
    <t>Utilization (not factoring in change in charge request)</t>
  </si>
  <si>
    <t>Fixed Prospective Payments</t>
  </si>
  <si>
    <t>Provider Acquisitions/Transfers</t>
  </si>
  <si>
    <t>Changes in Accounting</t>
  </si>
  <si>
    <t>Reimbursement/Payer Mix</t>
  </si>
  <si>
    <t>Bad Debt/Free Care</t>
  </si>
  <si>
    <t>Other (specify)</t>
  </si>
  <si>
    <t>Expenses</t>
  </si>
  <si>
    <t>Amount</t>
  </si>
  <si>
    <t>% over/under</t>
  </si>
  <si>
    <t>New Positions</t>
  </si>
  <si>
    <t>Inflation Increases</t>
  </si>
  <si>
    <t>Salaries</t>
  </si>
  <si>
    <t>Fringe</t>
  </si>
  <si>
    <t>Travelers (nurses)</t>
  </si>
  <si>
    <t>Locum tenans (MDs)</t>
  </si>
  <si>
    <t>Drugs</t>
  </si>
  <si>
    <t>Health Care Provider Tax</t>
  </si>
  <si>
    <t>Cost Savings</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</si>
  <si>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</si>
  <si>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</si>
  <si>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</si>
  <si>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</si>
  <si>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</si>
  <si>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</si>
  <si>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</si>
  <si>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</si>
  <si>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</si>
  <si>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</si>
  <si>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</si>
  <si>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</si>
  <si>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</si>
  <si>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</si>
  <si>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</si>
  <si>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</si>
  <si>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</si>
  <si>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</si>
  <si>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</si>
  <si>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</si>
  <si>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</si>
  <si>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</si>
  <si>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</si>
  <si>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</si>
  <si>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</si>
  <si>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</si>
  <si>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</si>
  <si>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</si>
  <si>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</si>
  <si>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</si>
  <si>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</si>
  <si>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</si>
  <si>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</si>
  <si>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</si>
  <si>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</si>
  <si>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</si>
  <si>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</si>
  <si>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</si>
  <si>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</si>
  <si>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</si>
  <si>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</si>
  <si>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</si>
  <si>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</si>
  <si>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</si>
  <si>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</si>
  <si>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</si>
  <si>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</si>
  <si>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</si>
  <si>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</si>
  <si>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</si>
  <si>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</si>
  <si>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</si>
  <si>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</si>
  <si>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</si>
  <si>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</si>
  <si>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</si>
  <si>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</si>
  <si>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</si>
  <si>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</si>
  <si>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</si>
  <si>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</si>
  <si>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Wages/Compensation - Medical Staff</t>
  </si>
  <si>
    <t>Wages/Compensation - Non-Medical Staff</t>
  </si>
  <si>
    <t>Medical Supplies</t>
  </si>
  <si>
    <t>Non-Medical Supplies</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</si>
  <si>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</si>
  <si>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</si>
  <si>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</si>
  <si>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</si>
  <si>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</si>
  <si>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</si>
  <si>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</si>
  <si>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</si>
  <si>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</si>
  <si>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</si>
  <si>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</si>
  <si>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</si>
  <si>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</si>
  <si>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</si>
  <si>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</si>
  <si>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</si>
  <si>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</si>
  <si>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</si>
  <si>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</si>
  <si>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</si>
  <si>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</si>
  <si>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</si>
  <si>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</si>
  <si>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</si>
  <si>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</si>
  <si>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</si>
  <si>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</si>
  <si>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</si>
  <si>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</si>
  <si>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</si>
  <si>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</si>
  <si>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</si>
  <si>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</si>
  <si>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</si>
  <si>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</si>
  <si>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</si>
  <si>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</si>
  <si>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</si>
  <si>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</si>
  <si>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</si>
  <si>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</si>
  <si>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</si>
  <si>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</si>
  <si>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</si>
  <si>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</si>
  <si>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</si>
  <si>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</si>
  <si>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</si>
  <si>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</si>
  <si>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</si>
  <si>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</si>
  <si>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</si>
  <si>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</si>
  <si>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</si>
  <si>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</si>
  <si>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</si>
  <si>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</si>
  <si>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</si>
  <si>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</si>
  <si>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</si>
  <si>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</si>
  <si>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</si>
  <si>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</si>
  <si>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</si>
  <si>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</si>
  <si>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</si>
  <si>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</si>
  <si>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</si>
  <si>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</si>
  <si>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</si>
  <si>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</si>
  <si>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</si>
  <si>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</si>
  <si>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</si>
  <si>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</si>
  <si>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t>Inflation Increases (from Appendix 4. Inflation Price Effect Only)</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</si>
  <si>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</si>
  <si>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</si>
  <si>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</si>
  <si>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</si>
  <si>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</si>
  <si>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</si>
  <si>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</si>
  <si>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</si>
  <si>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</si>
  <si>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</si>
  <si>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</si>
  <si>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</si>
  <si>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</si>
  <si>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</si>
  <si>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</si>
  <si>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</si>
  <si>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</si>
  <si>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</si>
  <si>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</si>
  <si>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</si>
  <si>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</si>
  <si>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</si>
  <si>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</si>
  <si>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</si>
  <si>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</si>
  <si>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</si>
  <si>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Add Source of Funding</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</si>
  <si>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</si>
  <si>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</si>
  <si>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</si>
  <si>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</si>
  <si>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</si>
  <si>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</si>
  <si>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</si>
  <si>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</si>
  <si>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</si>
  <si>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</si>
  <si>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</si>
  <si>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</si>
  <si>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</si>
  <si>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Health Insurance</t>
  </si>
  <si>
    <t>Utilities</t>
  </si>
  <si>
    <t>Insurance</t>
  </si>
  <si>
    <t>Yes</t>
  </si>
  <si>
    <t>No</t>
  </si>
  <si>
    <t xml:space="preserve">Yes </t>
  </si>
  <si>
    <t>1048 - based on prior year</t>
  </si>
  <si>
    <t>592 - based on prior year</t>
  </si>
  <si>
    <t>0 for fy 22 unknown for fy 23</t>
  </si>
  <si>
    <t>CARES Act Funding</t>
  </si>
  <si>
    <t>Medicare Advance - repayment</t>
  </si>
  <si>
    <t>VT Medicaid retainer fund</t>
  </si>
  <si>
    <t>VT Hazard Pay grant</t>
  </si>
  <si>
    <t>RHC Cares act funding</t>
  </si>
  <si>
    <t>RHC testing grant</t>
  </si>
  <si>
    <t>Depreciation</t>
  </si>
  <si>
    <t>Other Reform</t>
  </si>
  <si>
    <t>Self Pay/Other</t>
  </si>
  <si>
    <t>DSH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</si>
</sst>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
      <patternFill patternType="solid">
        <fgColor theme="4" tint="0.7999816888943144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30">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0" fillId="0" borderId="4" xfId="3" applyNumberFormat="1" applyFont="1" applyBorder="1" applyAlignment="1">
      <alignment horizontal="center"/>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14" xfId="0" applyFont="1" applyBorder="1"/>
    <xf numFmtId="0" fontId="1" fillId="0" borderId="10" xfId="0" applyFont="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0" fontId="21" fillId="0" borderId="4" xfId="0" applyFont="1" applyBorder="1" applyAlignment="1">
      <alignment horizontal="right"/>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44" fontId="4" fillId="0" borderId="23" xfId="2" applyFont="1" applyBorder="1" applyAlignment="1"/>
    <xf numFmtId="9" fontId="24" fillId="3" borderId="4" xfId="3" applyFont="1" applyFill="1" applyBorder="1"/>
    <xf numFmtId="9" fontId="4" fillId="9" borderId="0" xfId="3" applyFont="1" applyFill="1" applyBorder="1"/>
    <xf numFmtId="0" fontId="8" fillId="4" borderId="9" xfId="5" applyFont="1" applyFill="1" applyBorder="1"/>
    <xf numFmtId="0" fontId="8" fillId="0" borderId="37" xfId="5" applyFont="1" applyBorder="1"/>
    <xf numFmtId="0" fontId="8" fillId="0" borderId="38" xfId="5" applyFont="1" applyBorder="1"/>
    <xf numFmtId="0" fontId="8" fillId="0" borderId="39" xfId="5" applyFont="1" applyBorder="1"/>
    <xf numFmtId="0" fontId="2" fillId="0" borderId="0" xfId="0" applyFont="1" applyFill="1" applyBorder="1" applyAlignment="1">
      <alignment horizontal="center"/>
    </xf>
    <xf numFmtId="0" fontId="8" fillId="9" borderId="12" xfId="5" applyFont="1" applyFill="1" applyBorder="1"/>
    <xf numFmtId="0" fontId="8" fillId="9" borderId="13" xfId="5" applyFont="1" applyFill="1" applyBorder="1"/>
    <xf numFmtId="0" fontId="8" fillId="9" borderId="6" xfId="5" applyFont="1" applyFill="1" applyBorder="1"/>
    <xf numFmtId="0" fontId="2" fillId="0" borderId="19" xfId="0" applyFont="1" applyBorder="1" applyAlignment="1">
      <alignment horizontal="center" vertical="center"/>
    </xf>
    <xf numFmtId="165" fontId="1" fillId="0" borderId="0" xfId="0" applyNumberFormat="1" applyFont="1" applyFill="1" applyBorder="1"/>
    <xf numFmtId="0" fontId="2" fillId="0" borderId="18" xfId="0" applyFont="1" applyBorder="1" applyAlignment="1">
      <alignment horizontal="center" vertical="center"/>
    </xf>
    <xf numFmtId="165" fontId="1" fillId="0" borderId="15" xfId="0" applyNumberFormat="1" applyFont="1" applyFill="1" applyBorder="1"/>
    <xf numFmtId="165" fontId="1" fillId="0" borderId="17" xfId="0" applyNumberFormat="1" applyFont="1" applyFill="1" applyBorder="1"/>
    <xf numFmtId="44" fontId="1" fillId="0" borderId="23" xfId="2" applyFont="1" applyFill="1" applyBorder="1"/>
    <xf numFmtId="165" fontId="1" fillId="0" borderId="22" xfId="0" applyNumberFormat="1"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0" fontId="1" fillId="9" borderId="17" xfId="0" applyFont="1" applyFill="1" applyBorder="1"/>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165" fontId="2" fillId="0" borderId="0" xfId="0" applyNumberFormat="1" applyFont="1" applyFill="1" applyBorder="1" applyAlignment="1">
      <alignment horizontal="center"/>
    </xf>
    <xf numFmtId="3" fontId="8" fillId="0" borderId="12" xfId="5" applyNumberFormat="1" applyFont="1" applyBorder="1"/>
    <xf numFmtId="3" fontId="8" fillId="0" borderId="13" xfId="5" applyNumberFormat="1" applyFont="1" applyBorder="1"/>
    <xf numFmtId="3" fontId="8" fillId="0" borderId="9" xfId="5" applyNumberFormat="1" applyFont="1" applyBorder="1"/>
    <xf numFmtId="3" fontId="8" fillId="0" borderId="36" xfId="5" applyNumberFormat="1" applyFont="1" applyBorder="1"/>
    <xf numFmtId="3" fontId="8" fillId="16" borderId="12" xfId="5" applyNumberFormat="1" applyFont="1" applyFill="1" applyBorder="1"/>
    <xf numFmtId="3" fontId="8" fillId="16" borderId="6" xfId="5" applyNumberFormat="1" applyFont="1" applyFill="1" applyBorder="1"/>
    <xf numFmtId="3" fontId="8" fillId="0" borderId="37" xfId="5" applyNumberFormat="1" applyFont="1" applyBorder="1"/>
    <xf numFmtId="0" fontId="0" fillId="0" borderId="15" xfId="0" applyFont="1" applyBorder="1"/>
    <xf numFmtId="165" fontId="0" fillId="0" borderId="0" xfId="0" applyNumberFormat="1" applyFont="1" applyFill="1" applyBorder="1"/>
    <xf numFmtId="3" fontId="1" fillId="0" borderId="17" xfId="0" applyNumberFormat="1" applyFont="1" applyBorder="1"/>
    <xf numFmtId="0" fontId="0" fillId="0" borderId="0" xfId="0" applyFont="1" applyFill="1" applyBorder="1"/>
    <xf numFmtId="165" fontId="0" fillId="0" borderId="0" xfId="0" applyNumberFormat="1" applyFill="1"/>
    <xf numFmtId="165" fontId="4" fillId="0" borderId="4" xfId="5" applyNumberFormat="1" applyFont="1" applyBorder="1"/>
    <xf numFmtId="44" fontId="4" fillId="0" borderId="0" xfId="5" applyNumberFormat="1"/>
    <xf numFmtId="165" fontId="4" fillId="0" borderId="0" xfId="0" applyNumberFormat="1" applyFont="1"/>
    <xf numFmtId="44" fontId="0" fillId="0" borderId="0" xfId="0" applyNumberFormat="1"/>
    <xf numFmtId="10" fontId="0" fillId="0" borderId="4" xfId="3" applyNumberFormat="1" applyFont="1" applyBorder="1" applyAlignment="1">
      <alignment horizontal="center"/>
    </xf>
    <xf numFmtId="9" fontId="4" fillId="11" borderId="0" xfId="2" applyNumberFormat="1" applyFont="1" applyFill="1" applyBorder="1"/>
    <xf numFmtId="167" fontId="4" fillId="0" borderId="4" xfId="2" applyNumberFormat="1" applyFont="1" applyBorder="1" applyProtection="1">
      <protection locked="0"/>
    </xf>
    <xf numFmtId="167" fontId="0" fillId="0" borderId="4" xfId="2" applyNumberFormat="1" applyFont="1" applyBorder="1" applyProtection="1">
      <protection locked="0"/>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2 2" xfId="8" xr:uid="{A8155CDA-6B8A-4C17-BE65-E5EB055003A9}"/>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37"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usernames" Target="revisions/userNam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7</xdr:col>
      <xdr:colOff>76200</xdr:colOff>
      <xdr:row>48</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4F10136-169B-4187-8619-44FC23673CC1}" diskRevisions="1" revisionId="319" version="2">
  <header guid="{C00CA9B7-7B39-498A-83F8-6832882A1CBF}" dateTime="2022-06-28T10:03:51" maxSheetId="10" userName="Anita Flagg" r:id="rId1">
    <sheetIdMap count="9">
      <sheetId val="1"/>
      <sheetId val="2"/>
      <sheetId val="3"/>
      <sheetId val="4"/>
      <sheetId val="5"/>
      <sheetId val="6"/>
      <sheetId val="7"/>
      <sheetId val="8"/>
      <sheetId val="9"/>
    </sheetIdMap>
  </header>
  <header guid="{05B8027B-488B-4A3B-A622-8EBD37863F96}" dateTime="2022-06-28T10:49:58" maxSheetId="10" userName="Tracey Paul" r:id="rId2" minRId="1" maxRId="14">
    <sheetIdMap count="9">
      <sheetId val="1"/>
      <sheetId val="2"/>
      <sheetId val="3"/>
      <sheetId val="4"/>
      <sheetId val="5"/>
      <sheetId val="6"/>
      <sheetId val="7"/>
      <sheetId val="8"/>
      <sheetId val="9"/>
    </sheetIdMap>
  </header>
  <header guid="{E20F5FD9-351B-4E48-9C06-E27DD95F4BF1}" dateTime="2022-06-28T11:14:24" maxSheetId="10" userName="Anita Flagg" r:id="rId3" minRId="23" maxRId="36">
    <sheetIdMap count="9">
      <sheetId val="1"/>
      <sheetId val="2"/>
      <sheetId val="3"/>
      <sheetId val="4"/>
      <sheetId val="5"/>
      <sheetId val="6"/>
      <sheetId val="7"/>
      <sheetId val="8"/>
      <sheetId val="9"/>
    </sheetIdMap>
  </header>
  <header guid="{5EC538F3-3B1F-40FB-A809-F9401122E720}" dateTime="2022-06-28T11:21:42" maxSheetId="10" userName="Tracey Paul" r:id="rId4" minRId="45">
    <sheetIdMap count="9">
      <sheetId val="1"/>
      <sheetId val="2"/>
      <sheetId val="3"/>
      <sheetId val="4"/>
      <sheetId val="5"/>
      <sheetId val="6"/>
      <sheetId val="7"/>
      <sheetId val="8"/>
      <sheetId val="9"/>
    </sheetIdMap>
  </header>
  <header guid="{569CD13D-ACEC-4245-A08B-DE9C2B597A89}" dateTime="2022-06-28T11:22:12" maxSheetId="10" userName="Tracey Paul" r:id="rId5">
    <sheetIdMap count="9">
      <sheetId val="1"/>
      <sheetId val="2"/>
      <sheetId val="3"/>
      <sheetId val="4"/>
      <sheetId val="5"/>
      <sheetId val="6"/>
      <sheetId val="7"/>
      <sheetId val="8"/>
      <sheetId val="9"/>
    </sheetIdMap>
  </header>
  <header guid="{63337221-2142-4719-9418-4E72AD4C2A49}" dateTime="2022-06-28T13:33:43" maxSheetId="10" userName="Tracey Paul" r:id="rId6" minRId="54" maxRId="105">
    <sheetIdMap count="9">
      <sheetId val="1"/>
      <sheetId val="2"/>
      <sheetId val="3"/>
      <sheetId val="4"/>
      <sheetId val="5"/>
      <sheetId val="6"/>
      <sheetId val="7"/>
      <sheetId val="8"/>
      <sheetId val="9"/>
    </sheetIdMap>
  </header>
  <header guid="{23624688-4B5B-413A-B864-1A349D6BAE30}" dateTime="2022-06-28T13:40:48" maxSheetId="10" userName="Anita Flagg" r:id="rId7" minRId="106" maxRId="115">
    <sheetIdMap count="9">
      <sheetId val="1"/>
      <sheetId val="2"/>
      <sheetId val="3"/>
      <sheetId val="4"/>
      <sheetId val="5"/>
      <sheetId val="6"/>
      <sheetId val="7"/>
      <sheetId val="8"/>
      <sheetId val="9"/>
    </sheetIdMap>
  </header>
  <header guid="{F0DB9F33-EF13-4848-B3A8-63FA15F940B8}" dateTime="2022-06-28T14:01:02" maxSheetId="10" userName="Anita Flagg" r:id="rId8" minRId="116" maxRId="144">
    <sheetIdMap count="9">
      <sheetId val="1"/>
      <sheetId val="2"/>
      <sheetId val="3"/>
      <sheetId val="4"/>
      <sheetId val="5"/>
      <sheetId val="6"/>
      <sheetId val="7"/>
      <sheetId val="8"/>
      <sheetId val="9"/>
    </sheetIdMap>
  </header>
  <header guid="{402A6745-8C15-4BF1-8226-E1FE14DB98F6}" dateTime="2022-06-28T14:12:28" maxSheetId="10" userName="Anita Flagg" r:id="rId9" minRId="145" maxRId="152">
    <sheetIdMap count="9">
      <sheetId val="1"/>
      <sheetId val="2"/>
      <sheetId val="3"/>
      <sheetId val="4"/>
      <sheetId val="5"/>
      <sheetId val="6"/>
      <sheetId val="7"/>
      <sheetId val="8"/>
      <sheetId val="9"/>
    </sheetIdMap>
  </header>
  <header guid="{FD245DCA-94E2-4C88-9F3D-A131C3DC4A6E}" dateTime="2022-06-28T15:23:13" maxSheetId="10" userName="Anita Flagg" r:id="rId10" minRId="153" maxRId="237">
    <sheetIdMap count="9">
      <sheetId val="1"/>
      <sheetId val="2"/>
      <sheetId val="3"/>
      <sheetId val="4"/>
      <sheetId val="5"/>
      <sheetId val="6"/>
      <sheetId val="7"/>
      <sheetId val="8"/>
      <sheetId val="9"/>
    </sheetIdMap>
  </header>
  <header guid="{90E2CAA6-CAD5-4447-AF4C-DF02DA4B7B80}" dateTime="2022-06-28T15:26:52" maxSheetId="10" userName="Tracey Paul" r:id="rId11">
    <sheetIdMap count="9">
      <sheetId val="1"/>
      <sheetId val="2"/>
      <sheetId val="3"/>
      <sheetId val="4"/>
      <sheetId val="5"/>
      <sheetId val="6"/>
      <sheetId val="7"/>
      <sheetId val="8"/>
      <sheetId val="9"/>
    </sheetIdMap>
  </header>
  <header guid="{7CC1CA9E-2CD0-47D4-B989-1E14691DDFB1}" dateTime="2022-06-28T15:37:05" maxSheetId="10" userName="Tracey Paul" r:id="rId12">
    <sheetIdMap count="9">
      <sheetId val="1"/>
      <sheetId val="2"/>
      <sheetId val="3"/>
      <sheetId val="4"/>
      <sheetId val="5"/>
      <sheetId val="6"/>
      <sheetId val="7"/>
      <sheetId val="8"/>
      <sheetId val="9"/>
    </sheetIdMap>
  </header>
  <header guid="{8A33A612-A1B3-4EB5-B1C0-173D3CF3BA05}" dateTime="2022-06-28T15:39:12" maxSheetId="10" userName="Anita Flagg" r:id="rId13" minRId="254" maxRId="266">
    <sheetIdMap count="9">
      <sheetId val="1"/>
      <sheetId val="2"/>
      <sheetId val="3"/>
      <sheetId val="4"/>
      <sheetId val="5"/>
      <sheetId val="6"/>
      <sheetId val="7"/>
      <sheetId val="8"/>
      <sheetId val="9"/>
    </sheetIdMap>
  </header>
  <header guid="{2E1C1ED6-7D24-44D2-9381-000A0702D760}" dateTime="2022-06-28T15:56:04" maxSheetId="10" userName="Tracey Paul" r:id="rId14">
    <sheetIdMap count="9">
      <sheetId val="1"/>
      <sheetId val="2"/>
      <sheetId val="3"/>
      <sheetId val="4"/>
      <sheetId val="5"/>
      <sheetId val="6"/>
      <sheetId val="7"/>
      <sheetId val="8"/>
      <sheetId val="9"/>
    </sheetIdMap>
  </header>
  <header guid="{66281862-4E30-46DC-B871-DEEDF38765B6}" dateTime="2022-06-29T12:22:47" maxSheetId="10" userName="Tracey Paul" r:id="rId15" minRId="275">
    <sheetIdMap count="9">
      <sheetId val="1"/>
      <sheetId val="2"/>
      <sheetId val="3"/>
      <sheetId val="4"/>
      <sheetId val="5"/>
      <sheetId val="6"/>
      <sheetId val="7"/>
      <sheetId val="8"/>
      <sheetId val="9"/>
    </sheetIdMap>
  </header>
  <header guid="{86FBEC2A-A061-4174-BCE9-9FA28B33D5F5}" dateTime="2022-06-30T07:39:07" maxSheetId="10" userName="Tracey Paul" r:id="rId16" minRId="284" maxRId="286">
    <sheetIdMap count="9">
      <sheetId val="1"/>
      <sheetId val="2"/>
      <sheetId val="3"/>
      <sheetId val="4"/>
      <sheetId val="5"/>
      <sheetId val="6"/>
      <sheetId val="7"/>
      <sheetId val="8"/>
      <sheetId val="9"/>
    </sheetIdMap>
  </header>
  <header guid="{636AA1BA-17BE-45BC-A3E1-FDB56A69AD4C}" dateTime="2022-06-30T08:11:20" maxSheetId="10" userName="Tracey Paul" r:id="rId17" minRId="295" maxRId="302">
    <sheetIdMap count="9">
      <sheetId val="1"/>
      <sheetId val="2"/>
      <sheetId val="3"/>
      <sheetId val="4"/>
      <sheetId val="5"/>
      <sheetId val="6"/>
      <sheetId val="7"/>
      <sheetId val="8"/>
      <sheetId val="9"/>
    </sheetIdMap>
  </header>
  <header guid="{F4F10136-169B-4187-8619-44FC23673CC1}" dateTime="2022-06-30T11:40:48" maxSheetId="10" userName="Anita Flagg" r:id="rId18" minRId="311">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 sId="4" numFmtId="11">
    <oc r="D9">
      <v>510777</v>
    </oc>
    <nc r="D9"/>
  </rcc>
  <rcc rId="154" sId="4" numFmtId="34">
    <oc r="D10">
      <v>3889914</v>
    </oc>
    <nc r="D10"/>
  </rcc>
  <rcc rId="155" sId="4">
    <oc r="D11">
      <f>3286842-193038</f>
    </oc>
    <nc r="D11"/>
  </rcc>
  <rcc rId="156" sId="4" numFmtId="11">
    <oc r="D12">
      <v>-50943</v>
    </oc>
    <nc r="D12"/>
  </rcc>
  <rcc rId="157" sId="3" numFmtId="34">
    <oc r="E11">
      <v>0</v>
    </oc>
    <nc r="E11">
      <v>5107293</v>
    </nc>
  </rcc>
  <rcc rId="158" sId="3" numFmtId="34">
    <oc r="E12">
      <v>0</v>
    </oc>
    <nc r="E12">
      <v>22316442</v>
    </nc>
  </rcc>
  <rcc rId="159" sId="3" numFmtId="13">
    <oc r="F11">
      <v>0</v>
    </oc>
    <nc r="F11">
      <v>0.14000000000000001</v>
    </nc>
  </rcc>
  <rcc rId="160" sId="3" numFmtId="13">
    <oc r="F12">
      <v>0</v>
    </oc>
    <nc r="F12">
      <v>0.14000000000000001</v>
    </nc>
  </rcc>
  <rcc rId="161" sId="3" numFmtId="13">
    <oc r="F15">
      <v>0</v>
    </oc>
    <nc r="F15">
      <v>0.1245</v>
    </nc>
  </rcc>
  <rcc rId="162" sId="3" numFmtId="13">
    <oc r="D11">
      <v>0</v>
    </oc>
    <nc r="D11">
      <v>3.7699999999999997E-2</v>
    </nc>
  </rcc>
  <rcc rId="163" sId="3" numFmtId="13">
    <oc r="D12">
      <v>0</v>
    </oc>
    <nc r="D12">
      <v>3.7699999999999997E-2</v>
    </nc>
  </rcc>
  <rcc rId="164" sId="3" numFmtId="13">
    <oc r="D15">
      <v>0</v>
    </oc>
    <nc r="D15">
      <v>3.3000000000000002E-2</v>
    </nc>
  </rcc>
  <rcc rId="165" sId="3" numFmtId="34">
    <oc r="C11">
      <v>0</v>
    </oc>
    <nc r="C11">
      <v>1265802</v>
    </nc>
  </rcc>
  <rcc rId="166" sId="3" numFmtId="34">
    <oc r="C12">
      <v>0</v>
    </oc>
    <nc r="C12">
      <f>6796753-1265802</f>
    </nc>
  </rcc>
  <rcc rId="167" sId="3">
    <nc r="M45">
      <v>75938061</v>
    </nc>
  </rcc>
  <rcc rId="168" sId="3" numFmtId="34">
    <oc r="C42">
      <v>0</v>
    </oc>
    <nc r="C42">
      <v>152625333</v>
    </nc>
  </rcc>
  <rcc rId="169" sId="3" numFmtId="34">
    <oc r="C43">
      <v>0</v>
    </oc>
    <nc r="C43">
      <v>25671026</v>
    </nc>
  </rcc>
  <rcc rId="170" sId="3" numFmtId="34">
    <oc r="E43">
      <v>0</v>
    </oc>
    <nc r="E43">
      <v>24312791</v>
    </nc>
  </rcc>
  <rcc rId="171" sId="3" numFmtId="34">
    <oc r="C41">
      <v>0</v>
    </oc>
    <nc r="C41">
      <f>33428982+1027716</f>
    </nc>
  </rcc>
  <rcc rId="172" sId="3" numFmtId="34">
    <oc r="H43">
      <v>0</v>
    </oc>
    <nc r="H43">
      <v>113429</v>
    </nc>
  </rcc>
  <rcc rId="173" sId="3" numFmtId="34">
    <oc r="I43">
      <v>0</v>
    </oc>
    <nc r="I43">
      <v>6694885</v>
    </nc>
  </rcc>
  <rcc rId="174" sId="3" numFmtId="34">
    <oc r="J43">
      <v>0</v>
    </oc>
    <nc r="J43">
      <v>9644354</v>
    </nc>
  </rcc>
  <rcc rId="175" sId="3" odxf="1" dxf="1" numFmtId="14">
    <oc r="D45">
      <v>0</v>
    </oc>
    <nc r="D45">
      <f>(E45/C45)-1</f>
    </nc>
    <ndxf>
      <font>
        <color auto="1"/>
      </font>
      <fill>
        <patternFill patternType="none">
          <bgColor indexed="65"/>
        </patternFill>
      </fill>
    </ndxf>
  </rcc>
  <rfmt sheetId="3" sqref="D45">
    <dxf>
      <fill>
        <patternFill patternType="solid">
          <bgColor theme="9" tint="0.79998168889431442"/>
        </patternFill>
      </fill>
    </dxf>
  </rfmt>
  <rfmt sheetId="3" s="1" sqref="D59" start="0" length="0">
    <dxf>
      <numFmt numFmtId="164" formatCode="0.0%"/>
    </dxf>
  </rfmt>
  <rcc rId="176" sId="3" numFmtId="34">
    <oc r="F52">
      <v>0</v>
    </oc>
    <nc r="F52">
      <f>-3012464+F41</f>
    </nc>
  </rcc>
  <rcc rId="177" sId="3" numFmtId="34">
    <oc r="F53">
      <v>0</v>
    </oc>
    <nc r="F53">
      <f>-18221301+F42</f>
    </nc>
  </rcc>
  <rcc rId="178" sId="3" numFmtId="34">
    <oc r="H52">
      <v>0</v>
    </oc>
    <nc r="H52">
      <f>-62387+H41</f>
    </nc>
  </rcc>
  <rcc rId="179" sId="3" numFmtId="34">
    <oc r="H53">
      <v>0</v>
    </oc>
    <nc r="H53">
      <f>-214005+H42</f>
    </nc>
  </rcc>
  <rcc rId="180" sId="3" numFmtId="34">
    <oc r="H54">
      <v>0</v>
    </oc>
    <nc r="H54">
      <f>-34792+H43</f>
    </nc>
  </rcc>
  <rcc rId="181" sId="3" numFmtId="34">
    <oc r="I52">
      <v>0</v>
    </oc>
    <nc r="I52">
      <f>-7808147+I41</f>
    </nc>
  </rcc>
  <rcc rId="182" sId="3" numFmtId="34">
    <oc r="I53">
      <v>0</v>
    </oc>
    <nc r="I53">
      <f>-39612098+I42</f>
    </nc>
  </rcc>
  <rcc rId="183" sId="3" numFmtId="34">
    <oc r="I54">
      <v>0</v>
    </oc>
    <nc r="I54">
      <f>-5309811+I43</f>
    </nc>
  </rcc>
  <rcc rId="184" sId="3" numFmtId="34">
    <oc r="J52">
      <v>0</v>
    </oc>
    <nc r="J52">
      <f>-16697362+J41</f>
    </nc>
  </rcc>
  <rcc rId="185" sId="3" numFmtId="34">
    <oc r="J53">
      <v>0</v>
    </oc>
    <nc r="J53">
      <f>-57781209+J42</f>
    </nc>
  </rcc>
  <rcc rId="186" sId="3" numFmtId="34">
    <oc r="J54">
      <v>0</v>
    </oc>
    <nc r="J54">
      <f>-3915620+J43</f>
    </nc>
  </rcc>
  <rcc rId="187" sId="3" numFmtId="34">
    <oc r="E42">
      <v>0</v>
    </oc>
    <nc r="E42">
      <v>181719598</v>
    </nc>
  </rcc>
  <rcc rId="188" sId="3" numFmtId="34">
    <oc r="E41">
      <v>0</v>
    </oc>
    <nc r="E41">
      <f>38803159+2784793</f>
    </nc>
  </rcc>
  <rcc rId="189" sId="3" numFmtId="34">
    <oc r="F41">
      <v>0</v>
    </oc>
    <nc r="F41">
      <v>9091932</v>
    </nc>
  </rcc>
  <rcc rId="190" sId="3" numFmtId="34">
    <oc r="F42">
      <v>0</v>
    </oc>
    <nc r="F42">
      <f>56399828+2067001</f>
    </nc>
  </rcc>
  <rcc rId="191" sId="3" numFmtId="34">
    <oc r="F43">
      <v>0</v>
    </oc>
    <nc r="F43">
      <f>7728442+131681</f>
    </nc>
  </rcc>
  <rcc rId="192" sId="3" numFmtId="34">
    <oc r="H41">
      <v>0</v>
    </oc>
    <nc r="H41">
      <v>30469</v>
    </nc>
  </rcc>
  <rcc rId="193" sId="3" numFmtId="34">
    <oc r="H42">
      <v>0</v>
    </oc>
    <nc r="H42">
      <v>1345019</v>
    </nc>
  </rcc>
  <rcc rId="194" sId="3" numFmtId="34">
    <oc r="I41">
      <v>0</v>
    </oc>
    <nc r="I41">
      <v>6222309</v>
    </nc>
  </rcc>
  <rcc rId="195" sId="3" numFmtId="34">
    <oc r="I42">
      <v>0</v>
    </oc>
    <nc r="I42">
      <v>45462036</v>
    </nc>
  </rcc>
  <rcc rId="196" sId="3" numFmtId="34">
    <oc r="J42">
      <v>0</v>
    </oc>
    <nc r="J42">
      <v>76445715</v>
    </nc>
  </rcc>
  <rcc rId="197" sId="3" numFmtId="34">
    <oc r="J41">
      <v>0</v>
    </oc>
    <nc r="J41">
      <f>23458450+2784793</f>
    </nc>
  </rcc>
  <rcc rId="198" sId="3">
    <oc r="B55" t="inlineStr">
      <is>
        <t>Other (specify)</t>
      </is>
    </oc>
    <nc r="B55" t="inlineStr">
      <is>
        <t>DSH Revenue</t>
      </is>
    </nc>
  </rcc>
  <rcc rId="199" sId="3" numFmtId="34">
    <oc r="H55">
      <v>0</v>
    </oc>
    <nc r="H55">
      <v>622654</v>
    </nc>
  </rcc>
  <rcc rId="200" sId="3">
    <nc r="B56" t="inlineStr">
      <is>
        <t>Other Reform</t>
      </is>
    </nc>
  </rcc>
  <rcc rId="201" sId="3" numFmtId="34">
    <nc r="I56">
      <v>929683</v>
    </nc>
  </rcc>
  <rcc rId="202" sId="3" odxf="1" s="1" dxf="1" numFmtId="34">
    <nc r="C56">
      <v>627087</v>
    </nc>
    <ndxf>
      <font>
        <b val="0"/>
        <sz val="11"/>
        <color theme="1"/>
        <name val="Calibri"/>
        <family val="2"/>
        <scheme val="none"/>
      </font>
      <numFmt numFmtId="165" formatCode="_(&quot;$&quot;* #,##0_);_(&quot;$&quot;* \(#,##0\);_(&quot;$&quot;* &quot;-&quot;??_);_(@_)"/>
    </ndxf>
  </rcc>
  <rcc rId="203" sId="3" numFmtId="34">
    <oc r="C55">
      <v>0</v>
    </oc>
    <nc r="C55">
      <v>686640</v>
    </nc>
  </rcc>
  <rcc rId="204" sId="3">
    <nc r="B57" t="inlineStr">
      <is>
        <t>Fixed Prospective Payments</t>
      </is>
    </nc>
  </rcc>
  <rcc rId="205" sId="3">
    <nc r="I57">
      <f>5958847+4423742</f>
    </nc>
  </rcc>
  <rcc rId="206" sId="3" odxf="1" dxf="1">
    <nc r="M59">
      <f>+E59-98854190</f>
    </nc>
    <odxf>
      <numFmt numFmtId="0" formatCode="General"/>
    </odxf>
    <ndxf>
      <numFmt numFmtId="34" formatCode="_(&quot;$&quot;* #,##0.00_);_(&quot;$&quot;* \(#,##0.00\);_(&quot;$&quot;* &quot;-&quot;??_);_(@_)"/>
    </ndxf>
  </rcc>
  <rcc rId="207" sId="3">
    <oc r="F54">
      <v>0</v>
    </oc>
    <nc r="F54">
      <f>-3661496+F43</f>
    </nc>
  </rcc>
  <rcc rId="208" sId="3">
    <oc r="E52">
      <v>0</v>
    </oc>
    <nc r="E52">
      <f>SUM(F52:J52)</f>
    </nc>
  </rcc>
  <rcc rId="209" sId="3">
    <oc r="E53">
      <v>0</v>
    </oc>
    <nc r="E53">
      <f>SUM(F53:J53)</f>
    </nc>
  </rcc>
  <rcc rId="210" sId="3">
    <oc r="E54">
      <v>0</v>
    </oc>
    <nc r="E54">
      <f>SUM(F54:J54)</f>
    </nc>
  </rcc>
  <rcc rId="211" sId="3" numFmtId="34">
    <oc r="E55">
      <v>0</v>
    </oc>
    <nc r="E55">
      <f>SUM(F55:J55)</f>
    </nc>
  </rcc>
  <rcc rId="212" sId="3" numFmtId="34">
    <nc r="E56">
      <f>SUM(F56:J56)</f>
    </nc>
  </rcc>
  <rcc rId="213" sId="3" numFmtId="34">
    <nc r="E57">
      <f>SUM(F57:J57)</f>
    </nc>
  </rcc>
  <rcc rId="214" sId="3">
    <oc r="E59">
      <f>SUM(E52:E58)</f>
    </oc>
    <nc r="E59">
      <f>SUM(E52:E58)</f>
    </nc>
  </rcc>
  <rcc rId="215" sId="3">
    <nc r="B58" t="inlineStr">
      <is>
        <t>Bad Debt/Free Care</t>
      </is>
    </nc>
  </rcc>
  <rcc rId="216" sId="3">
    <nc r="F58">
      <f>-2075056-2295328</f>
    </nc>
  </rcc>
  <rcc rId="217" sId="3">
    <nc r="E58">
      <f>SUM(F58:J58)</f>
    </nc>
  </rcc>
  <rfmt sheetId="3" s="1" sqref="C57" start="0" length="0">
    <dxf>
      <font>
        <b val="0"/>
        <sz val="11"/>
        <color theme="1"/>
        <name val="Calibri"/>
        <family val="2"/>
        <scheme val="none"/>
      </font>
      <numFmt numFmtId="165" formatCode="_(&quot;$&quot;* #,##0_);_(&quot;$&quot;* \(#,##0\);_(&quot;$&quot;* &quot;-&quot;??_);_(@_)"/>
    </dxf>
  </rfmt>
  <rcc rId="218" sId="3" odxf="1" s="1" dxf="1">
    <nc r="C58">
      <f>-2063705-2064534</f>
    </nc>
    <ndxf>
      <font>
        <b val="0"/>
        <sz val="11"/>
        <color theme="1"/>
        <name val="Calibri"/>
        <family val="2"/>
        <scheme val="none"/>
      </font>
      <numFmt numFmtId="165" formatCode="_(&quot;$&quot;* #,##0_);_(&quot;$&quot;* \(#,##0\);_(&quot;$&quot;* &quot;-&quot;??_);_(@_)"/>
    </ndxf>
  </rcc>
  <rcc rId="219" sId="3" numFmtId="34">
    <nc r="C57">
      <v>10637884</v>
    </nc>
  </rcc>
  <rfmt sheetId="3" s="1" sqref="D56" start="0" length="0">
    <dxf>
      <font>
        <b val="0"/>
        <sz val="11"/>
        <color theme="1"/>
        <name val="Calibri"/>
        <family val="2"/>
        <scheme val="none"/>
      </font>
      <numFmt numFmtId="165" formatCode="_(&quot;$&quot;* #,##0_);_(&quot;$&quot;* \(#,##0\);_(&quot;$&quot;* &quot;-&quot;??_);_(@_)"/>
    </dxf>
  </rfmt>
  <rfmt sheetId="3" s="1" sqref="D57" start="0" length="0">
    <dxf>
      <font>
        <b val="0"/>
        <sz val="11"/>
        <color theme="1"/>
        <name val="Calibri"/>
        <family val="2"/>
        <scheme val="none"/>
      </font>
      <numFmt numFmtId="165" formatCode="_(&quot;$&quot;* #,##0_);_(&quot;$&quot;* \(#,##0\);_(&quot;$&quot;* &quot;-&quot;??_);_(@_)"/>
    </dxf>
  </rfmt>
  <rfmt sheetId="3" s="1" sqref="D58" start="0" length="0">
    <dxf>
      <font>
        <b val="0"/>
        <sz val="11"/>
        <color theme="1"/>
        <name val="Calibri"/>
        <family val="2"/>
        <scheme val="none"/>
      </font>
      <numFmt numFmtId="165" formatCode="_(&quot;$&quot;* #,##0_);_(&quot;$&quot;* \(#,##0\);_(&quot;$&quot;* &quot;-&quot;??_);_(@_)"/>
    </dxf>
  </rfmt>
  <rcc rId="220" sId="3" numFmtId="34">
    <oc r="D52">
      <v>0</v>
    </oc>
    <nc r="D52">
      <f>+E52-C52</f>
    </nc>
  </rcc>
  <rcc rId="221" sId="3" numFmtId="34">
    <oc r="D53">
      <v>0</v>
    </oc>
    <nc r="D53">
      <f>+E53-C53</f>
    </nc>
  </rcc>
  <rcc rId="222" sId="3" numFmtId="34">
    <oc r="D54">
      <v>0</v>
    </oc>
    <nc r="D54">
      <f>+E54-C54</f>
    </nc>
  </rcc>
  <rcc rId="223" sId="3" numFmtId="34">
    <oc r="D55">
      <v>0</v>
    </oc>
    <nc r="D55">
      <f>+E55-C55</f>
    </nc>
  </rcc>
  <rcc rId="224" sId="3" numFmtId="34">
    <nc r="D56">
      <f>+E56-C56</f>
    </nc>
  </rcc>
  <rcc rId="225" sId="3" numFmtId="34">
    <nc r="D57">
      <f>+E57-C57</f>
    </nc>
  </rcc>
  <rcc rId="226" sId="3" numFmtId="34">
    <nc r="D58">
      <f>+E58-C58</f>
    </nc>
  </rcc>
  <rcc rId="227" sId="3" odxf="1" s="1" dxf="1">
    <oc r="D59">
      <f>SUM(D52:D58)</f>
    </oc>
    <nc r="D59">
      <f>SUM(D52:D58)</f>
    </nc>
    <ndxf>
      <numFmt numFmtId="34" formatCode="_(&quot;$&quot;* #,##0.00_);_(&quot;$&quot;* \(#,##0.00\);_(&quot;$&quot;* &quot;-&quot;??_);_(@_)"/>
    </ndxf>
  </rcc>
  <rcc rId="228" sId="3" numFmtId="34">
    <oc r="C52">
      <v>0</v>
    </oc>
    <nc r="C52">
      <f>-22502422+C41</f>
    </nc>
  </rcc>
  <rcc rId="229" sId="3" numFmtId="34">
    <oc r="C53">
      <v>0</v>
    </oc>
    <nc r="C53">
      <f>-95903121+C42</f>
    </nc>
  </rcc>
  <rcc rId="230" sId="3" numFmtId="34">
    <oc r="C54">
      <v>0</v>
    </oc>
    <nc r="C54">
      <f>-14281212+C43</f>
    </nc>
  </rcc>
  <rcc rId="231" sId="3" numFmtId="34">
    <oc r="C65">
      <v>0</v>
    </oc>
    <nc r="C65">
      <v>6418832</v>
    </nc>
  </rcc>
  <rcc rId="232" sId="3" numFmtId="34">
    <oc r="C66">
      <v>0</v>
    </oc>
    <nc r="C66">
      <v>4219052</v>
    </nc>
  </rcc>
  <rcc rId="233" sId="3" numFmtId="34">
    <oc r="G65">
      <v>0</v>
    </oc>
    <nc r="G65">
      <v>5958847</v>
    </nc>
  </rcc>
  <rcc rId="234" sId="3" numFmtId="34">
    <oc r="G66">
      <v>0</v>
    </oc>
    <nc r="G66">
      <v>4423742</v>
    </nc>
  </rcc>
  <rcc rId="235" sId="3" numFmtId="34">
    <oc r="D65">
      <v>0</v>
    </oc>
    <nc r="D65">
      <f>+E65-C65</f>
    </nc>
  </rcc>
  <rcc rId="236" sId="3" numFmtId="34">
    <oc r="D66">
      <v>0</v>
    </oc>
    <nc r="D66">
      <f>+E66-C66</f>
    </nc>
  </rcc>
  <rrc rId="237" sId="3" ref="A57:XFD57" action="deleteRow">
    <rfmt sheetId="3" xfDxf="1" s="1" sqref="A57:XFD57" start="0" length="0">
      <dxf>
        <font>
          <b val="0"/>
          <i val="0"/>
          <strike val="0"/>
          <condense val="0"/>
          <extend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3" dxf="1">
      <nc r="B57" t="inlineStr">
        <is>
          <t>Fixed Prospective Payments</t>
        </is>
      </nc>
      <ndxf>
        <font>
          <b/>
          <sz val="11"/>
          <color theme="1"/>
          <name val="Calibri"/>
          <family val="2"/>
          <scheme val="none"/>
        </font>
        <border outline="0">
          <left style="thin">
            <color indexed="64"/>
          </left>
          <right style="thin">
            <color indexed="64"/>
          </right>
          <top style="thin">
            <color indexed="64"/>
          </top>
          <bottom style="thin">
            <color indexed="64"/>
          </bottom>
        </border>
      </ndxf>
    </rcc>
    <rcc rId="0" sId="3" s="1" dxf="1" numFmtId="34">
      <nc r="C57">
        <v>10637884</v>
      </nc>
      <ndxf>
        <numFmt numFmtId="165" formatCode="_(&quot;$&quot;* #,##0_);_(&quot;$&quot;* \(#,##0\);_(&quot;$&quot;* &quot;-&quot;??_);_(@_)"/>
        <border outline="0">
          <left style="thin">
            <color indexed="64"/>
          </left>
          <right style="thin">
            <color indexed="64"/>
          </right>
          <top style="thin">
            <color indexed="64"/>
          </top>
          <bottom style="thin">
            <color indexed="64"/>
          </bottom>
        </border>
      </ndxf>
    </rcc>
    <rcc rId="0" sId="3" s="1" dxf="1">
      <nc r="D57">
        <f>+E57-C57</f>
      </nc>
      <ndxf>
        <numFmt numFmtId="165" formatCode="_(&quot;$&quot;* #,##0_);_(&quot;$&quot;* \(#,##0\);_(&quot;$&quot;* &quot;-&quot;??_);_(@_)"/>
        <border outline="0">
          <left style="thin">
            <color indexed="64"/>
          </left>
          <right style="thin">
            <color indexed="64"/>
          </right>
          <top style="thin">
            <color indexed="64"/>
          </top>
          <bottom style="thin">
            <color indexed="64"/>
          </bottom>
        </border>
      </ndxf>
    </rcc>
    <rcc rId="0" sId="3" s="1" dxf="1">
      <nc r="E57">
        <f>SUM(F57:J57)</f>
      </nc>
      <ndxf>
        <numFmt numFmtId="34" formatCode="_(&quot;$&quot;* #,##0.00_);_(&quot;$&quot;* \(#,##0.00\);_(&quot;$&quot;* &quot;-&quot;??_);_(@_)"/>
        <border outline="0">
          <left style="thin">
            <color indexed="64"/>
          </left>
          <right style="thin">
            <color indexed="64"/>
          </right>
          <top style="thin">
            <color indexed="64"/>
          </top>
          <bottom style="thin">
            <color indexed="64"/>
          </bottom>
        </border>
      </ndxf>
    </rcc>
    <rfmt sheetId="3" s="1" sqref="F57" start="0" length="0">
      <dxf>
        <numFmt numFmtId="34" formatCode="_(&quot;$&quot;* #,##0.00_);_(&quot;$&quot;* \(#,##0.00\);_(&quot;$&quot;* &quot;-&quot;??_);_(@_)"/>
        <border outline="0">
          <left style="thin">
            <color indexed="64"/>
          </left>
          <right style="thin">
            <color indexed="64"/>
          </right>
          <top style="thin">
            <color indexed="64"/>
          </top>
          <bottom style="thin">
            <color indexed="64"/>
          </bottom>
        </border>
      </dxf>
    </rfmt>
    <rfmt sheetId="3" s="1" sqref="G57" start="0" length="0">
      <dxf>
        <numFmt numFmtId="34" formatCode="_(&quot;$&quot;* #,##0.00_);_(&quot;$&quot;* \(#,##0.00\);_(&quot;$&quot;* &quot;-&quot;??_);_(@_)"/>
        <border outline="0">
          <left style="thin">
            <color indexed="64"/>
          </left>
          <right style="thin">
            <color indexed="64"/>
          </right>
          <top style="thin">
            <color indexed="64"/>
          </top>
          <bottom style="thin">
            <color indexed="64"/>
          </bottom>
        </border>
      </dxf>
    </rfmt>
    <rfmt sheetId="3" s="1" sqref="H57" start="0" length="0">
      <dxf>
        <numFmt numFmtId="34" formatCode="_(&quot;$&quot;* #,##0.00_);_(&quot;$&quot;* \(#,##0.00\);_(&quot;$&quot;* &quot;-&quot;??_);_(@_)"/>
        <border outline="0">
          <left style="thin">
            <color indexed="64"/>
          </left>
          <right style="thin">
            <color indexed="64"/>
          </right>
          <top style="thin">
            <color indexed="64"/>
          </top>
          <bottom style="thin">
            <color indexed="64"/>
          </bottom>
        </border>
      </dxf>
    </rfmt>
    <rcc rId="0" sId="3" s="1" dxf="1">
      <nc r="I57">
        <f>5958847+4423742</f>
      </nc>
      <ndxf>
        <numFmt numFmtId="34" formatCode="_(&quot;$&quot;* #,##0.00_);_(&quot;$&quot;* \(#,##0.00\);_(&quot;$&quot;* &quot;-&quot;??_);_(@_)"/>
        <border outline="0">
          <left style="thin">
            <color indexed="64"/>
          </left>
          <right style="thin">
            <color indexed="64"/>
          </right>
          <top style="thin">
            <color indexed="64"/>
          </top>
          <bottom style="thin">
            <color indexed="64"/>
          </bottom>
        </border>
      </ndxf>
    </rcc>
    <rfmt sheetId="3" s="1" sqref="J57" start="0" length="0">
      <dxf>
        <numFmt numFmtId="34" formatCode="_(&quot;$&quot;* #,##0.00_);_(&quot;$&quot;* \(#,##0.00\);_(&quot;$&quot;* &quot;-&quot;??_);_(@_)"/>
        <border outline="0">
          <left style="thin">
            <color indexed="64"/>
          </left>
          <right style="thin">
            <color indexed="64"/>
          </right>
          <top style="thin">
            <color indexed="64"/>
          </top>
          <bottom style="thin">
            <color indexed="64"/>
          </bottom>
        </border>
      </dxf>
    </rfmt>
  </rr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39">
    <dxf>
      <numFmt numFmtId="14" formatCode="0.00%"/>
    </dxf>
  </rfmt>
  <rfmt sheetId="2" sqref="D39" start="0" length="0">
    <dxf>
      <numFmt numFmtId="164" formatCode="0.0%"/>
    </dxf>
  </rfmt>
  <rcv guid="{66DB97CC-E9CD-4D25-A10F-98CC991DB916}" action="delete"/>
  <rdn rId="0" localSheetId="1" customView="1" name="Z_66DB97CC_E9CD_4D25_A10F_98CC991DB916_.wvu.PrintArea" hidden="1" oldHidden="1">
    <formula>Overview!$A$1:$B$11</formula>
    <oldFormula>Overview!$A$1:$B$11</oldFormula>
  </rdn>
  <rdn rId="0" localSheetId="2" customView="1" name="Z_66DB97CC_E9CD_4D25_A10F_98CC991DB916_.wvu.PrintArea" hidden="1" oldHidden="1">
    <formula>'1. Reconciliation'!$B$6:$O$98</formula>
    <oldFormula>'1. Reconciliation'!$B$6:$O$98</oldFormula>
  </rdn>
  <rdn rId="0" localSheetId="2" customView="1" name="Z_66DB97CC_E9CD_4D25_A10F_98CC991DB916_.wvu.PrintTitles" hidden="1" oldHidden="1">
    <formula>'1. Reconciliation'!$2:$4</formula>
    <oldFormula>'1. Reconciliation'!$2:$4</oldFormula>
  </rdn>
  <rdn rId="0" localSheetId="3" customView="1" name="Z_66DB97CC_E9CD_4D25_A10F_98CC991DB916_.wvu.PrintArea" hidden="1" oldHidden="1">
    <formula>'2. Charge and NPR Detail'!$A$2:$H$68</formula>
    <oldFormula>'2. Charge and NPR Detail'!$A$2:$H$68</oldFormula>
  </rdn>
  <rdn rId="0" localSheetId="3" customView="1" name="Z_66DB97CC_E9CD_4D25_A10F_98CC991DB916_.wvu.Rows" hidden="1" oldHidden="1">
    <formula>'2. Charge and NPR Detail'!$17:$35</formula>
    <oldFormula>'2. Charge and NPR Detail'!$17:$35</oldFormula>
  </rdn>
  <rdn rId="0" localSheetId="4" customView="1" name="Z_66DB97CC_E9CD_4D25_A10F_98CC991DB916_.wvu.PrintArea" hidden="1" oldHidden="1">
    <formula>'3. Utilization'!$B$1:$D$16</formula>
    <oldFormula>'3. Utilization'!$B$1:$D$16</oldFormula>
  </rdn>
  <rdn rId="0" localSheetId="5" customView="1" name="Z_66DB97CC_E9CD_4D25_A10F_98CC991DB916_.wvu.PrintArea" hidden="1" oldHidden="1">
    <formula>'4. Inflation'!$B$1:$D$21</formula>
    <oldFormula>'4. Inflation'!$B$1:$D$21</oldFormula>
  </rdn>
  <rdn rId="0" localSheetId="6" customView="1" name="Z_66DB97CC_E9CD_4D25_A10F_98CC991DB916_.wvu.PrintArea" hidden="1" oldHidden="1">
    <formula>'5. Value Based Care Participati'!$B$2:$F$17</formula>
    <oldFormula>'5. Value Based Care Participati'!$B$2:$F$17</oldFormula>
  </rdn>
  <rcv guid="{66DB97CC-E9CD-4D25-A10F-98CC991DB916}"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45">
    <dxf>
      <numFmt numFmtId="14" formatCode="0.00%"/>
    </dxf>
  </rfmt>
  <rcv guid="{66DB97CC-E9CD-4D25-A10F-98CC991DB916}" action="delete"/>
  <rdn rId="0" localSheetId="1" customView="1" name="Z_66DB97CC_E9CD_4D25_A10F_98CC991DB916_.wvu.PrintArea" hidden="1" oldHidden="1">
    <formula>Overview!$A$1:$B$11</formula>
    <oldFormula>Overview!$A$1:$B$11</oldFormula>
  </rdn>
  <rdn rId="0" localSheetId="2" customView="1" name="Z_66DB97CC_E9CD_4D25_A10F_98CC991DB916_.wvu.PrintArea" hidden="1" oldHidden="1">
    <formula>'1. Reconciliation'!$B$6:$O$98</formula>
    <oldFormula>'1. Reconciliation'!$B$6:$O$98</oldFormula>
  </rdn>
  <rdn rId="0" localSheetId="2" customView="1" name="Z_66DB97CC_E9CD_4D25_A10F_98CC991DB916_.wvu.PrintTitles" hidden="1" oldHidden="1">
    <formula>'1. Reconciliation'!$2:$4</formula>
    <oldFormula>'1. Reconciliation'!$2:$4</oldFormula>
  </rdn>
  <rdn rId="0" localSheetId="3" customView="1" name="Z_66DB97CC_E9CD_4D25_A10F_98CC991DB916_.wvu.PrintArea" hidden="1" oldHidden="1">
    <formula>'2. Charge and NPR Detail'!$A$2:$H$68</formula>
    <oldFormula>'2. Charge and NPR Detail'!$A$2:$H$68</oldFormula>
  </rdn>
  <rdn rId="0" localSheetId="3" customView="1" name="Z_66DB97CC_E9CD_4D25_A10F_98CC991DB916_.wvu.Rows" hidden="1" oldHidden="1">
    <formula>'2. Charge and NPR Detail'!$17:$35</formula>
    <oldFormula>'2. Charge and NPR Detail'!$17:$35</oldFormula>
  </rdn>
  <rdn rId="0" localSheetId="4" customView="1" name="Z_66DB97CC_E9CD_4D25_A10F_98CC991DB916_.wvu.PrintArea" hidden="1" oldHidden="1">
    <formula>'3. Utilization'!$B$1:$D$16</formula>
    <oldFormula>'3. Utilization'!$B$1:$D$16</oldFormula>
  </rdn>
  <rdn rId="0" localSheetId="5" customView="1" name="Z_66DB97CC_E9CD_4D25_A10F_98CC991DB916_.wvu.PrintArea" hidden="1" oldHidden="1">
    <formula>'4. Inflation'!$B$1:$D$21</formula>
    <oldFormula>'4. Inflation'!$B$1:$D$21</oldFormula>
  </rdn>
  <rdn rId="0" localSheetId="6" customView="1" name="Z_66DB97CC_E9CD_4D25_A10F_98CC991DB916_.wvu.PrintArea" hidden="1" oldHidden="1">
    <formula>'5. Value Based Care Participati'!$B$2:$F$17</formula>
    <oldFormula>'5. Value Based Care Participati'!$B$2:$F$17</oldFormula>
  </rdn>
  <rcv guid="{66DB97CC-E9CD-4D25-A10F-98CC991DB916}"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 sId="2" numFmtId="34">
    <nc r="D11">
      <v>33409666</v>
    </nc>
  </rcc>
  <rcc rId="255" sId="2" numFmtId="34">
    <nc r="H11">
      <v>686640</v>
    </nc>
  </rcc>
  <rcc rId="256" sId="2" numFmtId="34">
    <nc r="E11">
      <v>12963074</v>
    </nc>
  </rcc>
  <rcc rId="257" sId="2" numFmtId="34">
    <nc r="G11">
      <v>952331</v>
    </nc>
  </rcc>
  <rcc rId="258" sId="2" numFmtId="34">
    <nc r="F11">
      <v>39877962</v>
    </nc>
  </rcc>
  <rcc rId="259" sId="2">
    <oc r="D46">
      <f>SUM(D32:D45)</f>
    </oc>
    <nc r="D46">
      <f>SUM(D32:D45)</f>
    </nc>
  </rcc>
  <rcc rId="260" sId="2" numFmtId="34">
    <nc r="G58">
      <v>1064548</v>
    </nc>
  </rcc>
  <rcc rId="261" sId="2" numFmtId="34">
    <nc r="E58">
      <v>13239915</v>
    </nc>
  </rcc>
  <rcc rId="262" sId="2" numFmtId="34">
    <nc r="F58">
      <v>41051687</v>
    </nc>
  </rcc>
  <rcc rId="263" sId="2" numFmtId="34">
    <nc r="D58">
      <v>33966965</v>
    </nc>
  </rcc>
  <rcc rId="264" sId="2" numFmtId="34">
    <nc r="H58">
      <v>622654</v>
    </nc>
  </rcc>
  <rcc rId="265" sId="2" numFmtId="34">
    <oc r="C58">
      <v>89945769</v>
    </oc>
    <nc r="C58">
      <f>SUM(D58:H58)</f>
    </nc>
  </rcc>
  <rcc rId="266" sId="2" numFmtId="34">
    <oc r="C11">
      <v>87889674</v>
    </oc>
    <nc r="C11">
      <f>SUM(D11:H11)</f>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6DB97CC-E9CD-4D25-A10F-98CC991DB916}" action="delete"/>
  <rdn rId="0" localSheetId="1" customView="1" name="Z_66DB97CC_E9CD_4D25_A10F_98CC991DB916_.wvu.PrintArea" hidden="1" oldHidden="1">
    <formula>Overview!$A$1:$B$11</formula>
    <oldFormula>Overview!$A$1:$B$11</oldFormula>
  </rdn>
  <rdn rId="0" localSheetId="2" customView="1" name="Z_66DB97CC_E9CD_4D25_A10F_98CC991DB916_.wvu.PrintArea" hidden="1" oldHidden="1">
    <formula>'1. Reconciliation'!$B$6:$O$98</formula>
    <oldFormula>'1. Reconciliation'!$B$6:$O$98</oldFormula>
  </rdn>
  <rdn rId="0" localSheetId="2" customView="1" name="Z_66DB97CC_E9CD_4D25_A10F_98CC991DB916_.wvu.PrintTitles" hidden="1" oldHidden="1">
    <formula>'1. Reconciliation'!$2:$4</formula>
    <oldFormula>'1. Reconciliation'!$2:$4</oldFormula>
  </rdn>
  <rdn rId="0" localSheetId="3" customView="1" name="Z_66DB97CC_E9CD_4D25_A10F_98CC991DB916_.wvu.PrintArea" hidden="1" oldHidden="1">
    <formula>'2. Charge and NPR Detail'!$A$2:$H$68</formula>
    <oldFormula>'2. Charge and NPR Detail'!$A$2:$H$68</oldFormula>
  </rdn>
  <rdn rId="0" localSheetId="3" customView="1" name="Z_66DB97CC_E9CD_4D25_A10F_98CC991DB916_.wvu.Rows" hidden="1" oldHidden="1">
    <formula>'2. Charge and NPR Detail'!$17:$35</formula>
    <oldFormula>'2. Charge and NPR Detail'!$17:$35</oldFormula>
  </rdn>
  <rdn rId="0" localSheetId="4" customView="1" name="Z_66DB97CC_E9CD_4D25_A10F_98CC991DB916_.wvu.PrintArea" hidden="1" oldHidden="1">
    <formula>'3. Utilization'!$B$1:$D$16</formula>
    <oldFormula>'3. Utilization'!$B$1:$D$16</oldFormula>
  </rdn>
  <rdn rId="0" localSheetId="5" customView="1" name="Z_66DB97CC_E9CD_4D25_A10F_98CC991DB916_.wvu.PrintArea" hidden="1" oldHidden="1">
    <formula>'4. Inflation'!$B$1:$D$21</formula>
    <oldFormula>'4. Inflation'!$B$1:$D$21</oldFormula>
  </rdn>
  <rdn rId="0" localSheetId="6" customView="1" name="Z_66DB97CC_E9CD_4D25_A10F_98CC991DB916_.wvu.PrintArea" hidden="1" oldHidden="1">
    <formula>'5. Value Based Care Participati'!$B$2:$F$17</formula>
    <oldFormula>'5. Value Based Care Participati'!$B$2:$F$17</oldFormula>
  </rdn>
  <rcv guid="{66DB97CC-E9CD-4D25-A10F-98CC991DB916}"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 sId="7">
    <oc r="I13">
      <v>0</v>
    </oc>
    <nc r="I13">
      <v>410000</v>
    </nc>
  </rcc>
  <rfmt sheetId="7" sqref="I13">
    <dxf>
      <numFmt numFmtId="3" formatCode="#,##0"/>
    </dxf>
  </rfmt>
  <rcv guid="{66DB97CC-E9CD-4D25-A10F-98CC991DB916}" action="delete"/>
  <rdn rId="0" localSheetId="1" customView="1" name="Z_66DB97CC_E9CD_4D25_A10F_98CC991DB916_.wvu.PrintArea" hidden="1" oldHidden="1">
    <formula>Overview!$A$1:$B$11</formula>
    <oldFormula>Overview!$A$1:$B$11</oldFormula>
  </rdn>
  <rdn rId="0" localSheetId="2" customView="1" name="Z_66DB97CC_E9CD_4D25_A10F_98CC991DB916_.wvu.PrintArea" hidden="1" oldHidden="1">
    <formula>'1. Reconciliation'!$B$6:$O$98</formula>
    <oldFormula>'1. Reconciliation'!$B$6:$O$98</oldFormula>
  </rdn>
  <rdn rId="0" localSheetId="2" customView="1" name="Z_66DB97CC_E9CD_4D25_A10F_98CC991DB916_.wvu.PrintTitles" hidden="1" oldHidden="1">
    <formula>'1. Reconciliation'!$2:$4</formula>
    <oldFormula>'1. Reconciliation'!$2:$4</oldFormula>
  </rdn>
  <rdn rId="0" localSheetId="3" customView="1" name="Z_66DB97CC_E9CD_4D25_A10F_98CC991DB916_.wvu.PrintArea" hidden="1" oldHidden="1">
    <formula>'2. Charge and NPR Detail'!$A$2:$H$68</formula>
    <oldFormula>'2. Charge and NPR Detail'!$A$2:$H$68</oldFormula>
  </rdn>
  <rdn rId="0" localSheetId="3" customView="1" name="Z_66DB97CC_E9CD_4D25_A10F_98CC991DB916_.wvu.Rows" hidden="1" oldHidden="1">
    <formula>'2. Charge and NPR Detail'!$17:$35</formula>
    <oldFormula>'2. Charge and NPR Detail'!$17:$35</oldFormula>
  </rdn>
  <rdn rId="0" localSheetId="4" customView="1" name="Z_66DB97CC_E9CD_4D25_A10F_98CC991DB916_.wvu.PrintArea" hidden="1" oldHidden="1">
    <formula>'3. Utilization'!$B$1:$D$16</formula>
    <oldFormula>'3. Utilization'!$B$1:$D$16</oldFormula>
  </rdn>
  <rdn rId="0" localSheetId="5" customView="1" name="Z_66DB97CC_E9CD_4D25_A10F_98CC991DB916_.wvu.PrintArea" hidden="1" oldHidden="1">
    <formula>'4. Inflation'!$B$1:$D$21</formula>
    <oldFormula>'4. Inflation'!$B$1:$D$21</oldFormula>
  </rdn>
  <rdn rId="0" localSheetId="6" customView="1" name="Z_66DB97CC_E9CD_4D25_A10F_98CC991DB916_.wvu.PrintArea" hidden="1" oldHidden="1">
    <formula>'5. Value Based Care Participati'!$B$2:$F$17</formula>
    <oldFormula>'5. Value Based Care Participati'!$B$2:$F$17</oldFormula>
  </rdn>
  <rcv guid="{66DB97CC-E9CD-4D25-A10F-98CC991DB916}"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4" sId="3">
    <nc r="G80">
      <f>28299+32753-268+195-7258+207046+179108+11464+2238+16281</f>
    </nc>
  </rcc>
  <rcc rId="285" sId="3" numFmtId="34">
    <nc r="G81">
      <v>0</v>
    </nc>
  </rcc>
  <rcc rId="286" sId="3" numFmtId="34">
    <nc r="G82">
      <v>221801</v>
    </nc>
  </rcc>
  <rfmt sheetId="3" sqref="E72">
    <dxf>
      <numFmt numFmtId="14" formatCode="0.00%"/>
    </dxf>
  </rfmt>
  <rfmt sheetId="3" sqref="E72">
    <dxf>
      <numFmt numFmtId="13" formatCode="0%"/>
    </dxf>
  </rfmt>
  <rcv guid="{66DB97CC-E9CD-4D25-A10F-98CC991DB916}" action="delete"/>
  <rdn rId="0" localSheetId="1" customView="1" name="Z_66DB97CC_E9CD_4D25_A10F_98CC991DB916_.wvu.PrintArea" hidden="1" oldHidden="1">
    <formula>Overview!$A$1:$B$11</formula>
    <oldFormula>Overview!$A$1:$B$11</oldFormula>
  </rdn>
  <rdn rId="0" localSheetId="2" customView="1" name="Z_66DB97CC_E9CD_4D25_A10F_98CC991DB916_.wvu.PrintArea" hidden="1" oldHidden="1">
    <formula>'1. Reconciliation'!$B$6:$O$98</formula>
    <oldFormula>'1. Reconciliation'!$B$6:$O$98</oldFormula>
  </rdn>
  <rdn rId="0" localSheetId="2" customView="1" name="Z_66DB97CC_E9CD_4D25_A10F_98CC991DB916_.wvu.PrintTitles" hidden="1" oldHidden="1">
    <formula>'1. Reconciliation'!$2:$4</formula>
    <oldFormula>'1. Reconciliation'!$2:$4</oldFormula>
  </rdn>
  <rdn rId="0" localSheetId="3" customView="1" name="Z_66DB97CC_E9CD_4D25_A10F_98CC991DB916_.wvu.PrintArea" hidden="1" oldHidden="1">
    <formula>'2. Charge and NPR Detail'!$A$2:$H$68</formula>
    <oldFormula>'2. Charge and NPR Detail'!$A$2:$H$68</oldFormula>
  </rdn>
  <rdn rId="0" localSheetId="3" customView="1" name="Z_66DB97CC_E9CD_4D25_A10F_98CC991DB916_.wvu.Rows" hidden="1" oldHidden="1">
    <formula>'2. Charge and NPR Detail'!$17:$35</formula>
    <oldFormula>'2. Charge and NPR Detail'!$17:$35</oldFormula>
  </rdn>
  <rdn rId="0" localSheetId="4" customView="1" name="Z_66DB97CC_E9CD_4D25_A10F_98CC991DB916_.wvu.PrintArea" hidden="1" oldHidden="1">
    <formula>'3. Utilization'!$B$1:$D$16</formula>
    <oldFormula>'3. Utilization'!$B$1:$D$16</oldFormula>
  </rdn>
  <rdn rId="0" localSheetId="5" customView="1" name="Z_66DB97CC_E9CD_4D25_A10F_98CC991DB916_.wvu.PrintArea" hidden="1" oldHidden="1">
    <formula>'4. Inflation'!$B$1:$D$21</formula>
    <oldFormula>'4. Inflation'!$B$1:$D$21</oldFormula>
  </rdn>
  <rdn rId="0" localSheetId="6" customView="1" name="Z_66DB97CC_E9CD_4D25_A10F_98CC991DB916_.wvu.PrintArea" hidden="1" oldHidden="1">
    <formula>'5. Value Based Care Participati'!$B$2:$F$17</formula>
    <oldFormula>'5. Value Based Care Participati'!$B$2:$F$17</oldFormula>
  </rdn>
  <rcv guid="{66DB97CC-E9CD-4D25-A10F-98CC991DB916}"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5" sId="4" numFmtId="13">
    <nc r="C9">
      <v>0.45</v>
    </nc>
  </rcc>
  <rcc rId="296" sId="4" numFmtId="13">
    <nc r="C10">
      <v>0.24</v>
    </nc>
  </rcc>
  <rcc rId="297" sId="4" numFmtId="13">
    <nc r="C11">
      <v>0.3</v>
    </nc>
  </rcc>
  <rcc rId="298" sId="4" numFmtId="13">
    <nc r="C12">
      <v>0.01</v>
    </nc>
  </rcc>
  <rcc rId="299" sId="4" numFmtId="11">
    <nc r="D9">
      <v>3357950</v>
    </nc>
  </rcc>
  <rcc rId="300" sId="4" numFmtId="34">
    <nc r="D10">
      <v>1761801</v>
    </nc>
  </rcc>
  <rfmt sheetId="4" sqref="D9:D12">
    <dxf>
      <numFmt numFmtId="167" formatCode="&quot;$&quot;#,##0"/>
    </dxf>
  </rfmt>
  <rcc rId="301" sId="4" numFmtId="11">
    <nc r="D11">
      <v>2212124</v>
    </nc>
  </rcc>
  <rcc rId="302" sId="4" numFmtId="11">
    <nc r="D12">
      <v>111677</v>
    </nc>
  </rcc>
  <rcv guid="{66DB97CC-E9CD-4D25-A10F-98CC991DB916}" action="delete"/>
  <rdn rId="0" localSheetId="1" customView="1" name="Z_66DB97CC_E9CD_4D25_A10F_98CC991DB916_.wvu.PrintArea" hidden="1" oldHidden="1">
    <formula>Overview!$A$1:$B$11</formula>
    <oldFormula>Overview!$A$1:$B$11</oldFormula>
  </rdn>
  <rdn rId="0" localSheetId="2" customView="1" name="Z_66DB97CC_E9CD_4D25_A10F_98CC991DB916_.wvu.PrintArea" hidden="1" oldHidden="1">
    <formula>'1. Reconciliation'!$B$6:$O$98</formula>
    <oldFormula>'1. Reconciliation'!$B$6:$O$98</oldFormula>
  </rdn>
  <rdn rId="0" localSheetId="2" customView="1" name="Z_66DB97CC_E9CD_4D25_A10F_98CC991DB916_.wvu.PrintTitles" hidden="1" oldHidden="1">
    <formula>'1. Reconciliation'!$2:$4</formula>
    <oldFormula>'1. Reconciliation'!$2:$4</oldFormula>
  </rdn>
  <rdn rId="0" localSheetId="3" customView="1" name="Z_66DB97CC_E9CD_4D25_A10F_98CC991DB916_.wvu.PrintArea" hidden="1" oldHidden="1">
    <formula>'2. Charge and NPR Detail'!$A$2:$H$68</formula>
    <oldFormula>'2. Charge and NPR Detail'!$A$2:$H$68</oldFormula>
  </rdn>
  <rdn rId="0" localSheetId="3" customView="1" name="Z_66DB97CC_E9CD_4D25_A10F_98CC991DB916_.wvu.Rows" hidden="1" oldHidden="1">
    <formula>'2. Charge and NPR Detail'!$17:$35</formula>
    <oldFormula>'2. Charge and NPR Detail'!$17:$35</oldFormula>
  </rdn>
  <rdn rId="0" localSheetId="4" customView="1" name="Z_66DB97CC_E9CD_4D25_A10F_98CC991DB916_.wvu.PrintArea" hidden="1" oldHidden="1">
    <formula>'3. Utilization'!$B$1:$D$16</formula>
    <oldFormula>'3. Utilization'!$B$1:$D$16</oldFormula>
  </rdn>
  <rdn rId="0" localSheetId="5" customView="1" name="Z_66DB97CC_E9CD_4D25_A10F_98CC991DB916_.wvu.PrintArea" hidden="1" oldHidden="1">
    <formula>'4. Inflation'!$B$1:$D$21</formula>
    <oldFormula>'4. Inflation'!$B$1:$D$21</oldFormula>
  </rdn>
  <rdn rId="0" localSheetId="6" customView="1" name="Z_66DB97CC_E9CD_4D25_A10F_98CC991DB916_.wvu.PrintArea" hidden="1" oldHidden="1">
    <formula>'5. Value Based Care Participati'!$B$2:$F$17</formula>
    <oldFormula>'5. Value Based Care Participati'!$B$2:$F$17</oldFormula>
  </rdn>
  <rcv guid="{66DB97CC-E9CD-4D25-A10F-98CC991DB916}"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1" sId="3">
    <oc r="M45">
      <v>75938061</v>
    </oc>
    <nc r="M45"/>
  </rcc>
  <rcv guid="{34211852-B453-4CDA-9F61-C6EBB49F5732}" action="delete"/>
  <rdn rId="0" localSheetId="1" customView="1" name="Z_34211852_B453_4CDA_9F61_C6EBB49F5732_.wvu.PrintArea" hidden="1" oldHidden="1">
    <formula>Overview!$A$1:$B$11</formula>
    <oldFormula>Overview!$A$1:$B$11</oldFormula>
  </rdn>
  <rdn rId="0" localSheetId="2" customView="1" name="Z_34211852_B453_4CDA_9F61_C6EBB49F5732_.wvu.PrintArea" hidden="1" oldHidden="1">
    <formula>'1. Reconciliation'!$B$6:$O$98</formula>
    <oldFormula>'1. Reconciliation'!$B$6:$O$98</oldFormula>
  </rdn>
  <rdn rId="0" localSheetId="2" customView="1" name="Z_34211852_B453_4CDA_9F61_C6EBB49F5732_.wvu.PrintTitles" hidden="1" oldHidden="1">
    <formula>'1. Reconciliation'!$2:$4</formula>
    <oldFormula>'1. Reconciliation'!$2:$4</oldFormula>
  </rdn>
  <rdn rId="0" localSheetId="3" customView="1" name="Z_34211852_B453_4CDA_9F61_C6EBB49F5732_.wvu.PrintArea" hidden="1" oldHidden="1">
    <formula>'2. Charge and NPR Detail'!$A$2:$H$68</formula>
    <oldFormula>'2. Charge and NPR Detail'!$A$2:$H$68</oldFormula>
  </rdn>
  <rdn rId="0" localSheetId="3" customView="1" name="Z_34211852_B453_4CDA_9F61_C6EBB49F5732_.wvu.Rows" hidden="1" oldHidden="1">
    <formula>'2. Charge and NPR Detail'!$17:$35</formula>
    <oldFormula>'2. Charge and NPR Detail'!$17:$35</oldFormula>
  </rdn>
  <rdn rId="0" localSheetId="4" customView="1" name="Z_34211852_B453_4CDA_9F61_C6EBB49F5732_.wvu.PrintArea" hidden="1" oldHidden="1">
    <formula>'3. Utilization'!$B$1:$D$16</formula>
    <oldFormula>'3. Utilization'!$B$1:$D$16</oldFormula>
  </rdn>
  <rdn rId="0" localSheetId="5" customView="1" name="Z_34211852_B453_4CDA_9F61_C6EBB49F5732_.wvu.PrintArea" hidden="1" oldHidden="1">
    <formula>'4. Inflation'!$B$1:$D$21</formula>
    <oldFormula>'4. Inflation'!$B$1:$D$21</oldFormula>
  </rdn>
  <rdn rId="0" localSheetId="6" customView="1" name="Z_34211852_B453_4CDA_9F61_C6EBB49F5732_.wvu.PrintArea" hidden="1" oldHidden="1">
    <formula>'5. Value Based Care Participati'!$B$2:$F$17</formula>
    <oldFormula>'5. Value Based Care Participati'!$B$2:$F$17</oldFormula>
  </rdn>
  <rcv guid="{34211852-B453-4CDA-9F61-C6EBB49F573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6">
    <nc r="C10" t="inlineStr">
      <is>
        <t>Yes</t>
      </is>
    </nc>
  </rcc>
  <rcc rId="2" sId="6">
    <nc r="C11" t="inlineStr">
      <is>
        <t>No</t>
      </is>
    </nc>
  </rcc>
  <rcc rId="3" sId="6">
    <nc r="C13" t="inlineStr">
      <is>
        <t>Yes</t>
      </is>
    </nc>
  </rcc>
  <rcc rId="4" sId="6">
    <nc r="C14" t="inlineStr">
      <is>
        <t xml:space="preserve">Yes </t>
      </is>
    </nc>
  </rcc>
  <rcc rId="5" sId="6">
    <nc r="C15" t="inlineStr">
      <is>
        <t>No</t>
      </is>
    </nc>
  </rcc>
  <rcc rId="6" sId="6">
    <nc r="D10">
      <v>7059</v>
    </nc>
  </rcc>
  <rcc rId="7" sId="6">
    <nc r="D13" t="inlineStr">
      <is>
        <t>1048 - based on prior year</t>
      </is>
    </nc>
  </rcc>
  <rcc rId="8" sId="6">
    <nc r="D14" t="inlineStr">
      <is>
        <t>592 - based on prior year</t>
      </is>
    </nc>
  </rcc>
  <rfmt sheetId="6" sqref="D10">
    <dxf>
      <numFmt numFmtId="3" formatCode="#,##0"/>
    </dxf>
  </rfmt>
  <rcc rId="9" sId="6">
    <nc r="F10">
      <f>261298</f>
    </nc>
  </rcc>
  <rfmt sheetId="6" sqref="F10">
    <dxf>
      <numFmt numFmtId="3" formatCode="#,##0"/>
    </dxf>
  </rfmt>
  <rcc rId="10" sId="6">
    <nc r="F13" t="inlineStr">
      <is>
        <t>0 for fy 22 unknown for fy 23</t>
      </is>
    </nc>
  </rcc>
  <rcc rId="11" sId="6" odxf="1" dxf="1">
    <nc r="F14" t="inlineStr">
      <is>
        <t>0 for fy 22 unknown for fy 23</t>
      </is>
    </nc>
    <odxf>
      <border outline="0">
        <bottom/>
      </border>
    </odxf>
    <ndxf>
      <border outline="0">
        <bottom style="thin">
          <color indexed="64"/>
        </bottom>
      </border>
    </ndxf>
  </rcc>
  <rcc rId="12" sId="6">
    <nc r="D16">
      <f>7059+1048+592</f>
    </nc>
  </rcc>
  <rfmt sheetId="6" sqref="D16">
    <dxf>
      <numFmt numFmtId="3" formatCode="#,##0"/>
    </dxf>
  </rfmt>
  <rcc rId="13" sId="6">
    <nc r="E16">
      <f>SUM(E10:E15)</f>
    </nc>
  </rcc>
  <rcc rId="14" sId="6" odxf="1" dxf="1">
    <nc r="F16">
      <f>F10</f>
    </nc>
    <odxf>
      <numFmt numFmtId="0" formatCode="General"/>
    </odxf>
    <ndxf>
      <numFmt numFmtId="3" formatCode="#,##0"/>
    </ndxf>
  </rcc>
  <rfmt sheetId="6" sqref="E10">
    <dxf>
      <fill>
        <patternFill patternType="solid">
          <bgColor theme="4" tint="0.79998168889431442"/>
        </patternFill>
      </fill>
    </dxf>
  </rfmt>
  <rfmt sheetId="6" sqref="E13:E14">
    <dxf>
      <fill>
        <patternFill>
          <bgColor theme="4" tint="0.79998168889431442"/>
        </patternFill>
      </fill>
    </dxf>
  </rfmt>
  <rdn rId="0" localSheetId="1" customView="1" name="Z_66DB97CC_E9CD_4D25_A10F_98CC991DB916_.wvu.PrintArea" hidden="1" oldHidden="1">
    <formula>Overview!$A$1:$B$11</formula>
  </rdn>
  <rdn rId="0" localSheetId="2" customView="1" name="Z_66DB97CC_E9CD_4D25_A10F_98CC991DB916_.wvu.PrintArea" hidden="1" oldHidden="1">
    <formula>'1. Reconciliation'!$B$6:$O$98</formula>
  </rdn>
  <rdn rId="0" localSheetId="2" customView="1" name="Z_66DB97CC_E9CD_4D25_A10F_98CC991DB916_.wvu.PrintTitles" hidden="1" oldHidden="1">
    <formula>'1. Reconciliation'!$2:$4</formula>
  </rdn>
  <rdn rId="0" localSheetId="3" customView="1" name="Z_66DB97CC_E9CD_4D25_A10F_98CC991DB916_.wvu.PrintArea" hidden="1" oldHidden="1">
    <formula>'2. Charge and NPR Detail'!$A$2:$H$69</formula>
  </rdn>
  <rdn rId="0" localSheetId="3" customView="1" name="Z_66DB97CC_E9CD_4D25_A10F_98CC991DB916_.wvu.Rows" hidden="1" oldHidden="1">
    <formula>'2. Charge and NPR Detail'!$17:$35</formula>
  </rdn>
  <rdn rId="0" localSheetId="4" customView="1" name="Z_66DB97CC_E9CD_4D25_A10F_98CC991DB916_.wvu.PrintArea" hidden="1" oldHidden="1">
    <formula>'3. Utilization'!$B$1:$D$16</formula>
  </rdn>
  <rdn rId="0" localSheetId="5" customView="1" name="Z_66DB97CC_E9CD_4D25_A10F_98CC991DB916_.wvu.PrintArea" hidden="1" oldHidden="1">
    <formula>'4. Inflation'!$B$1:$D$21</formula>
  </rdn>
  <rdn rId="0" localSheetId="6" customView="1" name="Z_66DB97CC_E9CD_4D25_A10F_98CC991DB916_.wvu.PrintArea" hidden="1" oldHidden="1">
    <formula>'5. Value Based Care Participati'!$B$2:$F$17</formula>
  </rdn>
  <rcv guid="{66DB97CC-E9CD-4D25-A10F-98CC991DB91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5">
    <oc r="D17">
      <f>SUM(D8:D13)</f>
    </oc>
    <nc r="D17">
      <f>SUM(D8:D15)</f>
    </nc>
  </rcc>
  <rcc rId="24" sId="5">
    <nc r="E14">
      <f>+D14/D17</f>
    </nc>
  </rcc>
  <rcc rId="25" sId="5">
    <nc r="E15">
      <f>+D15/D17</f>
    </nc>
  </rcc>
  <rcc rId="26" sId="5">
    <oc r="E17">
      <f>SUM(E8:E13)</f>
    </oc>
    <nc r="E17">
      <f>SUM(E8:E15)</f>
    </nc>
  </rcc>
  <rcc rId="27" sId="5">
    <nc r="F14">
      <f>C14*E14</f>
    </nc>
  </rcc>
  <rcc rId="28" sId="5">
    <nc r="F15">
      <f>C15*E15</f>
    </nc>
  </rcc>
  <rcc rId="29" sId="5">
    <oc r="F17">
      <f>SUM(F8:F13)</f>
    </oc>
    <nc r="F17">
      <f>SUM(F8:F15)</f>
    </nc>
  </rcc>
  <rcc rId="30" sId="2" numFmtId="34">
    <nc r="C34">
      <v>1147848</v>
    </nc>
  </rcc>
  <rcc rId="31" sId="2" numFmtId="34">
    <nc r="C35">
      <v>-59141</v>
    </nc>
  </rcc>
  <rcc rId="32" sId="2" numFmtId="34">
    <nc r="C36">
      <v>1482719</v>
    </nc>
  </rcc>
  <rcc rId="33" sId="2" numFmtId="34">
    <nc r="C37">
      <v>755435</v>
    </nc>
  </rcc>
  <rcc rId="34" sId="2" numFmtId="34">
    <nc r="C39">
      <v>651671</v>
    </nc>
  </rcc>
  <rcc rId="35" sId="2">
    <nc r="G46">
      <v>102753726</v>
    </nc>
  </rcc>
  <rcc rId="36" sId="2" odxf="1" dxf="1">
    <nc r="G47">
      <f>+G46-C46</f>
    </nc>
    <odxf>
      <numFmt numFmtId="0" formatCode="General"/>
    </odxf>
    <ndxf>
      <numFmt numFmtId="165" formatCode="_(&quot;$&quot;* #,##0_);_(&quot;$&quot;* \(#,##0\);_(&quot;$&quot;* &quot;-&quot;??_);_(@_)"/>
    </ndxf>
  </rcc>
  <rcv guid="{34211852-B453-4CDA-9F61-C6EBB49F5732}" action="delete"/>
  <rdn rId="0" localSheetId="1" customView="1" name="Z_34211852_B453_4CDA_9F61_C6EBB49F5732_.wvu.PrintArea" hidden="1" oldHidden="1">
    <formula>Overview!$A$1:$B$11</formula>
    <oldFormula>Overview!$A$1:$B$11</oldFormula>
  </rdn>
  <rdn rId="0" localSheetId="2" customView="1" name="Z_34211852_B453_4CDA_9F61_C6EBB49F5732_.wvu.PrintArea" hidden="1" oldHidden="1">
    <formula>'1. Reconciliation'!$B$6:$O$98</formula>
    <oldFormula>'1. Reconciliation'!$B$6:$O$98</oldFormula>
  </rdn>
  <rdn rId="0" localSheetId="2" customView="1" name="Z_34211852_B453_4CDA_9F61_C6EBB49F5732_.wvu.PrintTitles" hidden="1" oldHidden="1">
    <formula>'1. Reconciliation'!$2:$4</formula>
    <oldFormula>'1. Reconciliation'!$2:$4</oldFormula>
  </rdn>
  <rdn rId="0" localSheetId="3" customView="1" name="Z_34211852_B453_4CDA_9F61_C6EBB49F5732_.wvu.PrintArea" hidden="1" oldHidden="1">
    <formula>'2. Charge and NPR Detail'!$A$2:$H$69</formula>
    <oldFormula>'2. Charge and NPR Detail'!$A$2:$H$69</oldFormula>
  </rdn>
  <rdn rId="0" localSheetId="3" customView="1" name="Z_34211852_B453_4CDA_9F61_C6EBB49F5732_.wvu.Rows" hidden="1" oldHidden="1">
    <formula>'2. Charge and NPR Detail'!$17:$35</formula>
    <oldFormula>'2. Charge and NPR Detail'!$17:$35</oldFormula>
  </rdn>
  <rdn rId="0" localSheetId="4" customView="1" name="Z_34211852_B453_4CDA_9F61_C6EBB49F5732_.wvu.PrintArea" hidden="1" oldHidden="1">
    <formula>'3. Utilization'!$B$1:$D$16</formula>
    <oldFormula>'3. Utilization'!$B$1:$D$16</oldFormula>
  </rdn>
  <rdn rId="0" localSheetId="5" customView="1" name="Z_34211852_B453_4CDA_9F61_C6EBB49F5732_.wvu.PrintArea" hidden="1" oldHidden="1">
    <formula>'4. Inflation'!$B$1:$D$21</formula>
    <oldFormula>'4. Inflation'!$B$1:$D$21</oldFormula>
  </rdn>
  <rdn rId="0" localSheetId="6" customView="1" name="Z_34211852_B453_4CDA_9F61_C6EBB49F5732_.wvu.PrintArea" hidden="1" oldHidden="1">
    <formula>'5. Value Based Care Participati'!$B$2:$F$17</formula>
    <oldFormula>'5. Value Based Care Participati'!$B$2:$F$17</oldFormula>
  </rdn>
  <rcv guid="{34211852-B453-4CDA-9F61-C6EBB49F573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6">
    <nc r="E10">
      <v>865216</v>
    </nc>
  </rcc>
  <rfmt sheetId="6" sqref="E10:E16">
    <dxf>
      <numFmt numFmtId="3" formatCode="#,##0"/>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6DB97CC-E9CD-4D25-A10F-98CC991DB916}" action="delete"/>
  <rdn rId="0" localSheetId="1" customView="1" name="Z_66DB97CC_E9CD_4D25_A10F_98CC991DB916_.wvu.PrintArea" hidden="1" oldHidden="1">
    <formula>Overview!$A$1:$B$11</formula>
    <oldFormula>Overview!$A$1:$B$11</oldFormula>
  </rdn>
  <rdn rId="0" localSheetId="2" customView="1" name="Z_66DB97CC_E9CD_4D25_A10F_98CC991DB916_.wvu.PrintArea" hidden="1" oldHidden="1">
    <formula>'1. Reconciliation'!$B$6:$O$98</formula>
    <oldFormula>'1. Reconciliation'!$B$6:$O$98</oldFormula>
  </rdn>
  <rdn rId="0" localSheetId="2" customView="1" name="Z_66DB97CC_E9CD_4D25_A10F_98CC991DB916_.wvu.PrintTitles" hidden="1" oldHidden="1">
    <formula>'1. Reconciliation'!$2:$4</formula>
    <oldFormula>'1. Reconciliation'!$2:$4</oldFormula>
  </rdn>
  <rdn rId="0" localSheetId="3" customView="1" name="Z_66DB97CC_E9CD_4D25_A10F_98CC991DB916_.wvu.PrintArea" hidden="1" oldHidden="1">
    <formula>'2. Charge and NPR Detail'!$A$2:$H$69</formula>
    <oldFormula>'2. Charge and NPR Detail'!$A$2:$H$69</oldFormula>
  </rdn>
  <rdn rId="0" localSheetId="3" customView="1" name="Z_66DB97CC_E9CD_4D25_A10F_98CC991DB916_.wvu.Rows" hidden="1" oldHidden="1">
    <formula>'2. Charge and NPR Detail'!$17:$35</formula>
    <oldFormula>'2. Charge and NPR Detail'!$17:$35</oldFormula>
  </rdn>
  <rdn rId="0" localSheetId="4" customView="1" name="Z_66DB97CC_E9CD_4D25_A10F_98CC991DB916_.wvu.PrintArea" hidden="1" oldHidden="1">
    <formula>'3. Utilization'!$B$1:$D$16</formula>
    <oldFormula>'3. Utilization'!$B$1:$D$16</oldFormula>
  </rdn>
  <rdn rId="0" localSheetId="5" customView="1" name="Z_66DB97CC_E9CD_4D25_A10F_98CC991DB916_.wvu.PrintArea" hidden="1" oldHidden="1">
    <formula>'4. Inflation'!$B$1:$D$21</formula>
    <oldFormula>'4. Inflation'!$B$1:$D$21</oldFormula>
  </rdn>
  <rdn rId="0" localSheetId="6" customView="1" name="Z_66DB97CC_E9CD_4D25_A10F_98CC991DB916_.wvu.PrintArea" hidden="1" oldHidden="1">
    <formula>'5. Value Based Care Participati'!$B$2:$F$17</formula>
    <oldFormula>'5. Value Based Care Participati'!$B$2:$F$17</oldFormula>
  </rdn>
  <rcv guid="{66DB97CC-E9CD-4D25-A10F-98CC991DB916}"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7" odxf="1" dxf="1">
    <oc r="B12" t="inlineStr">
      <is>
        <t>Add Source of Funding</t>
      </is>
    </oc>
    <nc r="B12" t="inlineStr">
      <is>
        <t>CARES Act Funding</t>
      </is>
    </nc>
    <odxf/>
    <ndxf>
      <font>
        <sz val="11"/>
        <color theme="1"/>
        <name val="Calibri"/>
        <family val="2"/>
        <scheme val="minor"/>
      </font>
    </ndxf>
  </rcc>
  <rcc rId="55" sId="7" numFmtId="34">
    <nc r="D12">
      <v>0</v>
    </nc>
  </rcc>
  <rcc rId="56" sId="7" numFmtId="34">
    <nc r="E12">
      <v>2167706</v>
    </nc>
  </rcc>
  <rcc rId="57" sId="7" numFmtId="34">
    <nc r="F12">
      <v>0</v>
    </nc>
  </rcc>
  <rcc rId="58" sId="7" odxf="1" dxf="1">
    <oc r="B13" t="inlineStr">
      <is>
        <t>Add Source of Funding</t>
      </is>
    </oc>
    <nc r="B13" t="inlineStr">
      <is>
        <t>Medicare Advance - repayment</t>
      </is>
    </nc>
    <odxf/>
    <ndxf>
      <font>
        <sz val="11"/>
        <color theme="1"/>
        <name val="Calibri"/>
        <family val="2"/>
        <scheme val="minor"/>
      </font>
    </ndxf>
  </rcc>
  <rcc rId="59" sId="7" numFmtId="34">
    <nc r="D13">
      <v>0</v>
    </nc>
  </rcc>
  <rcc rId="60" sId="7" numFmtId="34">
    <nc r="F13">
      <v>8089577</v>
    </nc>
  </rcc>
  <rcc rId="61" sId="7" odxf="1" dxf="1">
    <oc r="B14" t="inlineStr">
      <is>
        <t>Add Source of Funding</t>
      </is>
    </oc>
    <nc r="B14" t="inlineStr">
      <is>
        <t>VT Medicaid retainer fund</t>
      </is>
    </nc>
    <odxf/>
    <ndxf>
      <font>
        <sz val="11"/>
        <color theme="1"/>
        <name val="Calibri"/>
        <family val="2"/>
        <scheme val="minor"/>
      </font>
    </ndxf>
  </rcc>
  <rcc rId="62" sId="7" numFmtId="34">
    <nc r="D14">
      <v>0</v>
    </nc>
  </rcc>
  <rcc rId="63" sId="7" numFmtId="34">
    <nc r="E14">
      <v>0</v>
    </nc>
  </rcc>
  <rcc rId="64" sId="7" numFmtId="34">
    <nc r="F14">
      <v>21926</v>
    </nc>
  </rcc>
  <rcc rId="65" sId="7" odxf="1" dxf="1">
    <oc r="B15" t="inlineStr">
      <is>
        <t>Add Source of Funding</t>
      </is>
    </oc>
    <nc r="B15" t="inlineStr">
      <is>
        <t>VT Hazard Pay grant</t>
      </is>
    </nc>
    <odxf/>
    <ndxf>
      <font>
        <sz val="11"/>
        <color theme="1"/>
        <name val="Calibri"/>
        <family val="2"/>
        <scheme val="minor"/>
      </font>
    </ndxf>
  </rcc>
  <rcc rId="66" sId="7" numFmtId="34">
    <nc r="D15">
      <v>-7200</v>
    </nc>
  </rcc>
  <rcc rId="67" sId="7" odxf="1" dxf="1">
    <oc r="B16" t="inlineStr">
      <is>
        <t>Add Source of Funding</t>
      </is>
    </oc>
    <nc r="B16" t="inlineStr">
      <is>
        <t>RHC Cares act funding</t>
      </is>
    </nc>
    <odxf/>
    <ndxf>
      <font>
        <sz val="11"/>
        <color theme="1"/>
        <name val="Calibri"/>
        <family val="2"/>
        <scheme val="minor"/>
      </font>
    </ndxf>
  </rcc>
  <rcc rId="68" sId="7" numFmtId="34">
    <nc r="D16">
      <v>0</v>
    </nc>
  </rcc>
  <rcc rId="69" sId="7" numFmtId="34">
    <nc r="E16">
      <v>88923</v>
    </nc>
  </rcc>
  <rcc rId="70" sId="7" numFmtId="34">
    <nc r="F16">
      <v>0</v>
    </nc>
  </rcc>
  <rcc rId="71" sId="7" odxf="1" dxf="1">
    <oc r="B17" t="inlineStr">
      <is>
        <t>Add Source of Funding</t>
      </is>
    </oc>
    <nc r="B17" t="inlineStr">
      <is>
        <t>RHC testing grant</t>
      </is>
    </nc>
    <odxf/>
    <ndxf>
      <font>
        <sz val="11"/>
        <color theme="1"/>
        <name val="Calibri"/>
        <family val="2"/>
        <scheme val="minor"/>
      </font>
    </ndxf>
  </rcc>
  <rcc rId="72" sId="7" numFmtId="34">
    <nc r="D17">
      <v>0</v>
    </nc>
  </rcc>
  <rcc rId="73" sId="7" numFmtId="34">
    <nc r="F17">
      <v>400000</v>
    </nc>
  </rcc>
  <rcc rId="74" sId="7">
    <nc r="G12">
      <v>0</v>
    </nc>
  </rcc>
  <rfmt sheetId="7" sqref="G12">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border diagonalUp="0" diagonalDown="0" outline="0">
        <left/>
        <right/>
        <top/>
        <bottom/>
      </border>
    </dxf>
  </rfmt>
  <rcc rId="75" sId="7">
    <nc r="H12">
      <v>0</v>
    </nc>
  </rcc>
  <rfmt sheetId="7" sqref="H12">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border diagonalUp="0" diagonalDown="0" outline="0">
        <left/>
        <right/>
        <top/>
        <bottom/>
      </border>
    </dxf>
  </rfmt>
  <rcc rId="76" sId="7">
    <nc r="I12">
      <v>0</v>
    </nc>
  </rcc>
  <rcc rId="77" sId="7">
    <nc r="G13">
      <v>0</v>
    </nc>
  </rcc>
  <rcc rId="78" sId="7">
    <nc r="H13">
      <v>0</v>
    </nc>
  </rcc>
  <rfmt sheetId="7" sqref="H13">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border diagonalUp="0" diagonalDown="0" outline="0">
        <left/>
        <right/>
        <top/>
        <bottom/>
      </border>
    </dxf>
  </rfmt>
  <rcc rId="79" sId="7">
    <nc r="I13">
      <v>0</v>
    </nc>
  </rcc>
  <rcc rId="80" sId="7">
    <nc r="G14">
      <v>0</v>
    </nc>
  </rcc>
  <rfmt sheetId="7" sqref="G14">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border diagonalUp="0" diagonalDown="0" outline="0">
        <left/>
        <right/>
        <top/>
        <bottom/>
      </border>
    </dxf>
  </rfmt>
  <rfmt sheetId="7" sqref="H14">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border diagonalUp="0" diagonalDown="0" outline="0">
        <left/>
        <right/>
        <top/>
        <bottom/>
      </border>
    </dxf>
  </rfmt>
  <rcc rId="81" sId="7">
    <nc r="G15">
      <v>0</v>
    </nc>
  </rcc>
  <rcc rId="82" sId="7">
    <nc r="H15">
      <v>0</v>
    </nc>
  </rcc>
  <rfmt sheetId="7" sqref="H15">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border diagonalUp="0" diagonalDown="0" outline="0">
        <left/>
        <right/>
        <top/>
        <bottom/>
      </border>
    </dxf>
  </rfmt>
  <rcc rId="83" sId="7">
    <nc r="I15">
      <v>0</v>
    </nc>
  </rcc>
  <rfmt sheetId="7" sqref="I14">
    <dxf>
      <numFmt numFmtId="3" formatCode="#,##0"/>
    </dxf>
  </rfmt>
  <rcc rId="84" sId="7">
    <nc r="H17">
      <v>400000</v>
    </nc>
  </rcc>
  <rfmt sheetId="7" sqref="H17">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border diagonalUp="0" diagonalDown="0" outline="0">
        <left/>
        <right/>
        <top/>
        <bottom/>
      </border>
    </dxf>
  </rfmt>
  <rcc rId="85" sId="7">
    <nc r="J12">
      <v>0</v>
    </nc>
  </rcc>
  <rcc rId="86" sId="7">
    <nc r="K12">
      <v>0</v>
    </nc>
  </rcc>
  <rcc rId="87" sId="7">
    <nc r="J13">
      <v>0</v>
    </nc>
  </rcc>
  <rcc rId="88" sId="7">
    <nc r="K13">
      <v>0</v>
    </nc>
  </rcc>
  <rcc rId="89" sId="7">
    <nc r="J14">
      <v>0</v>
    </nc>
  </rcc>
  <rcc rId="90" sId="7" numFmtId="34">
    <nc r="H14">
      <v>21926</v>
    </nc>
  </rcc>
  <rcc rId="91" sId="7" numFmtId="4">
    <nc r="I14">
      <v>0</v>
    </nc>
  </rcc>
  <rcc rId="92" sId="7">
    <nc r="K14">
      <v>0</v>
    </nc>
  </rcc>
  <rcc rId="93" sId="7">
    <nc r="J15">
      <v>0</v>
    </nc>
  </rcc>
  <rcc rId="94" sId="7">
    <nc r="K15">
      <v>0</v>
    </nc>
  </rcc>
  <rcc rId="95" sId="7">
    <nc r="J16">
      <v>0</v>
    </nc>
  </rcc>
  <rcc rId="96" sId="7">
    <nc r="K16">
      <v>0</v>
    </nc>
  </rcc>
  <rcc rId="97" sId="7">
    <nc r="J17">
      <v>0</v>
    </nc>
  </rcc>
  <rcc rId="98" sId="7">
    <nc r="K17">
      <v>0</v>
    </nc>
  </rcc>
  <rcc rId="99" sId="7">
    <nc r="I16">
      <v>0</v>
    </nc>
  </rcc>
  <rcc rId="100" sId="7">
    <nc r="I17">
      <v>0</v>
    </nc>
  </rcc>
  <rcc rId="101" sId="7">
    <nc r="G17">
      <v>0</v>
    </nc>
  </rcc>
  <rfmt sheetId="7" sqref="G17">
    <dxf>
      <font>
        <b val="0"/>
        <i val="0"/>
        <strike val="0"/>
        <condense val="0"/>
        <extend val="0"/>
        <outline val="0"/>
        <shadow val="0"/>
        <u val="none"/>
        <vertAlign val="baseline"/>
        <sz val="11"/>
        <color theme="1"/>
        <name val="Calibri"/>
        <family val="2"/>
        <scheme val="minor"/>
      </font>
      <border diagonalUp="0" diagonalDown="0" outline="0">
        <left/>
        <right/>
        <top/>
        <bottom/>
      </border>
    </dxf>
  </rfmt>
  <rcc rId="102" sId="7">
    <nc r="G16">
      <v>0</v>
    </nc>
  </rcc>
  <rfmt sheetId="7" sqref="G16">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border diagonalUp="0" diagonalDown="0" outline="0">
        <left/>
        <right/>
        <top/>
        <bottom/>
      </border>
    </dxf>
  </rfmt>
  <rcc rId="103" sId="7">
    <nc r="H16">
      <v>0</v>
    </nc>
  </rcc>
  <rfmt sheetId="7" sqref="H16">
    <dxf>
      <font>
        <b val="0"/>
        <i val="0"/>
        <strike val="0"/>
        <condense val="0"/>
        <extend val="0"/>
        <outline val="0"/>
        <shadow val="0"/>
        <u val="none"/>
        <vertAlign val="baseline"/>
        <sz val="11"/>
        <color theme="1"/>
        <name val="Calibri"/>
        <family val="2"/>
        <scheme val="minor"/>
      </font>
      <numFmt numFmtId="165" formatCode="_(&quot;$&quot;* #,##0_);_(&quot;$&quot;* \(#,##0\);_(&quot;$&quot;* &quot;-&quot;??_);_(@_)"/>
      <fill>
        <patternFill patternType="none">
          <fgColor indexed="64"/>
          <bgColor indexed="65"/>
        </patternFill>
      </fill>
      <border diagonalUp="0" diagonalDown="0" outline="0">
        <left/>
        <right/>
        <top/>
        <bottom/>
      </border>
    </dxf>
  </rfmt>
  <rcc rId="104" sId="7" numFmtId="34">
    <nc r="E15">
      <v>0</v>
    </nc>
  </rcc>
  <rcc rId="105" sId="7" numFmtId="34">
    <nc r="F15">
      <v>0</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5" numFmtId="34">
    <oc r="D14">
      <v>275941</v>
    </oc>
    <nc r="D14">
      <v>137971</v>
    </nc>
  </rcc>
  <rcc rId="107" sId="5" numFmtId="34">
    <oc r="D15">
      <f>657003-275941</f>
    </oc>
    <nc r="D15">
      <v>190531</v>
    </nc>
  </rcc>
  <rcc rId="108" sId="2" numFmtId="34">
    <nc r="C38">
      <v>976810</v>
    </nc>
  </rcc>
  <rcc rId="109" sId="2" odxf="1" dxf="1">
    <oc r="D39">
      <f>+C39/C$31</f>
    </oc>
    <nc r="D39">
      <f>+C39/C$31</f>
    </nc>
    <odxf>
      <numFmt numFmtId="0" formatCode="General"/>
    </odxf>
    <ndxf>
      <numFmt numFmtId="164" formatCode="0.0%"/>
    </ndxf>
  </rcc>
  <rcc rId="110" sId="2" odxf="1" dxf="1">
    <oc r="D41">
      <f>+C41/C$31</f>
    </oc>
    <nc r="D41">
      <f>+C41/C$31</f>
    </nc>
    <odxf>
      <numFmt numFmtId="0" formatCode="General"/>
    </odxf>
    <ndxf>
      <numFmt numFmtId="164" formatCode="0.0%"/>
    </ndxf>
  </rcc>
  <rcc rId="111" sId="2" numFmtId="34">
    <nc r="C45">
      <v>200794</v>
    </nc>
  </rcc>
  <rcc rId="112" sId="2">
    <oc r="B45" t="inlineStr">
      <is>
        <t>Other (specify, add additional rows as necessary)</t>
      </is>
    </oc>
    <nc r="B45" t="inlineStr">
      <is>
        <t>Depreciation</t>
      </is>
    </nc>
  </rcc>
  <rcc rId="113" sId="2" numFmtId="34">
    <nc r="C41">
      <v>519213</v>
    </nc>
  </rcc>
  <rcc rId="114" sId="2">
    <oc r="G46">
      <v>102753726</v>
    </oc>
    <nc r="G46"/>
  </rcc>
  <rcc rId="115" sId="2">
    <oc r="G47">
      <f>+G46-C46</f>
    </oc>
    <nc r="G47"/>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46" start="0" length="0">
    <dxf>
      <numFmt numFmtId="165" formatCode="_(&quot;$&quot;* #,##0_);_(&quot;$&quot;* \(#,##0\);_(&quot;$&quot;* &quot;-&quot;??_);_(@_)"/>
    </dxf>
  </rfmt>
  <rcc rId="116" sId="2" numFmtId="34">
    <oc r="C58">
      <f>SUM(D58:H58)</f>
    </oc>
    <nc r="C58">
      <v>89945769</v>
    </nc>
  </rcc>
  <rcc rId="117" sId="2" numFmtId="34">
    <nc r="D59">
      <v>2840725</v>
    </nc>
  </rcc>
  <rcc rId="118" sId="2" numFmtId="34">
    <nc r="E59">
      <v>126549</v>
    </nc>
  </rcc>
  <rcc rId="119" sId="2">
    <nc r="F59">
      <f>5316780+194436</f>
    </nc>
  </rcc>
  <rcc rId="120" sId="2" numFmtId="34">
    <nc r="G59">
      <v>132662</v>
    </nc>
  </rcc>
  <rcc rId="121" sId="2" numFmtId="34">
    <nc r="H60">
      <v>0</v>
    </nc>
  </rcc>
  <rcc rId="122" sId="2" numFmtId="34">
    <nc r="F61">
      <f>-251018-12048</f>
    </nc>
  </rcc>
  <rcc rId="123" sId="2" numFmtId="34">
    <nc r="G61">
      <v>-10681</v>
    </nc>
  </rcc>
  <rcc rId="124" sId="2" numFmtId="34">
    <nc r="E61">
      <v>-160623</v>
    </nc>
  </rcc>
  <rcc rId="125" sId="2" numFmtId="34">
    <nc r="D61">
      <v>594152</v>
    </nc>
  </rcc>
  <rcc rId="126" sId="2" numFmtId="34">
    <nc r="F65">
      <v>-176948</v>
    </nc>
  </rcc>
  <rcc rId="127" sId="2" numFmtId="34">
    <nc r="G65">
      <v>-8797</v>
    </nc>
  </rcc>
  <rcc rId="128" sId="2" numFmtId="34">
    <nc r="E65">
      <v>3754981</v>
    </nc>
  </rcc>
  <rcc rId="129" sId="2" numFmtId="34">
    <nc r="D65">
      <v>-3462721</v>
    </nc>
  </rcc>
  <rcc rId="130" sId="2" numFmtId="34">
    <nc r="G62">
      <v>0</v>
    </nc>
  </rcc>
  <rcc rId="131" sId="2" numFmtId="34">
    <nc r="G66">
      <v>30350</v>
    </nc>
  </rcc>
  <rcc rId="132" sId="2">
    <oc r="B67" t="inlineStr">
      <is>
        <t>Other (specify)</t>
      </is>
    </oc>
    <nc r="B67" t="inlineStr">
      <is>
        <t>Other Reform</t>
      </is>
    </nc>
  </rcc>
  <rcc rId="133" sId="2" numFmtId="34">
    <nc r="G67">
      <v>624</v>
    </nc>
  </rcc>
  <rcc rId="134" sId="2" numFmtId="34">
    <nc r="C78">
      <v>97917961</v>
    </nc>
  </rcc>
  <rfmt sheetId="2" sqref="C80" start="0" length="0">
    <dxf>
      <fill>
        <patternFill patternType="solid">
          <bgColor theme="0" tint="-0.14999847407452621"/>
        </patternFill>
      </fill>
      <protection locked="1"/>
    </dxf>
  </rfmt>
  <rcc rId="135" sId="2">
    <nc r="C80">
      <f>'4. Inflation'!D17</f>
    </nc>
  </rcc>
  <rfmt sheetId="2" sqref="F94" start="0" length="0">
    <dxf>
      <numFmt numFmtId="165" formatCode="_(&quot;$&quot;* #,##0_);_(&quot;$&quot;* \(#,##0\);_(&quot;$&quot;* &quot;-&quot;??_);_(@_)"/>
    </dxf>
  </rfmt>
  <rcc rId="136" sId="2" numFmtId="34">
    <nc r="C81">
      <v>2219749</v>
    </nc>
  </rcc>
  <rcc rId="137" sId="2" numFmtId="34">
    <nc r="C82">
      <v>350312</v>
    </nc>
  </rcc>
  <rcc rId="138" sId="2" numFmtId="34">
    <nc r="C83">
      <v>-1957619</v>
    </nc>
  </rcc>
  <rcc rId="139" sId="2" numFmtId="34">
    <nc r="C84">
      <v>-997393</v>
    </nc>
  </rcc>
  <rcc rId="140" sId="2" numFmtId="34">
    <nc r="C86">
      <v>246398</v>
    </nc>
  </rcc>
  <rcc rId="141" sId="2" numFmtId="34">
    <nc r="C85">
      <v>527185</v>
    </nc>
  </rcc>
  <rcc rId="142" sId="2" numFmtId="34">
    <nc r="C92">
      <v>337573</v>
    </nc>
  </rcc>
  <rcc rId="143" sId="2">
    <oc r="B92" t="inlineStr">
      <is>
        <t>Other (specify, add additional rows as necessary)</t>
      </is>
    </oc>
    <nc r="B92" t="inlineStr">
      <is>
        <t>Depreciation</t>
      </is>
    </nc>
  </rcc>
  <rcc rId="144" sId="2" numFmtId="34">
    <nc r="C88">
      <f>349932+88304</f>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 sId="4" numFmtId="11">
    <nc r="D9">
      <v>510777</v>
    </nc>
  </rcc>
  <rcc rId="146" sId="4" odxf="1" dxf="1" numFmtId="34">
    <nc r="D10">
      <v>3889914</v>
    </nc>
    <odxf>
      <font/>
      <numFmt numFmtId="167" formatCode="&quot;$&quot;#,##0"/>
      <protection locked="1"/>
    </odxf>
    <ndxf>
      <font/>
      <numFmt numFmtId="34" formatCode="_(&quot;$&quot;* #,##0.00_);_(&quot;$&quot;* \(#,##0.00\);_(&quot;$&quot;* &quot;-&quot;??_);_(@_)"/>
      <protection locked="0"/>
    </ndxf>
  </rcc>
  <rcc rId="147" sId="4" odxf="1" s="1" dxf="1">
    <nc r="D11">
      <f>3286842-193038</f>
    </nc>
    <odxf>
      <font>
        <b val="0"/>
        <i val="0"/>
        <strike val="0"/>
        <condense val="0"/>
        <extend val="0"/>
        <outline val="0"/>
        <shadow val="0"/>
        <u val="none"/>
        <vertAlign val="baseline"/>
        <sz val="11"/>
        <color theme="1"/>
        <name val="Calibri"/>
        <family val="2"/>
        <scheme val="none"/>
      </font>
      <numFmt numFmtId="167" formatCode="&quot;$&quot;#,##0"/>
      <border diagonalUp="0" diagonalDown="0" outline="0">
        <left style="thin">
          <color indexed="64"/>
        </left>
        <right style="thin">
          <color indexed="64"/>
        </right>
        <top style="thin">
          <color indexed="64"/>
        </top>
        <bottom style="thin">
          <color indexed="64"/>
        </bottom>
      </border>
    </odxf>
    <ndxf>
      <font>
        <sz val="11"/>
        <color theme="1"/>
        <name val="Calibri"/>
        <family val="2"/>
        <scheme val="minor"/>
      </font>
      <numFmt numFmtId="34" formatCode="_(&quot;$&quot;* #,##0.00_);_(&quot;$&quot;* \(#,##0.00\);_(&quot;$&quot;* &quot;-&quot;??_);_(@_)"/>
      <protection locked="0"/>
    </ndxf>
  </rcc>
  <rcc rId="148" sId="4" numFmtId="11">
    <nc r="D12">
      <v>-50943</v>
    </nc>
  </rcc>
  <rcc rId="149" sId="4">
    <nc r="B9" t="inlineStr">
      <is>
        <t>Medicare</t>
      </is>
    </nc>
  </rcc>
  <rcc rId="150" sId="4">
    <nc r="B10" t="inlineStr">
      <is>
        <t>Medicaid</t>
      </is>
    </nc>
  </rcc>
  <rcc rId="151" sId="4">
    <nc r="B11" t="inlineStr">
      <is>
        <t>Commercial</t>
      </is>
    </nc>
  </rcc>
  <rcc rId="152" sId="4">
    <nc r="B12" t="inlineStr">
      <is>
        <t>Self Pay/Other</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3"/>
  <sheetViews>
    <sheetView workbookViewId="0">
      <selection activeCell="A3" sqref="A3:B3"/>
    </sheetView>
  </sheetViews>
  <sheetFormatPr defaultRowHeight="15" x14ac:dyDescent="0.25"/>
  <cols>
    <col min="1" max="1" width="16.28515625" customWidth="1"/>
    <col min="2" max="2" width="66.7109375" style="27" customWidth="1"/>
    <col min="3" max="3" width="17.42578125" customWidth="1"/>
  </cols>
  <sheetData>
    <row r="1" spans="1:3" ht="18.75" x14ac:dyDescent="0.3">
      <c r="A1" s="245" t="s">
        <v>219</v>
      </c>
      <c r="B1" s="245"/>
    </row>
    <row r="2" spans="1:3" x14ac:dyDescent="0.25">
      <c r="A2" s="246" t="s">
        <v>0</v>
      </c>
      <c r="B2" s="246"/>
    </row>
    <row r="3" spans="1:3" ht="166.9" customHeight="1" x14ac:dyDescent="0.25">
      <c r="A3" s="244" t="s">
        <v>1</v>
      </c>
      <c r="B3" s="244"/>
    </row>
    <row r="4" spans="1:3" x14ac:dyDescent="0.25">
      <c r="B4" s="46"/>
    </row>
    <row r="5" spans="1:3" ht="15.75" x14ac:dyDescent="0.25">
      <c r="A5" s="114" t="s">
        <v>2</v>
      </c>
      <c r="B5" s="26" t="s">
        <v>3</v>
      </c>
      <c r="C5" s="45"/>
    </row>
    <row r="6" spans="1:3" ht="15.75" x14ac:dyDescent="0.25">
      <c r="A6" s="114" t="s">
        <v>2</v>
      </c>
      <c r="B6" s="45" t="s">
        <v>4</v>
      </c>
      <c r="C6" s="45"/>
    </row>
    <row r="7" spans="1:3" ht="15.75" x14ac:dyDescent="0.25">
      <c r="A7" s="113" t="s">
        <v>5</v>
      </c>
      <c r="B7" s="45" t="s">
        <v>6</v>
      </c>
      <c r="C7" s="45"/>
    </row>
    <row r="8" spans="1:3" ht="15.75" x14ac:dyDescent="0.25">
      <c r="A8" s="114" t="s">
        <v>2</v>
      </c>
      <c r="B8" s="26" t="s">
        <v>7</v>
      </c>
      <c r="C8" s="45"/>
    </row>
    <row r="9" spans="1:3" ht="15.75" x14ac:dyDescent="0.25">
      <c r="A9" s="114" t="s">
        <v>2</v>
      </c>
      <c r="B9" s="26" t="s">
        <v>213</v>
      </c>
      <c r="C9" s="45"/>
    </row>
    <row r="10" spans="1:3" ht="15.75" x14ac:dyDescent="0.25">
      <c r="A10" s="114" t="s">
        <v>2</v>
      </c>
      <c r="B10" s="220" t="s">
        <v>214</v>
      </c>
      <c r="C10" s="45"/>
    </row>
    <row r="11" spans="1:3" x14ac:dyDescent="0.25">
      <c r="C11" s="28"/>
    </row>
    <row r="12" spans="1:3" x14ac:dyDescent="0.25">
      <c r="C12" s="28"/>
    </row>
    <row r="13" spans="1:3" x14ac:dyDescent="0.25">
      <c r="C13" s="28"/>
    </row>
  </sheetData>
  <customSheetViews>
    <customSheetView guid="{34211852-B453-4CDA-9F61-C6EBB49F5732}" showPageBreaks="1" printArea="1">
      <selection activeCell="A3" sqref="A3:B3"/>
      <pageMargins left="0.7" right="0.7" top="0.75" bottom="0.75" header="0.3" footer="0.3"/>
      <pageSetup orientation="portrait" horizontalDpi="1200" verticalDpi="1200" r:id="rId1"/>
      <headerFooter>
        <oddFooter>&amp;L&amp;D&amp;R&amp;F,&amp;A</oddFooter>
      </headerFooter>
    </customSheetView>
    <customSheetView guid="{66DB97CC-E9CD-4D25-A10F-98CC991DB916}" showPageBreaks="1" printArea="1">
      <selection activeCell="A3" sqref="A3:B3"/>
      <pageMargins left="0.7" right="0.7" top="0.75" bottom="0.75" header="0.3" footer="0.3"/>
      <pageSetup orientation="portrait" horizontalDpi="1200" verticalDpi="1200" r:id="rId2"/>
      <headerFooter>
        <oddFooter>&amp;L&amp;D&amp;R&amp;F,&amp;A</oddFooter>
      </headerFooter>
    </customSheetView>
  </customSheetViews>
  <mergeCells count="3">
    <mergeCell ref="A3:B3"/>
    <mergeCell ref="A1:B1"/>
    <mergeCell ref="A2:B2"/>
  </mergeCells>
  <pageMargins left="0.7" right="0.7" top="0.75" bottom="0.75" header="0.3" footer="0.3"/>
  <pageSetup orientation="portrait" horizontalDpi="1200" verticalDpi="1200" r:id="rId3"/>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W97"/>
  <sheetViews>
    <sheetView showGridLines="0" topLeftCell="A55" zoomScaleNormal="100" zoomScaleSheetLayoutView="80" workbookViewId="0">
      <selection activeCell="G48" sqref="G48"/>
    </sheetView>
  </sheetViews>
  <sheetFormatPr defaultRowHeight="15" x14ac:dyDescent="0.25"/>
  <cols>
    <col min="1" max="1" width="14.42578125" customWidth="1"/>
    <col min="2" max="2" width="58.140625" customWidth="1"/>
    <col min="3"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48" t="s">
        <v>8</v>
      </c>
      <c r="C2" s="248"/>
      <c r="D2" s="248"/>
      <c r="E2" s="248"/>
      <c r="F2" s="248"/>
      <c r="G2" s="248"/>
      <c r="H2" s="248"/>
      <c r="I2" s="248"/>
      <c r="J2" s="248"/>
      <c r="K2" s="248"/>
      <c r="L2" s="248"/>
      <c r="M2" s="248"/>
      <c r="N2" s="248"/>
      <c r="O2" s="248"/>
    </row>
    <row r="3" spans="1:15" ht="21" x14ac:dyDescent="0.35">
      <c r="B3" s="249" t="s">
        <v>9</v>
      </c>
      <c r="C3" s="250"/>
      <c r="D3" s="250"/>
      <c r="E3" s="250"/>
      <c r="F3" s="250"/>
      <c r="G3" s="250"/>
      <c r="H3" s="250"/>
      <c r="I3" s="250"/>
      <c r="J3" s="250"/>
      <c r="K3" s="250"/>
      <c r="L3" s="250"/>
      <c r="M3" s="250"/>
      <c r="N3" s="250"/>
      <c r="O3" s="251"/>
    </row>
    <row r="4" spans="1:15" ht="21" x14ac:dyDescent="0.35">
      <c r="B4" s="255" t="s">
        <v>10</v>
      </c>
      <c r="C4" s="256"/>
      <c r="D4" s="256"/>
      <c r="E4" s="256"/>
      <c r="F4" s="256"/>
      <c r="G4" s="256"/>
      <c r="H4" s="256"/>
      <c r="I4" s="256"/>
      <c r="J4" s="256"/>
      <c r="K4" s="256"/>
      <c r="L4" s="256"/>
      <c r="M4" s="256"/>
      <c r="N4" s="256"/>
      <c r="O4" s="257"/>
    </row>
    <row r="6" spans="1:15" ht="18.75" x14ac:dyDescent="0.3">
      <c r="B6" s="252" t="s">
        <v>11</v>
      </c>
      <c r="C6" s="253"/>
      <c r="D6" s="253"/>
      <c r="E6" s="253"/>
      <c r="F6" s="253"/>
      <c r="G6" s="253"/>
      <c r="H6" s="253"/>
      <c r="I6" s="253"/>
      <c r="J6" s="253"/>
      <c r="K6" s="253"/>
      <c r="L6" s="253"/>
      <c r="M6" s="253"/>
      <c r="N6" s="253"/>
      <c r="O6" s="254"/>
    </row>
    <row r="7" spans="1:15" s="56" customFormat="1" ht="18.75" x14ac:dyDescent="0.3">
      <c r="B7" s="55"/>
      <c r="C7" s="55"/>
      <c r="D7" s="55"/>
      <c r="E7" s="55"/>
      <c r="F7" s="55"/>
      <c r="G7" s="55"/>
      <c r="H7" s="55"/>
      <c r="I7" s="55"/>
      <c r="J7" s="55"/>
      <c r="K7" s="55"/>
      <c r="L7" s="55"/>
      <c r="M7" s="55"/>
      <c r="N7" s="55"/>
      <c r="O7" s="55"/>
    </row>
    <row r="8" spans="1:15" ht="18.75" x14ac:dyDescent="0.3">
      <c r="B8" s="98" t="s">
        <v>155</v>
      </c>
      <c r="C8" s="4"/>
    </row>
    <row r="9" spans="1:15" ht="22.15" customHeight="1" x14ac:dyDescent="0.3">
      <c r="B9" s="4"/>
      <c r="C9" s="4"/>
      <c r="E9" s="84"/>
      <c r="F9" s="84"/>
      <c r="G9" s="84"/>
      <c r="H9" s="84"/>
      <c r="I9" s="84"/>
      <c r="K9" s="28"/>
    </row>
    <row r="10" spans="1:15" s="105" customFormat="1" ht="30" x14ac:dyDescent="0.25">
      <c r="B10" s="103" t="s">
        <v>12</v>
      </c>
      <c r="C10" s="103" t="s">
        <v>13</v>
      </c>
      <c r="D10" s="103" t="s">
        <v>14</v>
      </c>
      <c r="E10" s="103" t="s">
        <v>15</v>
      </c>
      <c r="F10" s="103" t="s">
        <v>16</v>
      </c>
      <c r="G10" s="103" t="s">
        <v>17</v>
      </c>
      <c r="H10" s="103" t="s">
        <v>18</v>
      </c>
      <c r="I10" s="104"/>
      <c r="J10" s="106"/>
    </row>
    <row r="11" spans="1:15" x14ac:dyDescent="0.25">
      <c r="B11" s="5" t="s">
        <v>156</v>
      </c>
      <c r="C11" s="89">
        <f>SUM(D11:H11)</f>
        <v>87889673</v>
      </c>
      <c r="D11" s="95">
        <v>33409666</v>
      </c>
      <c r="E11" s="96">
        <v>12963074</v>
      </c>
      <c r="F11" s="96">
        <v>39877962</v>
      </c>
      <c r="G11" s="96">
        <v>952331</v>
      </c>
      <c r="H11" s="96">
        <v>686640</v>
      </c>
      <c r="J11" s="28"/>
    </row>
    <row r="12" spans="1:15" ht="14.45" customHeight="1" x14ac:dyDescent="0.25">
      <c r="A12" s="258"/>
      <c r="B12" s="8" t="s">
        <v>19</v>
      </c>
      <c r="C12" s="89">
        <f>SUM(D12:H12)</f>
        <v>8611152</v>
      </c>
      <c r="D12" s="90">
        <v>2840725</v>
      </c>
      <c r="E12" s="91">
        <v>126549</v>
      </c>
      <c r="F12" s="92">
        <f>5316780+194436</f>
        <v>5511216</v>
      </c>
      <c r="G12" s="92">
        <v>132662</v>
      </c>
      <c r="H12" s="92"/>
      <c r="L12" s="22"/>
      <c r="M12" s="23"/>
    </row>
    <row r="13" spans="1:15" x14ac:dyDescent="0.25">
      <c r="A13" s="258"/>
      <c r="B13" s="8" t="s">
        <v>20</v>
      </c>
      <c r="C13" s="89">
        <f>SUM(D13:H13)</f>
        <v>-63986</v>
      </c>
      <c r="D13" s="90"/>
      <c r="E13" s="91"/>
      <c r="F13" s="92"/>
      <c r="G13" s="92"/>
      <c r="H13" s="92">
        <v>-63986</v>
      </c>
      <c r="L13" s="22"/>
      <c r="M13" s="23"/>
    </row>
    <row r="14" spans="1:15" x14ac:dyDescent="0.25">
      <c r="A14" s="258"/>
      <c r="B14" s="8" t="s">
        <v>21</v>
      </c>
      <c r="C14" s="89">
        <f>SUM(D14:H14)</f>
        <v>7443552</v>
      </c>
      <c r="D14" s="90">
        <v>510777</v>
      </c>
      <c r="E14" s="91">
        <v>3889914</v>
      </c>
      <c r="F14" s="92">
        <f>3286842-193038</f>
        <v>3093804</v>
      </c>
      <c r="G14" s="92">
        <v>-50943</v>
      </c>
      <c r="H14" s="92"/>
      <c r="L14" s="22"/>
      <c r="M14" s="23"/>
    </row>
    <row r="15" spans="1:15" x14ac:dyDescent="0.25">
      <c r="A15" s="258"/>
      <c r="B15" s="8" t="s">
        <v>22</v>
      </c>
      <c r="C15" s="89">
        <f t="shared" ref="C15:C19" si="0">SUM(D15:H15)</f>
        <v>-255295</v>
      </c>
      <c r="D15" s="90"/>
      <c r="E15" s="91"/>
      <c r="F15" s="92"/>
      <c r="G15" s="92">
        <v>-255295</v>
      </c>
      <c r="H15" s="92"/>
      <c r="L15" s="22"/>
      <c r="M15" s="23"/>
    </row>
    <row r="16" spans="1:15" x14ac:dyDescent="0.25">
      <c r="A16" s="258"/>
      <c r="B16" s="10" t="s">
        <v>23</v>
      </c>
      <c r="C16" s="89">
        <f t="shared" si="0"/>
        <v>0</v>
      </c>
      <c r="D16" s="90"/>
      <c r="E16" s="91"/>
      <c r="F16" s="93"/>
      <c r="G16" s="93"/>
      <c r="H16" s="93"/>
      <c r="L16" s="22"/>
      <c r="M16" s="23"/>
    </row>
    <row r="17" spans="1:23" x14ac:dyDescent="0.25">
      <c r="A17" s="258"/>
      <c r="B17" s="10" t="s">
        <v>24</v>
      </c>
      <c r="C17" s="89">
        <f t="shared" si="0"/>
        <v>0</v>
      </c>
      <c r="D17" s="90"/>
      <c r="E17" s="91"/>
      <c r="F17" s="92"/>
      <c r="G17" s="92"/>
      <c r="H17" s="92"/>
      <c r="L17" s="22"/>
      <c r="M17" s="23"/>
    </row>
    <row r="18" spans="1:23" x14ac:dyDescent="0.25">
      <c r="A18" s="258"/>
      <c r="B18" s="10" t="s">
        <v>25</v>
      </c>
      <c r="C18" s="89">
        <f t="shared" si="0"/>
        <v>-4831355</v>
      </c>
      <c r="D18" s="90">
        <v>-2822047</v>
      </c>
      <c r="E18" s="91">
        <v>-65392</v>
      </c>
      <c r="F18" s="92">
        <v>-2087598</v>
      </c>
      <c r="G18" s="92">
        <v>143682</v>
      </c>
      <c r="H18" s="92"/>
      <c r="L18" s="22"/>
      <c r="M18" s="23"/>
    </row>
    <row r="19" spans="1:23" x14ac:dyDescent="0.25">
      <c r="A19" s="258"/>
      <c r="B19" s="10" t="s">
        <v>26</v>
      </c>
      <c r="C19" s="89">
        <f t="shared" si="0"/>
        <v>-242145</v>
      </c>
      <c r="D19" s="90"/>
      <c r="E19" s="91"/>
      <c r="F19" s="92"/>
      <c r="G19" s="92">
        <v>-242145</v>
      </c>
      <c r="H19" s="92"/>
      <c r="L19" s="22"/>
      <c r="M19" s="23"/>
    </row>
    <row r="20" spans="1:23" x14ac:dyDescent="0.25">
      <c r="B20" s="88" t="s">
        <v>78</v>
      </c>
      <c r="C20" s="89">
        <f>SUM(D20:H20)</f>
        <v>302596</v>
      </c>
      <c r="D20" s="90"/>
      <c r="E20" s="91"/>
      <c r="F20" s="93"/>
      <c r="G20" s="93">
        <v>302596</v>
      </c>
      <c r="H20" s="93"/>
      <c r="O20" s="22"/>
      <c r="P20" s="23"/>
    </row>
    <row r="21" spans="1:23" x14ac:dyDescent="0.25">
      <c r="B21" s="88" t="s">
        <v>27</v>
      </c>
      <c r="C21" s="89">
        <f>SUM(D21:H21)</f>
        <v>0</v>
      </c>
      <c r="D21" s="90"/>
      <c r="E21" s="91"/>
      <c r="F21" s="93"/>
      <c r="G21" s="93"/>
      <c r="H21" s="93"/>
      <c r="O21" s="22"/>
      <c r="P21" s="23"/>
    </row>
    <row r="22" spans="1:23" x14ac:dyDescent="0.25">
      <c r="B22" s="88" t="s">
        <v>27</v>
      </c>
      <c r="C22" s="89">
        <f>SUM(D22:H22)</f>
        <v>0</v>
      </c>
      <c r="D22" s="90"/>
      <c r="E22" s="91"/>
      <c r="F22" s="93"/>
      <c r="G22" s="93"/>
      <c r="H22" s="93"/>
      <c r="O22" s="22"/>
      <c r="P22" s="23"/>
    </row>
    <row r="23" spans="1:23" x14ac:dyDescent="0.25">
      <c r="B23" s="11" t="s">
        <v>157</v>
      </c>
      <c r="C23" s="6">
        <f t="shared" ref="C23:H23" si="1">SUM(C11:C22)</f>
        <v>98854192</v>
      </c>
      <c r="D23" s="52">
        <f t="shared" si="1"/>
        <v>33939121</v>
      </c>
      <c r="E23" s="52">
        <f t="shared" si="1"/>
        <v>16914145</v>
      </c>
      <c r="F23" s="52">
        <f t="shared" si="1"/>
        <v>46395384</v>
      </c>
      <c r="G23" s="52">
        <f t="shared" si="1"/>
        <v>982888</v>
      </c>
      <c r="H23" s="52">
        <f t="shared" si="1"/>
        <v>622654</v>
      </c>
      <c r="O23" s="22"/>
      <c r="P23" s="23"/>
    </row>
    <row r="24" spans="1:23" x14ac:dyDescent="0.25">
      <c r="C24" s="14"/>
      <c r="D24" s="15"/>
      <c r="O24" s="22"/>
      <c r="P24" s="23"/>
    </row>
    <row r="25" spans="1:23" x14ac:dyDescent="0.25">
      <c r="B25" s="29" t="s">
        <v>158</v>
      </c>
      <c r="C25" s="64">
        <f>+C23-C11</f>
        <v>10964519</v>
      </c>
      <c r="D25" s="19">
        <f t="shared" ref="D25:H25" si="2">+D23-D11</f>
        <v>529455</v>
      </c>
      <c r="E25" s="19">
        <f t="shared" si="2"/>
        <v>3951071</v>
      </c>
      <c r="F25" s="19">
        <f t="shared" si="2"/>
        <v>6517422</v>
      </c>
      <c r="G25" s="19">
        <f t="shared" si="2"/>
        <v>30557</v>
      </c>
      <c r="H25" s="19">
        <f t="shared" si="2"/>
        <v>-63986</v>
      </c>
      <c r="O25" s="22"/>
      <c r="P25" s="23"/>
    </row>
    <row r="26" spans="1:23" x14ac:dyDescent="0.25">
      <c r="B26" s="53" t="s">
        <v>159</v>
      </c>
      <c r="C26" s="54">
        <f>(C25)/C11</f>
        <v>0.12475321190465688</v>
      </c>
      <c r="D26" s="54">
        <f t="shared" ref="D26:H26" si="3">(D25)/D11</f>
        <v>1.5847359862861246E-2</v>
      </c>
      <c r="E26" s="54">
        <f t="shared" si="3"/>
        <v>0.3047942949334394</v>
      </c>
      <c r="F26" s="54">
        <f t="shared" si="3"/>
        <v>0.16343417950997596</v>
      </c>
      <c r="G26" s="54">
        <f t="shared" si="3"/>
        <v>3.2086532938652636E-2</v>
      </c>
      <c r="H26" s="54">
        <f t="shared" si="3"/>
        <v>-9.3187114062682042E-2</v>
      </c>
      <c r="O26" s="22"/>
      <c r="P26" s="23"/>
    </row>
    <row r="27" spans="1:23" x14ac:dyDescent="0.25">
      <c r="B27" s="117"/>
      <c r="C27" s="59"/>
      <c r="D27" s="59"/>
      <c r="E27" s="59"/>
      <c r="F27" s="59"/>
      <c r="G27" s="59"/>
      <c r="H27" s="59"/>
      <c r="O27" s="22"/>
      <c r="P27" s="23"/>
    </row>
    <row r="28" spans="1:23" ht="28.15" customHeight="1" x14ac:dyDescent="0.3">
      <c r="B28" s="98" t="s">
        <v>160</v>
      </c>
      <c r="C28" s="4"/>
      <c r="D28" s="15"/>
      <c r="E28" s="15"/>
      <c r="V28" s="22"/>
      <c r="W28" s="23"/>
    </row>
    <row r="29" spans="1:23" ht="18.75" x14ac:dyDescent="0.3">
      <c r="B29" s="98"/>
      <c r="C29" s="4"/>
      <c r="D29" s="15"/>
      <c r="E29" s="15"/>
      <c r="V29" s="22"/>
      <c r="W29" s="23"/>
    </row>
    <row r="30" spans="1:23" s="87" customFormat="1" x14ac:dyDescent="0.25">
      <c r="B30" s="100" t="s">
        <v>28</v>
      </c>
      <c r="C30" s="100" t="s">
        <v>29</v>
      </c>
      <c r="D30" s="100" t="s">
        <v>30</v>
      </c>
      <c r="E30" s="184"/>
      <c r="F30" s="185"/>
      <c r="G30" s="185"/>
      <c r="H30" s="185"/>
      <c r="V30" s="101"/>
      <c r="W30" s="102"/>
    </row>
    <row r="31" spans="1:23" x14ac:dyDescent="0.25">
      <c r="B31" s="5" t="s">
        <v>156</v>
      </c>
      <c r="C31" s="89">
        <v>93407053</v>
      </c>
      <c r="D31" s="7"/>
      <c r="E31" s="198"/>
      <c r="F31" s="223"/>
      <c r="G31" s="187"/>
      <c r="H31" s="187"/>
      <c r="V31" s="22"/>
      <c r="W31" s="23"/>
    </row>
    <row r="32" spans="1:23" x14ac:dyDescent="0.25">
      <c r="B32" s="8" t="s">
        <v>31</v>
      </c>
      <c r="C32" s="94"/>
      <c r="D32" s="97">
        <f>+C32/C$31</f>
        <v>0</v>
      </c>
      <c r="E32" s="186"/>
      <c r="F32" s="85"/>
      <c r="G32" s="187"/>
      <c r="H32" s="187"/>
      <c r="V32" s="22"/>
    </row>
    <row r="33" spans="2:22" x14ac:dyDescent="0.25">
      <c r="B33" s="183" t="s">
        <v>180</v>
      </c>
      <c r="C33" s="176">
        <f>'4. Inflation'!D17</f>
        <v>3671324</v>
      </c>
      <c r="D33" s="9">
        <f t="shared" ref="D33:D45" si="4">+C33/C$31</f>
        <v>3.9304569431175607E-2</v>
      </c>
      <c r="E33" s="188"/>
      <c r="F33" s="85"/>
      <c r="G33" s="187"/>
      <c r="H33" s="187"/>
      <c r="V33" s="22"/>
    </row>
    <row r="34" spans="2:22" x14ac:dyDescent="0.25">
      <c r="B34" s="10" t="s">
        <v>33</v>
      </c>
      <c r="C34" s="94">
        <v>1147848</v>
      </c>
      <c r="D34" s="9">
        <f t="shared" si="4"/>
        <v>1.228866518248895E-2</v>
      </c>
      <c r="E34" s="186"/>
      <c r="F34" s="186"/>
      <c r="G34" s="187"/>
      <c r="H34" s="187"/>
      <c r="V34" s="22"/>
    </row>
    <row r="35" spans="2:22" x14ac:dyDescent="0.25">
      <c r="B35" s="10" t="s">
        <v>34</v>
      </c>
      <c r="C35" s="94">
        <v>-59141</v>
      </c>
      <c r="D35" s="9">
        <f t="shared" si="4"/>
        <v>-6.3315347289674153E-4</v>
      </c>
      <c r="E35" s="186"/>
      <c r="F35" s="186"/>
      <c r="G35" s="187"/>
      <c r="H35" s="187"/>
      <c r="V35" s="22"/>
    </row>
    <row r="36" spans="2:22" x14ac:dyDescent="0.25">
      <c r="B36" s="10" t="s">
        <v>35</v>
      </c>
      <c r="C36" s="94">
        <v>1482719</v>
      </c>
      <c r="D36" s="9">
        <f t="shared" si="4"/>
        <v>1.5873737072081697E-2</v>
      </c>
      <c r="E36" s="186"/>
      <c r="F36" s="186"/>
      <c r="G36" s="187"/>
      <c r="H36" s="187"/>
      <c r="V36" s="22"/>
    </row>
    <row r="37" spans="2:22" x14ac:dyDescent="0.25">
      <c r="B37" s="10" t="s">
        <v>36</v>
      </c>
      <c r="C37" s="94">
        <v>755435</v>
      </c>
      <c r="D37" s="9">
        <f t="shared" si="4"/>
        <v>8.0875584416521522E-3</v>
      </c>
      <c r="E37" s="186"/>
      <c r="F37" s="186"/>
      <c r="G37" s="187"/>
      <c r="H37" s="187"/>
      <c r="V37" s="22"/>
    </row>
    <row r="38" spans="2:22" x14ac:dyDescent="0.25">
      <c r="B38" s="10" t="s">
        <v>37</v>
      </c>
      <c r="C38" s="94">
        <v>976810</v>
      </c>
      <c r="D38" s="9">
        <f t="shared" si="4"/>
        <v>1.0457561486283054E-2</v>
      </c>
      <c r="E38" s="186"/>
      <c r="F38" s="186"/>
      <c r="G38" s="187"/>
      <c r="H38" s="187"/>
    </row>
    <row r="39" spans="2:22" x14ac:dyDescent="0.25">
      <c r="B39" s="10" t="s">
        <v>38</v>
      </c>
      <c r="C39" s="94">
        <v>651671</v>
      </c>
      <c r="D39" s="9">
        <f>+C39/C$31</f>
        <v>6.9766787311018154E-3</v>
      </c>
      <c r="E39" s="186"/>
      <c r="F39" s="186"/>
      <c r="G39" s="187"/>
      <c r="H39" s="187"/>
    </row>
    <row r="40" spans="2:22" x14ac:dyDescent="0.25">
      <c r="B40" s="10" t="s">
        <v>39</v>
      </c>
      <c r="C40" s="94"/>
      <c r="D40" s="97">
        <f>+C40/C$31</f>
        <v>0</v>
      </c>
      <c r="E40" s="186"/>
      <c r="F40" s="186"/>
      <c r="G40" s="187"/>
      <c r="H40" s="187"/>
    </row>
    <row r="41" spans="2:22" x14ac:dyDescent="0.25">
      <c r="B41" s="88" t="s">
        <v>183</v>
      </c>
      <c r="C41" s="94">
        <v>519213</v>
      </c>
      <c r="D41" s="9">
        <f>+C41/C$31</f>
        <v>5.5586059438145425E-3</v>
      </c>
      <c r="E41" s="186"/>
      <c r="F41" s="186"/>
      <c r="G41" s="187"/>
      <c r="H41" s="187"/>
    </row>
    <row r="42" spans="2:22" x14ac:dyDescent="0.25">
      <c r="B42" s="88" t="s">
        <v>184</v>
      </c>
      <c r="C42" s="94"/>
      <c r="D42" s="97">
        <f t="shared" ref="D42:D43" si="5">+C42/C$31</f>
        <v>0</v>
      </c>
      <c r="E42" s="186"/>
      <c r="F42" s="186"/>
      <c r="G42" s="187"/>
      <c r="H42" s="187"/>
    </row>
    <row r="43" spans="2:22" x14ac:dyDescent="0.25">
      <c r="B43" s="88" t="s">
        <v>185</v>
      </c>
      <c r="C43" s="94"/>
      <c r="D43" s="97">
        <f t="shared" si="5"/>
        <v>0</v>
      </c>
      <c r="E43" s="186"/>
      <c r="F43" s="186"/>
      <c r="G43" s="187"/>
      <c r="H43" s="187"/>
    </row>
    <row r="44" spans="2:22" x14ac:dyDescent="0.25">
      <c r="B44" s="88" t="s">
        <v>186</v>
      </c>
      <c r="C44" s="94"/>
      <c r="D44" s="97">
        <f t="shared" si="4"/>
        <v>0</v>
      </c>
      <c r="E44" s="186"/>
      <c r="F44" s="186"/>
      <c r="G44" s="187"/>
      <c r="H44" s="187"/>
    </row>
    <row r="45" spans="2:22" x14ac:dyDescent="0.25">
      <c r="B45" s="88" t="s">
        <v>236</v>
      </c>
      <c r="C45" s="94">
        <v>200794</v>
      </c>
      <c r="D45" s="240">
        <f t="shared" si="4"/>
        <v>2.1496663640592538E-3</v>
      </c>
      <c r="E45" s="186"/>
      <c r="F45" s="186"/>
      <c r="G45" s="187"/>
      <c r="H45" s="187"/>
    </row>
    <row r="46" spans="2:22" x14ac:dyDescent="0.25">
      <c r="B46" s="11" t="s">
        <v>157</v>
      </c>
      <c r="C46" s="12">
        <f>SUM(C31:C45)</f>
        <v>102753726</v>
      </c>
      <c r="D46" s="13">
        <f>SUM(D32:D45)</f>
        <v>0.10006388917976035</v>
      </c>
      <c r="E46" s="186"/>
      <c r="F46" s="186"/>
      <c r="G46" s="235"/>
      <c r="H46" s="187"/>
    </row>
    <row r="47" spans="2:22" x14ac:dyDescent="0.25">
      <c r="B47" s="85"/>
      <c r="C47" s="86"/>
      <c r="D47" s="77"/>
      <c r="E47" s="77"/>
      <c r="G47" s="14"/>
    </row>
    <row r="48" spans="2:22" x14ac:dyDescent="0.25">
      <c r="B48" s="29" t="s">
        <v>158</v>
      </c>
      <c r="C48" s="64">
        <f>+C46-C31</f>
        <v>9346673</v>
      </c>
      <c r="D48" s="77"/>
      <c r="E48" s="77"/>
    </row>
    <row r="49" spans="1:23" x14ac:dyDescent="0.25">
      <c r="B49" s="53" t="s">
        <v>159</v>
      </c>
      <c r="C49" s="54">
        <f>(C48)/C31</f>
        <v>0.10006388917976033</v>
      </c>
      <c r="D49" s="77"/>
      <c r="E49" s="77"/>
    </row>
    <row r="50" spans="1:23" x14ac:dyDescent="0.25">
      <c r="B50" s="117"/>
      <c r="C50" s="59"/>
      <c r="D50" s="59"/>
      <c r="E50" s="59"/>
      <c r="F50" s="59"/>
      <c r="G50" s="59"/>
      <c r="H50" s="59"/>
      <c r="O50" s="22"/>
      <c r="P50" s="23"/>
    </row>
    <row r="52" spans="1:23" ht="18.75" x14ac:dyDescent="0.3">
      <c r="B52" s="252" t="s">
        <v>40</v>
      </c>
      <c r="C52" s="253"/>
      <c r="D52" s="253"/>
      <c r="E52" s="253"/>
      <c r="F52" s="253"/>
      <c r="G52" s="253"/>
      <c r="H52" s="253"/>
      <c r="I52" s="253"/>
      <c r="J52" s="253"/>
      <c r="K52" s="253"/>
      <c r="L52" s="253"/>
      <c r="M52" s="253"/>
      <c r="N52" s="253"/>
      <c r="O52" s="254"/>
      <c r="V52" s="22"/>
      <c r="W52" s="23"/>
    </row>
    <row r="53" spans="1:23" x14ac:dyDescent="0.25">
      <c r="B53" s="17"/>
    </row>
    <row r="54" spans="1:23" ht="18.75" x14ac:dyDescent="0.3">
      <c r="B54" s="98" t="s">
        <v>161</v>
      </c>
      <c r="C54" s="4"/>
    </row>
    <row r="55" spans="1:23" ht="18.75" x14ac:dyDescent="0.3">
      <c r="B55" s="98"/>
      <c r="C55" s="4"/>
    </row>
    <row r="56" spans="1:23" ht="18.75" x14ac:dyDescent="0.3">
      <c r="B56" s="98" t="s">
        <v>41</v>
      </c>
      <c r="C56" s="139" t="s">
        <v>162</v>
      </c>
    </row>
    <row r="57" spans="1:23" s="87" customFormat="1" ht="30" x14ac:dyDescent="0.25">
      <c r="B57" s="99" t="s">
        <v>12</v>
      </c>
      <c r="C57" s="99" t="s">
        <v>13</v>
      </c>
      <c r="D57" s="99" t="s">
        <v>14</v>
      </c>
      <c r="E57" s="99" t="s">
        <v>15</v>
      </c>
      <c r="F57" s="99" t="s">
        <v>16</v>
      </c>
      <c r="G57" s="99" t="s">
        <v>17</v>
      </c>
      <c r="H57" s="99" t="s">
        <v>18</v>
      </c>
    </row>
    <row r="58" spans="1:23" x14ac:dyDescent="0.25">
      <c r="B58" s="5" t="s">
        <v>163</v>
      </c>
      <c r="C58" s="89">
        <f>SUM(D58:H58)</f>
        <v>89945769</v>
      </c>
      <c r="D58" s="95">
        <v>33966965</v>
      </c>
      <c r="E58" s="96">
        <v>13239915</v>
      </c>
      <c r="F58" s="96">
        <v>41051687</v>
      </c>
      <c r="G58" s="96">
        <v>1064548</v>
      </c>
      <c r="H58" s="96">
        <v>622654</v>
      </c>
    </row>
    <row r="59" spans="1:23" ht="14.45" customHeight="1" x14ac:dyDescent="0.25">
      <c r="A59" s="247"/>
      <c r="B59" s="8" t="s">
        <v>19</v>
      </c>
      <c r="C59" s="89">
        <f>SUM(D59:H59)</f>
        <v>8611152</v>
      </c>
      <c r="D59" s="90">
        <v>2840725</v>
      </c>
      <c r="E59" s="91">
        <v>126549</v>
      </c>
      <c r="F59" s="92">
        <f>5316780+194436</f>
        <v>5511216</v>
      </c>
      <c r="G59" s="92">
        <v>132662</v>
      </c>
      <c r="H59" s="92"/>
      <c r="L59" s="22"/>
      <c r="M59" s="23"/>
    </row>
    <row r="60" spans="1:23" x14ac:dyDescent="0.25">
      <c r="A60" s="247"/>
      <c r="B60" s="8" t="s">
        <v>20</v>
      </c>
      <c r="C60" s="89">
        <f>SUM(D60:H60)</f>
        <v>0</v>
      </c>
      <c r="D60" s="90"/>
      <c r="E60" s="91"/>
      <c r="F60" s="92"/>
      <c r="G60" s="92"/>
      <c r="H60" s="92">
        <v>0</v>
      </c>
      <c r="L60" s="22"/>
      <c r="M60" s="23"/>
    </row>
    <row r="61" spans="1:23" x14ac:dyDescent="0.25">
      <c r="A61" s="247"/>
      <c r="B61" s="8" t="s">
        <v>21</v>
      </c>
      <c r="C61" s="89">
        <f>SUM(D61:H61)</f>
        <v>159782</v>
      </c>
      <c r="D61" s="90">
        <v>594152</v>
      </c>
      <c r="E61" s="91">
        <v>-160623</v>
      </c>
      <c r="F61" s="92">
        <f>-251018-12048</f>
        <v>-263066</v>
      </c>
      <c r="G61" s="92">
        <v>-10681</v>
      </c>
      <c r="H61" s="92"/>
      <c r="L61" s="22"/>
      <c r="M61" s="23"/>
    </row>
    <row r="62" spans="1:23" x14ac:dyDescent="0.25">
      <c r="A62" s="247"/>
      <c r="B62" s="8" t="s">
        <v>22</v>
      </c>
      <c r="C62" s="89">
        <f t="shared" ref="C62:C69" si="6">SUM(D62:H62)</f>
        <v>0</v>
      </c>
      <c r="D62" s="90"/>
      <c r="E62" s="91"/>
      <c r="F62" s="92"/>
      <c r="G62" s="92">
        <v>0</v>
      </c>
      <c r="H62" s="92"/>
      <c r="L62" s="22"/>
      <c r="M62" s="23"/>
    </row>
    <row r="63" spans="1:23" x14ac:dyDescent="0.25">
      <c r="B63" s="10" t="s">
        <v>23</v>
      </c>
      <c r="C63" s="89">
        <f t="shared" si="6"/>
        <v>0</v>
      </c>
      <c r="D63" s="90"/>
      <c r="E63" s="91"/>
      <c r="F63" s="93"/>
      <c r="G63" s="93"/>
      <c r="H63" s="93"/>
      <c r="L63" s="22"/>
      <c r="M63" s="23"/>
    </row>
    <row r="64" spans="1:23" x14ac:dyDescent="0.25">
      <c r="B64" s="10" t="s">
        <v>24</v>
      </c>
      <c r="C64" s="89">
        <f t="shared" si="6"/>
        <v>0</v>
      </c>
      <c r="D64" s="90"/>
      <c r="E64" s="91"/>
      <c r="F64" s="92"/>
      <c r="G64" s="92"/>
      <c r="H64" s="92"/>
      <c r="L64" s="22"/>
      <c r="M64" s="23"/>
    </row>
    <row r="65" spans="2:23" x14ac:dyDescent="0.25">
      <c r="B65" s="10" t="s">
        <v>25</v>
      </c>
      <c r="C65" s="89">
        <f t="shared" si="6"/>
        <v>106515</v>
      </c>
      <c r="D65" s="90">
        <v>-3462721</v>
      </c>
      <c r="E65" s="91">
        <v>3754981</v>
      </c>
      <c r="F65" s="92">
        <v>-176948</v>
      </c>
      <c r="G65" s="92">
        <v>-8797</v>
      </c>
      <c r="H65" s="92"/>
      <c r="L65" s="22"/>
      <c r="M65" s="23"/>
    </row>
    <row r="66" spans="2:23" x14ac:dyDescent="0.25">
      <c r="B66" s="10" t="s">
        <v>26</v>
      </c>
      <c r="C66" s="89">
        <f t="shared" si="6"/>
        <v>30350</v>
      </c>
      <c r="D66" s="90"/>
      <c r="E66" s="91"/>
      <c r="F66" s="92"/>
      <c r="G66" s="92">
        <v>30350</v>
      </c>
      <c r="H66" s="92"/>
      <c r="L66" s="22"/>
      <c r="M66" s="23"/>
    </row>
    <row r="67" spans="2:23" x14ac:dyDescent="0.25">
      <c r="B67" s="88" t="s">
        <v>237</v>
      </c>
      <c r="C67" s="89">
        <f t="shared" si="6"/>
        <v>624</v>
      </c>
      <c r="D67" s="90"/>
      <c r="E67" s="91"/>
      <c r="F67" s="93"/>
      <c r="G67" s="93">
        <v>624</v>
      </c>
      <c r="H67" s="93"/>
      <c r="L67" s="22"/>
      <c r="M67" s="23"/>
    </row>
    <row r="68" spans="2:23" x14ac:dyDescent="0.25">
      <c r="B68" s="88" t="s">
        <v>27</v>
      </c>
      <c r="C68" s="89">
        <f t="shared" si="6"/>
        <v>0</v>
      </c>
      <c r="D68" s="90"/>
      <c r="E68" s="91"/>
      <c r="F68" s="93"/>
      <c r="G68" s="93"/>
      <c r="H68" s="93"/>
      <c r="L68" s="22"/>
      <c r="M68" s="23"/>
    </row>
    <row r="69" spans="2:23" x14ac:dyDescent="0.25">
      <c r="B69" s="88" t="s">
        <v>27</v>
      </c>
      <c r="C69" s="89">
        <f t="shared" si="6"/>
        <v>0</v>
      </c>
      <c r="D69" s="90"/>
      <c r="E69" s="91"/>
      <c r="F69" s="93"/>
      <c r="G69" s="93"/>
      <c r="H69" s="93"/>
      <c r="L69" s="22"/>
      <c r="M69" s="23"/>
    </row>
    <row r="70" spans="2:23" x14ac:dyDescent="0.25">
      <c r="B70" s="11" t="s">
        <v>157</v>
      </c>
      <c r="C70" s="6">
        <f t="shared" ref="C70:H70" si="7">SUM(C58:C69)</f>
        <v>98854192</v>
      </c>
      <c r="D70" s="52">
        <f t="shared" si="7"/>
        <v>33939121</v>
      </c>
      <c r="E70" s="52">
        <f t="shared" si="7"/>
        <v>16960822</v>
      </c>
      <c r="F70" s="52">
        <f t="shared" si="7"/>
        <v>46122889</v>
      </c>
      <c r="G70" s="52">
        <f t="shared" si="7"/>
        <v>1208706</v>
      </c>
      <c r="H70" s="52">
        <f t="shared" si="7"/>
        <v>622654</v>
      </c>
      <c r="L70" s="22"/>
      <c r="M70" s="23"/>
    </row>
    <row r="71" spans="2:23" x14ac:dyDescent="0.25">
      <c r="C71" s="14"/>
      <c r="D71" s="15"/>
      <c r="L71" s="22"/>
      <c r="M71" s="23"/>
    </row>
    <row r="72" spans="2:23" x14ac:dyDescent="0.25">
      <c r="B72" s="29" t="s">
        <v>166</v>
      </c>
      <c r="C72" s="64">
        <f>+C70-C58</f>
        <v>8908423</v>
      </c>
      <c r="D72" s="64">
        <f t="shared" ref="D72:E72" si="8">+D70-D58</f>
        <v>-27844</v>
      </c>
      <c r="E72" s="64">
        <f t="shared" si="8"/>
        <v>3720907</v>
      </c>
      <c r="F72" s="19">
        <f>+F70-F58</f>
        <v>5071202</v>
      </c>
      <c r="G72" s="19">
        <f>+G70-G58</f>
        <v>144158</v>
      </c>
      <c r="H72" s="19">
        <f>+H70-H58</f>
        <v>0</v>
      </c>
      <c r="L72" s="22"/>
      <c r="M72" s="23"/>
    </row>
    <row r="73" spans="2:23" x14ac:dyDescent="0.25">
      <c r="B73" s="53" t="s">
        <v>165</v>
      </c>
      <c r="C73" s="54">
        <f>(C72)/C58</f>
        <v>9.904215728034968E-2</v>
      </c>
      <c r="D73" s="54">
        <f t="shared" ref="D73:H73" si="9">(D72)/D58</f>
        <v>-8.1973764803537792E-4</v>
      </c>
      <c r="E73" s="54">
        <f t="shared" si="9"/>
        <v>0.28103707614437101</v>
      </c>
      <c r="F73" s="54">
        <f t="shared" si="9"/>
        <v>0.12353212183460328</v>
      </c>
      <c r="G73" s="54">
        <f t="shared" si="9"/>
        <v>0.13541709720933204</v>
      </c>
      <c r="H73" s="54">
        <f t="shared" si="9"/>
        <v>0</v>
      </c>
      <c r="L73" s="22"/>
      <c r="M73" s="23"/>
    </row>
    <row r="74" spans="2:23" x14ac:dyDescent="0.25">
      <c r="B74" s="117"/>
      <c r="C74" s="59"/>
      <c r="D74" s="15"/>
      <c r="E74" s="15"/>
      <c r="K74" s="23"/>
      <c r="L74" s="23"/>
      <c r="M74" s="14"/>
      <c r="N74" s="24"/>
      <c r="V74" s="22"/>
      <c r="W74" s="23"/>
    </row>
    <row r="75" spans="2:23" ht="19.899999999999999" customHeight="1" x14ac:dyDescent="0.3">
      <c r="B75" s="98" t="s">
        <v>164</v>
      </c>
      <c r="C75" s="4"/>
      <c r="D75" s="15"/>
      <c r="E75" s="15"/>
      <c r="V75" s="22"/>
      <c r="W75" s="23"/>
    </row>
    <row r="76" spans="2:23" ht="18.75" x14ac:dyDescent="0.3">
      <c r="B76" s="98"/>
      <c r="C76" s="4"/>
      <c r="D76" s="15"/>
      <c r="E76" s="15"/>
      <c r="V76" s="22"/>
      <c r="W76" s="23"/>
    </row>
    <row r="77" spans="2:23" x14ac:dyDescent="0.25">
      <c r="B77" s="100" t="s">
        <v>28</v>
      </c>
      <c r="C77" s="100" t="s">
        <v>29</v>
      </c>
      <c r="D77" s="100" t="s">
        <v>30</v>
      </c>
      <c r="E77" s="60"/>
      <c r="V77" s="22"/>
      <c r="W77" s="23"/>
    </row>
    <row r="78" spans="2:23" x14ac:dyDescent="0.25">
      <c r="B78" s="5" t="s">
        <v>163</v>
      </c>
      <c r="C78" s="89">
        <v>97917961</v>
      </c>
      <c r="D78" s="7"/>
      <c r="E78" s="59"/>
      <c r="V78" s="22"/>
      <c r="W78" s="23"/>
    </row>
    <row r="79" spans="2:23" x14ac:dyDescent="0.25">
      <c r="B79" s="8" t="s">
        <v>31</v>
      </c>
      <c r="C79" s="94"/>
      <c r="D79" s="9">
        <f>+C79/C$31</f>
        <v>0</v>
      </c>
      <c r="E79" s="61"/>
      <c r="V79" s="22"/>
    </row>
    <row r="80" spans="2:23" x14ac:dyDescent="0.25">
      <c r="B80" s="10" t="s">
        <v>32</v>
      </c>
      <c r="C80" s="176">
        <f>'4. Inflation'!D17</f>
        <v>3671324</v>
      </c>
      <c r="D80" s="9">
        <f t="shared" ref="D80:D92" si="10">+C80/C$31</f>
        <v>3.9304569431175607E-2</v>
      </c>
      <c r="E80" s="61"/>
      <c r="V80" s="22"/>
    </row>
    <row r="81" spans="2:22" x14ac:dyDescent="0.25">
      <c r="B81" s="10" t="s">
        <v>33</v>
      </c>
      <c r="C81" s="94">
        <v>2219749</v>
      </c>
      <c r="D81" s="9">
        <f t="shared" si="10"/>
        <v>2.3764254718538224E-2</v>
      </c>
      <c r="E81" s="61"/>
      <c r="V81" s="22"/>
    </row>
    <row r="82" spans="2:22" x14ac:dyDescent="0.25">
      <c r="B82" s="10" t="s">
        <v>34</v>
      </c>
      <c r="C82" s="94">
        <v>350312</v>
      </c>
      <c r="D82" s="9">
        <f t="shared" si="10"/>
        <v>3.7503806056272859E-3</v>
      </c>
      <c r="E82" s="61"/>
      <c r="V82" s="22"/>
    </row>
    <row r="83" spans="2:22" x14ac:dyDescent="0.25">
      <c r="B83" s="10" t="s">
        <v>35</v>
      </c>
      <c r="C83" s="94">
        <v>-1957619</v>
      </c>
      <c r="D83" s="9">
        <f t="shared" si="10"/>
        <v>-2.0957935585442355E-2</v>
      </c>
      <c r="E83" s="61"/>
      <c r="V83" s="22"/>
    </row>
    <row r="84" spans="2:22" x14ac:dyDescent="0.25">
      <c r="B84" s="10" t="s">
        <v>36</v>
      </c>
      <c r="C84" s="94">
        <v>-997393</v>
      </c>
      <c r="D84" s="9">
        <f t="shared" si="10"/>
        <v>-1.0677919578514055E-2</v>
      </c>
      <c r="E84" s="61"/>
      <c r="V84" s="22"/>
    </row>
    <row r="85" spans="2:22" x14ac:dyDescent="0.25">
      <c r="B85" s="10" t="s">
        <v>37</v>
      </c>
      <c r="C85" s="94">
        <v>527185</v>
      </c>
      <c r="D85" s="9">
        <f t="shared" si="10"/>
        <v>5.6439528179954464E-3</v>
      </c>
      <c r="E85" s="61"/>
    </row>
    <row r="86" spans="2:22" x14ac:dyDescent="0.25">
      <c r="B86" s="10" t="s">
        <v>38</v>
      </c>
      <c r="C86" s="94">
        <v>246398</v>
      </c>
      <c r="D86" s="9">
        <f t="shared" si="10"/>
        <v>2.6378950206254769E-3</v>
      </c>
      <c r="E86" s="61"/>
    </row>
    <row r="87" spans="2:22" x14ac:dyDescent="0.25">
      <c r="B87" s="10" t="s">
        <v>39</v>
      </c>
      <c r="C87" s="94"/>
      <c r="D87" s="9">
        <f t="shared" si="10"/>
        <v>0</v>
      </c>
      <c r="E87" s="61"/>
    </row>
    <row r="88" spans="2:22" x14ac:dyDescent="0.25">
      <c r="B88" s="88" t="s">
        <v>183</v>
      </c>
      <c r="C88" s="94">
        <f>349932+88304</f>
        <v>438236</v>
      </c>
      <c r="D88" s="9">
        <f t="shared" ref="D88:D89" si="11">+C88/C$31</f>
        <v>4.6916799741021694E-3</v>
      </c>
      <c r="E88" s="61"/>
    </row>
    <row r="89" spans="2:22" x14ac:dyDescent="0.25">
      <c r="B89" s="88" t="s">
        <v>184</v>
      </c>
      <c r="C89" s="94"/>
      <c r="D89" s="9">
        <f t="shared" si="11"/>
        <v>0</v>
      </c>
      <c r="E89" s="61"/>
    </row>
    <row r="90" spans="2:22" x14ac:dyDescent="0.25">
      <c r="B90" s="88" t="s">
        <v>185</v>
      </c>
      <c r="C90" s="94"/>
      <c r="D90" s="9">
        <f t="shared" si="10"/>
        <v>0</v>
      </c>
      <c r="E90" s="61"/>
    </row>
    <row r="91" spans="2:22" x14ac:dyDescent="0.25">
      <c r="B91" s="88" t="s">
        <v>186</v>
      </c>
      <c r="C91" s="94"/>
      <c r="D91" s="9">
        <f t="shared" ref="D91" si="12">+C91/C$31</f>
        <v>0</v>
      </c>
      <c r="E91" s="61"/>
    </row>
    <row r="92" spans="2:22" x14ac:dyDescent="0.25">
      <c r="B92" s="88" t="s">
        <v>236</v>
      </c>
      <c r="C92" s="94">
        <v>337573</v>
      </c>
      <c r="D92" s="9">
        <f t="shared" si="10"/>
        <v>3.613999041378599E-3</v>
      </c>
      <c r="E92" s="61"/>
    </row>
    <row r="93" spans="2:22" x14ac:dyDescent="0.25">
      <c r="B93" s="11" t="s">
        <v>157</v>
      </c>
      <c r="C93" s="12">
        <f>SUM(C78:C92)</f>
        <v>102753726</v>
      </c>
      <c r="D93" s="13">
        <f>SUM(D79:D92)</f>
        <v>5.1770876445486398E-2</v>
      </c>
      <c r="E93" s="61"/>
    </row>
    <row r="94" spans="2:22" x14ac:dyDescent="0.25">
      <c r="E94" s="56"/>
      <c r="F94" s="14"/>
    </row>
    <row r="95" spans="2:22" x14ac:dyDescent="0.25">
      <c r="B95" s="29" t="s">
        <v>166</v>
      </c>
      <c r="C95" s="64">
        <f>+C93-C78</f>
        <v>4835765</v>
      </c>
      <c r="E95" s="56"/>
    </row>
    <row r="96" spans="2:22" x14ac:dyDescent="0.25">
      <c r="B96" s="53" t="s">
        <v>165</v>
      </c>
      <c r="C96" s="54">
        <f>(C95)/C78</f>
        <v>4.9385883351880662E-2</v>
      </c>
      <c r="E96" s="56"/>
    </row>
    <row r="97" spans="2:16" x14ac:dyDescent="0.25">
      <c r="B97" s="117"/>
      <c r="C97" s="59"/>
      <c r="D97" s="59"/>
      <c r="E97" s="59"/>
      <c r="F97" s="59"/>
      <c r="G97" s="59"/>
      <c r="H97" s="59"/>
      <c r="O97" s="22"/>
      <c r="P97" s="23"/>
    </row>
  </sheetData>
  <customSheetViews>
    <customSheetView guid="{34211852-B453-4CDA-9F61-C6EBB49F5732}" showPageBreaks="1" showGridLines="0" printArea="1" topLeftCell="A55">
      <selection activeCell="G48" sqref="G48"/>
      <rowBreaks count="1" manualBreakCount="1">
        <brk id="51" min="1" max="12" man="1"/>
      </rowBreaks>
      <pageMargins left="0.7" right="0.7" top="0.5" bottom="0.5" header="0.3" footer="0.3"/>
      <pageSetup scale="48" fitToHeight="4" orientation="landscape" r:id="rId1"/>
      <headerFooter>
        <oddFooter>&amp;L&amp;D&amp;R&amp;F,&amp;A</oddFooter>
      </headerFooter>
    </customSheetView>
    <customSheetView guid="{66DB97CC-E9CD-4D25-A10F-98CC991DB916}" showPageBreaks="1" showGridLines="0" fitToPage="1" printArea="1" topLeftCell="B23">
      <selection activeCell="J47" sqref="J47"/>
      <rowBreaks count="1" manualBreakCount="1">
        <brk id="51" min="1" max="12" man="1"/>
      </rowBreaks>
      <pageMargins left="0.7" right="0.7" top="0.5" bottom="0.5" header="0.3" footer="0.3"/>
      <pageSetup scale="35" orientation="landscape" r:id="rId2"/>
      <headerFooter>
        <oddFooter>&amp;L&amp;D&amp;R&amp;F,&amp;A</oddFooter>
      </headerFooter>
    </customSheetView>
  </customSheetViews>
  <mergeCells count="7">
    <mergeCell ref="A59:A62"/>
    <mergeCell ref="B2:O2"/>
    <mergeCell ref="B3:O3"/>
    <mergeCell ref="B6:O6"/>
    <mergeCell ref="B4:O4"/>
    <mergeCell ref="B52:O52"/>
    <mergeCell ref="A12:A19"/>
  </mergeCells>
  <pageMargins left="0.7" right="0.7" top="0.5" bottom="0.5" header="0.3" footer="0.3"/>
  <pageSetup scale="48" fitToHeight="4" orientation="landscape" r:id="rId3"/>
  <headerFooter>
    <oddFooter>&amp;L&amp;D&amp;R&amp;F,&amp;A</oddFooter>
  </headerFooter>
  <rowBreaks count="1" manualBreakCount="1">
    <brk id="51"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M86"/>
  <sheetViews>
    <sheetView showGridLines="0" zoomScale="90" zoomScaleNormal="90" workbookViewId="0">
      <selection activeCell="M45" sqref="M45"/>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2" customWidth="1"/>
    <col min="9" max="11" width="17.7109375" style="1" customWidth="1"/>
    <col min="12" max="12" width="8.85546875" style="1"/>
    <col min="13" max="13" width="17.85546875" style="1" customWidth="1"/>
    <col min="14" max="16384" width="8.85546875" style="1"/>
  </cols>
  <sheetData>
    <row r="2" spans="2:9" x14ac:dyDescent="0.25">
      <c r="B2" s="248" t="s">
        <v>42</v>
      </c>
      <c r="C2" s="248"/>
      <c r="D2" s="248"/>
      <c r="E2" s="248"/>
      <c r="F2" s="248"/>
      <c r="G2" s="248"/>
      <c r="H2" s="248"/>
      <c r="I2" s="248"/>
    </row>
    <row r="3" spans="2:9" ht="18.75" x14ac:dyDescent="0.3">
      <c r="B3" s="260" t="s">
        <v>9</v>
      </c>
      <c r="C3" s="261"/>
      <c r="D3" s="261"/>
      <c r="E3" s="261"/>
      <c r="F3" s="261"/>
      <c r="G3" s="261"/>
      <c r="H3" s="261"/>
      <c r="I3" s="262"/>
    </row>
    <row r="4" spans="2:9" ht="18.75" x14ac:dyDescent="0.3">
      <c r="B4" s="263" t="s">
        <v>43</v>
      </c>
      <c r="C4" s="264"/>
      <c r="D4" s="264"/>
      <c r="E4" s="264"/>
      <c r="F4" s="264"/>
      <c r="G4" s="264"/>
      <c r="H4" s="264"/>
      <c r="I4" s="265"/>
    </row>
    <row r="5" spans="2:9" ht="34.9" customHeight="1" x14ac:dyDescent="0.25">
      <c r="B5" s="259" t="s">
        <v>44</v>
      </c>
      <c r="C5" s="259"/>
      <c r="D5" s="259"/>
      <c r="E5" s="259"/>
      <c r="F5" s="259"/>
      <c r="G5" s="259"/>
      <c r="H5" s="118"/>
    </row>
    <row r="6" spans="2:9" x14ac:dyDescent="0.25">
      <c r="B6" s="119"/>
      <c r="C6" s="119"/>
      <c r="D6" s="119"/>
      <c r="E6" s="119"/>
      <c r="F6" s="119"/>
      <c r="G6" s="119"/>
      <c r="H6" s="118"/>
    </row>
    <row r="7" spans="2:9" ht="29.45" customHeight="1" x14ac:dyDescent="0.25">
      <c r="B7" s="269" t="s">
        <v>181</v>
      </c>
      <c r="C7" s="270"/>
      <c r="D7" s="270"/>
      <c r="E7" s="270"/>
      <c r="F7" s="271"/>
      <c r="H7" s="1"/>
    </row>
    <row r="8" spans="2:9" x14ac:dyDescent="0.25">
      <c r="B8" s="272" t="s">
        <v>45</v>
      </c>
      <c r="C8" s="273"/>
      <c r="D8" s="273"/>
      <c r="E8" s="273"/>
      <c r="F8" s="274"/>
      <c r="H8" s="1"/>
    </row>
    <row r="9" spans="2:9" ht="42.75" customHeight="1" x14ac:dyDescent="0.25">
      <c r="B9" s="3" t="s">
        <v>46</v>
      </c>
      <c r="C9" s="48" t="s">
        <v>47</v>
      </c>
      <c r="D9" s="48" t="s">
        <v>48</v>
      </c>
      <c r="E9" s="48" t="s">
        <v>167</v>
      </c>
      <c r="F9" s="48" t="s">
        <v>168</v>
      </c>
      <c r="H9" s="1"/>
    </row>
    <row r="10" spans="2:9" x14ac:dyDescent="0.25">
      <c r="B10" s="3"/>
      <c r="C10" s="3"/>
      <c r="D10" s="48"/>
      <c r="E10" s="3"/>
      <c r="F10" s="48"/>
      <c r="H10" s="1"/>
    </row>
    <row r="11" spans="2:9" x14ac:dyDescent="0.25">
      <c r="B11" s="3" t="s">
        <v>49</v>
      </c>
      <c r="C11" s="140">
        <v>1265802</v>
      </c>
      <c r="D11" s="49">
        <v>3.7699999999999997E-2</v>
      </c>
      <c r="E11" s="140">
        <v>5107293</v>
      </c>
      <c r="F11" s="49">
        <v>0.14000000000000001</v>
      </c>
      <c r="H11" s="1"/>
    </row>
    <row r="12" spans="2:9" x14ac:dyDescent="0.25">
      <c r="B12" s="3" t="s">
        <v>50</v>
      </c>
      <c r="C12" s="140">
        <f>6796753-1265802</f>
        <v>5530951</v>
      </c>
      <c r="D12" s="49">
        <v>3.7699999999999997E-2</v>
      </c>
      <c r="E12" s="140">
        <v>22316442</v>
      </c>
      <c r="F12" s="49">
        <v>0.14000000000000001</v>
      </c>
      <c r="H12" s="1"/>
    </row>
    <row r="13" spans="2:9" x14ac:dyDescent="0.25">
      <c r="B13" s="3" t="s">
        <v>51</v>
      </c>
      <c r="C13" s="140">
        <v>0</v>
      </c>
      <c r="D13" s="49">
        <v>0</v>
      </c>
      <c r="E13" s="140">
        <v>0</v>
      </c>
      <c r="F13" s="49">
        <v>0</v>
      </c>
      <c r="H13" s="1"/>
    </row>
    <row r="14" spans="2:9" x14ac:dyDescent="0.25">
      <c r="B14" s="3" t="s">
        <v>27</v>
      </c>
      <c r="C14" s="140">
        <v>0</v>
      </c>
      <c r="D14" s="49">
        <v>0</v>
      </c>
      <c r="E14" s="140">
        <v>0</v>
      </c>
      <c r="F14" s="49">
        <v>0</v>
      </c>
      <c r="H14" s="1"/>
    </row>
    <row r="15" spans="2:9" ht="30" x14ac:dyDescent="0.25">
      <c r="B15" s="58" t="s">
        <v>52</v>
      </c>
      <c r="C15" s="141">
        <f>SUM(C11:C14)</f>
        <v>6796753</v>
      </c>
      <c r="D15" s="192">
        <v>3.3000000000000002E-2</v>
      </c>
      <c r="E15" s="141">
        <f>SUM(E11:E14)</f>
        <v>27423735</v>
      </c>
      <c r="F15" s="192">
        <v>0.1245</v>
      </c>
      <c r="H15" s="1"/>
    </row>
    <row r="16" spans="2:9" s="62" customFormat="1" x14ac:dyDescent="0.25">
      <c r="B16" s="120"/>
      <c r="C16" s="63"/>
      <c r="D16" s="63"/>
      <c r="E16" s="63"/>
      <c r="F16" s="63"/>
      <c r="G16" s="63"/>
      <c r="H16" s="63"/>
    </row>
    <row r="17" spans="2:11" s="62" customFormat="1" hidden="1" x14ac:dyDescent="0.25">
      <c r="B17" s="269" t="s">
        <v>191</v>
      </c>
      <c r="C17" s="270"/>
      <c r="D17" s="270"/>
      <c r="E17" s="270"/>
      <c r="F17" s="271"/>
      <c r="G17" s="193"/>
      <c r="H17" s="193"/>
      <c r="I17" s="111"/>
      <c r="J17" s="111"/>
      <c r="K17" s="111"/>
    </row>
    <row r="18" spans="2:11" s="62" customFormat="1" hidden="1" x14ac:dyDescent="0.25">
      <c r="B18" s="272" t="s">
        <v>201</v>
      </c>
      <c r="C18" s="273"/>
      <c r="D18" s="273"/>
      <c r="E18" s="273"/>
      <c r="F18" s="274"/>
      <c r="G18" s="193"/>
      <c r="H18" s="193"/>
      <c r="I18" s="111"/>
      <c r="J18" s="111"/>
      <c r="K18" s="111"/>
    </row>
    <row r="19" spans="2:11" s="62" customFormat="1" hidden="1" x14ac:dyDescent="0.25">
      <c r="B19" s="3" t="s">
        <v>46</v>
      </c>
      <c r="C19" s="48" t="s">
        <v>192</v>
      </c>
      <c r="D19" s="48" t="s">
        <v>193</v>
      </c>
      <c r="E19" s="48" t="s">
        <v>194</v>
      </c>
      <c r="F19" s="48" t="s">
        <v>195</v>
      </c>
      <c r="G19" s="193"/>
      <c r="H19" s="193"/>
      <c r="I19" s="111"/>
      <c r="J19" s="111"/>
      <c r="K19" s="111"/>
    </row>
    <row r="20" spans="2:11" s="62" customFormat="1" hidden="1" x14ac:dyDescent="0.25">
      <c r="B20" s="3"/>
      <c r="C20" s="3"/>
      <c r="D20" s="48"/>
      <c r="E20" s="3"/>
      <c r="F20" s="48"/>
      <c r="G20" s="193"/>
      <c r="H20" s="193"/>
      <c r="I20" s="111"/>
      <c r="J20" s="111"/>
      <c r="K20" s="111"/>
    </row>
    <row r="21" spans="2:11" s="62" customFormat="1" hidden="1" x14ac:dyDescent="0.25">
      <c r="B21" s="3" t="s">
        <v>49</v>
      </c>
      <c r="C21" s="140">
        <v>0</v>
      </c>
      <c r="D21" s="140">
        <v>0</v>
      </c>
      <c r="E21" s="140">
        <v>0</v>
      </c>
      <c r="F21" s="140">
        <v>0</v>
      </c>
      <c r="G21" s="193"/>
      <c r="H21" s="193"/>
      <c r="I21" s="111"/>
      <c r="J21" s="111"/>
      <c r="K21" s="111"/>
    </row>
    <row r="22" spans="2:11" s="62" customFormat="1" hidden="1" x14ac:dyDescent="0.25">
      <c r="B22" s="3" t="s">
        <v>50</v>
      </c>
      <c r="C22" s="140">
        <v>0</v>
      </c>
      <c r="D22" s="140">
        <v>0</v>
      </c>
      <c r="E22" s="140">
        <v>0</v>
      </c>
      <c r="F22" s="140">
        <v>0</v>
      </c>
      <c r="G22" s="193"/>
      <c r="H22" s="193"/>
      <c r="I22" s="111"/>
      <c r="J22" s="111"/>
      <c r="K22" s="111"/>
    </row>
    <row r="23" spans="2:11" s="62" customFormat="1" hidden="1" x14ac:dyDescent="0.25">
      <c r="B23" s="3" t="s">
        <v>51</v>
      </c>
      <c r="C23" s="140">
        <v>0</v>
      </c>
      <c r="D23" s="140">
        <v>0</v>
      </c>
      <c r="E23" s="140">
        <v>0</v>
      </c>
      <c r="F23" s="140">
        <v>0</v>
      </c>
      <c r="G23" s="193"/>
      <c r="H23" s="193"/>
      <c r="I23" s="111"/>
      <c r="J23" s="111"/>
      <c r="K23" s="111"/>
    </row>
    <row r="24" spans="2:11" s="62" customFormat="1" hidden="1" x14ac:dyDescent="0.25">
      <c r="B24" s="3" t="s">
        <v>27</v>
      </c>
      <c r="C24" s="140">
        <v>0</v>
      </c>
      <c r="D24" s="140">
        <v>0</v>
      </c>
      <c r="E24" s="140">
        <v>0</v>
      </c>
      <c r="F24" s="140">
        <v>0</v>
      </c>
      <c r="G24" s="193"/>
      <c r="H24" s="193"/>
      <c r="I24" s="111"/>
      <c r="J24" s="111"/>
      <c r="K24" s="111"/>
    </row>
    <row r="25" spans="2:11" s="62" customFormat="1" ht="30" hidden="1" x14ac:dyDescent="0.25">
      <c r="B25" s="58" t="s">
        <v>52</v>
      </c>
      <c r="C25" s="141">
        <f>SUM(C21:C24)</f>
        <v>0</v>
      </c>
      <c r="D25" s="141">
        <v>0</v>
      </c>
      <c r="E25" s="141">
        <f>SUM(E21:E24)</f>
        <v>0</v>
      </c>
      <c r="F25" s="141">
        <v>0</v>
      </c>
      <c r="G25" s="193"/>
      <c r="H25" s="193"/>
      <c r="I25" s="111"/>
      <c r="J25" s="111"/>
      <c r="K25" s="111"/>
    </row>
    <row r="26" spans="2:11" s="62" customFormat="1" hidden="1" x14ac:dyDescent="0.25">
      <c r="B26" s="120"/>
      <c r="C26" s="63"/>
      <c r="D26" s="63"/>
      <c r="E26" s="63"/>
      <c r="F26" s="63"/>
      <c r="G26" s="193"/>
      <c r="H26" s="193"/>
      <c r="I26" s="111"/>
      <c r="J26" s="111"/>
      <c r="K26" s="111"/>
    </row>
    <row r="27" spans="2:11" s="62" customFormat="1" hidden="1" x14ac:dyDescent="0.25">
      <c r="B27" s="269" t="s">
        <v>196</v>
      </c>
      <c r="C27" s="270"/>
      <c r="D27" s="270"/>
      <c r="E27" s="270"/>
      <c r="F27" s="271"/>
      <c r="G27" s="193"/>
      <c r="H27" s="193"/>
      <c r="I27" s="111"/>
      <c r="J27" s="111"/>
      <c r="K27" s="111"/>
    </row>
    <row r="28" spans="2:11" s="62" customFormat="1" hidden="1" x14ac:dyDescent="0.25">
      <c r="B28" s="272" t="s">
        <v>202</v>
      </c>
      <c r="C28" s="273"/>
      <c r="D28" s="273"/>
      <c r="E28" s="273"/>
      <c r="F28" s="274"/>
      <c r="G28" s="193"/>
      <c r="H28" s="193"/>
      <c r="I28" s="111"/>
      <c r="J28" s="111"/>
      <c r="K28" s="111"/>
    </row>
    <row r="29" spans="2:11" s="62" customFormat="1" hidden="1" x14ac:dyDescent="0.25">
      <c r="B29" s="3" t="s">
        <v>46</v>
      </c>
      <c r="C29" s="48" t="s">
        <v>197</v>
      </c>
      <c r="D29" s="48" t="s">
        <v>198</v>
      </c>
      <c r="E29" s="48" t="s">
        <v>199</v>
      </c>
      <c r="F29" s="48" t="s">
        <v>200</v>
      </c>
      <c r="G29" s="193"/>
      <c r="H29" s="193"/>
      <c r="I29" s="111"/>
      <c r="J29" s="111"/>
      <c r="K29" s="111"/>
    </row>
    <row r="30" spans="2:11" s="62" customFormat="1" hidden="1" x14ac:dyDescent="0.25">
      <c r="B30" s="3"/>
      <c r="C30" s="3"/>
      <c r="D30" s="48"/>
      <c r="E30" s="3"/>
      <c r="F30" s="48"/>
      <c r="G30" s="193"/>
      <c r="H30" s="193"/>
      <c r="I30" s="111"/>
      <c r="J30" s="111"/>
      <c r="K30" s="111"/>
    </row>
    <row r="31" spans="2:11" s="62" customFormat="1" hidden="1" x14ac:dyDescent="0.25">
      <c r="B31" s="3" t="s">
        <v>49</v>
      </c>
      <c r="C31" s="140">
        <v>0</v>
      </c>
      <c r="D31" s="140">
        <v>0</v>
      </c>
      <c r="E31" s="140">
        <v>0</v>
      </c>
      <c r="F31" s="140">
        <v>0</v>
      </c>
      <c r="G31" s="193"/>
      <c r="H31" s="193"/>
      <c r="I31" s="111"/>
      <c r="J31" s="111"/>
      <c r="K31" s="111"/>
    </row>
    <row r="32" spans="2:11" s="62" customFormat="1" hidden="1" x14ac:dyDescent="0.25">
      <c r="B32" s="3" t="s">
        <v>50</v>
      </c>
      <c r="C32" s="140">
        <v>0</v>
      </c>
      <c r="D32" s="140">
        <v>0</v>
      </c>
      <c r="E32" s="140">
        <v>0</v>
      </c>
      <c r="F32" s="140">
        <v>0</v>
      </c>
      <c r="G32" s="193"/>
      <c r="H32" s="193"/>
      <c r="I32" s="111"/>
      <c r="J32" s="111"/>
      <c r="K32" s="111"/>
    </row>
    <row r="33" spans="2:13" s="62" customFormat="1" hidden="1" x14ac:dyDescent="0.25">
      <c r="B33" s="3" t="s">
        <v>51</v>
      </c>
      <c r="C33" s="140">
        <v>0</v>
      </c>
      <c r="D33" s="140">
        <v>0</v>
      </c>
      <c r="E33" s="140">
        <v>0</v>
      </c>
      <c r="F33" s="140">
        <v>0</v>
      </c>
      <c r="G33" s="193"/>
      <c r="H33" s="193"/>
      <c r="I33" s="111"/>
      <c r="J33" s="111"/>
      <c r="K33" s="111"/>
    </row>
    <row r="34" spans="2:13" s="62" customFormat="1" hidden="1" x14ac:dyDescent="0.25">
      <c r="B34" s="3" t="s">
        <v>27</v>
      </c>
      <c r="C34" s="140">
        <v>0</v>
      </c>
      <c r="D34" s="140">
        <v>0</v>
      </c>
      <c r="E34" s="140">
        <v>0</v>
      </c>
      <c r="F34" s="140">
        <v>0</v>
      </c>
      <c r="G34" s="193"/>
      <c r="H34" s="193"/>
      <c r="I34" s="111"/>
      <c r="J34" s="111"/>
      <c r="K34" s="111"/>
    </row>
    <row r="35" spans="2:13" s="62" customFormat="1" ht="30" hidden="1" x14ac:dyDescent="0.25">
      <c r="B35" s="58" t="s">
        <v>52</v>
      </c>
      <c r="C35" s="141">
        <f>SUM(C31:C34)</f>
        <v>0</v>
      </c>
      <c r="D35" s="141">
        <v>0</v>
      </c>
      <c r="E35" s="141">
        <f>SUM(E31:E34)</f>
        <v>0</v>
      </c>
      <c r="F35" s="141">
        <v>0</v>
      </c>
      <c r="G35" s="193"/>
      <c r="H35" s="193"/>
      <c r="I35" s="111"/>
      <c r="J35" s="111"/>
      <c r="K35" s="111"/>
    </row>
    <row r="36" spans="2:13" s="62" customFormat="1" x14ac:dyDescent="0.25">
      <c r="B36" s="120"/>
      <c r="C36" s="63"/>
      <c r="D36" s="63"/>
      <c r="E36" s="63"/>
      <c r="F36" s="63"/>
      <c r="G36" s="63"/>
      <c r="H36" s="63"/>
    </row>
    <row r="37" spans="2:13" ht="45" customHeight="1" x14ac:dyDescent="0.25">
      <c r="B37" s="266" t="s">
        <v>53</v>
      </c>
      <c r="C37" s="267"/>
      <c r="D37" s="267"/>
      <c r="E37" s="267"/>
      <c r="F37" s="267"/>
      <c r="G37" s="267"/>
      <c r="H37" s="267"/>
      <c r="I37" s="267"/>
      <c r="J37" s="268"/>
    </row>
    <row r="38" spans="2:13" x14ac:dyDescent="0.25">
      <c r="B38" s="277" t="s">
        <v>54</v>
      </c>
      <c r="C38" s="278"/>
      <c r="D38" s="278"/>
      <c r="E38" s="278"/>
      <c r="F38" s="278"/>
      <c r="G38" s="278"/>
      <c r="H38" s="278"/>
      <c r="I38" s="278"/>
      <c r="J38" s="279"/>
    </row>
    <row r="39" spans="2:13" ht="42.75" customHeight="1" x14ac:dyDescent="0.25">
      <c r="B39" s="3" t="s">
        <v>46</v>
      </c>
      <c r="C39" s="48" t="s">
        <v>169</v>
      </c>
      <c r="D39" s="48" t="s">
        <v>55</v>
      </c>
      <c r="E39" s="48" t="s">
        <v>170</v>
      </c>
      <c r="F39" s="275" t="s">
        <v>56</v>
      </c>
      <c r="G39" s="276"/>
      <c r="H39" s="121" t="s">
        <v>57</v>
      </c>
      <c r="I39" s="121" t="s">
        <v>58</v>
      </c>
      <c r="J39" s="121" t="s">
        <v>59</v>
      </c>
    </row>
    <row r="40" spans="2:13" x14ac:dyDescent="0.25">
      <c r="B40" s="3"/>
      <c r="C40" s="48"/>
      <c r="D40" s="122"/>
      <c r="E40" s="48"/>
      <c r="F40" s="48" t="s">
        <v>60</v>
      </c>
      <c r="G40" s="48" t="s">
        <v>61</v>
      </c>
      <c r="H40" s="48"/>
      <c r="I40" s="48"/>
      <c r="J40" s="48"/>
    </row>
    <row r="41" spans="2:13" x14ac:dyDescent="0.25">
      <c r="B41" s="3" t="s">
        <v>49</v>
      </c>
      <c r="C41" s="123">
        <f>33428982+1027716</f>
        <v>34456698</v>
      </c>
      <c r="D41" s="124">
        <f>(E41/C41)-1</f>
        <v>0.20696277977651834</v>
      </c>
      <c r="E41" s="82">
        <f>38803159+2784793</f>
        <v>41587952</v>
      </c>
      <c r="F41" s="82">
        <v>9091932</v>
      </c>
      <c r="G41" s="82">
        <v>0</v>
      </c>
      <c r="H41" s="82">
        <v>30469</v>
      </c>
      <c r="I41" s="82">
        <v>6222309</v>
      </c>
      <c r="J41" s="82">
        <f>23458450+2784793</f>
        <v>26243243</v>
      </c>
    </row>
    <row r="42" spans="2:13" x14ac:dyDescent="0.25">
      <c r="B42" s="3" t="s">
        <v>50</v>
      </c>
      <c r="C42" s="123">
        <v>152625333</v>
      </c>
      <c r="D42" s="124">
        <f t="shared" ref="D42:D43" si="0">(E42/C42)-1</f>
        <v>0.19062539899585351</v>
      </c>
      <c r="E42" s="82">
        <v>181719598</v>
      </c>
      <c r="F42" s="82">
        <f>56399828+2067001</f>
        <v>58466829</v>
      </c>
      <c r="G42" s="82">
        <v>0</v>
      </c>
      <c r="H42" s="82">
        <v>1345019</v>
      </c>
      <c r="I42" s="82">
        <v>45462036</v>
      </c>
      <c r="J42" s="82">
        <v>76445715</v>
      </c>
      <c r="K42" s="116"/>
    </row>
    <row r="43" spans="2:13" x14ac:dyDescent="0.25">
      <c r="B43" s="3" t="s">
        <v>51</v>
      </c>
      <c r="C43" s="123">
        <v>25671026</v>
      </c>
      <c r="D43" s="124">
        <f t="shared" si="0"/>
        <v>-5.2909260424573556E-2</v>
      </c>
      <c r="E43" s="82">
        <v>24312791</v>
      </c>
      <c r="F43" s="82">
        <f>7728442+131681</f>
        <v>7860123</v>
      </c>
      <c r="G43" s="82">
        <v>0</v>
      </c>
      <c r="H43" s="82">
        <v>113429</v>
      </c>
      <c r="I43" s="82">
        <v>6694885</v>
      </c>
      <c r="J43" s="82">
        <v>9644354</v>
      </c>
    </row>
    <row r="44" spans="2:13" x14ac:dyDescent="0.25">
      <c r="B44" s="3" t="s">
        <v>27</v>
      </c>
      <c r="C44" s="123">
        <v>0</v>
      </c>
      <c r="D44" s="124"/>
      <c r="E44" s="82">
        <f t="shared" ref="E44" si="1">SUM(F44:J44)</f>
        <v>0</v>
      </c>
      <c r="F44" s="82"/>
      <c r="G44" s="82"/>
      <c r="H44" s="82"/>
      <c r="I44" s="82"/>
      <c r="J44" s="82"/>
    </row>
    <row r="45" spans="2:13" ht="30" x14ac:dyDescent="0.25">
      <c r="B45" s="58" t="s">
        <v>62</v>
      </c>
      <c r="C45" s="125">
        <f>SUM(C41:C44)</f>
        <v>212753057</v>
      </c>
      <c r="D45" s="126">
        <f>(E45/C45)-1</f>
        <v>0.16388617156274288</v>
      </c>
      <c r="E45" s="125">
        <f t="shared" ref="E45:J45" si="2">SUM(E41:E44)</f>
        <v>247620341</v>
      </c>
      <c r="F45" s="83">
        <f t="shared" si="2"/>
        <v>75418884</v>
      </c>
      <c r="G45" s="83">
        <f t="shared" si="2"/>
        <v>0</v>
      </c>
      <c r="H45" s="83">
        <f t="shared" si="2"/>
        <v>1488917</v>
      </c>
      <c r="I45" s="83">
        <f t="shared" si="2"/>
        <v>58379230</v>
      </c>
      <c r="J45" s="83">
        <f t="shared" si="2"/>
        <v>112333312</v>
      </c>
    </row>
    <row r="46" spans="2:13" s="62" customFormat="1" x14ac:dyDescent="0.25">
      <c r="B46" s="120"/>
      <c r="C46" s="63" t="s">
        <v>63</v>
      </c>
      <c r="D46" s="63"/>
      <c r="E46" s="63" t="s">
        <v>63</v>
      </c>
      <c r="F46" s="63"/>
      <c r="G46" s="63"/>
      <c r="H46" s="63"/>
    </row>
    <row r="47" spans="2:13" s="62" customFormat="1" x14ac:dyDescent="0.25">
      <c r="B47" s="120"/>
      <c r="C47" s="63"/>
      <c r="D47" s="63"/>
      <c r="E47" s="63"/>
      <c r="F47" s="63"/>
      <c r="G47" s="63"/>
      <c r="H47" s="63"/>
    </row>
    <row r="48" spans="2:13" s="62" customFormat="1" ht="23.45" customHeight="1" x14ac:dyDescent="0.25">
      <c r="B48" s="266" t="s">
        <v>182</v>
      </c>
      <c r="C48" s="267"/>
      <c r="D48" s="267"/>
      <c r="E48" s="267"/>
      <c r="F48" s="267"/>
      <c r="G48" s="267"/>
      <c r="H48" s="267"/>
      <c r="I48" s="267"/>
      <c r="J48" s="268"/>
    </row>
    <row r="49" spans="2:13" x14ac:dyDescent="0.25">
      <c r="B49" s="277" t="s">
        <v>64</v>
      </c>
      <c r="C49" s="278"/>
      <c r="D49" s="278"/>
      <c r="E49" s="278"/>
      <c r="F49" s="278"/>
      <c r="G49" s="278"/>
      <c r="H49" s="278"/>
      <c r="I49" s="278"/>
      <c r="J49" s="279"/>
    </row>
    <row r="50" spans="2:13" ht="42.75" customHeight="1" x14ac:dyDescent="0.25">
      <c r="B50" s="3" t="s">
        <v>65</v>
      </c>
      <c r="C50" s="3" t="s">
        <v>67</v>
      </c>
      <c r="D50" s="48" t="s">
        <v>66</v>
      </c>
      <c r="E50" s="48" t="s">
        <v>171</v>
      </c>
      <c r="F50" s="280" t="s">
        <v>68</v>
      </c>
      <c r="G50" s="281"/>
      <c r="H50" s="48" t="s">
        <v>69</v>
      </c>
      <c r="I50" s="48" t="s">
        <v>70</v>
      </c>
      <c r="J50" s="48" t="s">
        <v>71</v>
      </c>
    </row>
    <row r="51" spans="2:13" ht="15.75" customHeight="1" x14ac:dyDescent="0.25">
      <c r="B51" s="3"/>
      <c r="C51" s="3"/>
      <c r="D51" s="3"/>
      <c r="E51" s="48"/>
      <c r="F51" s="48" t="s">
        <v>60</v>
      </c>
      <c r="G51" s="48" t="s">
        <v>61</v>
      </c>
      <c r="H51" s="48"/>
      <c r="I51" s="48"/>
      <c r="J51" s="48"/>
    </row>
    <row r="52" spans="2:13" x14ac:dyDescent="0.25">
      <c r="B52" s="3" t="s">
        <v>49</v>
      </c>
      <c r="C52" s="123">
        <f>-22502422+C41</f>
        <v>11954276</v>
      </c>
      <c r="D52" s="123">
        <f t="shared" ref="D52:D57" si="3">+E52-C52</f>
        <v>2053317</v>
      </c>
      <c r="E52" s="127">
        <f t="shared" ref="E52:E57" si="4">SUM(F52:J52)</f>
        <v>14007593</v>
      </c>
      <c r="F52" s="127">
        <f>-3012464+F41</f>
        <v>6079468</v>
      </c>
      <c r="G52" s="127">
        <v>0</v>
      </c>
      <c r="H52" s="127">
        <f>-62387+H41</f>
        <v>-31918</v>
      </c>
      <c r="I52" s="127">
        <f>-7808147+I41</f>
        <v>-1585838</v>
      </c>
      <c r="J52" s="127">
        <f>-16697362+J41</f>
        <v>9545881</v>
      </c>
    </row>
    <row r="53" spans="2:13" x14ac:dyDescent="0.25">
      <c r="B53" s="3" t="s">
        <v>50</v>
      </c>
      <c r="C53" s="123">
        <f>-95903121+C42</f>
        <v>56722212</v>
      </c>
      <c r="D53" s="123">
        <f t="shared" si="3"/>
        <v>9168774</v>
      </c>
      <c r="E53" s="127">
        <f t="shared" si="4"/>
        <v>65890986</v>
      </c>
      <c r="F53" s="127">
        <f>-18221301+F42</f>
        <v>40245528</v>
      </c>
      <c r="G53" s="127">
        <v>0</v>
      </c>
      <c r="H53" s="127">
        <f>-214005+H42</f>
        <v>1131014</v>
      </c>
      <c r="I53" s="127">
        <f>-39612098+I42</f>
        <v>5849938</v>
      </c>
      <c r="J53" s="127">
        <f>-57781209+J42</f>
        <v>18664506</v>
      </c>
    </row>
    <row r="54" spans="2:13" x14ac:dyDescent="0.25">
      <c r="B54" s="3" t="s">
        <v>51</v>
      </c>
      <c r="C54" s="123">
        <f>-14281212+C43</f>
        <v>11389814</v>
      </c>
      <c r="D54" s="123">
        <f t="shared" si="3"/>
        <v>1258</v>
      </c>
      <c r="E54" s="127">
        <f t="shared" si="4"/>
        <v>11391072</v>
      </c>
      <c r="F54" s="127">
        <f>-3661496+F43</f>
        <v>4198627</v>
      </c>
      <c r="G54" s="127">
        <v>0</v>
      </c>
      <c r="H54" s="127">
        <f>-34792+H43</f>
        <v>78637</v>
      </c>
      <c r="I54" s="127">
        <f>-5309811+I43</f>
        <v>1385074</v>
      </c>
      <c r="J54" s="127">
        <f>-3915620+J43</f>
        <v>5728734</v>
      </c>
    </row>
    <row r="55" spans="2:13" x14ac:dyDescent="0.25">
      <c r="B55" s="3" t="s">
        <v>239</v>
      </c>
      <c r="C55" s="123">
        <v>686640</v>
      </c>
      <c r="D55" s="123">
        <f t="shared" si="3"/>
        <v>-63986</v>
      </c>
      <c r="E55" s="127">
        <f t="shared" si="4"/>
        <v>622654</v>
      </c>
      <c r="F55" s="127">
        <v>0</v>
      </c>
      <c r="G55" s="127">
        <v>0</v>
      </c>
      <c r="H55" s="127">
        <v>622654</v>
      </c>
      <c r="I55" s="127">
        <v>0</v>
      </c>
      <c r="J55" s="127">
        <v>0</v>
      </c>
    </row>
    <row r="56" spans="2:13" x14ac:dyDescent="0.25">
      <c r="B56" s="3" t="s">
        <v>237</v>
      </c>
      <c r="C56" s="236">
        <v>627087</v>
      </c>
      <c r="D56" s="238">
        <f t="shared" si="3"/>
        <v>302596</v>
      </c>
      <c r="E56" s="127">
        <f t="shared" si="4"/>
        <v>929683</v>
      </c>
      <c r="F56" s="127"/>
      <c r="G56" s="127"/>
      <c r="H56" s="127"/>
      <c r="I56" s="127">
        <v>929683</v>
      </c>
      <c r="J56" s="127"/>
    </row>
    <row r="57" spans="2:13" x14ac:dyDescent="0.25">
      <c r="B57" s="3" t="s">
        <v>26</v>
      </c>
      <c r="C57" s="236">
        <f>-2063705-2064534</f>
        <v>-4128239</v>
      </c>
      <c r="D57" s="238">
        <f t="shared" si="3"/>
        <v>-242145</v>
      </c>
      <c r="E57" s="127">
        <f t="shared" si="4"/>
        <v>-4370384</v>
      </c>
      <c r="F57" s="127">
        <f>-2075056-2295328</f>
        <v>-4370384</v>
      </c>
      <c r="G57" s="127"/>
      <c r="H57" s="127"/>
      <c r="I57" s="127"/>
      <c r="J57" s="127"/>
    </row>
    <row r="58" spans="2:13" x14ac:dyDescent="0.25">
      <c r="B58" s="58" t="s">
        <v>72</v>
      </c>
      <c r="C58" s="128">
        <f t="shared" ref="C58:J58" si="5">SUM(C52:C57)</f>
        <v>77251790</v>
      </c>
      <c r="D58" s="239">
        <f t="shared" si="5"/>
        <v>11219814</v>
      </c>
      <c r="E58" s="128">
        <f t="shared" si="5"/>
        <v>88471604</v>
      </c>
      <c r="F58" s="128">
        <f t="shared" si="5"/>
        <v>46153239</v>
      </c>
      <c r="G58" s="128">
        <f t="shared" si="5"/>
        <v>0</v>
      </c>
      <c r="H58" s="128">
        <f t="shared" si="5"/>
        <v>1800387</v>
      </c>
      <c r="I58" s="128">
        <f t="shared" si="5"/>
        <v>6578857</v>
      </c>
      <c r="J58" s="128">
        <f t="shared" si="5"/>
        <v>33939121</v>
      </c>
      <c r="M58" s="237">
        <f>+E58-98854190</f>
        <v>-10382586</v>
      </c>
    </row>
    <row r="59" spans="2:13" s="62" customFormat="1" x14ac:dyDescent="0.25">
      <c r="C59" s="63"/>
      <c r="D59" s="63"/>
      <c r="E59" s="63"/>
      <c r="F59" s="129"/>
      <c r="G59" s="129"/>
      <c r="H59" s="129"/>
    </row>
    <row r="60" spans="2:13" s="62" customFormat="1" x14ac:dyDescent="0.25">
      <c r="C60" s="63"/>
      <c r="D60" s="63"/>
      <c r="E60" s="63"/>
      <c r="F60" s="129"/>
      <c r="G60" s="129"/>
      <c r="H60" s="129"/>
    </row>
    <row r="61" spans="2:13" s="62" customFormat="1" x14ac:dyDescent="0.25">
      <c r="B61" s="277" t="s">
        <v>73</v>
      </c>
      <c r="C61" s="278"/>
      <c r="D61" s="278"/>
      <c r="E61" s="278"/>
      <c r="F61" s="278"/>
      <c r="G61" s="278"/>
      <c r="H61" s="279"/>
    </row>
    <row r="62" spans="2:13" s="62" customFormat="1" ht="42.6" customHeight="1" x14ac:dyDescent="0.25">
      <c r="B62" s="3" t="s">
        <v>65</v>
      </c>
      <c r="C62" s="3" t="s">
        <v>172</v>
      </c>
      <c r="D62" s="48" t="s">
        <v>66</v>
      </c>
      <c r="E62" s="48" t="s">
        <v>173</v>
      </c>
      <c r="F62" s="181" t="s">
        <v>74</v>
      </c>
      <c r="G62" s="48" t="s">
        <v>75</v>
      </c>
      <c r="H62" s="48" t="s">
        <v>76</v>
      </c>
    </row>
    <row r="63" spans="2:13" s="62" customFormat="1" x14ac:dyDescent="0.25">
      <c r="B63" s="3" t="s">
        <v>49</v>
      </c>
      <c r="C63" s="123">
        <v>0</v>
      </c>
      <c r="D63" s="123">
        <v>0</v>
      </c>
      <c r="E63" s="127">
        <f>SUM(F63:H63)</f>
        <v>0</v>
      </c>
      <c r="F63" s="127">
        <v>0</v>
      </c>
      <c r="G63" s="127">
        <v>0</v>
      </c>
      <c r="H63" s="127">
        <v>0</v>
      </c>
    </row>
    <row r="64" spans="2:13" s="62" customFormat="1" x14ac:dyDescent="0.25">
      <c r="B64" s="3" t="s">
        <v>50</v>
      </c>
      <c r="C64" s="123">
        <v>6418832</v>
      </c>
      <c r="D64" s="123">
        <f>+E64-C64</f>
        <v>-459985</v>
      </c>
      <c r="E64" s="127">
        <f t="shared" ref="E64:E67" si="6">SUM(F64:H64)</f>
        <v>5958847</v>
      </c>
      <c r="F64" s="127">
        <v>0</v>
      </c>
      <c r="G64" s="127">
        <v>5958847</v>
      </c>
      <c r="H64" s="127">
        <v>0</v>
      </c>
    </row>
    <row r="65" spans="2:10" s="62" customFormat="1" x14ac:dyDescent="0.25">
      <c r="B65" s="3" t="s">
        <v>51</v>
      </c>
      <c r="C65" s="123">
        <v>4219052</v>
      </c>
      <c r="D65" s="123">
        <f>+E65-C65</f>
        <v>204690</v>
      </c>
      <c r="E65" s="127">
        <f t="shared" si="6"/>
        <v>4423742</v>
      </c>
      <c r="F65" s="127">
        <v>0</v>
      </c>
      <c r="G65" s="127">
        <v>4423742</v>
      </c>
      <c r="H65" s="127">
        <v>0</v>
      </c>
    </row>
    <row r="66" spans="2:10" s="62" customFormat="1" x14ac:dyDescent="0.25">
      <c r="B66" s="3" t="s">
        <v>77</v>
      </c>
      <c r="C66" s="123">
        <v>0</v>
      </c>
      <c r="D66" s="123">
        <v>0</v>
      </c>
      <c r="E66" s="127">
        <f t="shared" si="6"/>
        <v>0</v>
      </c>
      <c r="F66" s="127">
        <v>0</v>
      </c>
      <c r="G66" s="127">
        <v>0</v>
      </c>
      <c r="H66" s="127">
        <v>0</v>
      </c>
    </row>
    <row r="67" spans="2:10" s="62" customFormat="1" x14ac:dyDescent="0.25">
      <c r="B67" s="3" t="s">
        <v>78</v>
      </c>
      <c r="C67" s="123">
        <v>0</v>
      </c>
      <c r="D67" s="123">
        <v>0</v>
      </c>
      <c r="E67" s="127">
        <f t="shared" si="6"/>
        <v>0</v>
      </c>
      <c r="F67" s="127">
        <v>0</v>
      </c>
      <c r="G67" s="127">
        <v>0</v>
      </c>
      <c r="H67" s="127">
        <v>0</v>
      </c>
    </row>
    <row r="68" spans="2:10" s="62" customFormat="1" x14ac:dyDescent="0.25">
      <c r="B68" s="58" t="s">
        <v>79</v>
      </c>
      <c r="C68" s="128">
        <f>SUM(C63:C67)</f>
        <v>10637884</v>
      </c>
      <c r="D68" s="128">
        <f>SUM(D63:D67)</f>
        <v>-255295</v>
      </c>
      <c r="E68" s="128">
        <f>SUM(E63:E67)</f>
        <v>10382589</v>
      </c>
      <c r="F68" s="128">
        <f t="shared" ref="F68:H68" si="7">SUM(F63:F67)</f>
        <v>0</v>
      </c>
      <c r="G68" s="128">
        <f t="shared" si="7"/>
        <v>10382589</v>
      </c>
      <c r="H68" s="128">
        <f t="shared" si="7"/>
        <v>0</v>
      </c>
    </row>
    <row r="69" spans="2:10" s="62" customFormat="1" x14ac:dyDescent="0.25">
      <c r="C69" s="63"/>
      <c r="D69" s="63"/>
      <c r="E69" s="63"/>
      <c r="F69" s="62" t="s">
        <v>80</v>
      </c>
      <c r="G69" s="129"/>
      <c r="H69" s="129"/>
    </row>
    <row r="70" spans="2:10" s="62" customFormat="1" ht="15.75" thickBot="1" x14ac:dyDescent="0.3">
      <c r="B70" s="118"/>
      <c r="C70" s="129"/>
      <c r="D70" s="129"/>
      <c r="E70" s="129"/>
      <c r="F70" s="129"/>
      <c r="G70" s="129"/>
      <c r="H70" s="129"/>
    </row>
    <row r="71" spans="2:10" s="62" customFormat="1" ht="30" x14ac:dyDescent="0.25">
      <c r="B71" s="130"/>
      <c r="C71" s="131" t="s">
        <v>220</v>
      </c>
      <c r="D71" s="131" t="s">
        <v>66</v>
      </c>
      <c r="E71" s="131" t="s">
        <v>55</v>
      </c>
      <c r="F71" s="132" t="s">
        <v>174</v>
      </c>
      <c r="G71" s="129"/>
      <c r="H71" s="129"/>
      <c r="I71" s="129"/>
    </row>
    <row r="72" spans="2:10" s="62" customFormat="1" x14ac:dyDescent="0.25">
      <c r="B72" s="143" t="s">
        <v>81</v>
      </c>
      <c r="C72" s="142">
        <f>C58+C68</f>
        <v>87889674</v>
      </c>
      <c r="D72" s="142">
        <f>D58+D68</f>
        <v>10964519</v>
      </c>
      <c r="E72" s="241">
        <f>D72/C72</f>
        <v>0.1247532104852272</v>
      </c>
      <c r="F72" s="144">
        <f>E58+E68</f>
        <v>98854193</v>
      </c>
      <c r="G72" s="129"/>
      <c r="H72" s="129"/>
      <c r="I72" s="129"/>
    </row>
    <row r="73" spans="2:10" s="62" customFormat="1" x14ac:dyDescent="0.25">
      <c r="B73" s="143" t="s">
        <v>82</v>
      </c>
      <c r="C73" s="145">
        <f>'1. Reconciliation'!C11</f>
        <v>87889673</v>
      </c>
      <c r="D73" s="145">
        <f>'1. Reconciliation'!C25</f>
        <v>10964519</v>
      </c>
      <c r="E73" s="146">
        <f>'1. Reconciliation'!C26</f>
        <v>0.12475321190465688</v>
      </c>
      <c r="F73" s="147">
        <f>'1. Reconciliation'!C23</f>
        <v>98854192</v>
      </c>
      <c r="G73" s="129"/>
      <c r="H73" s="129"/>
      <c r="I73" s="129"/>
    </row>
    <row r="74" spans="2:10" s="62" customFormat="1" ht="18" customHeight="1" thickBot="1" x14ac:dyDescent="0.3">
      <c r="B74" s="148" t="s">
        <v>83</v>
      </c>
      <c r="C74" s="149">
        <f>C72-C73</f>
        <v>1</v>
      </c>
      <c r="D74" s="149">
        <f t="shared" ref="D74:F74" si="8">D72-D73</f>
        <v>0</v>
      </c>
      <c r="E74" s="149">
        <f t="shared" si="8"/>
        <v>-1.4194296849012744E-9</v>
      </c>
      <c r="F74" s="150">
        <f t="shared" si="8"/>
        <v>1</v>
      </c>
      <c r="G74" s="129"/>
      <c r="H74" s="129"/>
      <c r="I74" s="129"/>
    </row>
    <row r="75" spans="2:10" s="62" customFormat="1" x14ac:dyDescent="0.25">
      <c r="G75" s="129"/>
      <c r="H75" s="129"/>
      <c r="I75" s="129"/>
      <c r="J75" s="1"/>
    </row>
    <row r="76" spans="2:10" x14ac:dyDescent="0.25">
      <c r="B76" s="133"/>
      <c r="C76" s="134"/>
      <c r="D76" s="135"/>
      <c r="E76" s="136"/>
      <c r="F76" s="136"/>
      <c r="G76" s="136"/>
      <c r="H76" s="137"/>
    </row>
    <row r="77" spans="2:10" x14ac:dyDescent="0.25">
      <c r="B77" s="288" t="s">
        <v>190</v>
      </c>
      <c r="C77" s="289"/>
      <c r="D77" s="289"/>
      <c r="E77" s="289"/>
      <c r="F77" s="289"/>
      <c r="G77" s="290"/>
      <c r="H77" s="137"/>
    </row>
    <row r="78" spans="2:10" x14ac:dyDescent="0.25">
      <c r="B78" s="277" t="s">
        <v>84</v>
      </c>
      <c r="C78" s="278"/>
      <c r="D78" s="278"/>
      <c r="E78" s="278"/>
      <c r="F78" s="278"/>
      <c r="G78" s="279"/>
      <c r="H78" s="138"/>
    </row>
    <row r="79" spans="2:10" x14ac:dyDescent="0.25">
      <c r="B79" s="291" t="s">
        <v>187</v>
      </c>
      <c r="C79" s="292"/>
      <c r="D79" s="292"/>
      <c r="E79" s="292"/>
      <c r="F79" s="293"/>
      <c r="G79" s="189" t="s">
        <v>188</v>
      </c>
    </row>
    <row r="80" spans="2:10" x14ac:dyDescent="0.25">
      <c r="B80" s="282" t="s">
        <v>139</v>
      </c>
      <c r="C80" s="283"/>
      <c r="D80" s="283"/>
      <c r="E80" s="283"/>
      <c r="F80" s="284"/>
      <c r="G80" s="190">
        <f>28299+32753-268+195-7258+207046+179108+11464+2238+16281</f>
        <v>469858</v>
      </c>
    </row>
    <row r="81" spans="2:7" x14ac:dyDescent="0.25">
      <c r="B81" s="282" t="s">
        <v>115</v>
      </c>
      <c r="C81" s="283"/>
      <c r="D81" s="283"/>
      <c r="E81" s="283"/>
      <c r="F81" s="284"/>
      <c r="G81" s="190">
        <v>0</v>
      </c>
    </row>
    <row r="82" spans="2:7" x14ac:dyDescent="0.25">
      <c r="B82" s="282" t="s">
        <v>114</v>
      </c>
      <c r="C82" s="283"/>
      <c r="D82" s="283"/>
      <c r="E82" s="283"/>
      <c r="F82" s="284"/>
      <c r="G82" s="190">
        <v>221801</v>
      </c>
    </row>
    <row r="83" spans="2:7" ht="15.75" thickBot="1" x14ac:dyDescent="0.3">
      <c r="B83" s="285" t="s">
        <v>189</v>
      </c>
      <c r="C83" s="286"/>
      <c r="D83" s="286"/>
      <c r="E83" s="286"/>
      <c r="F83" s="287"/>
      <c r="G83" s="191">
        <f>SUM(G80:G82)</f>
        <v>691659</v>
      </c>
    </row>
    <row r="84" spans="2:7" ht="15.75" thickTop="1" x14ac:dyDescent="0.25"/>
    <row r="86" spans="2:7" x14ac:dyDescent="0.25">
      <c r="C86" s="20"/>
    </row>
  </sheetData>
  <customSheetViews>
    <customSheetView guid="{34211852-B453-4CDA-9F61-C6EBB49F5732}" scale="90" showPageBreaks="1" showGridLines="0" fitToPage="1" printArea="1" hiddenRows="1">
      <selection activeCell="M45" sqref="M45"/>
      <pageMargins left="0.7" right="0.7" top="0.75" bottom="0.75" header="0.3" footer="0.3"/>
      <pageSetup scale="54" orientation="landscape" r:id="rId1"/>
      <headerFooter>
        <oddFooter>&amp;L&amp;D&amp;R&amp;F,&amp;A,</oddFooter>
      </headerFooter>
    </customSheetView>
    <customSheetView guid="{66DB97CC-E9CD-4D25-A10F-98CC991DB916}" scale="90" showPageBreaks="1" showGridLines="0" fitToPage="1" printArea="1" hiddenRows="1">
      <selection activeCell="C16" sqref="C16"/>
      <pageMargins left="0.7" right="0.7" top="0.75" bottom="0.75" header="0.3" footer="0.3"/>
      <pageSetup scale="54" orientation="landscape" r:id="rId2"/>
      <headerFooter>
        <oddFooter>&amp;L&amp;D&amp;R&amp;F,&amp;A,</oddFooter>
      </headerFooter>
    </customSheetView>
  </customSheetViews>
  <mergeCells count="24">
    <mergeCell ref="B81:F81"/>
    <mergeCell ref="B82:F82"/>
    <mergeCell ref="B83:F83"/>
    <mergeCell ref="B61:H61"/>
    <mergeCell ref="B77:G77"/>
    <mergeCell ref="B78:G78"/>
    <mergeCell ref="B79:F79"/>
    <mergeCell ref="B80:F80"/>
    <mergeCell ref="F39:G39"/>
    <mergeCell ref="B48:J48"/>
    <mergeCell ref="B38:J38"/>
    <mergeCell ref="B49:J49"/>
    <mergeCell ref="F50:G50"/>
    <mergeCell ref="B5:G5"/>
    <mergeCell ref="B2:I2"/>
    <mergeCell ref="B3:I3"/>
    <mergeCell ref="B4:I4"/>
    <mergeCell ref="B37:J37"/>
    <mergeCell ref="B17:F17"/>
    <mergeCell ref="B18:F18"/>
    <mergeCell ref="B27:F27"/>
    <mergeCell ref="B28:F28"/>
    <mergeCell ref="B7:F7"/>
    <mergeCell ref="B8:F8"/>
  </mergeCells>
  <pageMargins left="0.7" right="0.7" top="0.75" bottom="0.75" header="0.3" footer="0.3"/>
  <pageSetup scale="54" orientation="landscape" r:id="rId3"/>
  <headerFooter>
    <oddFooter>&amp;L&amp;D&amp;R&amp;F,&amp;A,</oddFooter>
  </headerFooter>
  <ignoredErrors>
    <ignoredError sqref="E72:E74"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D19"/>
  <sheetViews>
    <sheetView showGridLines="0" zoomScale="90" zoomScaleNormal="90" workbookViewId="0">
      <selection activeCell="B22" sqref="B22"/>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294" t="s">
        <v>85</v>
      </c>
      <c r="C1" s="294"/>
      <c r="D1" s="294"/>
    </row>
    <row r="2" spans="2:4" ht="21" x14ac:dyDescent="0.35">
      <c r="B2" s="295" t="s">
        <v>5</v>
      </c>
      <c r="C2" s="296"/>
      <c r="D2" s="297"/>
    </row>
    <row r="3" spans="2:4" ht="18.75" x14ac:dyDescent="0.3">
      <c r="B3" s="299" t="s">
        <v>86</v>
      </c>
      <c r="C3" s="300"/>
      <c r="D3" s="301"/>
    </row>
    <row r="4" spans="2:4" ht="74.25" customHeight="1" x14ac:dyDescent="0.25">
      <c r="B4" s="298" t="s">
        <v>218</v>
      </c>
      <c r="C4" s="298"/>
      <c r="D4" s="298"/>
    </row>
    <row r="5" spans="2:4" x14ac:dyDescent="0.25">
      <c r="B5" s="21"/>
      <c r="C5" s="2"/>
      <c r="D5" s="2"/>
    </row>
    <row r="6" spans="2:4" x14ac:dyDescent="0.25">
      <c r="B6" s="303" t="s">
        <v>87</v>
      </c>
      <c r="C6" s="302" t="s">
        <v>88</v>
      </c>
      <c r="D6" s="302" t="s">
        <v>89</v>
      </c>
    </row>
    <row r="7" spans="2:4" x14ac:dyDescent="0.25">
      <c r="B7" s="303"/>
      <c r="C7" s="302"/>
      <c r="D7" s="302"/>
    </row>
    <row r="8" spans="2:4" x14ac:dyDescent="0.25">
      <c r="B8" s="80" t="s">
        <v>156</v>
      </c>
      <c r="C8" s="177"/>
      <c r="D8" s="179"/>
    </row>
    <row r="9" spans="2:4" x14ac:dyDescent="0.25">
      <c r="B9" s="115" t="s">
        <v>115</v>
      </c>
      <c r="C9" s="49">
        <v>0.45</v>
      </c>
      <c r="D9" s="180">
        <v>3357950</v>
      </c>
    </row>
    <row r="10" spans="2:4" x14ac:dyDescent="0.25">
      <c r="B10" s="3" t="s">
        <v>114</v>
      </c>
      <c r="C10" s="49">
        <v>0.24</v>
      </c>
      <c r="D10" s="242">
        <v>1761801</v>
      </c>
    </row>
    <row r="11" spans="2:4" x14ac:dyDescent="0.25">
      <c r="B11" s="3" t="s">
        <v>139</v>
      </c>
      <c r="C11" s="49">
        <v>0.3</v>
      </c>
      <c r="D11" s="243">
        <v>2212124</v>
      </c>
    </row>
    <row r="12" spans="2:4" x14ac:dyDescent="0.25">
      <c r="B12" s="3" t="s">
        <v>238</v>
      </c>
      <c r="C12" s="49">
        <v>0.01</v>
      </c>
      <c r="D12" s="180">
        <v>111677</v>
      </c>
    </row>
    <row r="13" spans="2:4" x14ac:dyDescent="0.25">
      <c r="B13" s="3"/>
      <c r="C13" s="49"/>
      <c r="D13" s="180"/>
    </row>
    <row r="14" spans="2:4" x14ac:dyDescent="0.25">
      <c r="B14" s="3"/>
      <c r="C14" s="49"/>
      <c r="D14" s="180"/>
    </row>
    <row r="15" spans="2:4" x14ac:dyDescent="0.25">
      <c r="B15" s="80" t="s">
        <v>157</v>
      </c>
      <c r="C15" s="177">
        <f>SUM(C8:C14)</f>
        <v>1</v>
      </c>
      <c r="D15" s="179">
        <f t="shared" ref="D15" si="0">SUM(D8:D14)</f>
        <v>7443552</v>
      </c>
    </row>
    <row r="16" spans="2:4" x14ac:dyDescent="0.25">
      <c r="B16" s="76"/>
      <c r="C16" s="44"/>
      <c r="D16" s="44"/>
    </row>
    <row r="17" spans="2:4" x14ac:dyDescent="0.25">
      <c r="B17" s="29" t="s">
        <v>175</v>
      </c>
      <c r="C17" s="107"/>
      <c r="D17" s="81">
        <f>SUM(D9:D14)</f>
        <v>7443552</v>
      </c>
    </row>
    <row r="18" spans="2:4" x14ac:dyDescent="0.25">
      <c r="B18" s="29" t="s">
        <v>176</v>
      </c>
      <c r="C18" s="178" t="e">
        <f>C15/C8-1</f>
        <v>#DIV/0!</v>
      </c>
      <c r="D18" s="108"/>
    </row>
    <row r="19" spans="2:4" x14ac:dyDescent="0.25">
      <c r="B19" s="76" t="s">
        <v>90</v>
      </c>
    </row>
  </sheetData>
  <customSheetViews>
    <customSheetView guid="{34211852-B453-4CDA-9F61-C6EBB49F5732}" scale="90" showPageBreaks="1" showGridLines="0" fitToPage="1" printArea="1">
      <selection activeCell="B22" sqref="B22"/>
      <pageMargins left="0.7" right="0.7" top="0.75" bottom="0.75" header="0.3" footer="0.3"/>
      <pageSetup orientation="landscape" r:id="rId1"/>
      <headerFooter>
        <oddFooter>&amp;L&amp;D&amp;R&amp;F,&amp;A</oddFooter>
      </headerFooter>
    </customSheetView>
    <customSheetView guid="{66DB97CC-E9CD-4D25-A10F-98CC991DB916}" scale="90" showPageBreaks="1" showGridLines="0" fitToPage="1" printArea="1">
      <selection sqref="A1:I24"/>
      <pageMargins left="0.7" right="0.7" top="0.75" bottom="0.75" header="0.3" footer="0.3"/>
      <pageSetup orientation="landscape" r:id="rId2"/>
      <headerFooter>
        <oddFooter>&amp;L&amp;D&amp;R&amp;F,&amp;A</oddFooter>
      </headerFooter>
    </customSheetView>
  </customSheetViews>
  <mergeCells count="7">
    <mergeCell ref="B1:D1"/>
    <mergeCell ref="B2:D2"/>
    <mergeCell ref="B4:D4"/>
    <mergeCell ref="B3:D3"/>
    <mergeCell ref="C6:C7"/>
    <mergeCell ref="B6:B7"/>
    <mergeCell ref="D6:D7"/>
  </mergeCells>
  <pageMargins left="0.7" right="0.7" top="0.75" bottom="0.75" header="0.3" footer="0.3"/>
  <pageSetup orientation="landscape" r:id="rId3"/>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M40"/>
  <sheetViews>
    <sheetView showGridLines="0" zoomScale="90" zoomScaleNormal="90" workbookViewId="0">
      <selection activeCell="F18" sqref="F18"/>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7" x14ac:dyDescent="0.25">
      <c r="B1" s="248" t="s">
        <v>91</v>
      </c>
      <c r="C1" s="248"/>
      <c r="D1" s="248"/>
      <c r="E1" s="248"/>
      <c r="F1" s="248"/>
      <c r="G1" s="248"/>
    </row>
    <row r="2" spans="2:7" ht="18.75" x14ac:dyDescent="0.3">
      <c r="B2" s="305" t="s">
        <v>9</v>
      </c>
      <c r="C2" s="306"/>
      <c r="D2" s="306"/>
      <c r="E2" s="306"/>
      <c r="F2" s="306"/>
      <c r="G2" s="307"/>
    </row>
    <row r="3" spans="2:7" ht="18.75" x14ac:dyDescent="0.3">
      <c r="B3" s="299" t="s">
        <v>92</v>
      </c>
      <c r="C3" s="300"/>
      <c r="D3" s="300"/>
      <c r="E3" s="300"/>
      <c r="F3" s="300"/>
      <c r="G3" s="301"/>
    </row>
    <row r="4" spans="2:7" ht="63" customHeight="1" x14ac:dyDescent="0.25">
      <c r="B4" s="308" t="s">
        <v>216</v>
      </c>
      <c r="C4" s="309"/>
      <c r="D4" s="309"/>
      <c r="E4" s="309"/>
      <c r="F4" s="309"/>
      <c r="G4" s="310"/>
    </row>
    <row r="5" spans="2:7" ht="17.45" customHeight="1" x14ac:dyDescent="0.25">
      <c r="B5" s="47" t="s">
        <v>93</v>
      </c>
      <c r="C5" s="311" t="s">
        <v>94</v>
      </c>
      <c r="D5" s="312"/>
      <c r="E5" s="312"/>
      <c r="F5" s="313"/>
      <c r="G5" s="57" t="s">
        <v>95</v>
      </c>
    </row>
    <row r="6" spans="2:7" ht="31.5" customHeight="1" x14ac:dyDescent="0.25">
      <c r="B6" s="16"/>
      <c r="C6" s="50" t="s">
        <v>96</v>
      </c>
      <c r="D6" s="51" t="s">
        <v>97</v>
      </c>
      <c r="E6" s="151" t="s">
        <v>215</v>
      </c>
      <c r="F6" s="151" t="s">
        <v>98</v>
      </c>
      <c r="G6" s="16"/>
    </row>
    <row r="7" spans="2:7" ht="31.5" customHeight="1" x14ac:dyDescent="0.25">
      <c r="B7" s="152" t="s">
        <v>99</v>
      </c>
      <c r="C7" s="153">
        <v>0.02</v>
      </c>
      <c r="D7" s="154">
        <v>500000</v>
      </c>
      <c r="E7" s="155">
        <v>0.6</v>
      </c>
      <c r="F7" s="156">
        <f>C7*E7</f>
        <v>1.2E-2</v>
      </c>
      <c r="G7" s="152" t="s">
        <v>100</v>
      </c>
    </row>
    <row r="8" spans="2:7" ht="27" customHeight="1" x14ac:dyDescent="0.25">
      <c r="B8" s="16" t="s">
        <v>101</v>
      </c>
      <c r="C8" s="50">
        <v>0.05</v>
      </c>
      <c r="D8" s="51">
        <v>392295</v>
      </c>
      <c r="E8" s="50">
        <f>+D8/D17</f>
        <v>0.1068538216730531</v>
      </c>
      <c r="F8" s="9">
        <f>C8*E8</f>
        <v>5.3426910836526552E-3</v>
      </c>
      <c r="G8" s="16"/>
    </row>
    <row r="9" spans="2:7" ht="27" customHeight="1" x14ac:dyDescent="0.25">
      <c r="B9" s="16" t="s">
        <v>102</v>
      </c>
      <c r="C9" s="50">
        <v>0.05</v>
      </c>
      <c r="D9" s="51">
        <v>1807703</v>
      </c>
      <c r="E9" s="50">
        <f>+D9/D17</f>
        <v>0.49238449126255268</v>
      </c>
      <c r="F9" s="9">
        <f t="shared" ref="F9:F13" si="0">C9*E9</f>
        <v>2.4619224563127637E-2</v>
      </c>
      <c r="G9" s="16"/>
    </row>
    <row r="10" spans="2:7" ht="27" customHeight="1" x14ac:dyDescent="0.25">
      <c r="B10" s="16" t="s">
        <v>37</v>
      </c>
      <c r="C10" s="50"/>
      <c r="D10" s="51"/>
      <c r="E10" s="50"/>
      <c r="F10" s="9">
        <f t="shared" si="0"/>
        <v>0</v>
      </c>
      <c r="G10" s="16"/>
    </row>
    <row r="11" spans="2:7" ht="27" customHeight="1" x14ac:dyDescent="0.25">
      <c r="B11" s="16" t="s">
        <v>103</v>
      </c>
      <c r="C11" s="50">
        <v>0.1</v>
      </c>
      <c r="D11" s="51">
        <v>328501</v>
      </c>
      <c r="E11" s="50">
        <f>+D11/D17</f>
        <v>8.9477529087598914E-2</v>
      </c>
      <c r="F11" s="9">
        <f t="shared" si="0"/>
        <v>8.9477529087598918E-3</v>
      </c>
      <c r="G11" s="16"/>
    </row>
    <row r="12" spans="2:7" ht="27" customHeight="1" x14ac:dyDescent="0.25">
      <c r="B12" s="16" t="s">
        <v>104</v>
      </c>
      <c r="C12" s="50"/>
      <c r="D12" s="51"/>
      <c r="E12" s="50"/>
      <c r="F12" s="9">
        <f t="shared" si="0"/>
        <v>0</v>
      </c>
      <c r="G12" s="16"/>
    </row>
    <row r="13" spans="2:7" ht="27" customHeight="1" x14ac:dyDescent="0.25">
      <c r="B13" s="30" t="s">
        <v>221</v>
      </c>
      <c r="C13" s="50">
        <v>0.1</v>
      </c>
      <c r="D13" s="51">
        <v>814323</v>
      </c>
      <c r="E13" s="50">
        <f>+D13/D17</f>
        <v>0.22180635650789743</v>
      </c>
      <c r="F13" s="9">
        <f t="shared" si="0"/>
        <v>2.2180635650789746E-2</v>
      </c>
      <c r="G13" s="16"/>
    </row>
    <row r="14" spans="2:7" ht="27" customHeight="1" x14ac:dyDescent="0.25">
      <c r="B14" s="30" t="s">
        <v>223</v>
      </c>
      <c r="C14" s="50">
        <v>0.03</v>
      </c>
      <c r="D14" s="51">
        <v>137971</v>
      </c>
      <c r="E14" s="50">
        <f>+D14/D17</f>
        <v>3.7580720197944936E-2</v>
      </c>
      <c r="F14" s="9">
        <f>C14*E14</f>
        <v>1.1274216059383481E-3</v>
      </c>
      <c r="G14" s="16"/>
    </row>
    <row r="15" spans="2:7" ht="27" customHeight="1" x14ac:dyDescent="0.25">
      <c r="B15" s="30" t="s">
        <v>222</v>
      </c>
      <c r="C15" s="50">
        <v>0.1</v>
      </c>
      <c r="D15" s="51">
        <v>190531</v>
      </c>
      <c r="E15" s="50">
        <f>+D15/D17</f>
        <v>5.1897081270952931E-2</v>
      </c>
      <c r="F15" s="9">
        <f>C15*E15</f>
        <v>5.1897081270952938E-3</v>
      </c>
      <c r="G15" s="16"/>
    </row>
    <row r="16" spans="2:7" ht="27" customHeight="1" x14ac:dyDescent="0.25">
      <c r="B16" s="30"/>
      <c r="C16" s="50"/>
      <c r="D16" s="51"/>
      <c r="E16" s="50"/>
      <c r="F16" s="9"/>
      <c r="G16" s="16"/>
    </row>
    <row r="17" spans="2:7" x14ac:dyDescent="0.25">
      <c r="B17" s="11" t="s">
        <v>13</v>
      </c>
      <c r="C17" s="78" t="s">
        <v>105</v>
      </c>
      <c r="D17" s="79">
        <f>SUM(D8:D15)</f>
        <v>3671324</v>
      </c>
      <c r="E17" s="222">
        <f>SUM(E8:E15)</f>
        <v>0.99999999999999989</v>
      </c>
      <c r="F17" s="221">
        <f>SUM(F8:F15)</f>
        <v>6.7407433939363576E-2</v>
      </c>
      <c r="G17" s="11"/>
    </row>
    <row r="18" spans="2:7" x14ac:dyDescent="0.25">
      <c r="B18" s="18" t="s">
        <v>217</v>
      </c>
      <c r="E18" t="s">
        <v>212</v>
      </c>
    </row>
    <row r="20" spans="2:7" x14ac:dyDescent="0.25">
      <c r="B20" s="304" t="s">
        <v>106</v>
      </c>
      <c r="C20" s="304"/>
      <c r="D20" s="304"/>
      <c r="E20" s="304"/>
      <c r="F20" s="182"/>
    </row>
    <row r="22" spans="2:7" ht="26.25" x14ac:dyDescent="0.4">
      <c r="B22" s="211" t="s">
        <v>211</v>
      </c>
    </row>
    <row r="40" spans="13:13" x14ac:dyDescent="0.25">
      <c r="M40" s="14"/>
    </row>
  </sheetData>
  <customSheetViews>
    <customSheetView guid="{34211852-B453-4CDA-9F61-C6EBB49F5732}" scale="90" showPageBreaks="1" showGridLines="0" printArea="1">
      <selection activeCell="F18" sqref="F18"/>
      <pageMargins left="0.7" right="0.7" top="0.75" bottom="0.75" header="0.3" footer="0.3"/>
      <pageSetup orientation="landscape" r:id="rId1"/>
      <headerFooter>
        <oddFooter>&amp;L&amp;D&amp;R&amp;F,&amp;A</oddFooter>
      </headerFooter>
    </customSheetView>
    <customSheetView guid="{66DB97CC-E9CD-4D25-A10F-98CC991DB916}" scale="90" showPageBreaks="1" showGridLines="0" fitToPage="1" printArea="1" topLeftCell="A10">
      <selection activeCell="B10" sqref="B10"/>
      <pageMargins left="0.7" right="0.7" top="0.75" bottom="0.75" header="0.3" footer="0.3"/>
      <pageSetup orientation="landscape" r:id="rId2"/>
      <headerFooter>
        <oddFooter>&amp;L&amp;D&amp;R&amp;F,&amp;A</oddFooter>
      </headerFooter>
    </customSheetView>
  </customSheetViews>
  <mergeCells count="6">
    <mergeCell ref="B20:E20"/>
    <mergeCell ref="B1:G1"/>
    <mergeCell ref="B2:G2"/>
    <mergeCell ref="B4:G4"/>
    <mergeCell ref="C5:F5"/>
    <mergeCell ref="B3:G3"/>
  </mergeCells>
  <pageMargins left="0.7" right="0.7" top="0.75" bottom="0.75" header="0.3" footer="0.3"/>
  <pageSetup orientation="landscape" r:id="rId3"/>
  <headerFooter>
    <oddFooter>&amp;L&amp;D&amp;R&amp;F,&amp;A</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18"/>
  <sheetViews>
    <sheetView showGridLines="0" workbookViewId="0">
      <selection activeCell="I27" sqref="I27"/>
    </sheetView>
  </sheetViews>
  <sheetFormatPr defaultColWidth="8.85546875" defaultRowHeight="15" x14ac:dyDescent="0.25"/>
  <cols>
    <col min="1" max="1" width="8.85546875" style="1"/>
    <col min="2" max="2" width="32.28515625" style="41" customWidth="1"/>
    <col min="3" max="3" width="22.28515625" style="41" customWidth="1"/>
    <col min="4" max="4" width="28.140625" style="41" customWidth="1"/>
    <col min="5" max="5" width="17.5703125" style="41" customWidth="1"/>
    <col min="6" max="6" width="27.85546875" style="41" customWidth="1"/>
    <col min="7" max="16384" width="8.85546875" style="1"/>
  </cols>
  <sheetData>
    <row r="1" spans="2:6" s="111" customFormat="1" x14ac:dyDescent="0.25">
      <c r="B1" s="112"/>
      <c r="C1" s="112"/>
      <c r="D1" s="112"/>
      <c r="E1" s="112"/>
      <c r="F1" s="112"/>
    </row>
    <row r="2" spans="2:6" ht="15.75" x14ac:dyDescent="0.25">
      <c r="B2" s="315" t="s">
        <v>107</v>
      </c>
      <c r="C2" s="315"/>
      <c r="D2" s="315"/>
      <c r="E2" s="315"/>
      <c r="F2" s="315"/>
    </row>
    <row r="3" spans="2:6" ht="18.75" x14ac:dyDescent="0.3">
      <c r="B3" s="316" t="s">
        <v>2</v>
      </c>
      <c r="C3" s="317"/>
      <c r="D3" s="317"/>
      <c r="E3" s="317"/>
      <c r="F3" s="318"/>
    </row>
    <row r="4" spans="2:6" ht="18.75" x14ac:dyDescent="0.3">
      <c r="B4" s="299" t="s">
        <v>108</v>
      </c>
      <c r="C4" s="300"/>
      <c r="D4" s="300"/>
      <c r="E4" s="300"/>
      <c r="F4" s="301"/>
    </row>
    <row r="5" spans="2:6" ht="15.75" x14ac:dyDescent="0.25">
      <c r="B5" s="31"/>
      <c r="C5" s="31"/>
      <c r="D5" s="31"/>
      <c r="E5" s="31"/>
      <c r="F5" s="31"/>
    </row>
    <row r="6" spans="2:6" ht="67.5" customHeight="1" x14ac:dyDescent="0.25">
      <c r="B6" s="314" t="s">
        <v>205</v>
      </c>
      <c r="C6" s="314"/>
      <c r="D6" s="314"/>
      <c r="E6" s="314"/>
      <c r="F6" s="314"/>
    </row>
    <row r="7" spans="2:6" ht="15.75" x14ac:dyDescent="0.25">
      <c r="B7" s="31"/>
      <c r="C7" s="31"/>
      <c r="D7" s="31"/>
      <c r="E7" s="31"/>
      <c r="F7" s="31"/>
    </row>
    <row r="8" spans="2:6" ht="48" customHeight="1" x14ac:dyDescent="0.25">
      <c r="B8" s="32" t="s">
        <v>109</v>
      </c>
      <c r="C8" s="33" t="s">
        <v>177</v>
      </c>
      <c r="D8" s="33" t="s">
        <v>110</v>
      </c>
      <c r="E8" s="33" t="s">
        <v>111</v>
      </c>
      <c r="F8" s="34" t="s">
        <v>112</v>
      </c>
    </row>
    <row r="9" spans="2:6" ht="25.5" customHeight="1" x14ac:dyDescent="0.25">
      <c r="B9" s="35"/>
      <c r="C9" s="36" t="s">
        <v>113</v>
      </c>
      <c r="D9" s="36" t="s">
        <v>178</v>
      </c>
      <c r="E9" s="36" t="s">
        <v>178</v>
      </c>
      <c r="F9" s="37" t="s">
        <v>179</v>
      </c>
    </row>
    <row r="10" spans="2:6" ht="24" customHeight="1" x14ac:dyDescent="0.25">
      <c r="B10" s="38" t="s">
        <v>114</v>
      </c>
      <c r="C10" s="39" t="s">
        <v>224</v>
      </c>
      <c r="D10" s="224">
        <v>7059</v>
      </c>
      <c r="E10" s="228">
        <v>865216</v>
      </c>
      <c r="F10" s="225">
        <f>261298</f>
        <v>261298</v>
      </c>
    </row>
    <row r="11" spans="2:6" ht="15.75" x14ac:dyDescent="0.25">
      <c r="B11" s="38" t="s">
        <v>115</v>
      </c>
      <c r="C11" s="39" t="s">
        <v>225</v>
      </c>
      <c r="D11" s="39"/>
      <c r="E11" s="224"/>
      <c r="F11" s="40"/>
    </row>
    <row r="12" spans="2:6" ht="15.75" x14ac:dyDescent="0.25">
      <c r="B12" s="38" t="s">
        <v>139</v>
      </c>
      <c r="C12" s="39"/>
      <c r="D12" s="39"/>
      <c r="E12" s="224"/>
      <c r="F12" s="40"/>
    </row>
    <row r="13" spans="2:6" ht="15.75" x14ac:dyDescent="0.25">
      <c r="B13" s="209" t="s">
        <v>203</v>
      </c>
      <c r="C13" s="199" t="s">
        <v>224</v>
      </c>
      <c r="D13" s="199" t="s">
        <v>227</v>
      </c>
      <c r="E13" s="228"/>
      <c r="F13" s="200" t="s">
        <v>229</v>
      </c>
    </row>
    <row r="14" spans="2:6" ht="15.75" x14ac:dyDescent="0.25">
      <c r="B14" s="210" t="s">
        <v>204</v>
      </c>
      <c r="C14" s="201" t="s">
        <v>226</v>
      </c>
      <c r="D14" s="201" t="s">
        <v>228</v>
      </c>
      <c r="E14" s="229"/>
      <c r="F14" s="200" t="s">
        <v>229</v>
      </c>
    </row>
    <row r="15" spans="2:6" ht="16.5" thickBot="1" x14ac:dyDescent="0.3">
      <c r="B15" s="197" t="s">
        <v>116</v>
      </c>
      <c r="C15" s="195" t="s">
        <v>225</v>
      </c>
      <c r="D15" s="195"/>
      <c r="E15" s="230"/>
      <c r="F15" s="196"/>
    </row>
    <row r="16" spans="2:6" ht="15.75" x14ac:dyDescent="0.25">
      <c r="B16" s="35" t="s">
        <v>117</v>
      </c>
      <c r="C16" s="194"/>
      <c r="D16" s="226">
        <f>7059+1048+592</f>
        <v>8699</v>
      </c>
      <c r="E16" s="226">
        <f>SUM(E10:E15)</f>
        <v>865216</v>
      </c>
      <c r="F16" s="227">
        <f>F10</f>
        <v>261298</v>
      </c>
    </row>
    <row r="17" spans="2:5" ht="15.75" x14ac:dyDescent="0.25">
      <c r="B17" s="31"/>
    </row>
    <row r="18" spans="2:5" ht="15.75" x14ac:dyDescent="0.25">
      <c r="B18" s="42"/>
      <c r="E18" s="43"/>
    </row>
  </sheetData>
  <customSheetViews>
    <customSheetView guid="{34211852-B453-4CDA-9F61-C6EBB49F5732}" showPageBreaks="1" showGridLines="0" printArea="1">
      <selection activeCell="I27" sqref="I27"/>
      <pageMargins left="0.7" right="0.7" top="0.75" bottom="0.75" header="0.3" footer="0.3"/>
      <pageSetup orientation="landscape" r:id="rId1"/>
      <headerFooter>
        <oddFooter>&amp;L&amp;D&amp;R&amp;F,&amp;A</oddFooter>
      </headerFooter>
    </customSheetView>
    <customSheetView guid="{66DB97CC-E9CD-4D25-A10F-98CC991DB916}" showPageBreaks="1" showGridLines="0" fitToPage="1" printArea="1">
      <selection activeCell="B2" sqref="B2:F17"/>
      <pageMargins left="0.7" right="0.7" top="0.75" bottom="0.75" header="0.3" footer="0.3"/>
      <pageSetup scale="95" orientation="landscape" r:id="rId2"/>
      <headerFooter>
        <oddFooter>&amp;L&amp;D&amp;R&amp;F,&amp;A</oddFooter>
      </headerFooter>
    </customSheetView>
  </customSheetViews>
  <mergeCells count="4">
    <mergeCell ref="B6:F6"/>
    <mergeCell ref="B2:F2"/>
    <mergeCell ref="B3:F3"/>
    <mergeCell ref="B4:F4"/>
  </mergeCells>
  <pageMargins left="0.7" right="0.7" top="0.75" bottom="0.75" header="0.3" footer="0.3"/>
  <pageSetup orientation="landscape" r:id="rId3"/>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24"/>
  <sheetViews>
    <sheetView showGridLines="0" tabSelected="1" zoomScale="94" zoomScaleNormal="100" zoomScaleSheetLayoutView="55" workbookViewId="0">
      <selection activeCell="C32" sqref="C32"/>
    </sheetView>
  </sheetViews>
  <sheetFormatPr defaultColWidth="9.140625" defaultRowHeight="15" customHeight="1" x14ac:dyDescent="0.25"/>
  <cols>
    <col min="1" max="1" width="3.5703125" style="109" customWidth="1"/>
    <col min="2" max="2" width="39.7109375" style="109" customWidth="1"/>
    <col min="3" max="3" width="24" style="109" customWidth="1"/>
    <col min="4" max="11" width="22.7109375" style="109" customWidth="1"/>
    <col min="12" max="16384" width="9.140625" style="109"/>
  </cols>
  <sheetData>
    <row r="2" spans="2:11" s="1" customFormat="1" ht="15.75" x14ac:dyDescent="0.25">
      <c r="B2" s="315" t="s">
        <v>118</v>
      </c>
      <c r="C2" s="315"/>
      <c r="D2" s="315"/>
      <c r="E2" s="315"/>
      <c r="F2" s="315"/>
      <c r="G2" s="315"/>
      <c r="H2" s="315"/>
      <c r="I2" s="315"/>
      <c r="J2" s="315"/>
      <c r="K2" s="315"/>
    </row>
    <row r="3" spans="2:11" s="1" customFormat="1" ht="18.75" x14ac:dyDescent="0.3">
      <c r="B3" s="316" t="s">
        <v>119</v>
      </c>
      <c r="C3" s="317"/>
      <c r="D3" s="317"/>
      <c r="E3" s="317"/>
      <c r="F3" s="317"/>
      <c r="G3" s="317"/>
      <c r="H3" s="317"/>
      <c r="I3" s="317"/>
      <c r="J3" s="317"/>
      <c r="K3" s="318"/>
    </row>
    <row r="4" spans="2:11" s="1" customFormat="1" ht="18.75" x14ac:dyDescent="0.3">
      <c r="B4" s="299" t="s">
        <v>120</v>
      </c>
      <c r="C4" s="300"/>
      <c r="D4" s="300"/>
      <c r="E4" s="300"/>
      <c r="F4" s="300"/>
      <c r="G4" s="300"/>
      <c r="H4" s="300"/>
      <c r="I4" s="300"/>
      <c r="J4" s="300"/>
      <c r="K4" s="301"/>
    </row>
    <row r="5" spans="2:11" s="111" customFormat="1" ht="18.75" x14ac:dyDescent="0.3">
      <c r="B5" s="158"/>
      <c r="C5" s="158"/>
      <c r="D5" s="158"/>
      <c r="E5" s="158"/>
      <c r="F5" s="158"/>
      <c r="G5" s="158"/>
      <c r="H5" s="158"/>
      <c r="I5" s="158"/>
      <c r="J5" s="158"/>
      <c r="K5" s="158"/>
    </row>
    <row r="6" spans="2:11" s="111" customFormat="1" ht="18.75" customHeight="1" x14ac:dyDescent="0.25">
      <c r="B6" s="321" t="s">
        <v>210</v>
      </c>
      <c r="C6" s="321"/>
      <c r="D6" s="321"/>
      <c r="E6" s="321"/>
      <c r="F6" s="321"/>
      <c r="G6" s="321"/>
      <c r="H6" s="321"/>
      <c r="I6" s="321"/>
      <c r="J6" s="321"/>
      <c r="K6" s="321"/>
    </row>
    <row r="7" spans="2:11" s="111" customFormat="1" ht="18.75" customHeight="1" x14ac:dyDescent="0.25">
      <c r="B7" s="321"/>
      <c r="C7" s="321"/>
      <c r="D7" s="321"/>
      <c r="E7" s="321"/>
      <c r="F7" s="321"/>
      <c r="G7" s="321"/>
      <c r="H7" s="321"/>
      <c r="I7" s="321"/>
      <c r="J7" s="321"/>
      <c r="K7" s="321"/>
    </row>
    <row r="8" spans="2:11" s="111" customFormat="1" ht="18.75" x14ac:dyDescent="0.3">
      <c r="B8" s="110"/>
      <c r="C8" s="110"/>
      <c r="D8" s="110"/>
      <c r="E8" s="110"/>
      <c r="F8" s="110"/>
      <c r="G8" s="110"/>
      <c r="H8" s="110"/>
    </row>
    <row r="9" spans="2:11" s="159" customFormat="1" x14ac:dyDescent="0.25">
      <c r="B9" s="160"/>
      <c r="D9" s="160"/>
      <c r="E9" s="160"/>
      <c r="F9" s="160"/>
      <c r="G9" s="160"/>
      <c r="H9" s="160"/>
      <c r="I9" s="161"/>
      <c r="J9" s="161"/>
      <c r="K9" s="161"/>
    </row>
    <row r="10" spans="2:11" s="157" customFormat="1" ht="15" customHeight="1" x14ac:dyDescent="0.25">
      <c r="B10" s="319" t="s">
        <v>121</v>
      </c>
      <c r="C10" s="175" t="s">
        <v>122</v>
      </c>
      <c r="D10" s="202" t="s">
        <v>122</v>
      </c>
      <c r="E10" s="171" t="s">
        <v>123</v>
      </c>
      <c r="F10" s="172" t="s">
        <v>209</v>
      </c>
      <c r="G10" s="204" t="s">
        <v>122</v>
      </c>
      <c r="H10" s="171" t="s">
        <v>123</v>
      </c>
      <c r="I10" s="172" t="s">
        <v>209</v>
      </c>
      <c r="J10" s="212" t="s">
        <v>123</v>
      </c>
      <c r="K10" s="213" t="s">
        <v>209</v>
      </c>
    </row>
    <row r="11" spans="2:11" s="157" customFormat="1" x14ac:dyDescent="0.25">
      <c r="B11" s="320"/>
      <c r="C11" s="174" t="s">
        <v>124</v>
      </c>
      <c r="D11" s="326" t="s">
        <v>208</v>
      </c>
      <c r="E11" s="322"/>
      <c r="F11" s="323"/>
      <c r="G11" s="322" t="s">
        <v>125</v>
      </c>
      <c r="H11" s="322"/>
      <c r="I11" s="323"/>
      <c r="J11" s="324" t="s">
        <v>206</v>
      </c>
      <c r="K11" s="325"/>
    </row>
    <row r="12" spans="2:11" ht="15" customHeight="1" x14ac:dyDescent="0.25">
      <c r="B12" s="231" t="s">
        <v>230</v>
      </c>
      <c r="C12" s="208">
        <f>+D12+G12</f>
        <v>0</v>
      </c>
      <c r="D12" s="205">
        <v>0</v>
      </c>
      <c r="E12" s="203">
        <v>2167706</v>
      </c>
      <c r="F12" s="206">
        <v>0</v>
      </c>
      <c r="G12" s="232">
        <v>0</v>
      </c>
      <c r="H12" s="232">
        <v>0</v>
      </c>
      <c r="I12" s="165">
        <v>0</v>
      </c>
      <c r="J12" s="214">
        <v>0</v>
      </c>
      <c r="K12" s="215">
        <v>0</v>
      </c>
    </row>
    <row r="13" spans="2:11" ht="15" customHeight="1" x14ac:dyDescent="0.25">
      <c r="B13" s="231" t="s">
        <v>231</v>
      </c>
      <c r="C13" s="208">
        <f t="shared" ref="C13:C22" si="0">+D13+G13</f>
        <v>0</v>
      </c>
      <c r="D13" s="205">
        <v>0</v>
      </c>
      <c r="E13" s="203"/>
      <c r="F13" s="206">
        <v>8089577</v>
      </c>
      <c r="G13" s="163">
        <v>0</v>
      </c>
      <c r="H13" s="232">
        <v>0</v>
      </c>
      <c r="I13" s="233">
        <v>410000</v>
      </c>
      <c r="J13" s="214">
        <v>0</v>
      </c>
      <c r="K13" s="215">
        <v>0</v>
      </c>
    </row>
    <row r="14" spans="2:11" ht="15" customHeight="1" x14ac:dyDescent="0.25">
      <c r="B14" s="231" t="s">
        <v>232</v>
      </c>
      <c r="C14" s="208">
        <f t="shared" si="0"/>
        <v>0</v>
      </c>
      <c r="D14" s="205">
        <v>0</v>
      </c>
      <c r="E14" s="203">
        <v>0</v>
      </c>
      <c r="F14" s="206">
        <v>21926</v>
      </c>
      <c r="G14" s="232">
        <v>0</v>
      </c>
      <c r="H14" s="232">
        <v>21926</v>
      </c>
      <c r="I14" s="233">
        <v>0</v>
      </c>
      <c r="J14" s="214">
        <v>0</v>
      </c>
      <c r="K14" s="215">
        <v>0</v>
      </c>
    </row>
    <row r="15" spans="2:11" ht="15" customHeight="1" x14ac:dyDescent="0.25">
      <c r="B15" s="231" t="s">
        <v>233</v>
      </c>
      <c r="C15" s="208">
        <f t="shared" si="0"/>
        <v>-7200</v>
      </c>
      <c r="D15" s="205">
        <v>-7200</v>
      </c>
      <c r="E15" s="203">
        <v>0</v>
      </c>
      <c r="F15" s="206">
        <v>0</v>
      </c>
      <c r="G15" s="163">
        <v>0</v>
      </c>
      <c r="H15" s="232">
        <v>0</v>
      </c>
      <c r="I15" s="165">
        <v>0</v>
      </c>
      <c r="J15" s="214">
        <v>0</v>
      </c>
      <c r="K15" s="215">
        <v>0</v>
      </c>
    </row>
    <row r="16" spans="2:11" ht="15" customHeight="1" x14ac:dyDescent="0.25">
      <c r="B16" s="231" t="s">
        <v>234</v>
      </c>
      <c r="C16" s="208">
        <f t="shared" si="0"/>
        <v>0</v>
      </c>
      <c r="D16" s="205">
        <v>0</v>
      </c>
      <c r="E16" s="203">
        <v>88923</v>
      </c>
      <c r="F16" s="206">
        <v>0</v>
      </c>
      <c r="G16" s="232">
        <v>0</v>
      </c>
      <c r="H16" s="232">
        <v>0</v>
      </c>
      <c r="I16" s="165">
        <v>0</v>
      </c>
      <c r="J16" s="214">
        <v>0</v>
      </c>
      <c r="K16" s="215">
        <v>0</v>
      </c>
    </row>
    <row r="17" spans="2:11" ht="15" customHeight="1" x14ac:dyDescent="0.25">
      <c r="B17" s="231" t="s">
        <v>235</v>
      </c>
      <c r="C17" s="208">
        <f t="shared" si="0"/>
        <v>0</v>
      </c>
      <c r="D17" s="205">
        <v>0</v>
      </c>
      <c r="E17" s="203"/>
      <c r="F17" s="206">
        <v>400000</v>
      </c>
      <c r="G17" s="234">
        <v>0</v>
      </c>
      <c r="H17" s="232">
        <v>400000</v>
      </c>
      <c r="I17" s="165">
        <v>0</v>
      </c>
      <c r="J17" s="214">
        <v>0</v>
      </c>
      <c r="K17" s="215">
        <v>0</v>
      </c>
    </row>
    <row r="18" spans="2:11" ht="15" customHeight="1" x14ac:dyDescent="0.25">
      <c r="B18" s="162" t="s">
        <v>207</v>
      </c>
      <c r="C18" s="208">
        <f t="shared" si="0"/>
        <v>0</v>
      </c>
      <c r="D18" s="205"/>
      <c r="E18" s="203"/>
      <c r="F18" s="206"/>
      <c r="G18" s="163"/>
      <c r="H18" s="164"/>
      <c r="I18" s="165"/>
      <c r="J18" s="214"/>
      <c r="K18" s="215"/>
    </row>
    <row r="19" spans="2:11" ht="15" customHeight="1" x14ac:dyDescent="0.25">
      <c r="B19" s="162" t="s">
        <v>207</v>
      </c>
      <c r="C19" s="208">
        <f t="shared" si="0"/>
        <v>0</v>
      </c>
      <c r="D19" s="205"/>
      <c r="E19" s="203"/>
      <c r="F19" s="206"/>
      <c r="G19" s="163"/>
      <c r="H19" s="164"/>
      <c r="I19" s="165"/>
      <c r="J19" s="214"/>
      <c r="K19" s="215"/>
    </row>
    <row r="20" spans="2:11" ht="15" customHeight="1" x14ac:dyDescent="0.25">
      <c r="B20" s="162" t="s">
        <v>207</v>
      </c>
      <c r="C20" s="208">
        <f t="shared" si="0"/>
        <v>0</v>
      </c>
      <c r="D20" s="205"/>
      <c r="E20" s="203"/>
      <c r="F20" s="206"/>
      <c r="G20" s="163"/>
      <c r="H20" s="164"/>
      <c r="I20" s="165"/>
      <c r="J20" s="214"/>
      <c r="K20" s="215"/>
    </row>
    <row r="21" spans="2:11" ht="15" customHeight="1" x14ac:dyDescent="0.25">
      <c r="B21" s="162" t="s">
        <v>207</v>
      </c>
      <c r="C21" s="208">
        <f t="shared" si="0"/>
        <v>0</v>
      </c>
      <c r="D21" s="205"/>
      <c r="E21" s="203"/>
      <c r="F21" s="206"/>
      <c r="G21" s="163"/>
      <c r="H21" s="164"/>
      <c r="I21" s="165"/>
      <c r="J21" s="214"/>
      <c r="K21" s="215"/>
    </row>
    <row r="22" spans="2:11" ht="15" customHeight="1" x14ac:dyDescent="0.25">
      <c r="B22" s="162" t="s">
        <v>207</v>
      </c>
      <c r="C22" s="208">
        <f t="shared" si="0"/>
        <v>0</v>
      </c>
      <c r="D22" s="205"/>
      <c r="E22" s="203"/>
      <c r="F22" s="206"/>
      <c r="G22" s="166"/>
      <c r="H22" s="166"/>
      <c r="I22" s="167"/>
      <c r="J22" s="216"/>
      <c r="K22" s="217"/>
    </row>
    <row r="23" spans="2:11" ht="15" customHeight="1" thickBot="1" x14ac:dyDescent="0.3">
      <c r="B23" s="168" t="s">
        <v>126</v>
      </c>
      <c r="C23" s="207">
        <f>SUM(C12:C22)</f>
        <v>-7200</v>
      </c>
      <c r="D23" s="173">
        <f t="shared" ref="D23:F23" si="1">SUM(D12:D22)</f>
        <v>-7200</v>
      </c>
      <c r="E23" s="169">
        <f t="shared" si="1"/>
        <v>2256629</v>
      </c>
      <c r="F23" s="170">
        <f t="shared" si="1"/>
        <v>8511503</v>
      </c>
      <c r="G23" s="169">
        <f t="shared" ref="G23:I23" si="2">SUM(G12:G22)</f>
        <v>0</v>
      </c>
      <c r="H23" s="169">
        <f t="shared" si="2"/>
        <v>421926</v>
      </c>
      <c r="I23" s="170">
        <f t="shared" si="2"/>
        <v>410000</v>
      </c>
      <c r="J23" s="218">
        <f t="shared" ref="J23" si="3">SUM(J12:J22)</f>
        <v>0</v>
      </c>
      <c r="K23" s="219">
        <f t="shared" ref="K23" si="4">SUM(K12:K22)</f>
        <v>0</v>
      </c>
    </row>
    <row r="24" spans="2:11" ht="15" customHeight="1" thickTop="1" x14ac:dyDescent="0.25"/>
  </sheetData>
  <customSheetViews>
    <customSheetView guid="{34211852-B453-4CDA-9F61-C6EBB49F5732}" scale="94" showGridLines="0" fitToPage="1">
      <selection activeCell="C32" sqref="C32"/>
      <pageMargins left="0.7" right="0.7" top="0.75" bottom="0.75" header="0.3" footer="0.3"/>
      <pageSetup scale="44" fitToHeight="0" orientation="landscape" r:id="rId1"/>
    </customSheetView>
    <customSheetView guid="{66DB97CC-E9CD-4D25-A10F-98CC991DB916}" scale="94" showPageBreaks="1" showGridLines="0" fitToPage="1" topLeftCell="A4">
      <selection activeCell="B4" sqref="B4:K24"/>
      <pageMargins left="0.7" right="0.7" top="0.75" bottom="0.75" header="0.3" footer="0.3"/>
      <pageSetup scale="49" orientation="landscape" r:id="rId2"/>
    </customSheetView>
  </customSheetViews>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5" customWidth="1"/>
    <col min="2" max="2" width="13.85546875" style="65" customWidth="1"/>
  </cols>
  <sheetData>
    <row r="2" spans="1:2" x14ac:dyDescent="0.25">
      <c r="A2" s="327" t="s">
        <v>127</v>
      </c>
      <c r="B2" s="327"/>
    </row>
    <row r="3" spans="1:2" ht="15.75" x14ac:dyDescent="0.25">
      <c r="A3" s="328" t="s">
        <v>128</v>
      </c>
      <c r="B3" s="328"/>
    </row>
    <row r="4" spans="1:2" ht="24.6" customHeight="1" x14ac:dyDescent="0.25">
      <c r="A4" s="329" t="s">
        <v>129</v>
      </c>
      <c r="B4" s="329"/>
    </row>
    <row r="5" spans="1:2" x14ac:dyDescent="0.25">
      <c r="A5" s="66" t="s">
        <v>130</v>
      </c>
      <c r="B5" s="67">
        <f>'1. Reconciliation'!C23</f>
        <v>98854192</v>
      </c>
    </row>
    <row r="6" spans="1:2" x14ac:dyDescent="0.25">
      <c r="A6" s="66" t="s">
        <v>131</v>
      </c>
      <c r="B6" s="68">
        <f>'1. Reconciliation'!C26</f>
        <v>0.12475321190465688</v>
      </c>
    </row>
    <row r="7" spans="1:2" x14ac:dyDescent="0.25">
      <c r="A7" s="66" t="s">
        <v>132</v>
      </c>
      <c r="B7" s="68">
        <f>'1. Reconciliation'!C73</f>
        <v>9.904215728034968E-2</v>
      </c>
    </row>
    <row r="8" spans="1:2" x14ac:dyDescent="0.25">
      <c r="A8" s="69"/>
      <c r="B8" s="70"/>
    </row>
    <row r="9" spans="1:2" x14ac:dyDescent="0.25">
      <c r="A9" s="71" t="s">
        <v>133</v>
      </c>
      <c r="B9" s="72"/>
    </row>
    <row r="10" spans="1:2" ht="39.6" customHeight="1" x14ac:dyDescent="0.25">
      <c r="A10" s="66" t="s">
        <v>134</v>
      </c>
      <c r="B10" s="73">
        <f>+'1. Reconciliation'!C12</f>
        <v>8611152</v>
      </c>
    </row>
    <row r="11" spans="1:2" x14ac:dyDescent="0.25">
      <c r="A11" s="66" t="s">
        <v>135</v>
      </c>
      <c r="B11" s="73">
        <f>+'1. Reconciliation'!C14</f>
        <v>7443552</v>
      </c>
    </row>
    <row r="12" spans="1:2" x14ac:dyDescent="0.25">
      <c r="A12" s="66" t="s">
        <v>23</v>
      </c>
      <c r="B12" s="73">
        <f>+'1. Reconciliation'!C16</f>
        <v>0</v>
      </c>
    </row>
    <row r="13" spans="1:2" x14ac:dyDescent="0.25">
      <c r="A13" s="66" t="s">
        <v>24</v>
      </c>
      <c r="B13" s="73">
        <f>+'1. Reconciliation'!C17</f>
        <v>0</v>
      </c>
    </row>
    <row r="14" spans="1:2" ht="44.45" customHeight="1" x14ac:dyDescent="0.25">
      <c r="A14" s="66" t="s">
        <v>25</v>
      </c>
      <c r="B14" s="73">
        <f>+'1. Reconciliation'!C18</f>
        <v>-4831355</v>
      </c>
    </row>
    <row r="15" spans="1:2" x14ac:dyDescent="0.25">
      <c r="A15" s="74" t="s">
        <v>136</v>
      </c>
      <c r="B15" s="75">
        <f>SUM(B10:B14)</f>
        <v>11223349</v>
      </c>
    </row>
  </sheetData>
  <customSheetViews>
    <customSheetView guid="{34211852-B453-4CDA-9F61-C6EBB49F5732}" scale="110" state="hidden" topLeftCell="A3">
      <selection activeCell="C24" sqref="C24"/>
      <pageMargins left="0.7" right="0.7" top="0.75" bottom="0.75" header="0.3" footer="0.3"/>
      <pageSetup orientation="landscape" horizontalDpi="1200" verticalDpi="1200" r:id="rId1"/>
    </customSheetView>
    <customSheetView guid="{66DB97CC-E9CD-4D25-A10F-98CC991DB916}" scale="110" state="hidden" topLeftCell="A3">
      <selection activeCell="C24" sqref="C24"/>
      <pageMargins left="0.7" right="0.7" top="0.75" bottom="0.75" header="0.3" footer="0.3"/>
      <pageSetup orientation="landscape" horizontalDpi="1200" verticalDpi="1200" r:id="rId2"/>
    </customSheetView>
  </customSheetViews>
  <mergeCells count="3">
    <mergeCell ref="A2:B2"/>
    <mergeCell ref="A3:B3"/>
    <mergeCell ref="A4:B4"/>
  </mergeCells>
  <pageMargins left="0.7" right="0.7" top="0.75" bottom="0.75" header="0.3" footer="0.3"/>
  <pageSetup orientation="landscape" horizontalDpi="1200" verticalDpi="12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137</v>
      </c>
    </row>
    <row r="3" spans="2:5" x14ac:dyDescent="0.25">
      <c r="B3" t="s">
        <v>138</v>
      </c>
      <c r="C3" t="s">
        <v>139</v>
      </c>
      <c r="D3" t="s">
        <v>115</v>
      </c>
      <c r="E3" t="s">
        <v>114</v>
      </c>
    </row>
    <row r="4" spans="2:5" x14ac:dyDescent="0.25">
      <c r="B4" s="16" t="s">
        <v>140</v>
      </c>
      <c r="C4" s="25">
        <v>180</v>
      </c>
      <c r="D4" s="25">
        <v>100</v>
      </c>
      <c r="E4" s="16" t="s">
        <v>141</v>
      </c>
    </row>
    <row r="5" spans="2:5" x14ac:dyDescent="0.25">
      <c r="B5" s="16" t="s">
        <v>142</v>
      </c>
      <c r="C5" s="25">
        <v>163</v>
      </c>
      <c r="D5" s="25">
        <v>100</v>
      </c>
      <c r="E5" s="25">
        <v>85</v>
      </c>
    </row>
    <row r="6" spans="2:5" x14ac:dyDescent="0.25">
      <c r="B6" s="16" t="s">
        <v>143</v>
      </c>
      <c r="C6" s="25">
        <v>186</v>
      </c>
      <c r="D6" s="25">
        <v>100</v>
      </c>
      <c r="E6" s="25">
        <v>58</v>
      </c>
    </row>
    <row r="7" spans="2:5" x14ac:dyDescent="0.25">
      <c r="B7" s="16" t="s">
        <v>144</v>
      </c>
      <c r="C7" s="25">
        <v>92</v>
      </c>
      <c r="D7" s="25">
        <v>100</v>
      </c>
      <c r="E7" s="25">
        <v>52</v>
      </c>
    </row>
    <row r="8" spans="2:5" x14ac:dyDescent="0.25">
      <c r="B8" s="16" t="s">
        <v>145</v>
      </c>
      <c r="C8" s="25">
        <v>166</v>
      </c>
      <c r="D8" s="25">
        <v>100</v>
      </c>
      <c r="E8" s="25">
        <v>76</v>
      </c>
    </row>
    <row r="9" spans="2:5" x14ac:dyDescent="0.25">
      <c r="B9" s="16" t="s">
        <v>146</v>
      </c>
      <c r="C9" s="25">
        <v>130</v>
      </c>
      <c r="D9" s="25">
        <v>100</v>
      </c>
      <c r="E9" s="25">
        <v>75</v>
      </c>
    </row>
    <row r="10" spans="2:5" x14ac:dyDescent="0.25">
      <c r="B10" s="16" t="s">
        <v>147</v>
      </c>
      <c r="C10" s="25">
        <v>160</v>
      </c>
      <c r="D10" s="25">
        <v>100</v>
      </c>
      <c r="E10" s="25">
        <v>79</v>
      </c>
    </row>
    <row r="11" spans="2:5" x14ac:dyDescent="0.25">
      <c r="B11" s="16" t="s">
        <v>148</v>
      </c>
      <c r="C11" s="25">
        <v>120</v>
      </c>
      <c r="D11" s="25">
        <v>100</v>
      </c>
      <c r="E11" s="25">
        <v>81</v>
      </c>
    </row>
    <row r="12" spans="2:5" x14ac:dyDescent="0.25">
      <c r="B12" s="16" t="s">
        <v>149</v>
      </c>
      <c r="C12" s="25">
        <v>160</v>
      </c>
      <c r="D12" s="25">
        <v>100</v>
      </c>
      <c r="E12" s="25">
        <v>72</v>
      </c>
    </row>
    <row r="13" spans="2:5" x14ac:dyDescent="0.25">
      <c r="B13" s="16" t="s">
        <v>150</v>
      </c>
      <c r="C13" s="25">
        <v>150</v>
      </c>
      <c r="D13" s="25">
        <v>100</v>
      </c>
      <c r="E13" s="16">
        <v>55</v>
      </c>
    </row>
    <row r="14" spans="2:5" x14ac:dyDescent="0.25">
      <c r="B14" s="16" t="s">
        <v>151</v>
      </c>
      <c r="C14" s="25">
        <v>264</v>
      </c>
      <c r="D14" s="25">
        <v>100</v>
      </c>
      <c r="E14" s="25">
        <v>44</v>
      </c>
    </row>
    <row r="15" spans="2:5" x14ac:dyDescent="0.25">
      <c r="B15" s="16" t="s">
        <v>152</v>
      </c>
      <c r="C15" s="25">
        <v>178</v>
      </c>
      <c r="D15" s="25">
        <v>100</v>
      </c>
      <c r="E15" s="25">
        <v>108</v>
      </c>
    </row>
    <row r="16" spans="2:5" x14ac:dyDescent="0.25">
      <c r="B16" s="16" t="s">
        <v>153</v>
      </c>
      <c r="C16" s="25">
        <v>185</v>
      </c>
      <c r="D16" s="25">
        <v>100</v>
      </c>
      <c r="E16" s="25">
        <v>89</v>
      </c>
    </row>
    <row r="17" spans="2:5" x14ac:dyDescent="0.25">
      <c r="B17" s="16" t="s">
        <v>154</v>
      </c>
      <c r="C17" s="25">
        <v>228</v>
      </c>
      <c r="D17" s="25">
        <v>100</v>
      </c>
      <c r="E17" s="25">
        <v>76</v>
      </c>
    </row>
  </sheetData>
  <sortState xmlns:xlrd2="http://schemas.microsoft.com/office/spreadsheetml/2017/richdata2" ref="B4:E17">
    <sortCondition ref="B4:B17"/>
  </sortState>
  <customSheetViews>
    <customSheetView guid="{34211852-B453-4CDA-9F61-C6EBB49F5732}" scale="130" state="hidden">
      <selection activeCell="H15" sqref="H15"/>
      <pageMargins left="0.7" right="0.7" top="0.75" bottom="0.75" header="0.3" footer="0.3"/>
    </customSheetView>
    <customSheetView guid="{66DB97CC-E9CD-4D25-A10F-98CC991DB916}" scale="130" state="hidden">
      <selection activeCell="H15" sqref="H15"/>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DD72E-62BB-4083-B4E4-70A11D422880}">
  <ds:schemaRefs>
    <ds:schemaRef ds:uri="http://purl.org/dc/elements/1.1/"/>
    <ds:schemaRef ds:uri="18dbc17e-cec9-4211-a89f-0bf74a616302"/>
    <ds:schemaRef ds:uri="2819d22d-c924-42b3-954a-d3b43813cc67"/>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Anita Flagg</cp:lastModifiedBy>
  <cp:revision/>
  <cp:lastPrinted>2022-06-30T12:11:19Z</cp:lastPrinted>
  <dcterms:created xsi:type="dcterms:W3CDTF">2020-01-09T18:52:12Z</dcterms:created>
  <dcterms:modified xsi:type="dcterms:W3CDTF">2022-06-30T15:40:48Z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