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Budget 2023\GMCB\"/>
    </mc:Choice>
  </mc:AlternateContent>
  <bookViews>
    <workbookView xWindow="0" yWindow="0" windowWidth="28800" windowHeight="12000" firstSheet="1" activeTab="6"/>
  </bookViews>
  <sheets>
    <sheet name="Overview" sheetId="17" r:id="rId1"/>
    <sheet name="1. Reconciliation" sheetId="15" r:id="rId2"/>
    <sheet name="2. Charge and NPR Detail" sheetId="13" r:id="rId3"/>
    <sheet name="3. Utilization" sheetId="7" r:id="rId4"/>
    <sheet name="4. Inflation" sheetId="16" r:id="rId5"/>
    <sheet name="5. Value Based Care Participati" sheetId="8" r:id="rId6"/>
    <sheet name="6. COVID-19 Advances, Relief Fu" sheetId="20" r:id="rId7"/>
    <sheet name="Edit of Request Summary" sheetId="4" state="hidden" r:id="rId8"/>
    <sheet name="Non-Financial- Reimb. Ratio" sheetId="9"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Reconciliation'!$B$56:$H$99</definedName>
    <definedName name="_xlnm.Print_Area" localSheetId="2">'2. Charge and NPR Detail'!$A$2:$H$69</definedName>
    <definedName name="_xlnm.Print_Area" localSheetId="3">'3. Utilization'!$B$1:$D$16</definedName>
    <definedName name="_xlnm.Print_Area" localSheetId="4">'4. Inflation'!$B$2:$G$16</definedName>
    <definedName name="_xlnm.Print_Area" localSheetId="5">'5. Value Based Care Participati'!$B$2:$F$17</definedName>
    <definedName name="_xlnm.Print_Area" localSheetId="0">Overview!$A$1:$B$11</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9" i="15" l="1"/>
  <c r="D63" i="15"/>
  <c r="C47" i="15"/>
  <c r="E12" i="16"/>
  <c r="F12" i="16" s="1"/>
  <c r="D11" i="16"/>
  <c r="E11" i="16"/>
  <c r="F11" i="16"/>
  <c r="F14" i="16"/>
  <c r="C13" i="7" l="1"/>
  <c r="D13" i="7"/>
  <c r="C12" i="7"/>
  <c r="D9" i="7"/>
  <c r="C11" i="7"/>
  <c r="C9" i="7"/>
  <c r="D67" i="13"/>
  <c r="D66" i="13"/>
  <c r="D65" i="13"/>
  <c r="C54" i="13"/>
  <c r="E53" i="13"/>
  <c r="K53" i="13"/>
  <c r="I54" i="13"/>
  <c r="I53" i="13"/>
  <c r="K54" i="13"/>
  <c r="E54" i="13"/>
  <c r="C53" i="13"/>
  <c r="C67" i="13"/>
  <c r="F53" i="13"/>
  <c r="G53" i="13"/>
  <c r="F42" i="13"/>
  <c r="E65" i="13"/>
  <c r="E66" i="13"/>
  <c r="J54" i="13"/>
  <c r="J53" i="13"/>
  <c r="H54" i="13"/>
  <c r="H53" i="13"/>
  <c r="F41" i="13"/>
  <c r="F43" i="13"/>
  <c r="J41" i="13"/>
  <c r="I41" i="13"/>
  <c r="E41" i="13"/>
  <c r="C42" i="13"/>
  <c r="C41" i="13"/>
  <c r="D54" i="13" l="1"/>
  <c r="D53" i="13"/>
  <c r="C84" i="15" l="1"/>
  <c r="C94" i="15"/>
  <c r="C83" i="15"/>
  <c r="C91" i="15"/>
  <c r="C88" i="15"/>
  <c r="D67" i="15"/>
  <c r="G63" i="15"/>
  <c r="E63" i="15"/>
  <c r="F63" i="15"/>
  <c r="F61" i="15"/>
  <c r="E64" i="15"/>
  <c r="F68" i="15"/>
  <c r="D65" i="15"/>
  <c r="G61" i="15"/>
  <c r="H62" i="15"/>
  <c r="F60" i="15"/>
  <c r="C44" i="15" l="1"/>
  <c r="D9" i="16"/>
  <c r="E8" i="16"/>
  <c r="D8" i="16"/>
  <c r="D15" i="16"/>
  <c r="E10" i="16" l="1"/>
  <c r="D10" i="16"/>
  <c r="F15" i="13" l="1"/>
  <c r="E12" i="13"/>
  <c r="E11" i="13"/>
  <c r="D15" i="13"/>
  <c r="C12" i="13"/>
  <c r="C11" i="13"/>
  <c r="F16" i="8" l="1"/>
  <c r="E16" i="8"/>
  <c r="F14" i="8"/>
  <c r="F13" i="8"/>
  <c r="F10" i="8"/>
  <c r="E10" i="8"/>
  <c r="D16" i="8"/>
  <c r="D13" i="8"/>
  <c r="D14" i="8"/>
  <c r="D11" i="8" l="1"/>
  <c r="D10" i="8" l="1"/>
  <c r="C39" i="15" l="1"/>
  <c r="F20" i="15" l="1"/>
  <c r="D20" i="15"/>
  <c r="G14" i="15" l="1"/>
  <c r="F14" i="15"/>
  <c r="E14" i="15"/>
  <c r="D14" i="15"/>
  <c r="E15" i="15" l="1"/>
  <c r="F19" i="15" l="1"/>
  <c r="F12" i="15" l="1"/>
  <c r="F11" i="15" l="1"/>
  <c r="E12" i="20"/>
  <c r="C13" i="20" l="1"/>
  <c r="E16" i="16" l="1"/>
  <c r="C14" i="20"/>
  <c r="C15" i="20"/>
  <c r="C16" i="20"/>
  <c r="C17" i="20"/>
  <c r="C18" i="20"/>
  <c r="C19" i="20"/>
  <c r="C20" i="20"/>
  <c r="C21" i="20"/>
  <c r="C22" i="20"/>
  <c r="E23" i="20"/>
  <c r="F23" i="20"/>
  <c r="D23" i="20"/>
  <c r="C12" i="20"/>
  <c r="E35" i="13"/>
  <c r="C35" i="13"/>
  <c r="E25" i="13"/>
  <c r="C25" i="13"/>
  <c r="G84" i="13"/>
  <c r="D41" i="15"/>
  <c r="E15" i="13" l="1"/>
  <c r="D16" i="16"/>
  <c r="F7" i="16"/>
  <c r="D32" i="15"/>
  <c r="G72" i="15"/>
  <c r="G23" i="15"/>
  <c r="C63" i="15"/>
  <c r="C62" i="15"/>
  <c r="C61" i="15"/>
  <c r="C13" i="15"/>
  <c r="C12" i="15"/>
  <c r="B10" i="4" s="1"/>
  <c r="F72" i="15"/>
  <c r="F23" i="15"/>
  <c r="C19" i="15"/>
  <c r="C18" i="15"/>
  <c r="B14" i="4" s="1"/>
  <c r="C17" i="15"/>
  <c r="B13" i="4" s="1"/>
  <c r="C16" i="15"/>
  <c r="B12" i="4" s="1"/>
  <c r="C15" i="15"/>
  <c r="C14" i="15"/>
  <c r="B11" i="4" s="1"/>
  <c r="K23" i="20"/>
  <c r="J23" i="20"/>
  <c r="G23" i="20"/>
  <c r="H23" i="20"/>
  <c r="I23" i="20"/>
  <c r="F15" i="16"/>
  <c r="F10" i="16"/>
  <c r="F9" i="16"/>
  <c r="F8" i="16"/>
  <c r="D41" i="13"/>
  <c r="D69" i="13"/>
  <c r="C69" i="13"/>
  <c r="D59" i="13"/>
  <c r="C15" i="13"/>
  <c r="H69" i="13"/>
  <c r="G69" i="13"/>
  <c r="F69" i="13"/>
  <c r="E68" i="13"/>
  <c r="E67" i="13"/>
  <c r="E64" i="13"/>
  <c r="J59" i="13"/>
  <c r="I59" i="13"/>
  <c r="H59" i="13"/>
  <c r="G59" i="13"/>
  <c r="F59" i="13"/>
  <c r="E59" i="13"/>
  <c r="J45" i="13"/>
  <c r="I45" i="13"/>
  <c r="H45" i="13"/>
  <c r="G45" i="13"/>
  <c r="F45" i="13"/>
  <c r="C45" i="13"/>
  <c r="E44" i="13"/>
  <c r="E45" i="13" s="1"/>
  <c r="D43" i="13"/>
  <c r="D42" i="13"/>
  <c r="C96" i="15"/>
  <c r="D91" i="15"/>
  <c r="D90" i="15"/>
  <c r="D93" i="15"/>
  <c r="D43" i="15"/>
  <c r="D42" i="15"/>
  <c r="F74" i="15" l="1"/>
  <c r="F75" i="15" s="1"/>
  <c r="G74" i="15"/>
  <c r="G75" i="15" s="1"/>
  <c r="F16" i="16"/>
  <c r="G25" i="15"/>
  <c r="G26" i="15" s="1"/>
  <c r="F25" i="15"/>
  <c r="F26" i="15" s="1"/>
  <c r="C98" i="15"/>
  <c r="C99" i="15" s="1"/>
  <c r="C23" i="20"/>
  <c r="D73" i="13"/>
  <c r="E69" i="13"/>
  <c r="F73" i="13" s="1"/>
  <c r="D15" i="7"/>
  <c r="C18" i="7"/>
  <c r="D17" i="7"/>
  <c r="C33" i="15"/>
  <c r="D89" i="15"/>
  <c r="D92" i="15"/>
  <c r="D95" i="15"/>
  <c r="D40" i="15"/>
  <c r="D47" i="15"/>
  <c r="D44" i="15"/>
  <c r="D39" i="15"/>
  <c r="H72" i="15"/>
  <c r="H74" i="15" s="1"/>
  <c r="H75" i="15" s="1"/>
  <c r="E72" i="15"/>
  <c r="D72" i="15"/>
  <c r="C71" i="15"/>
  <c r="C70" i="15"/>
  <c r="C69" i="15"/>
  <c r="C68" i="15"/>
  <c r="C67" i="15"/>
  <c r="C66" i="15"/>
  <c r="C65" i="15"/>
  <c r="C64" i="15"/>
  <c r="C60" i="15"/>
  <c r="E23" i="15"/>
  <c r="H23" i="15"/>
  <c r="H25" i="15" s="1"/>
  <c r="H26" i="15" s="1"/>
  <c r="D23" i="15"/>
  <c r="C20" i="15"/>
  <c r="C21" i="15"/>
  <c r="C22" i="15"/>
  <c r="C11" i="15"/>
  <c r="C74" i="13" s="1"/>
  <c r="E74" i="15" l="1"/>
  <c r="E75" i="15" s="1"/>
  <c r="D74" i="15"/>
  <c r="D75" i="15" s="1"/>
  <c r="E25" i="15"/>
  <c r="E26" i="15" s="1"/>
  <c r="D25" i="15"/>
  <c r="D26" i="15" s="1"/>
  <c r="B15" i="4"/>
  <c r="C72" i="15"/>
  <c r="C74" i="15" l="1"/>
  <c r="C23" i="15"/>
  <c r="F74" i="13" l="1"/>
  <c r="F75" i="13" s="1"/>
  <c r="C25" i="15"/>
  <c r="C26" i="15" s="1"/>
  <c r="C75" i="15"/>
  <c r="B7" i="4" s="1"/>
  <c r="B5" i="4"/>
  <c r="D88" i="15"/>
  <c r="D87" i="15"/>
  <c r="D86" i="15"/>
  <c r="D85" i="15"/>
  <c r="D84" i="15"/>
  <c r="D83" i="15"/>
  <c r="D82" i="15"/>
  <c r="D81" i="15"/>
  <c r="D96" i="15" l="1"/>
  <c r="D38" i="15"/>
  <c r="D37" i="15"/>
  <c r="D36" i="15"/>
  <c r="D35" i="15"/>
  <c r="D34" i="15"/>
  <c r="D74" i="13" l="1"/>
  <c r="D75" i="13" s="1"/>
  <c r="C48" i="15"/>
  <c r="D33" i="15"/>
  <c r="D48" i="15" s="1"/>
  <c r="C97" i="15" l="1"/>
  <c r="B6" i="4"/>
  <c r="E74" i="13"/>
  <c r="C50" i="15"/>
  <c r="C51" i="15" s="1"/>
  <c r="C59" i="13" l="1"/>
  <c r="C73" i="13" s="1"/>
  <c r="C75" i="13" l="1"/>
  <c r="E73" i="13"/>
  <c r="E75" i="13" s="1"/>
</calcChain>
</file>

<file path=xl/sharedStrings.xml><?xml version="1.0" encoding="utf-8"?>
<sst xmlns="http://schemas.openxmlformats.org/spreadsheetml/2006/main" count="351" uniqueCount="236">
  <si>
    <t>Appendices 1-7</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</si>
  <si>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</si>
  <si>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Do not Modify</t>
  </si>
  <si>
    <t>Appendix 1: Reconciliation Tables</t>
  </si>
  <si>
    <t>Appendix 2: Change in Charge</t>
  </si>
  <si>
    <t>Modify</t>
  </si>
  <si>
    <t>Appendix 3: Utilization</t>
  </si>
  <si>
    <t>Appendix 4: Inflation</t>
  </si>
  <si>
    <t>Appendix 1</t>
  </si>
  <si>
    <t>Do not Modify, except for cells labeled "Other"</t>
  </si>
  <si>
    <t>Reconciliation Tables</t>
  </si>
  <si>
    <t>Budget-to-Budget</t>
  </si>
  <si>
    <t>NPR</t>
  </si>
  <si>
    <t>Total</t>
  </si>
  <si>
    <t>Total Medicare</t>
  </si>
  <si>
    <t>Total Medicaid</t>
  </si>
  <si>
    <t>Total Commercial</t>
  </si>
  <si>
    <t>Total Self-Pay/Other</t>
  </si>
  <si>
    <t>DSH</t>
  </si>
  <si>
    <t>Rate Effect</t>
  </si>
  <si>
    <t>Disproportionate Share Payments (DSH)</t>
  </si>
  <si>
    <t>Utilization (not factoring in change in charge request)</t>
  </si>
  <si>
    <t>Fixed Prospective Payments</t>
  </si>
  <si>
    <t>Provider Acquisitions/Transfers</t>
  </si>
  <si>
    <t>Changes in Accounting</t>
  </si>
  <si>
    <t>Reimbursement/Payer Mix</t>
  </si>
  <si>
    <t>Bad Debt/Free Care</t>
  </si>
  <si>
    <t>Other (specify)</t>
  </si>
  <si>
    <t>Expenses</t>
  </si>
  <si>
    <t>Amount</t>
  </si>
  <si>
    <t>% over/under</t>
  </si>
  <si>
    <t>New Positions</t>
  </si>
  <si>
    <t>Inflation Increases</t>
  </si>
  <si>
    <t>Salaries</t>
  </si>
  <si>
    <t>Fringe</t>
  </si>
  <si>
    <t>Travelers (nurses)</t>
  </si>
  <si>
    <t>Locum tenans (MDs)</t>
  </si>
  <si>
    <t>Drugs</t>
  </si>
  <si>
    <t>Health Care Provider Tax</t>
  </si>
  <si>
    <t>Cost Savings</t>
  </si>
  <si>
    <t>Other (specify, add additional rows as necessary)</t>
  </si>
  <si>
    <t>Projection-to-Budget</t>
  </si>
  <si>
    <t>Projection derived as of:</t>
  </si>
  <si>
    <t>Appendix 2</t>
  </si>
  <si>
    <t>Charge and NPR Detail</t>
  </si>
  <si>
    <t>The following tables demonstrate the hospital's charges by payer from your requested charge master increase.</t>
  </si>
  <si>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</si>
  <si>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</si>
  <si>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</si>
  <si>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</si>
  <si>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</si>
  <si>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</si>
  <si>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</si>
  <si>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</si>
  <si>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</si>
  <si>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Gross Revenue ($) Analysis by Payer</t>
  </si>
  <si>
    <t>Budget-to-Budget Variance (%)</t>
  </si>
  <si>
    <t xml:space="preserve">Gross Revenue by Commercial Payer 
</t>
  </si>
  <si>
    <t xml:space="preserve">Gross Revenue by Self-Pay/Other      </t>
  </si>
  <si>
    <t xml:space="preserve">Gross Revenue by Medicaid
</t>
  </si>
  <si>
    <t xml:space="preserve">Gross Revenue by Medicare
</t>
  </si>
  <si>
    <t>In State</t>
  </si>
  <si>
    <t>Other</t>
  </si>
  <si>
    <t>Total Gross Revenues Across All Categories</t>
  </si>
  <si>
    <t>tie to income statement</t>
  </si>
  <si>
    <t>NPR ($) Analysis by Payer</t>
  </si>
  <si>
    <t>Areas of Service</t>
  </si>
  <si>
    <t>Budget-to-Budget Variance ($)</t>
  </si>
  <si>
    <t>FY22 Budget NPR</t>
  </si>
  <si>
    <t xml:space="preserve"> NPR by Commercial Payer</t>
  </si>
  <si>
    <t xml:space="preserve"> NPR by Self-Pay/Other</t>
  </si>
  <si>
    <t>NPR by Medicaid</t>
  </si>
  <si>
    <t>NPR by Medicare</t>
  </si>
  <si>
    <t>Total NPR Across All Categories</t>
  </si>
  <si>
    <t>FPP ($) Analysis by Payer</t>
  </si>
  <si>
    <t xml:space="preserve"> FPP by Commercial Payer (in state only)*</t>
  </si>
  <si>
    <t>FPP by Medicaid</t>
  </si>
  <si>
    <t>FPP by Medicare</t>
  </si>
  <si>
    <t>Reserves</t>
  </si>
  <si>
    <t>Other Reform Payments</t>
  </si>
  <si>
    <t>Total FPP Across All Categories</t>
  </si>
  <si>
    <t>*if possible</t>
  </si>
  <si>
    <t>Total Overall NPR/FPP</t>
  </si>
  <si>
    <t>From 1. Reconciliation tab</t>
  </si>
  <si>
    <t>Variance (should be 0)</t>
  </si>
  <si>
    <t>NPR/FPP value of 1% Overall Change in Charge</t>
  </si>
  <si>
    <t>Appendix 3</t>
  </si>
  <si>
    <t>Utilization</t>
  </si>
  <si>
    <t>Category of Service</t>
  </si>
  <si>
    <t>Total increase in Gross Revenues (%)</t>
  </si>
  <si>
    <t>Total increase in Gross Revenues ($)</t>
  </si>
  <si>
    <t>Does not need to tie to P&amp;L</t>
  </si>
  <si>
    <t>Appendix 4</t>
  </si>
  <si>
    <t>Inflation</t>
  </si>
  <si>
    <t>Expense Category</t>
  </si>
  <si>
    <t>Estimated Inflation</t>
  </si>
  <si>
    <t>Comment</t>
  </si>
  <si>
    <t>% Increase</t>
  </si>
  <si>
    <t>$ Increase</t>
  </si>
  <si>
    <t>Weighted Average 
(Column C * Column E)</t>
  </si>
  <si>
    <t>Example: Wages/Compensation- Medical Staff</t>
  </si>
  <si>
    <t>This is inflation price effect only, does not account for new hires (volume).</t>
  </si>
  <si>
    <t>Wages/Compensation - Medical Staff</t>
  </si>
  <si>
    <t>Wages/Compensation - Non-Medical Staff</t>
  </si>
  <si>
    <t>Medical Supplies</t>
  </si>
  <si>
    <t>%</t>
  </si>
  <si>
    <t>Not intended for systemwide look or comparative analysis</t>
  </si>
  <si>
    <t>Appendix 6</t>
  </si>
  <si>
    <t>Value-Based Care Participation</t>
  </si>
  <si>
    <t>Value-Based Care Program</t>
  </si>
  <si>
    <t xml:space="preserve">Budgeted Number of Attributed Lives (monthly average </t>
  </si>
  <si>
    <t xml:space="preserve">Budgeted Amount of FPP (monthly average </t>
  </si>
  <si>
    <t xml:space="preserve">Budgeted Maximum Upside/Downside Risk </t>
  </si>
  <si>
    <t>(Yes/No)</t>
  </si>
  <si>
    <t>Medicaid</t>
  </si>
  <si>
    <t>Medicare</t>
  </si>
  <si>
    <t>Self-Insured</t>
  </si>
  <si>
    <t>TOTAL</t>
  </si>
  <si>
    <t>Do not Modify, except cells labeled "Other"</t>
  </si>
  <si>
    <t>COVID-19 Advances, Relief Funds, and Other Grants</t>
  </si>
  <si>
    <t>Description</t>
  </si>
  <si>
    <t>Amounts Received</t>
  </si>
  <si>
    <t>Recognized in Revenues</t>
  </si>
  <si>
    <t>Grand Total</t>
  </si>
  <si>
    <t>As of Sept. 30, 2022</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</si>
  <si>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</si>
  <si>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</si>
  <si>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</si>
  <si>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</si>
  <si>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</si>
  <si>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</si>
  <si>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</si>
  <si>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</si>
  <si>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NPR/FPP Rate Impact</t>
  </si>
  <si>
    <t>Utilization (not factored into change in charge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</si>
  <si>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</si>
  <si>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</si>
  <si>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</si>
  <si>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</si>
  <si>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</si>
  <si>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</si>
  <si>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</si>
  <si>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</si>
  <si>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</si>
  <si>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</si>
  <si>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</si>
  <si>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</si>
  <si>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</si>
  <si>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</si>
  <si>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</si>
  <si>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</si>
  <si>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</si>
  <si>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</si>
  <si>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</si>
  <si>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t>Table 1: NPR Variance - FY 2022 Approved Budget to FY 2023 Proposed Budget</t>
  </si>
  <si>
    <t>FY 2022 Approved Budget</t>
  </si>
  <si>
    <t>FY 2023 Proposed Budget</t>
  </si>
  <si>
    <t>$ Change from FY 2022 Approved Budget</t>
  </si>
  <si>
    <t>% Change from FY 2022 Approved Budget</t>
  </si>
  <si>
    <t>Table 2: FY 2022 Approved Expenses to FY 2023 Proposed Budget</t>
  </si>
  <si>
    <t>Table 3: NPR Variance - FY 2022 Projection to FY 2023 Proposed Budget</t>
  </si>
  <si>
    <t>FY 2022 Projection</t>
  </si>
  <si>
    <t>Table 4: FY 2022 Projected Expenses to FY 2023 Proposed Budget</t>
  </si>
  <si>
    <t>% Change from FY 2022 Projection</t>
  </si>
  <si>
    <t>$ Change from FY 2022 Projection</t>
  </si>
  <si>
    <t>FY 23 Budget Total Charge Master Increase ($)</t>
  </si>
  <si>
    <t>FY 23 Budget Total Charge Master Increase (%)</t>
  </si>
  <si>
    <t>FY22 Budget Gross Revenue</t>
  </si>
  <si>
    <t>FY 23 Budget Gross Revenue</t>
  </si>
  <si>
    <t>FY23 Budget NPR</t>
  </si>
  <si>
    <t>FY22 Budget FPP</t>
  </si>
  <si>
    <t>FY23 Total Budget FPP</t>
  </si>
  <si>
    <t>FY23 Budget NPR/FPP</t>
  </si>
  <si>
    <t>$ Change from FY 2022 Approved budget</t>
  </si>
  <si>
    <t>% Change from FY 2022 Approved budget</t>
  </si>
  <si>
    <t xml:space="preserve">Participating in Program in Calendar Year (CY) 2023? </t>
  </si>
  <si>
    <t xml:space="preserve"> for CY 2023)</t>
  </si>
  <si>
    <t xml:space="preserve"> for CY 2023</t>
  </si>
  <si>
    <t>Inflation Increases (from Appendix 4. Inflation Price Effect Only)</t>
  </si>
  <si>
    <r>
      <rPr>
        <b/>
        <sz val="11"/>
        <color theme="1"/>
        <rFont val="Calibri"/>
        <family val="2"/>
      </rPr>
      <t>Table 1:</t>
    </r>
    <r>
      <rPr>
        <sz val="11"/>
        <color theme="1"/>
        <rFont val="Calibri"/>
        <family val="2"/>
      </rPr>
      <t xml:space="preserve">  Please provide the requested charge master increase by area of service without utilization and acuity. </t>
    </r>
  </si>
  <si>
    <r>
      <rPr>
        <b/>
        <sz val="11"/>
        <color theme="1"/>
        <rFont val="Calibri"/>
        <family val="2"/>
      </rPr>
      <t>Table 3:</t>
    </r>
    <r>
      <rPr>
        <sz val="11"/>
        <color theme="1"/>
        <rFont val="Calibri"/>
        <family val="2"/>
      </rPr>
      <t xml:space="preserve">  Please provide FY22 budgeted NPR/FPP and FY23 budgeted NPR/FPP by category of service taking into account the gross revenue assumptions in Table 2. </t>
    </r>
  </si>
  <si>
    <t>Supplies</t>
  </si>
  <si>
    <t>Physician Transfer</t>
  </si>
  <si>
    <t>Equipment / Software / Other  Maintenance</t>
  </si>
  <si>
    <t>Purchased Services</t>
  </si>
  <si>
    <t>Payer</t>
  </si>
  <si>
    <t>Per 1%</t>
  </si>
  <si>
    <t xml:space="preserve">Overall </t>
  </si>
  <si>
    <r>
      <rPr>
        <b/>
        <sz val="11"/>
        <color theme="1"/>
        <rFont val="Calibri"/>
        <family val="2"/>
      </rPr>
      <t>Table 4:</t>
    </r>
    <r>
      <rPr>
        <sz val="11"/>
        <color theme="1"/>
        <rFont val="Calibri"/>
        <family val="2"/>
      </rPr>
      <t xml:space="preserve"> Please indicate the NPR/FPP FY2023 dollar value of 1% overall change in charge.</t>
    </r>
  </si>
  <si>
    <r>
      <rPr>
        <b/>
        <sz val="11"/>
        <color theme="1"/>
        <rFont val="Calibri"/>
        <family val="2"/>
      </rPr>
      <t>Table 1a:</t>
    </r>
    <r>
      <rPr>
        <sz val="11"/>
        <color theme="1"/>
        <rFont val="Calibri"/>
        <family val="2"/>
      </rPr>
      <t xml:space="preserve">  Please provide the requested charge master increase by area of service by quarter without utilization and acuity. </t>
    </r>
  </si>
  <si>
    <t>FY 22 Qtr 1</t>
  </si>
  <si>
    <t>FY 22 Qtr 2</t>
  </si>
  <si>
    <t>FY 22 Qtr 3</t>
  </si>
  <si>
    <t>FY 22 Qtr 4</t>
  </si>
  <si>
    <r>
      <rPr>
        <b/>
        <sz val="11"/>
        <color theme="1"/>
        <rFont val="Calibri"/>
        <family val="2"/>
      </rPr>
      <t>Table 1b:</t>
    </r>
    <r>
      <rPr>
        <sz val="11"/>
        <color theme="1"/>
        <rFont val="Calibri"/>
        <family val="2"/>
      </rPr>
      <t xml:space="preserve">  Please provide the requested charge master increase by area of service by quarter without utilization and acuity. </t>
    </r>
  </si>
  <si>
    <t>FY 23 Qtr 1</t>
  </si>
  <si>
    <t>FY 23 Qtr 2</t>
  </si>
  <si>
    <t>FY 23 Qtr 3</t>
  </si>
  <si>
    <t>FY 23 Qtr 4</t>
  </si>
  <si>
    <t>Charge Master Increase Schedule (Charge Increase) FY22</t>
  </si>
  <si>
    <t>Charge Master Increase Schedule (Charge Increase) FY23</t>
  </si>
  <si>
    <t>BlueCross BlueShield</t>
  </si>
  <si>
    <t>MVP</t>
  </si>
  <si>
    <t>Complete the following table if the hospital is participating in one or more of value-based care programs. If the hospital is not participating in value-based care programs, please indicate in the narrative.  We understand that contracts for participation in CY 2023 may be in the process of being finalized; please use best estimates where necessary.</t>
  </si>
  <si>
    <t>As of Sept. 30, 2023</t>
  </si>
  <si>
    <t>Add Source of Funding</t>
  </si>
  <si>
    <t>As of Sept. 30, 2021</t>
  </si>
  <si>
    <t>Recorded as a Liability</t>
  </si>
  <si>
    <r>
      <t xml:space="preserve">Please denote the relief funding sources of amounts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2021, September 30, 2022, and September 30, 2023.</t>
    </r>
  </si>
  <si>
    <t>EXAMPLE:</t>
  </si>
  <si>
    <t>**Column E should equal 100%</t>
  </si>
  <si>
    <t>Appendix 5: Value-Based Care Participation</t>
  </si>
  <si>
    <t>Appendix 6: COVID-19 Advances, Relief Funds, and Other Grants</t>
  </si>
  <si>
    <t>Category % of Total Operating Expense Budget</t>
  </si>
  <si>
    <r>
      <t xml:space="preserve">Identify key categories of operating expense inflation and provide the estimated inflation factor. This is not an assessment of overall growth of the category (i.e.-does not need to tie to the P&amp;L). It should </t>
    </r>
    <r>
      <rPr>
        <b/>
        <u/>
        <sz val="11"/>
        <color theme="1"/>
        <rFont val="Calibri"/>
        <family val="2"/>
        <scheme val="minor"/>
      </rPr>
      <t>focus on price effects only (not utilization growth or new hires)</t>
    </r>
    <r>
      <rPr>
        <sz val="11"/>
        <color theme="1"/>
        <rFont val="Calibri"/>
        <family val="2"/>
        <scheme val="minor"/>
      </rPr>
      <t xml:space="preserve">.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r>
    <r>
      <rPr>
        <b/>
        <sz val="11"/>
        <color theme="1"/>
        <rFont val="Calibri"/>
        <family val="2"/>
        <scheme val="minor"/>
      </rPr>
      <t>TOTAL of D16 ($ Increase) will populate C33 of Table 2 on the Reconciliation tab with inflation expenses.</t>
    </r>
  </si>
  <si>
    <r>
      <t xml:space="preserve">NOTE: Unless the tax rate has changed, </t>
    </r>
    <r>
      <rPr>
        <u/>
        <sz val="11"/>
        <color theme="1"/>
        <rFont val="Calibri"/>
        <family val="2"/>
      </rPr>
      <t>DO NOT INCLUDE</t>
    </r>
    <r>
      <rPr>
        <sz val="11"/>
        <color theme="1"/>
        <rFont val="Calibri"/>
        <family val="2"/>
      </rPr>
      <t xml:space="preserve"> Provider Tax.</t>
    </r>
  </si>
  <si>
    <r>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r>
    <r>
      <rPr>
        <u/>
        <sz val="11"/>
        <color theme="1"/>
        <rFont val="Calibri"/>
        <family val="2"/>
      </rPr>
      <t>without</t>
    </r>
    <r>
      <rPr>
        <sz val="11"/>
        <color theme="1"/>
        <rFont val="Calibri"/>
        <family val="2"/>
      </rPr>
      <t xml:space="preserve"> the request Rate change. </t>
    </r>
  </si>
  <si>
    <t>FY2023 Budget Reporting Requirements</t>
  </si>
  <si>
    <t>FY22 Budget NPR/FPP</t>
  </si>
  <si>
    <t>Yes</t>
  </si>
  <si>
    <t>No</t>
  </si>
  <si>
    <t>Medicare Advance - Repayment</t>
  </si>
  <si>
    <t>Provider Relief Funds</t>
  </si>
  <si>
    <t>Catch All</t>
  </si>
  <si>
    <t>Fringe Benefits</t>
  </si>
  <si>
    <t>Medicare Replacement from Commercial to Medicare</t>
  </si>
  <si>
    <t xml:space="preserve">Inpatient Routine </t>
  </si>
  <si>
    <t>Lab</t>
  </si>
  <si>
    <t>Pharmacy</t>
  </si>
  <si>
    <t>Diagnostic Imaging Services (Combined)</t>
  </si>
  <si>
    <t>Depreciation/Amortization</t>
  </si>
  <si>
    <t>Volume</t>
  </si>
  <si>
    <t>Other (Please Specify): Utilities</t>
  </si>
  <si>
    <t xml:space="preserve"> from ESS budget 2022</t>
  </si>
  <si>
    <t>(*) NVRH can not accurately split NPR between inpatient and outpatient</t>
  </si>
  <si>
    <t>Hospital Outpatient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</si>
</sst>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27"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b/>
      <sz val="20"/>
      <color theme="1"/>
      <name val="Calibri"/>
      <family val="2"/>
      <scheme val="minor"/>
    </font>
    <font>
      <b/>
      <i/>
      <sz val="11"/>
      <color theme="1"/>
      <name val="Calibri"/>
      <family val="2"/>
    </font>
    <font>
      <sz val="11"/>
      <name val="Calibri"/>
      <family val="2"/>
    </font>
    <font>
      <i/>
      <sz val="11"/>
      <color theme="1"/>
      <name val="Calibri"/>
      <family val="2"/>
      <scheme val="minor"/>
    </font>
    <font>
      <sz val="12"/>
      <color theme="1"/>
      <name val="Calibri"/>
      <family val="2"/>
    </font>
    <font>
      <i/>
      <sz val="12"/>
      <color rgb="FFFF0000"/>
      <name val="Calibri"/>
      <family val="2"/>
    </font>
    <font>
      <b/>
      <sz val="11"/>
      <name val="Calibri"/>
      <family val="2"/>
    </font>
    <font>
      <u/>
      <sz val="11"/>
      <color theme="1"/>
      <name val="Calibri"/>
      <family val="2"/>
    </font>
    <font>
      <b/>
      <i/>
      <sz val="11"/>
      <color theme="8" tint="-0.499984740745262"/>
      <name val="Calibri"/>
      <family val="2"/>
    </font>
  </fonts>
  <fills count="1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9" tint="0.59999389629810485"/>
        <bgColor indexed="64"/>
      </patternFill>
    </fill>
    <fill>
      <patternFill patternType="solid">
        <fgColor theme="6"/>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thin">
        <color auto="1"/>
      </left>
      <right style="thin">
        <color auto="1"/>
      </right>
      <top/>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rgb="FF000000"/>
      </top>
      <bottom style="medium">
        <color rgb="FF000000"/>
      </bottom>
      <diagonal/>
    </border>
    <border>
      <left style="medium">
        <color indexed="64"/>
      </left>
      <right style="thin">
        <color indexed="64"/>
      </right>
      <top style="thin">
        <color rgb="FF000000"/>
      </top>
      <bottom style="medium">
        <color rgb="FF000000"/>
      </bottom>
      <diagonal/>
    </border>
    <border>
      <left style="thin">
        <color indexed="64"/>
      </left>
      <right style="medium">
        <color indexed="64"/>
      </right>
      <top style="thin">
        <color rgb="FF000000"/>
      </top>
      <bottom style="thin">
        <color rgb="FF000000"/>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xf numFmtId="0" fontId="4" fillId="0" borderId="0"/>
  </cellStyleXfs>
  <cellXfs count="329">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0" borderId="12" xfId="5" applyFont="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44" fontId="0" fillId="0" borderId="4" xfId="2"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3" applyNumberFormat="1" applyFont="1" applyFill="1" applyBorder="1" applyProtection="1">
      <protection locked="0"/>
    </xf>
    <xf numFmtId="44" fontId="0" fillId="0" borderId="4" xfId="2" applyNumberFormat="1" applyFont="1" applyFill="1" applyBorder="1" applyProtection="1">
      <protection locked="0"/>
    </xf>
    <xf numFmtId="44" fontId="0" fillId="0" borderId="4" xfId="1" applyNumberFormat="1" applyFont="1" applyBorder="1" applyProtection="1">
      <protection locked="0"/>
    </xf>
    <xf numFmtId="44" fontId="0" fillId="0" borderId="4" xfId="1" quotePrefix="1" applyNumberFormat="1" applyFont="1" applyBorder="1" applyAlignment="1" applyProtection="1">
      <alignment horizontal="right"/>
      <protection locked="0"/>
    </xf>
    <xf numFmtId="166" fontId="0" fillId="0" borderId="4" xfId="1" applyNumberFormat="1" applyFont="1" applyBorder="1" applyProtection="1">
      <protection locked="0"/>
    </xf>
    <xf numFmtId="44" fontId="0" fillId="3" borderId="4" xfId="3" applyNumberFormat="1" applyFont="1" applyFill="1" applyBorder="1" applyProtection="1">
      <protection locked="0"/>
    </xf>
    <xf numFmtId="44" fontId="0" fillId="3" borderId="4" xfId="2" applyNumberFormat="1" applyFont="1" applyFill="1" applyBorder="1" applyProtection="1">
      <protection locked="0"/>
    </xf>
    <xf numFmtId="0" fontId="0" fillId="0" borderId="4" xfId="3" applyNumberFormat="1" applyFont="1" applyBorder="1" applyAlignment="1">
      <alignment horizontal="center"/>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0" fontId="4" fillId="0" borderId="4" xfId="5" applyFont="1" applyFill="1" applyBorder="1"/>
    <xf numFmtId="0" fontId="0" fillId="5" borderId="0" xfId="0" applyFont="1" applyFill="1" applyBorder="1" applyAlignment="1">
      <alignment horizontal="left"/>
    </xf>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0" fillId="3" borderId="4" xfId="3" applyNumberFormat="1" applyFont="1" applyFill="1" applyBorder="1"/>
    <xf numFmtId="164" fontId="20"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25" xfId="5" applyFill="1" applyBorder="1" applyAlignment="1">
      <alignment wrapText="1"/>
    </xf>
    <xf numFmtId="44" fontId="5" fillId="11" borderId="26" xfId="2" applyFont="1" applyFill="1" applyBorder="1" applyAlignment="1">
      <alignment horizontal="center" wrapText="1"/>
    </xf>
    <xf numFmtId="44" fontId="5" fillId="11" borderId="27"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1" xfId="5" applyFont="1" applyFill="1" applyBorder="1" applyAlignment="1">
      <alignment wrapText="1"/>
    </xf>
    <xf numFmtId="44" fontId="4" fillId="11" borderId="30" xfId="2" applyFont="1" applyFill="1" applyBorder="1"/>
    <xf numFmtId="44" fontId="4" fillId="11" borderId="14" xfId="2" applyFont="1" applyFill="1" applyBorder="1"/>
    <xf numFmtId="9" fontId="4" fillId="11" borderId="14" xfId="2" applyNumberFormat="1" applyFont="1" applyFill="1" applyBorder="1"/>
    <xf numFmtId="44" fontId="4" fillId="11" borderId="31" xfId="2" applyFont="1" applyFill="1" applyBorder="1"/>
    <xf numFmtId="0" fontId="5" fillId="11" borderId="24" xfId="5" applyFont="1" applyFill="1" applyBorder="1" applyAlignment="1">
      <alignment horizontal="left" wrapText="1" indent="3"/>
    </xf>
    <xf numFmtId="44" fontId="4" fillId="14" borderId="28" xfId="2" applyFont="1" applyFill="1" applyBorder="1" applyAlignment="1">
      <alignment horizontal="center" wrapText="1"/>
    </xf>
    <xf numFmtId="44" fontId="4" fillId="14" borderId="29" xfId="2" applyFont="1" applyFill="1" applyBorder="1" applyAlignment="1">
      <alignment horizontal="center" wrapText="1"/>
    </xf>
    <xf numFmtId="44" fontId="0" fillId="0" borderId="4" xfId="2" applyFont="1" applyBorder="1" applyAlignment="1">
      <alignment horizontal="center" wrapText="1"/>
    </xf>
    <xf numFmtId="0" fontId="21" fillId="15" borderId="4" xfId="0" applyFont="1" applyFill="1" applyBorder="1" applyAlignment="1">
      <alignment wrapText="1"/>
    </xf>
    <xf numFmtId="9" fontId="21" fillId="15" borderId="4" xfId="3" applyFont="1" applyFill="1" applyBorder="1" applyAlignment="1">
      <alignment horizontal="center"/>
    </xf>
    <xf numFmtId="44" fontId="21" fillId="15" borderId="4" xfId="2" applyFont="1" applyFill="1" applyBorder="1" applyAlignment="1">
      <alignment horizontal="center"/>
    </xf>
    <xf numFmtId="9" fontId="21" fillId="15" borderId="4" xfId="3" applyFont="1" applyFill="1" applyBorder="1" applyAlignment="1">
      <alignment horizontal="center" wrapText="1"/>
    </xf>
    <xf numFmtId="164" fontId="21" fillId="15"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1" fillId="0" borderId="0" xfId="0" applyFont="1" applyBorder="1"/>
    <xf numFmtId="0" fontId="1" fillId="0" borderId="0" xfId="0" applyFont="1"/>
    <xf numFmtId="0" fontId="1" fillId="0" borderId="17" xfId="0" applyFont="1" applyBorder="1"/>
    <xf numFmtId="0" fontId="1" fillId="0" borderId="14" xfId="0" applyFont="1" applyBorder="1"/>
    <xf numFmtId="0" fontId="1" fillId="0" borderId="10" xfId="0" applyFont="1" applyBorder="1"/>
    <xf numFmtId="0" fontId="2" fillId="0" borderId="34" xfId="0" applyFont="1" applyBorder="1" applyAlignment="1">
      <alignment horizontal="left" indent="3"/>
    </xf>
    <xf numFmtId="44" fontId="1" fillId="0" borderId="32" xfId="2" applyFont="1" applyBorder="1"/>
    <xf numFmtId="44" fontId="1" fillId="0" borderId="33" xfId="2" applyFont="1" applyBorder="1"/>
    <xf numFmtId="0" fontId="2" fillId="0" borderId="18" xfId="0" applyFont="1" applyBorder="1" applyAlignment="1">
      <alignment horizontal="center"/>
    </xf>
    <xf numFmtId="0" fontId="2" fillId="0" borderId="7" xfId="0" applyFont="1" applyBorder="1" applyAlignment="1">
      <alignment horizontal="center"/>
    </xf>
    <xf numFmtId="44" fontId="1" fillId="0" borderId="34" xfId="2" applyFont="1" applyBorder="1"/>
    <xf numFmtId="0" fontId="2" fillId="0" borderId="16" xfId="0" applyFont="1" applyBorder="1" applyAlignment="1">
      <alignment horizontal="center" vertical="center"/>
    </xf>
    <xf numFmtId="0" fontId="2" fillId="0" borderId="35" xfId="0" applyFont="1" applyBorder="1" applyAlignment="1">
      <alignment horizontal="center" vertical="center"/>
    </xf>
    <xf numFmtId="166" fontId="0" fillId="2" borderId="4" xfId="1" applyNumberFormat="1" applyFont="1" applyFill="1" applyBorder="1" applyProtection="1"/>
    <xf numFmtId="167" fontId="4" fillId="6" borderId="4" xfId="2" applyNumberFormat="1" applyFont="1" applyFill="1" applyBorder="1"/>
    <xf numFmtId="167" fontId="4" fillId="0" borderId="4" xfId="2" applyNumberFormat="1" applyFont="1" applyBorder="1"/>
    <xf numFmtId="0" fontId="5" fillId="0" borderId="1" xfId="5" applyFont="1" applyBorder="1" applyAlignment="1">
      <alignment horizontal="center" wrapText="1"/>
    </xf>
    <xf numFmtId="0" fontId="0" fillId="9" borderId="0" xfId="0" applyFill="1" applyAlignment="1">
      <alignment horizontal="center"/>
    </xf>
    <xf numFmtId="0" fontId="21" fillId="0" borderId="4" xfId="0" applyFont="1" applyBorder="1" applyAlignment="1">
      <alignment horizontal="right"/>
    </xf>
    <xf numFmtId="9" fontId="2" fillId="0" borderId="0" xfId="3" applyFont="1" applyFill="1" applyBorder="1"/>
    <xf numFmtId="0" fontId="0" fillId="0" borderId="0" xfId="0" applyFill="1" applyAlignment="1">
      <alignment horizontal="center"/>
    </xf>
    <xf numFmtId="9" fontId="0" fillId="0" borderId="0" xfId="3" applyFont="1" applyFill="1" applyBorder="1" applyAlignment="1">
      <alignment horizontal="center"/>
    </xf>
    <xf numFmtId="0" fontId="0" fillId="0" borderId="0" xfId="0" applyFill="1"/>
    <xf numFmtId="9" fontId="21" fillId="0" borderId="0" xfId="3" applyFont="1" applyFill="1" applyBorder="1" applyAlignment="1">
      <alignment horizontal="left"/>
    </xf>
    <xf numFmtId="0" fontId="5" fillId="0" borderId="4" xfId="8" applyFont="1" applyBorder="1" applyAlignment="1">
      <alignment horizontal="center"/>
    </xf>
    <xf numFmtId="165" fontId="4" fillId="0" borderId="4" xfId="2" applyNumberFormat="1" applyFont="1" applyBorder="1" applyAlignment="1"/>
    <xf numFmtId="9" fontId="24" fillId="3" borderId="4" xfId="3" applyFont="1" applyFill="1" applyBorder="1"/>
    <xf numFmtId="9" fontId="4" fillId="9" borderId="0" xfId="3" applyFont="1" applyFill="1" applyBorder="1"/>
    <xf numFmtId="0" fontId="8" fillId="4" borderId="9" xfId="5" applyFont="1" applyFill="1" applyBorder="1"/>
    <xf numFmtId="0" fontId="8" fillId="0" borderId="37" xfId="5" applyFont="1" applyBorder="1"/>
    <xf numFmtId="0" fontId="8" fillId="0" borderId="38" xfId="5" applyFont="1" applyBorder="1"/>
    <xf numFmtId="0" fontId="8" fillId="0" borderId="39" xfId="5" applyFont="1" applyBorder="1"/>
    <xf numFmtId="0" fontId="2" fillId="0" borderId="0" xfId="0" applyFont="1" applyFill="1" applyBorder="1" applyAlignment="1">
      <alignment horizontal="center"/>
    </xf>
    <xf numFmtId="0" fontId="8" fillId="9" borderId="12" xfId="5" applyFont="1" applyFill="1" applyBorder="1"/>
    <xf numFmtId="0" fontId="8" fillId="9" borderId="6" xfId="5" applyFont="1" applyFill="1" applyBorder="1"/>
    <xf numFmtId="0" fontId="2" fillId="0" borderId="19" xfId="0" applyFont="1" applyBorder="1" applyAlignment="1">
      <alignment horizontal="center" vertical="center"/>
    </xf>
    <xf numFmtId="165" fontId="1" fillId="0" borderId="0" xfId="0" applyNumberFormat="1" applyFont="1" applyFill="1" applyBorder="1"/>
    <xf numFmtId="0" fontId="2" fillId="0" borderId="18" xfId="0" applyFont="1" applyBorder="1" applyAlignment="1">
      <alignment horizontal="center" vertical="center"/>
    </xf>
    <xf numFmtId="165" fontId="1" fillId="0" borderId="15" xfId="0" applyNumberFormat="1" applyFont="1" applyFill="1" applyBorder="1"/>
    <xf numFmtId="165" fontId="1" fillId="0" borderId="17" xfId="0" applyNumberFormat="1" applyFont="1" applyFill="1" applyBorder="1"/>
    <xf numFmtId="44" fontId="1" fillId="0" borderId="23" xfId="2" applyFont="1" applyFill="1" applyBorder="1"/>
    <xf numFmtId="165" fontId="1" fillId="0" borderId="22" xfId="0" applyNumberFormat="1" applyFont="1" applyFill="1" applyBorder="1"/>
    <xf numFmtId="0" fontId="8" fillId="9" borderId="11" xfId="5" applyFont="1" applyFill="1" applyBorder="1" applyAlignment="1">
      <alignment horizontal="left" indent="2"/>
    </xf>
    <xf numFmtId="0" fontId="8" fillId="9" borderId="5" xfId="5" applyFont="1" applyFill="1" applyBorder="1" applyAlignment="1">
      <alignment horizontal="left" indent="2"/>
    </xf>
    <xf numFmtId="0" fontId="18" fillId="9" borderId="0" xfId="0" applyFont="1" applyFill="1"/>
    <xf numFmtId="0" fontId="2" fillId="9" borderId="18" xfId="0" applyFont="1" applyFill="1" applyBorder="1" applyAlignment="1">
      <alignment horizontal="center"/>
    </xf>
    <xf numFmtId="0" fontId="2" fillId="9" borderId="7" xfId="0" applyFont="1" applyFill="1" applyBorder="1" applyAlignment="1">
      <alignment horizontal="center"/>
    </xf>
    <xf numFmtId="0" fontId="1" fillId="9" borderId="0" xfId="0" applyFont="1" applyFill="1"/>
    <xf numFmtId="0" fontId="1" fillId="9" borderId="17" xfId="0" applyFont="1" applyFill="1" applyBorder="1"/>
    <xf numFmtId="0" fontId="1" fillId="9" borderId="14" xfId="0" applyFont="1" applyFill="1" applyBorder="1"/>
    <xf numFmtId="0" fontId="1" fillId="9" borderId="10" xfId="0" applyFont="1" applyFill="1" applyBorder="1"/>
    <xf numFmtId="44" fontId="1" fillId="9" borderId="32" xfId="2" applyFont="1" applyFill="1" applyBorder="1"/>
    <xf numFmtId="44" fontId="1" fillId="9" borderId="33" xfId="2" applyFont="1" applyFill="1" applyBorder="1"/>
    <xf numFmtId="0" fontId="8" fillId="0" borderId="0" xfId="0" applyFont="1" applyFill="1" applyAlignment="1">
      <alignment vertical="center"/>
    </xf>
    <xf numFmtId="164" fontId="0" fillId="3" borderId="4" xfId="2" applyNumberFormat="1" applyFont="1" applyFill="1" applyBorder="1" applyAlignment="1">
      <alignment horizontal="center"/>
    </xf>
    <xf numFmtId="9" fontId="0" fillId="3" borderId="4" xfId="2" applyNumberFormat="1" applyFont="1" applyFill="1" applyBorder="1" applyAlignment="1">
      <alignment horizontal="center"/>
    </xf>
    <xf numFmtId="165" fontId="4" fillId="0" borderId="23" xfId="2" applyNumberFormat="1" applyFont="1" applyBorder="1" applyAlignment="1"/>
    <xf numFmtId="0" fontId="0" fillId="0" borderId="15" xfId="0" applyFont="1" applyBorder="1"/>
    <xf numFmtId="166" fontId="1" fillId="0" borderId="0" xfId="1" applyNumberFormat="1" applyFont="1" applyBorder="1"/>
    <xf numFmtId="166" fontId="1" fillId="0" borderId="0" xfId="1" applyNumberFormat="1" applyFont="1"/>
    <xf numFmtId="0" fontId="0" fillId="0" borderId="4" xfId="0" applyBorder="1" applyAlignment="1">
      <alignment wrapText="1"/>
    </xf>
    <xf numFmtId="37" fontId="0" fillId="0" borderId="0" xfId="0" applyNumberFormat="1"/>
    <xf numFmtId="37" fontId="0" fillId="5" borderId="0" xfId="0" applyNumberFormat="1" applyFont="1" applyFill="1" applyBorder="1" applyAlignment="1">
      <alignment horizontal="left"/>
    </xf>
    <xf numFmtId="37" fontId="0" fillId="5" borderId="0" xfId="3" applyNumberFormat="1" applyFont="1" applyFill="1" applyBorder="1"/>
    <xf numFmtId="37" fontId="0" fillId="0" borderId="0" xfId="1" applyNumberFormat="1" applyFont="1"/>
    <xf numFmtId="37" fontId="0" fillId="0" borderId="0" xfId="3" applyNumberFormat="1" applyFont="1"/>
    <xf numFmtId="166" fontId="8" fillId="0" borderId="12" xfId="1" applyNumberFormat="1" applyFont="1" applyBorder="1"/>
    <xf numFmtId="166" fontId="8" fillId="0" borderId="9" xfId="1" applyNumberFormat="1" applyFont="1" applyBorder="1"/>
    <xf numFmtId="166" fontId="8" fillId="9" borderId="12" xfId="1" applyNumberFormat="1" applyFont="1" applyFill="1" applyBorder="1"/>
    <xf numFmtId="166" fontId="8" fillId="9" borderId="6" xfId="1" applyNumberFormat="1" applyFont="1" applyFill="1" applyBorder="1"/>
    <xf numFmtId="166" fontId="8" fillId="0" borderId="37" xfId="1" applyNumberFormat="1" applyFont="1" applyBorder="1"/>
    <xf numFmtId="166" fontId="8" fillId="0" borderId="13" xfId="1" applyNumberFormat="1" applyFont="1" applyBorder="1"/>
    <xf numFmtId="166" fontId="8" fillId="9" borderId="13" xfId="1" applyNumberFormat="1" applyFont="1" applyFill="1" applyBorder="1"/>
    <xf numFmtId="166" fontId="8" fillId="9" borderId="36" xfId="1" applyNumberFormat="1" applyFont="1" applyFill="1" applyBorder="1"/>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19"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4" fillId="10" borderId="19" xfId="5" applyFill="1" applyBorder="1" applyAlignment="1">
      <alignment horizontal="center" vertical="center" wrapText="1"/>
    </xf>
    <xf numFmtId="0" fontId="4" fillId="10" borderId="18" xfId="5" applyFill="1" applyBorder="1" applyAlignment="1">
      <alignment horizontal="center" vertical="center" wrapText="1"/>
    </xf>
    <xf numFmtId="0" fontId="4" fillId="10" borderId="7" xfId="5" applyFill="1" applyBorder="1" applyAlignment="1">
      <alignment horizontal="center" vertical="center" wrapText="1"/>
    </xf>
    <xf numFmtId="0" fontId="5" fillId="2" borderId="20" xfId="5" applyFont="1" applyFill="1" applyBorder="1" applyAlignment="1">
      <alignment horizontal="center"/>
    </xf>
    <xf numFmtId="0" fontId="5" fillId="2" borderId="14" xfId="5" applyFont="1" applyFill="1" applyBorder="1" applyAlignment="1">
      <alignment horizontal="center"/>
    </xf>
    <xf numFmtId="0" fontId="5" fillId="2" borderId="10" xfId="5" applyFont="1" applyFill="1" applyBorder="1" applyAlignment="1">
      <alignment horizontal="center"/>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5" fillId="0" borderId="1" xfId="5" applyFont="1" applyBorder="1" applyAlignment="1">
      <alignment horizontal="center" wrapText="1"/>
    </xf>
    <xf numFmtId="0" fontId="5" fillId="0" borderId="3" xfId="5" applyFont="1" applyBorder="1" applyAlignment="1">
      <alignment horizontal="center" wrapText="1"/>
    </xf>
    <xf numFmtId="0" fontId="4" fillId="0" borderId="1" xfId="8" applyBorder="1" applyAlignment="1">
      <alignment horizontal="left"/>
    </xf>
    <xf numFmtId="0" fontId="4" fillId="0" borderId="2" xfId="8" applyBorder="1" applyAlignment="1">
      <alignment horizontal="left"/>
    </xf>
    <xf numFmtId="0" fontId="4" fillId="0" borderId="3" xfId="8" applyBorder="1" applyAlignment="1">
      <alignment horizontal="left"/>
    </xf>
    <xf numFmtId="0" fontId="4" fillId="0" borderId="34" xfId="5" applyBorder="1" applyAlignment="1">
      <alignment horizontal="left"/>
    </xf>
    <xf numFmtId="0" fontId="4" fillId="0" borderId="32" xfId="5" applyBorder="1" applyAlignment="1">
      <alignment horizontal="left"/>
    </xf>
    <xf numFmtId="0" fontId="4" fillId="0" borderId="33" xfId="5" applyBorder="1" applyAlignment="1">
      <alignment horizontal="left"/>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9" xfId="8" applyFont="1" applyBorder="1" applyAlignment="1">
      <alignment horizontal="left"/>
    </xf>
    <xf numFmtId="0" fontId="5" fillId="0" borderId="18" xfId="8" applyFont="1" applyBorder="1" applyAlignment="1">
      <alignment horizontal="left"/>
    </xf>
    <xf numFmtId="0" fontId="5" fillId="0" borderId="7" xfId="8" applyFont="1" applyBorder="1" applyAlignment="1">
      <alignment horizontal="left"/>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2" fillId="5" borderId="0" xfId="5" applyFont="1" applyFill="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9" borderId="2" xfId="0" applyFont="1" applyFill="1" applyBorder="1" applyAlignment="1">
      <alignment horizontal="center"/>
    </xf>
    <xf numFmtId="0" fontId="2" fillId="9" borderId="3" xfId="0" applyFont="1" applyFill="1" applyBorder="1" applyAlignment="1">
      <alignment horizontal="center"/>
    </xf>
    <xf numFmtId="0" fontId="2" fillId="0" borderId="1"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xf numFmtId="9" fontId="0" fillId="0" borderId="0" xfId="3" applyFont="1"/>
    <xf numFmtId="14" fontId="6" fillId="9" borderId="0" xfId="0" applyNumberFormat="1" applyFont="1" applyFill="1"/>
    <xf numFmtId="165" fontId="4" fillId="0" borderId="0" xfId="5" applyNumberFormat="1"/>
    <xf numFmtId="0" fontId="26" fillId="5" borderId="0" xfId="5" applyFont="1" applyFill="1"/>
    <xf numFmtId="44" fontId="5" fillId="0" borderId="4" xfId="5" applyNumberFormat="1" applyFont="1" applyBorder="1"/>
    <xf numFmtId="44" fontId="4" fillId="0" borderId="0" xfId="5" applyNumberFormat="1"/>
    <xf numFmtId="43" fontId="4" fillId="6" borderId="4" xfId="1" applyFont="1" applyFill="1" applyBorder="1"/>
    <xf numFmtId="166" fontId="4" fillId="6" borderId="4" xfId="1" applyNumberFormat="1" applyFont="1" applyFill="1" applyBorder="1"/>
    <xf numFmtId="164" fontId="5" fillId="0" borderId="4" xfId="3" applyNumberFormat="1" applyFont="1" applyBorder="1"/>
  </cellXfs>
  <cellStyles count="9">
    <cellStyle name="Comma" xfId="1" builtinId="3"/>
    <cellStyle name="Comma 2" xfId="7"/>
    <cellStyle name="Currency" xfId="2" builtinId="4"/>
    <cellStyle name="Hyperlink" xfId="4" builtinId="8"/>
    <cellStyle name="Hyperlink 2" xfId="6"/>
    <cellStyle name="Normal" xfId="0" builtinId="0"/>
    <cellStyle name="Normal 2" xfId="5"/>
    <cellStyle name="Normal 2 2" xfId="8"/>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297571</xdr:colOff>
      <xdr:row>15</xdr:row>
      <xdr:rowOff>139727</xdr:rowOff>
    </xdr:from>
    <xdr:ext cx="2168345" cy="2855356"/>
    <xdr:sp macro="" textlink="">
      <xdr:nvSpPr>
        <xdr:cNvPr id="2" name="Rectangle 1">
          <a:extLst>
            <a:ext uri="{FF2B5EF4-FFF2-40B4-BE49-F238E27FC236}">
              <a16:creationId xmlns:a16="http://schemas.microsoft.com/office/drawing/2014/main" id="{FF30F2DC-1A81-4427-A507-115D92C298F2}"/>
            </a:ext>
          </a:extLst>
        </xdr:cNvPr>
        <xdr:cNvSpPr/>
      </xdr:nvSpPr>
      <xdr:spPr>
        <a:xfrm>
          <a:off x="7906988" y="4066144"/>
          <a:ext cx="2168345" cy="2855356"/>
        </a:xfrm>
        <a:prstGeom prst="rect">
          <a:avLst/>
        </a:prstGeom>
        <a:noFill/>
      </xdr:spPr>
      <xdr:txBody>
        <a:bodyPr wrap="square" lIns="91440" tIns="45720" rIns="91440" bIns="45720">
          <a:noAutofit/>
        </a:bodyPr>
        <a:lstStyle/>
        <a:p>
          <a:pPr algn="ctr"/>
          <a:endParaRPr lang="en-US" sz="239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7</xdr:col>
      <xdr:colOff>76200</xdr:colOff>
      <xdr:row>47</xdr:row>
      <xdr:rowOff>59267</xdr:rowOff>
    </xdr:to>
    <xdr:pic>
      <xdr:nvPicPr>
        <xdr:cNvPr id="2" name="Picture 1">
          <a:extLst>
            <a:ext uri="{FF2B5EF4-FFF2-40B4-BE49-F238E27FC236}">
              <a16:creationId xmlns:a16="http://schemas.microsoft.com/office/drawing/2014/main" id="{45E4F90D-846B-4774-B9F8-CC6FDF7FF150}"/>
            </a:ext>
          </a:extLst>
        </xdr:cNvPr>
        <xdr:cNvPicPr>
          <a:picLocks noChangeAspect="1"/>
        </xdr:cNvPicPr>
      </xdr:nvPicPr>
      <xdr:blipFill>
        <a:blip xmlns:r="http://schemas.openxmlformats.org/officeDocument/2006/relationships" r:embed="rId1"/>
        <a:stretch>
          <a:fillRect/>
        </a:stretch>
      </xdr:blipFill>
      <xdr:spPr>
        <a:xfrm>
          <a:off x="609600" y="6502400"/>
          <a:ext cx="11675533" cy="4902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C13"/>
  <sheetViews>
    <sheetView workbookViewId="0">
      <selection activeCell="A3" sqref="A3:B3"/>
    </sheetView>
  </sheetViews>
  <sheetFormatPr defaultRowHeight="15" x14ac:dyDescent="0.25"/>
  <cols>
    <col min="1" max="1" width="16.28515625" customWidth="1"/>
    <col min="2" max="2" width="66.7109375" style="27" customWidth="1"/>
    <col min="3" max="3" width="17.42578125" customWidth="1"/>
  </cols>
  <sheetData>
    <row r="1" spans="1:3" ht="18.75" x14ac:dyDescent="0.3">
      <c r="A1" s="235" t="s">
        <v>217</v>
      </c>
      <c r="B1" s="235"/>
    </row>
    <row r="2" spans="1:3" x14ac:dyDescent="0.25">
      <c r="A2" s="236" t="s">
        <v>0</v>
      </c>
      <c r="B2" s="236"/>
    </row>
    <row r="3" spans="1:3" ht="166.9" customHeight="1" x14ac:dyDescent="0.25">
      <c r="A3" s="234" t="s">
        <v>1</v>
      </c>
      <c r="B3" s="234"/>
    </row>
    <row r="4" spans="1:3" x14ac:dyDescent="0.25">
      <c r="B4" s="45"/>
    </row>
    <row r="5" spans="1:3" ht="15.75" x14ac:dyDescent="0.25">
      <c r="A5" s="113" t="s">
        <v>2</v>
      </c>
      <c r="B5" s="26" t="s">
        <v>3</v>
      </c>
      <c r="C5" s="44"/>
    </row>
    <row r="6" spans="1:3" ht="15.75" x14ac:dyDescent="0.25">
      <c r="A6" s="113" t="s">
        <v>2</v>
      </c>
      <c r="B6" s="44" t="s">
        <v>4</v>
      </c>
      <c r="C6" s="44"/>
    </row>
    <row r="7" spans="1:3" ht="15.75" x14ac:dyDescent="0.25">
      <c r="A7" s="112" t="s">
        <v>5</v>
      </c>
      <c r="B7" s="44" t="s">
        <v>6</v>
      </c>
      <c r="C7" s="44"/>
    </row>
    <row r="8" spans="1:3" ht="15.75" x14ac:dyDescent="0.25">
      <c r="A8" s="113" t="s">
        <v>2</v>
      </c>
      <c r="B8" s="26" t="s">
        <v>7</v>
      </c>
      <c r="C8" s="44"/>
    </row>
    <row r="9" spans="1:3" ht="15.75" x14ac:dyDescent="0.25">
      <c r="A9" s="113" t="s">
        <v>2</v>
      </c>
      <c r="B9" s="26" t="s">
        <v>211</v>
      </c>
      <c r="C9" s="44"/>
    </row>
    <row r="10" spans="1:3" ht="15.75" x14ac:dyDescent="0.25">
      <c r="A10" s="113" t="s">
        <v>2</v>
      </c>
      <c r="B10" s="213" t="s">
        <v>212</v>
      </c>
      <c r="C10" s="44"/>
    </row>
    <row r="11" spans="1:3" x14ac:dyDescent="0.25">
      <c r="C11" s="28"/>
    </row>
    <row r="12" spans="1:3" x14ac:dyDescent="0.25">
      <c r="C12" s="28"/>
    </row>
    <row r="13" spans="1:3" x14ac:dyDescent="0.25">
      <c r="C13" s="28"/>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2:W100"/>
  <sheetViews>
    <sheetView showGridLines="0" topLeftCell="A64" zoomScaleNormal="100" zoomScaleSheetLayoutView="80" workbookViewId="0">
      <selection activeCell="C91" sqref="C91"/>
    </sheetView>
  </sheetViews>
  <sheetFormatPr defaultRowHeight="15" x14ac:dyDescent="0.25"/>
  <cols>
    <col min="1" max="1" width="14.42578125" customWidth="1"/>
    <col min="2" max="2" width="58.140625" customWidth="1"/>
    <col min="3" max="5" width="16.42578125" customWidth="1"/>
    <col min="6" max="7" width="18.28515625" customWidth="1"/>
    <col min="8" max="8" width="19.7109375" customWidth="1"/>
    <col min="9" max="9" width="16.42578125" customWidth="1"/>
    <col min="10" max="10" width="25.28515625" customWidth="1"/>
    <col min="11" max="11" width="19.7109375" customWidth="1"/>
    <col min="12" max="12" width="16.42578125" customWidth="1"/>
    <col min="13" max="13" width="15.140625" customWidth="1"/>
    <col min="14" max="14" width="24.5703125" customWidth="1"/>
    <col min="16" max="16" width="36" customWidth="1"/>
    <col min="22" max="22" width="15.28515625" bestFit="1" customWidth="1"/>
    <col min="23" max="23" width="10.28515625" bestFit="1" customWidth="1"/>
  </cols>
  <sheetData>
    <row r="2" spans="1:15" x14ac:dyDescent="0.25">
      <c r="B2" s="238" t="s">
        <v>8</v>
      </c>
      <c r="C2" s="238"/>
      <c r="D2" s="238"/>
      <c r="E2" s="238"/>
      <c r="F2" s="238"/>
      <c r="G2" s="238"/>
      <c r="H2" s="238"/>
      <c r="I2" s="238"/>
      <c r="J2" s="238"/>
      <c r="K2" s="238"/>
      <c r="L2" s="238"/>
      <c r="M2" s="238"/>
      <c r="N2" s="238"/>
      <c r="O2" s="238"/>
    </row>
    <row r="3" spans="1:15" ht="21" x14ac:dyDescent="0.35">
      <c r="B3" s="239" t="s">
        <v>9</v>
      </c>
      <c r="C3" s="240"/>
      <c r="D3" s="240"/>
      <c r="E3" s="240"/>
      <c r="F3" s="240"/>
      <c r="G3" s="240"/>
      <c r="H3" s="240"/>
      <c r="I3" s="240"/>
      <c r="J3" s="240"/>
      <c r="K3" s="240"/>
      <c r="L3" s="240"/>
      <c r="M3" s="240"/>
      <c r="N3" s="240"/>
      <c r="O3" s="241"/>
    </row>
    <row r="4" spans="1:15" ht="21" x14ac:dyDescent="0.35">
      <c r="B4" s="245" t="s">
        <v>10</v>
      </c>
      <c r="C4" s="246"/>
      <c r="D4" s="246"/>
      <c r="E4" s="246"/>
      <c r="F4" s="246"/>
      <c r="G4" s="246"/>
      <c r="H4" s="246"/>
      <c r="I4" s="246"/>
      <c r="J4" s="246"/>
      <c r="K4" s="246"/>
      <c r="L4" s="246"/>
      <c r="M4" s="246"/>
      <c r="N4" s="246"/>
      <c r="O4" s="247"/>
    </row>
    <row r="6" spans="1:15" ht="18.75" x14ac:dyDescent="0.3">
      <c r="B6" s="242" t="s">
        <v>11</v>
      </c>
      <c r="C6" s="243"/>
      <c r="D6" s="243"/>
      <c r="E6" s="243"/>
      <c r="F6" s="243"/>
      <c r="G6" s="243"/>
      <c r="H6" s="243"/>
      <c r="I6" s="243"/>
      <c r="J6" s="243"/>
      <c r="K6" s="243"/>
      <c r="L6" s="243"/>
      <c r="M6" s="243"/>
      <c r="N6" s="243"/>
      <c r="O6" s="244"/>
    </row>
    <row r="7" spans="1:15" s="55" customFormat="1" ht="18.75" x14ac:dyDescent="0.3">
      <c r="B7" s="54"/>
      <c r="C7" s="54"/>
      <c r="D7" s="54"/>
      <c r="E7" s="54"/>
      <c r="F7" s="54"/>
      <c r="G7" s="54"/>
      <c r="H7" s="54"/>
      <c r="I7" s="54"/>
      <c r="J7" s="54"/>
      <c r="K7" s="54"/>
      <c r="L7" s="54"/>
      <c r="M7" s="54"/>
      <c r="N7" s="54"/>
      <c r="O7" s="54"/>
    </row>
    <row r="8" spans="1:15" ht="18.75" x14ac:dyDescent="0.3">
      <c r="B8" s="97" t="s">
        <v>154</v>
      </c>
      <c r="C8" s="4"/>
    </row>
    <row r="9" spans="1:15" ht="22.15" customHeight="1" x14ac:dyDescent="0.3">
      <c r="B9" s="4"/>
      <c r="C9" s="4"/>
      <c r="E9" s="83"/>
      <c r="F9" s="83"/>
      <c r="G9" s="83"/>
      <c r="H9" s="83"/>
      <c r="I9" s="83"/>
      <c r="K9" s="28"/>
    </row>
    <row r="10" spans="1:15" s="104" customFormat="1" ht="30" x14ac:dyDescent="0.25">
      <c r="B10" s="102" t="s">
        <v>12</v>
      </c>
      <c r="C10" s="102" t="s">
        <v>13</v>
      </c>
      <c r="D10" s="102" t="s">
        <v>14</v>
      </c>
      <c r="E10" s="102" t="s">
        <v>15</v>
      </c>
      <c r="F10" s="102" t="s">
        <v>16</v>
      </c>
      <c r="G10" s="102" t="s">
        <v>17</v>
      </c>
      <c r="H10" s="102" t="s">
        <v>18</v>
      </c>
      <c r="I10" s="103"/>
      <c r="J10" s="105"/>
    </row>
    <row r="11" spans="1:15" x14ac:dyDescent="0.25">
      <c r="B11" s="5" t="s">
        <v>155</v>
      </c>
      <c r="C11" s="88">
        <f>SUM(D11:H11)</f>
        <v>97368788</v>
      </c>
      <c r="D11" s="94">
        <v>35337088</v>
      </c>
      <c r="E11" s="95">
        <v>15887640</v>
      </c>
      <c r="F11" s="95">
        <f>50939860-2843100-2879100-2005240</f>
        <v>43212420</v>
      </c>
      <c r="G11" s="95">
        <v>2005240</v>
      </c>
      <c r="H11" s="95">
        <v>926400</v>
      </c>
      <c r="J11" s="28"/>
    </row>
    <row r="12" spans="1:15" ht="14.45" customHeight="1" x14ac:dyDescent="0.25">
      <c r="A12" s="248"/>
      <c r="B12" s="8" t="s">
        <v>19</v>
      </c>
      <c r="C12" s="88">
        <f>SUM(D12:H12)</f>
        <v>4688800</v>
      </c>
      <c r="D12" s="89">
        <v>0</v>
      </c>
      <c r="E12" s="90">
        <v>0</v>
      </c>
      <c r="F12" s="91">
        <f>4688800-G12</f>
        <v>4488800</v>
      </c>
      <c r="G12" s="91">
        <v>200000</v>
      </c>
      <c r="H12" s="91">
        <v>0</v>
      </c>
      <c r="L12" s="22"/>
      <c r="M12" s="23"/>
    </row>
    <row r="13" spans="1:15" x14ac:dyDescent="0.25">
      <c r="A13" s="248"/>
      <c r="B13" s="8" t="s">
        <v>20</v>
      </c>
      <c r="C13" s="88">
        <f>SUM(D13:H13)</f>
        <v>0</v>
      </c>
      <c r="D13" s="89"/>
      <c r="E13" s="90"/>
      <c r="F13" s="91"/>
      <c r="G13" s="91"/>
      <c r="H13" s="91">
        <v>0</v>
      </c>
      <c r="L13" s="22"/>
      <c r="M13" s="23"/>
    </row>
    <row r="14" spans="1:15" x14ac:dyDescent="0.25">
      <c r="A14" s="248"/>
      <c r="B14" s="8" t="s">
        <v>21</v>
      </c>
      <c r="C14" s="88">
        <f>SUM(D14:H14)</f>
        <v>4108400</v>
      </c>
      <c r="D14" s="89">
        <f>ROUND(D11*0.0426,-2)</f>
        <v>1505400</v>
      </c>
      <c r="E14" s="89">
        <f t="shared" ref="E14:G14" si="0">ROUND(E11*0.0426,-2)</f>
        <v>676800</v>
      </c>
      <c r="F14" s="89">
        <f t="shared" si="0"/>
        <v>1840800</v>
      </c>
      <c r="G14" s="89">
        <f t="shared" si="0"/>
        <v>85400</v>
      </c>
      <c r="H14" s="91"/>
      <c r="L14" s="22"/>
      <c r="M14" s="23"/>
    </row>
    <row r="15" spans="1:15" x14ac:dyDescent="0.25">
      <c r="A15" s="248"/>
      <c r="B15" s="8" t="s">
        <v>22</v>
      </c>
      <c r="C15" s="88">
        <f t="shared" ref="C15:C19" si="1">SUM(D15:H15)</f>
        <v>731173</v>
      </c>
      <c r="D15" s="89"/>
      <c r="E15" s="90">
        <f>8945827-8214654</f>
        <v>731173</v>
      </c>
      <c r="F15" s="91"/>
      <c r="G15" s="91"/>
      <c r="H15" s="91"/>
      <c r="L15" s="22"/>
      <c r="M15" s="23"/>
    </row>
    <row r="16" spans="1:15" x14ac:dyDescent="0.25">
      <c r="A16" s="248"/>
      <c r="B16" s="10" t="s">
        <v>23</v>
      </c>
      <c r="C16" s="88">
        <f t="shared" si="1"/>
        <v>490900</v>
      </c>
      <c r="D16" s="89">
        <v>253800</v>
      </c>
      <c r="E16" s="90">
        <v>110200</v>
      </c>
      <c r="F16" s="92">
        <v>126900</v>
      </c>
      <c r="G16" s="92"/>
      <c r="H16" s="92"/>
      <c r="L16" s="22"/>
      <c r="M16" s="23"/>
    </row>
    <row r="17" spans="1:23" x14ac:dyDescent="0.25">
      <c r="A17" s="248"/>
      <c r="B17" s="10" t="s">
        <v>24</v>
      </c>
      <c r="C17" s="88">
        <f t="shared" si="1"/>
        <v>0</v>
      </c>
      <c r="D17" s="89"/>
      <c r="E17" s="90"/>
      <c r="F17" s="91"/>
      <c r="G17" s="91"/>
      <c r="H17" s="91"/>
      <c r="L17" s="22"/>
      <c r="M17" s="23"/>
    </row>
    <row r="18" spans="1:23" x14ac:dyDescent="0.25">
      <c r="A18" s="248"/>
      <c r="B18" s="10" t="s">
        <v>25</v>
      </c>
      <c r="C18" s="88">
        <f t="shared" si="1"/>
        <v>3462439</v>
      </c>
      <c r="D18" s="89">
        <v>4454371</v>
      </c>
      <c r="E18" s="90">
        <v>-833586</v>
      </c>
      <c r="F18" s="91">
        <v>223346</v>
      </c>
      <c r="G18" s="91">
        <v>-381692</v>
      </c>
      <c r="H18" s="91"/>
      <c r="L18" s="22"/>
      <c r="M18" s="23"/>
    </row>
    <row r="19" spans="1:23" x14ac:dyDescent="0.25">
      <c r="A19" s="248"/>
      <c r="B19" s="10" t="s">
        <v>26</v>
      </c>
      <c r="C19" s="88">
        <f t="shared" si="1"/>
        <v>-792500</v>
      </c>
      <c r="D19" s="89"/>
      <c r="E19" s="90"/>
      <c r="F19" s="91">
        <f>-3992900-2521800+2879100+2843100</f>
        <v>-792500</v>
      </c>
      <c r="G19" s="91"/>
      <c r="H19" s="91"/>
      <c r="L19" s="22"/>
      <c r="M19" s="23"/>
    </row>
    <row r="20" spans="1:23" x14ac:dyDescent="0.25">
      <c r="B20" s="87" t="s">
        <v>225</v>
      </c>
      <c r="C20" s="88">
        <f>SUM(D20:H20)</f>
        <v>0</v>
      </c>
      <c r="D20" s="89">
        <f>-3404100+6823200</f>
        <v>3419100</v>
      </c>
      <c r="E20" s="90"/>
      <c r="F20" s="92">
        <f>3404100-6823200</f>
        <v>-3419100</v>
      </c>
      <c r="G20" s="92"/>
      <c r="H20" s="92"/>
      <c r="O20" s="22"/>
      <c r="P20" s="23"/>
    </row>
    <row r="21" spans="1:23" x14ac:dyDescent="0.25">
      <c r="B21" s="87" t="s">
        <v>27</v>
      </c>
      <c r="C21" s="88">
        <f>SUM(D21:H21)</f>
        <v>0</v>
      </c>
      <c r="D21" s="89"/>
      <c r="E21" s="90"/>
      <c r="F21" s="92"/>
      <c r="G21" s="92"/>
      <c r="H21" s="92"/>
      <c r="O21" s="22"/>
      <c r="P21" s="23"/>
    </row>
    <row r="22" spans="1:23" x14ac:dyDescent="0.25">
      <c r="B22" s="87" t="s">
        <v>27</v>
      </c>
      <c r="C22" s="88">
        <f>SUM(D22:H22)</f>
        <v>0</v>
      </c>
      <c r="D22" s="89"/>
      <c r="E22" s="90"/>
      <c r="F22" s="92"/>
      <c r="G22" s="92"/>
      <c r="H22" s="92"/>
      <c r="O22" s="22"/>
      <c r="P22" s="23"/>
    </row>
    <row r="23" spans="1:23" x14ac:dyDescent="0.25">
      <c r="B23" s="11" t="s">
        <v>156</v>
      </c>
      <c r="C23" s="6">
        <f t="shared" ref="C23:H23" si="2">SUM(C11:C22)</f>
        <v>110058000</v>
      </c>
      <c r="D23" s="51">
        <f t="shared" si="2"/>
        <v>44969759</v>
      </c>
      <c r="E23" s="51">
        <f t="shared" si="2"/>
        <v>16572227</v>
      </c>
      <c r="F23" s="51">
        <f t="shared" si="2"/>
        <v>45680666</v>
      </c>
      <c r="G23" s="51">
        <f t="shared" si="2"/>
        <v>1908948</v>
      </c>
      <c r="H23" s="51">
        <f t="shared" si="2"/>
        <v>926400</v>
      </c>
      <c r="O23" s="22"/>
      <c r="P23" s="23"/>
    </row>
    <row r="24" spans="1:23" x14ac:dyDescent="0.25">
      <c r="O24" s="22"/>
      <c r="P24" s="23"/>
    </row>
    <row r="25" spans="1:23" x14ac:dyDescent="0.25">
      <c r="B25" s="29" t="s">
        <v>157</v>
      </c>
      <c r="C25" s="63">
        <f>+C23-C11</f>
        <v>12689212</v>
      </c>
      <c r="D25" s="19">
        <f t="shared" ref="D25:H25" si="3">+D23-D11</f>
        <v>9632671</v>
      </c>
      <c r="E25" s="19">
        <f t="shared" si="3"/>
        <v>684587</v>
      </c>
      <c r="F25" s="19">
        <f t="shared" si="3"/>
        <v>2468246</v>
      </c>
      <c r="G25" s="19">
        <f t="shared" si="3"/>
        <v>-96292</v>
      </c>
      <c r="H25" s="19">
        <f t="shared" si="3"/>
        <v>0</v>
      </c>
      <c r="O25" s="22"/>
      <c r="P25" s="23"/>
    </row>
    <row r="26" spans="1:23" x14ac:dyDescent="0.25">
      <c r="B26" s="52" t="s">
        <v>158</v>
      </c>
      <c r="C26" s="53">
        <f>(C25)/C11</f>
        <v>0.13032114562214742</v>
      </c>
      <c r="D26" s="53">
        <f t="shared" ref="D26:H26" si="4">(D25)/D11</f>
        <v>0.27259379720253124</v>
      </c>
      <c r="E26" s="53">
        <f t="shared" si="4"/>
        <v>4.308928198272368E-2</v>
      </c>
      <c r="F26" s="53">
        <f t="shared" si="4"/>
        <v>5.7118902389637051E-2</v>
      </c>
      <c r="G26" s="53">
        <f t="shared" si="4"/>
        <v>-4.8020187109772398E-2</v>
      </c>
      <c r="H26" s="53">
        <f t="shared" si="4"/>
        <v>0</v>
      </c>
      <c r="O26" s="22"/>
      <c r="P26" s="23"/>
    </row>
    <row r="27" spans="1:23" s="221" customFormat="1" x14ac:dyDescent="0.25">
      <c r="B27" s="222"/>
      <c r="C27" s="223"/>
      <c r="D27" s="223"/>
      <c r="E27" s="223"/>
      <c r="F27" s="223"/>
      <c r="G27" s="223"/>
      <c r="H27" s="223"/>
      <c r="O27" s="224"/>
      <c r="P27" s="225"/>
    </row>
    <row r="28" spans="1:23" ht="28.15" customHeight="1" x14ac:dyDescent="0.3">
      <c r="B28" s="97" t="s">
        <v>159</v>
      </c>
      <c r="C28" s="4"/>
      <c r="D28" s="15"/>
      <c r="E28" s="15"/>
      <c r="V28" s="22"/>
      <c r="W28" s="23"/>
    </row>
    <row r="29" spans="1:23" ht="18.75" x14ac:dyDescent="0.3">
      <c r="B29" s="97"/>
      <c r="C29" s="4"/>
      <c r="D29" s="15"/>
      <c r="E29" s="15"/>
      <c r="V29" s="22"/>
      <c r="W29" s="23"/>
    </row>
    <row r="30" spans="1:23" s="86" customFormat="1" x14ac:dyDescent="0.25">
      <c r="B30" s="99" t="s">
        <v>28</v>
      </c>
      <c r="C30" s="99" t="s">
        <v>29</v>
      </c>
      <c r="D30" s="99" t="s">
        <v>30</v>
      </c>
      <c r="E30" s="179"/>
      <c r="F30" s="180"/>
      <c r="G30" s="180"/>
      <c r="H30" s="180"/>
      <c r="V30" s="100"/>
      <c r="W30" s="101"/>
    </row>
    <row r="31" spans="1:23" x14ac:dyDescent="0.25">
      <c r="B31" s="5" t="s">
        <v>155</v>
      </c>
      <c r="C31" s="88">
        <v>99768850</v>
      </c>
      <c r="D31" s="7"/>
      <c r="E31" s="192"/>
      <c r="F31" s="192"/>
      <c r="G31" s="182"/>
      <c r="H31" s="182"/>
      <c r="V31" s="22"/>
      <c r="W31" s="23"/>
    </row>
    <row r="32" spans="1:23" x14ac:dyDescent="0.25">
      <c r="B32" s="8" t="s">
        <v>31</v>
      </c>
      <c r="C32" s="93"/>
      <c r="D32" s="96">
        <f>+C32/C$31</f>
        <v>0</v>
      </c>
      <c r="E32" s="181"/>
      <c r="F32" s="84"/>
      <c r="G32" s="182"/>
      <c r="H32" s="182"/>
      <c r="V32" s="22"/>
    </row>
    <row r="33" spans="2:22" x14ac:dyDescent="0.25">
      <c r="B33" s="178" t="s">
        <v>178</v>
      </c>
      <c r="C33" s="173">
        <f>'4. Inflation'!D16</f>
        <v>6529838.2120000003</v>
      </c>
      <c r="D33" s="9">
        <f t="shared" ref="D33:D47" si="5">+C33/C$31</f>
        <v>6.5449669029962756E-2</v>
      </c>
      <c r="E33" s="183"/>
      <c r="F33" s="84"/>
      <c r="G33" s="182"/>
      <c r="H33" s="182"/>
      <c r="V33" s="22"/>
    </row>
    <row r="34" spans="2:22" x14ac:dyDescent="0.25">
      <c r="B34" s="10" t="s">
        <v>33</v>
      </c>
      <c r="C34" s="93">
        <v>1379464.2079999996</v>
      </c>
      <c r="D34" s="9">
        <f t="shared" si="5"/>
        <v>1.3826602271149759E-2</v>
      </c>
      <c r="E34" s="181"/>
      <c r="F34" s="181"/>
      <c r="G34" s="182"/>
      <c r="H34" s="182"/>
      <c r="V34" s="22"/>
    </row>
    <row r="35" spans="2:22" x14ac:dyDescent="0.25">
      <c r="B35" s="10" t="s">
        <v>34</v>
      </c>
      <c r="C35" s="93"/>
      <c r="D35" s="9">
        <f t="shared" si="5"/>
        <v>0</v>
      </c>
      <c r="E35" s="181"/>
      <c r="F35" s="181"/>
      <c r="G35" s="182"/>
      <c r="H35" s="182"/>
      <c r="V35" s="22"/>
    </row>
    <row r="36" spans="2:22" x14ac:dyDescent="0.25">
      <c r="B36" s="10" t="s">
        <v>35</v>
      </c>
      <c r="C36" s="93">
        <v>1760000</v>
      </c>
      <c r="D36" s="9">
        <f t="shared" si="5"/>
        <v>1.7640776655238583E-2</v>
      </c>
      <c r="E36" s="181"/>
      <c r="F36" s="181"/>
      <c r="G36" s="182"/>
      <c r="H36" s="182"/>
      <c r="V36" s="22"/>
    </row>
    <row r="37" spans="2:22" x14ac:dyDescent="0.25">
      <c r="B37" s="10" t="s">
        <v>36</v>
      </c>
      <c r="C37" s="93"/>
      <c r="D37" s="9">
        <f t="shared" si="5"/>
        <v>0</v>
      </c>
      <c r="E37" s="181"/>
      <c r="F37" s="181"/>
      <c r="G37" s="182"/>
      <c r="H37" s="182"/>
      <c r="V37" s="22"/>
    </row>
    <row r="38" spans="2:22" x14ac:dyDescent="0.25">
      <c r="B38" s="10" t="s">
        <v>37</v>
      </c>
      <c r="C38" s="93">
        <v>1550000</v>
      </c>
      <c r="D38" s="9">
        <f t="shared" si="5"/>
        <v>1.553591125887489E-2</v>
      </c>
      <c r="E38" s="181"/>
      <c r="F38" s="181"/>
      <c r="G38" s="182"/>
      <c r="H38" s="182"/>
    </row>
    <row r="39" spans="2:22" x14ac:dyDescent="0.25">
      <c r="B39" s="10" t="s">
        <v>38</v>
      </c>
      <c r="C39" s="93">
        <f>6054000-5525000</f>
        <v>529000</v>
      </c>
      <c r="D39" s="9">
        <f t="shared" si="5"/>
        <v>5.3022561651256883E-3</v>
      </c>
      <c r="E39" s="181"/>
      <c r="F39" s="181"/>
      <c r="G39" s="182"/>
      <c r="H39" s="182"/>
    </row>
    <row r="40" spans="2:22" x14ac:dyDescent="0.25">
      <c r="B40" s="10" t="s">
        <v>39</v>
      </c>
      <c r="C40" s="93">
        <v>-1659100</v>
      </c>
      <c r="D40" s="9">
        <f>+C40/C$31</f>
        <v>-1.66294389481286E-2</v>
      </c>
      <c r="E40" s="181"/>
      <c r="F40" s="181"/>
      <c r="G40" s="182"/>
      <c r="H40" s="182"/>
    </row>
    <row r="41" spans="2:22" x14ac:dyDescent="0.25">
      <c r="B41" s="87" t="s">
        <v>181</v>
      </c>
      <c r="C41" s="93">
        <v>400000</v>
      </c>
      <c r="D41" s="9">
        <f>+C41/C$31</f>
        <v>4.0092674216451324E-3</v>
      </c>
      <c r="E41" s="181"/>
      <c r="F41" s="181"/>
      <c r="G41" s="182"/>
      <c r="H41" s="182"/>
    </row>
    <row r="42" spans="2:22" x14ac:dyDescent="0.25">
      <c r="B42" s="87" t="s">
        <v>182</v>
      </c>
      <c r="C42" s="93">
        <v>441200</v>
      </c>
      <c r="D42" s="9">
        <f t="shared" ref="D42:D43" si="6">+C42/C$31</f>
        <v>4.4222219660745811E-3</v>
      </c>
      <c r="E42" s="181"/>
      <c r="F42" s="181"/>
      <c r="G42" s="182"/>
      <c r="H42" s="182"/>
    </row>
    <row r="43" spans="2:22" x14ac:dyDescent="0.25">
      <c r="B43" s="87" t="s">
        <v>183</v>
      </c>
      <c r="C43" s="93">
        <v>394000</v>
      </c>
      <c r="D43" s="9">
        <f t="shared" si="6"/>
        <v>3.9491284103204561E-3</v>
      </c>
      <c r="E43" s="181"/>
      <c r="F43" s="181"/>
      <c r="G43" s="182"/>
      <c r="H43" s="182"/>
    </row>
    <row r="44" spans="2:22" x14ac:dyDescent="0.25">
      <c r="B44" s="87" t="s">
        <v>184</v>
      </c>
      <c r="C44" s="93">
        <f>4659600-3981900</f>
        <v>677700</v>
      </c>
      <c r="D44" s="9">
        <f t="shared" si="5"/>
        <v>6.7927013291222658E-3</v>
      </c>
      <c r="E44" s="181"/>
      <c r="F44" s="181"/>
      <c r="G44" s="182"/>
      <c r="H44" s="182"/>
    </row>
    <row r="45" spans="2:22" x14ac:dyDescent="0.25">
      <c r="B45" s="87" t="s">
        <v>230</v>
      </c>
      <c r="C45" s="93">
        <v>575900</v>
      </c>
      <c r="D45" s="9"/>
      <c r="E45" s="181"/>
      <c r="F45" s="181"/>
      <c r="G45" s="182"/>
      <c r="H45" s="182"/>
    </row>
    <row r="46" spans="2:22" x14ac:dyDescent="0.25">
      <c r="B46" s="87" t="s">
        <v>231</v>
      </c>
      <c r="C46" s="93">
        <v>1400000</v>
      </c>
      <c r="D46" s="9"/>
      <c r="E46" s="181"/>
      <c r="F46" s="181"/>
      <c r="G46" s="182"/>
      <c r="H46" s="182"/>
    </row>
    <row r="47" spans="2:22" x14ac:dyDescent="0.25">
      <c r="B47" s="87" t="s">
        <v>40</v>
      </c>
      <c r="C47" s="93">
        <f>1786600-1360452</f>
        <v>426148</v>
      </c>
      <c r="D47" s="9">
        <f t="shared" si="5"/>
        <v>4.2713532329980751E-3</v>
      </c>
      <c r="E47" s="181"/>
      <c r="F47" s="181"/>
      <c r="G47" s="182"/>
      <c r="H47" s="182"/>
    </row>
    <row r="48" spans="2:22" x14ac:dyDescent="0.25">
      <c r="B48" s="11" t="s">
        <v>156</v>
      </c>
      <c r="C48" s="12">
        <f>SUM(C31:C47)</f>
        <v>114173000.42</v>
      </c>
      <c r="D48" s="13">
        <f>SUM(D32:D47)</f>
        <v>0.12457044879238359</v>
      </c>
      <c r="E48" s="181"/>
      <c r="F48" s="181"/>
      <c r="G48" s="182"/>
      <c r="H48" s="182"/>
    </row>
    <row r="49" spans="1:23" x14ac:dyDescent="0.25">
      <c r="B49" s="84"/>
      <c r="C49" s="85"/>
      <c r="D49" s="76"/>
      <c r="E49" s="76"/>
      <c r="F49" s="14"/>
    </row>
    <row r="50" spans="1:23" x14ac:dyDescent="0.25">
      <c r="B50" s="29" t="s">
        <v>157</v>
      </c>
      <c r="C50" s="63">
        <f>+C48-C31</f>
        <v>14404150.420000002</v>
      </c>
      <c r="D50" s="76"/>
      <c r="E50" s="76"/>
      <c r="F50" s="14"/>
    </row>
    <row r="51" spans="1:23" x14ac:dyDescent="0.25">
      <c r="B51" s="52" t="s">
        <v>158</v>
      </c>
      <c r="C51" s="53">
        <f>(C50)/C31</f>
        <v>0.14437522753845516</v>
      </c>
      <c r="D51" s="76"/>
      <c r="E51" s="76"/>
    </row>
    <row r="52" spans="1:23" x14ac:dyDescent="0.25">
      <c r="B52" s="115"/>
      <c r="C52" s="58"/>
      <c r="D52" s="58"/>
      <c r="E52" s="58"/>
      <c r="F52" s="58"/>
      <c r="G52" s="58"/>
      <c r="H52" s="58"/>
      <c r="O52" s="22"/>
      <c r="P52" s="23"/>
    </row>
    <row r="54" spans="1:23" ht="18.75" x14ac:dyDescent="0.3">
      <c r="B54" s="242" t="s">
        <v>41</v>
      </c>
      <c r="C54" s="243"/>
      <c r="D54" s="243"/>
      <c r="E54" s="243"/>
      <c r="F54" s="243"/>
      <c r="G54" s="243"/>
      <c r="H54" s="243"/>
      <c r="I54" s="243"/>
      <c r="J54" s="243"/>
      <c r="K54" s="243"/>
      <c r="L54" s="243"/>
      <c r="M54" s="243"/>
      <c r="N54" s="243"/>
      <c r="O54" s="244"/>
      <c r="V54" s="22"/>
      <c r="W54" s="23"/>
    </row>
    <row r="55" spans="1:23" x14ac:dyDescent="0.25">
      <c r="B55" s="17"/>
    </row>
    <row r="56" spans="1:23" ht="18.75" x14ac:dyDescent="0.3">
      <c r="B56" s="97" t="s">
        <v>160</v>
      </c>
      <c r="C56" s="4"/>
    </row>
    <row r="57" spans="1:23" ht="18.75" x14ac:dyDescent="0.3">
      <c r="B57" s="97"/>
      <c r="C57" s="4"/>
    </row>
    <row r="58" spans="1:23" ht="18.75" x14ac:dyDescent="0.3">
      <c r="B58" s="97" t="s">
        <v>42</v>
      </c>
      <c r="C58" s="321">
        <v>44681</v>
      </c>
    </row>
    <row r="59" spans="1:23" s="86" customFormat="1" ht="30" x14ac:dyDescent="0.25">
      <c r="B59" s="98" t="s">
        <v>12</v>
      </c>
      <c r="C59" s="98" t="s">
        <v>13</v>
      </c>
      <c r="D59" s="98" t="s">
        <v>14</v>
      </c>
      <c r="E59" s="98" t="s">
        <v>15</v>
      </c>
      <c r="F59" s="98" t="s">
        <v>16</v>
      </c>
      <c r="G59" s="98" t="s">
        <v>17</v>
      </c>
      <c r="H59" s="98" t="s">
        <v>18</v>
      </c>
    </row>
    <row r="60" spans="1:23" x14ac:dyDescent="0.25">
      <c r="B60" s="5" t="s">
        <v>161</v>
      </c>
      <c r="C60" s="88">
        <f>SUM(D60:H60)</f>
        <v>102271200</v>
      </c>
      <c r="D60" s="94">
        <v>43475500</v>
      </c>
      <c r="E60" s="95">
        <v>15584100</v>
      </c>
      <c r="F60" s="95">
        <f>39362900+1194200+4100</f>
        <v>40561200</v>
      </c>
      <c r="G60" s="95">
        <v>1683200</v>
      </c>
      <c r="H60" s="95">
        <v>967200</v>
      </c>
    </row>
    <row r="61" spans="1:23" ht="14.45" customHeight="1" x14ac:dyDescent="0.25">
      <c r="A61" s="237"/>
      <c r="B61" s="8" t="s">
        <v>19</v>
      </c>
      <c r="C61" s="88">
        <f>SUM(D61:H61)</f>
        <v>4465100</v>
      </c>
      <c r="D61" s="89"/>
      <c r="E61" s="90"/>
      <c r="F61" s="91">
        <f>ROUND((25118500+28775500+1592300)*0.1075*0.72,-2)</f>
        <v>4294600</v>
      </c>
      <c r="G61" s="91">
        <f>ROUND(2643400*0.1075*0.6,-2)</f>
        <v>170500</v>
      </c>
      <c r="H61" s="91"/>
      <c r="L61" s="22"/>
      <c r="M61" s="23"/>
    </row>
    <row r="62" spans="1:23" x14ac:dyDescent="0.25">
      <c r="A62" s="237"/>
      <c r="B62" s="8" t="s">
        <v>20</v>
      </c>
      <c r="C62" s="88">
        <f>SUM(D62:H62)</f>
        <v>-40800</v>
      </c>
      <c r="D62" s="89"/>
      <c r="E62" s="90"/>
      <c r="F62" s="91"/>
      <c r="G62" s="91"/>
      <c r="H62" s="91">
        <f>926400-967200</f>
        <v>-40800</v>
      </c>
      <c r="L62" s="22"/>
      <c r="M62" s="23"/>
    </row>
    <row r="63" spans="1:23" x14ac:dyDescent="0.25">
      <c r="A63" s="237"/>
      <c r="B63" s="8" t="s">
        <v>21</v>
      </c>
      <c r="C63" s="88">
        <f>SUM(D63:H63)</f>
        <v>1867130</v>
      </c>
      <c r="D63" s="89">
        <f>ROUND(D60*0.02,-2)-159000+30</f>
        <v>710530</v>
      </c>
      <c r="E63" s="90">
        <f>ROUND(E60*0.02,-2)</f>
        <v>311700</v>
      </c>
      <c r="F63" s="91">
        <f>ROUND(F60*0.02,-2)</f>
        <v>811200</v>
      </c>
      <c r="G63" s="91">
        <f>ROUND(G60*0.02,-2)</f>
        <v>33700</v>
      </c>
      <c r="H63" s="91"/>
      <c r="L63" s="22"/>
      <c r="M63" s="23"/>
    </row>
    <row r="64" spans="1:23" x14ac:dyDescent="0.25">
      <c r="A64" s="237"/>
      <c r="B64" s="8" t="s">
        <v>22</v>
      </c>
      <c r="C64" s="88">
        <f t="shared" ref="C64:C71" si="7">SUM(D64:H64)</f>
        <v>1259200</v>
      </c>
      <c r="D64" s="89"/>
      <c r="E64" s="90">
        <f>8945800-7686600</f>
        <v>1259200</v>
      </c>
      <c r="F64" s="91"/>
      <c r="G64" s="91"/>
      <c r="H64" s="91"/>
      <c r="L64" s="22"/>
      <c r="M64" s="23"/>
    </row>
    <row r="65" spans="2:23" x14ac:dyDescent="0.25">
      <c r="B65" s="10" t="s">
        <v>23</v>
      </c>
      <c r="C65" s="88">
        <f t="shared" si="7"/>
        <v>433500</v>
      </c>
      <c r="D65" s="89">
        <f>253800-57400</f>
        <v>196400</v>
      </c>
      <c r="E65" s="90">
        <v>110200</v>
      </c>
      <c r="F65" s="92">
        <v>126900</v>
      </c>
      <c r="G65" s="92"/>
      <c r="H65" s="92"/>
      <c r="L65" s="22"/>
      <c r="M65" s="23"/>
    </row>
    <row r="66" spans="2:23" x14ac:dyDescent="0.25">
      <c r="B66" s="10" t="s">
        <v>24</v>
      </c>
      <c r="C66" s="88">
        <f t="shared" si="7"/>
        <v>0</v>
      </c>
      <c r="D66" s="89"/>
      <c r="E66" s="90"/>
      <c r="F66" s="91"/>
      <c r="G66" s="91"/>
      <c r="H66" s="91"/>
      <c r="L66" s="22"/>
      <c r="M66" s="23"/>
    </row>
    <row r="67" spans="2:23" x14ac:dyDescent="0.25">
      <c r="B67" s="10" t="s">
        <v>25</v>
      </c>
      <c r="C67" s="88">
        <f t="shared" si="7"/>
        <v>795670</v>
      </c>
      <c r="D67" s="89">
        <f>(88714300-86756400)*0.3</f>
        <v>587370</v>
      </c>
      <c r="E67" s="90">
        <v>-693000</v>
      </c>
      <c r="F67" s="91">
        <v>879800</v>
      </c>
      <c r="G67" s="91">
        <v>21500</v>
      </c>
      <c r="H67" s="91"/>
      <c r="L67" s="22"/>
      <c r="M67" s="23"/>
    </row>
    <row r="68" spans="2:23" x14ac:dyDescent="0.25">
      <c r="B68" s="10" t="s">
        <v>26</v>
      </c>
      <c r="C68" s="88">
        <f t="shared" si="7"/>
        <v>-993000</v>
      </c>
      <c r="D68" s="89"/>
      <c r="E68" s="90"/>
      <c r="F68" s="91">
        <f>3497100+2024600-3992900-2521800</f>
        <v>-993000</v>
      </c>
      <c r="G68" s="91"/>
      <c r="H68" s="91"/>
      <c r="L68" s="22"/>
      <c r="M68" s="23"/>
    </row>
    <row r="69" spans="2:23" x14ac:dyDescent="0.25">
      <c r="B69" s="87" t="s">
        <v>27</v>
      </c>
      <c r="C69" s="88">
        <f t="shared" si="7"/>
        <v>0</v>
      </c>
      <c r="D69" s="89"/>
      <c r="E69" s="90"/>
      <c r="F69" s="92"/>
      <c r="G69" s="92"/>
      <c r="H69" s="92"/>
      <c r="L69" s="22"/>
      <c r="M69" s="23"/>
    </row>
    <row r="70" spans="2:23" x14ac:dyDescent="0.25">
      <c r="B70" s="87" t="s">
        <v>27</v>
      </c>
      <c r="C70" s="88">
        <f t="shared" si="7"/>
        <v>0</v>
      </c>
      <c r="D70" s="89"/>
      <c r="E70" s="90"/>
      <c r="F70" s="92"/>
      <c r="G70" s="92"/>
      <c r="H70" s="92"/>
      <c r="L70" s="22"/>
      <c r="M70" s="23"/>
    </row>
    <row r="71" spans="2:23" x14ac:dyDescent="0.25">
      <c r="B71" s="87" t="s">
        <v>27</v>
      </c>
      <c r="C71" s="88">
        <f t="shared" si="7"/>
        <v>0</v>
      </c>
      <c r="D71" s="89"/>
      <c r="E71" s="90"/>
      <c r="F71" s="92"/>
      <c r="G71" s="92"/>
      <c r="H71" s="92"/>
      <c r="L71" s="22"/>
      <c r="M71" s="23"/>
    </row>
    <row r="72" spans="2:23" x14ac:dyDescent="0.25">
      <c r="B72" s="11" t="s">
        <v>156</v>
      </c>
      <c r="C72" s="6">
        <f t="shared" ref="C72:H72" si="8">SUM(C60:C71)</f>
        <v>110058000</v>
      </c>
      <c r="D72" s="51">
        <f t="shared" si="8"/>
        <v>44969800</v>
      </c>
      <c r="E72" s="51">
        <f t="shared" si="8"/>
        <v>16572200</v>
      </c>
      <c r="F72" s="51">
        <f t="shared" si="8"/>
        <v>45680700</v>
      </c>
      <c r="G72" s="51">
        <f t="shared" si="8"/>
        <v>1908900</v>
      </c>
      <c r="H72" s="51">
        <f t="shared" si="8"/>
        <v>926400</v>
      </c>
      <c r="L72" s="22"/>
      <c r="M72" s="23"/>
    </row>
    <row r="73" spans="2:23" x14ac:dyDescent="0.25">
      <c r="C73" s="14"/>
      <c r="D73" s="100"/>
      <c r="E73" s="100"/>
      <c r="F73" s="100"/>
      <c r="G73" s="100"/>
      <c r="H73" s="100"/>
      <c r="J73" s="14"/>
      <c r="K73" s="14"/>
      <c r="L73" s="14"/>
      <c r="M73" s="14"/>
    </row>
    <row r="74" spans="2:23" x14ac:dyDescent="0.25">
      <c r="B74" s="29" t="s">
        <v>164</v>
      </c>
      <c r="C74" s="63">
        <f>+C72-C60</f>
        <v>7786800</v>
      </c>
      <c r="D74" s="63">
        <f t="shared" ref="D74:E74" si="9">+D72-D60</f>
        <v>1494300</v>
      </c>
      <c r="E74" s="63">
        <f t="shared" si="9"/>
        <v>988100</v>
      </c>
      <c r="F74" s="19">
        <f>+F72-F60</f>
        <v>5119500</v>
      </c>
      <c r="G74" s="19">
        <f>+G72-G60</f>
        <v>225700</v>
      </c>
      <c r="H74" s="19">
        <f>+H72-H60</f>
        <v>-40800</v>
      </c>
      <c r="L74" s="22"/>
      <c r="M74" s="23"/>
    </row>
    <row r="75" spans="2:23" x14ac:dyDescent="0.25">
      <c r="B75" s="52" t="s">
        <v>163</v>
      </c>
      <c r="C75" s="53">
        <f>(C74)/C60</f>
        <v>7.6138737005139276E-2</v>
      </c>
      <c r="D75" s="53">
        <f t="shared" ref="D75:H75" si="10">(D74)/D60</f>
        <v>3.43710825637428E-2</v>
      </c>
      <c r="E75" s="53">
        <f t="shared" si="10"/>
        <v>6.3404367271770581E-2</v>
      </c>
      <c r="F75" s="53">
        <f t="shared" si="10"/>
        <v>0.12621667997988226</v>
      </c>
      <c r="G75" s="53">
        <f t="shared" si="10"/>
        <v>0.13408982889733839</v>
      </c>
      <c r="H75" s="53">
        <f t="shared" si="10"/>
        <v>-4.2183622828784122E-2</v>
      </c>
      <c r="L75" s="22"/>
      <c r="M75" s="23"/>
    </row>
    <row r="76" spans="2:23" x14ac:dyDescent="0.25">
      <c r="B76" s="115"/>
      <c r="C76" s="58"/>
      <c r="D76" s="15"/>
      <c r="E76" s="15"/>
      <c r="K76" s="23"/>
      <c r="L76" s="23"/>
      <c r="M76" s="14"/>
      <c r="N76" s="24"/>
      <c r="V76" s="22"/>
      <c r="W76" s="23"/>
    </row>
    <row r="77" spans="2:23" ht="19.899999999999999" customHeight="1" x14ac:dyDescent="0.3">
      <c r="B77" s="97" t="s">
        <v>162</v>
      </c>
      <c r="C77" s="4"/>
      <c r="D77" s="15"/>
      <c r="E77" s="15"/>
      <c r="V77" s="22"/>
      <c r="W77" s="23"/>
    </row>
    <row r="78" spans="2:23" ht="18.75" x14ac:dyDescent="0.3">
      <c r="B78" s="97"/>
      <c r="C78" s="4"/>
      <c r="D78" s="15"/>
      <c r="E78" s="15"/>
      <c r="V78" s="22"/>
      <c r="W78" s="23"/>
    </row>
    <row r="79" spans="2:23" x14ac:dyDescent="0.25">
      <c r="B79" s="99" t="s">
        <v>28</v>
      </c>
      <c r="C79" s="99" t="s">
        <v>29</v>
      </c>
      <c r="D79" s="99" t="s">
        <v>30</v>
      </c>
      <c r="E79" s="59"/>
      <c r="V79" s="22"/>
      <c r="W79" s="23"/>
    </row>
    <row r="80" spans="2:23" x14ac:dyDescent="0.25">
      <c r="B80" s="5" t="s">
        <v>161</v>
      </c>
      <c r="C80" s="88">
        <v>110282983</v>
      </c>
      <c r="D80" s="7"/>
      <c r="E80" s="58"/>
      <c r="V80" s="22"/>
      <c r="W80" s="23"/>
    </row>
    <row r="81" spans="2:22" x14ac:dyDescent="0.25">
      <c r="B81" s="8" t="s">
        <v>31</v>
      </c>
      <c r="C81" s="93"/>
      <c r="D81" s="9">
        <f>+C81/C$31</f>
        <v>0</v>
      </c>
      <c r="E81" s="60"/>
      <c r="V81" s="22"/>
    </row>
    <row r="82" spans="2:22" x14ac:dyDescent="0.25">
      <c r="B82" s="10" t="s">
        <v>32</v>
      </c>
      <c r="C82" s="93">
        <v>800000</v>
      </c>
      <c r="D82" s="9">
        <f t="shared" ref="D82:D95" si="11">+C82/C$31</f>
        <v>8.0185348432902648E-3</v>
      </c>
      <c r="E82" s="60"/>
      <c r="V82" s="22"/>
    </row>
    <row r="83" spans="2:22" x14ac:dyDescent="0.25">
      <c r="B83" s="10" t="s">
        <v>33</v>
      </c>
      <c r="C83" s="93">
        <f>42387300+11602700-40448300-11554000</f>
        <v>1987700</v>
      </c>
      <c r="D83" s="9">
        <f t="shared" si="11"/>
        <v>1.9923052135010076E-2</v>
      </c>
      <c r="E83" s="60"/>
      <c r="V83" s="22"/>
    </row>
    <row r="84" spans="2:22" x14ac:dyDescent="0.25">
      <c r="B84" s="10" t="s">
        <v>34</v>
      </c>
      <c r="C84" s="93">
        <f>13375100+3661200-12191200-3645300</f>
        <v>1199800</v>
      </c>
      <c r="D84" s="9">
        <f t="shared" si="11"/>
        <v>1.2025797631224576E-2</v>
      </c>
      <c r="E84" s="60"/>
      <c r="V84" s="22"/>
    </row>
    <row r="85" spans="2:22" x14ac:dyDescent="0.25">
      <c r="B85" s="10" t="s">
        <v>35</v>
      </c>
      <c r="C85" s="93">
        <v>-1700000</v>
      </c>
      <c r="D85" s="9">
        <f t="shared" si="11"/>
        <v>-1.7039386541991813E-2</v>
      </c>
      <c r="E85" s="60"/>
      <c r="V85" s="22"/>
    </row>
    <row r="86" spans="2:22" x14ac:dyDescent="0.25">
      <c r="B86" s="10" t="s">
        <v>36</v>
      </c>
      <c r="C86" s="93">
        <v>-460000</v>
      </c>
      <c r="D86" s="9">
        <f t="shared" si="11"/>
        <v>-4.6106575348919022E-3</v>
      </c>
      <c r="E86" s="60"/>
      <c r="V86" s="22"/>
    </row>
    <row r="87" spans="2:22" x14ac:dyDescent="0.25">
      <c r="B87" s="10" t="s">
        <v>37</v>
      </c>
      <c r="C87" s="93">
        <v>1000000</v>
      </c>
      <c r="D87" s="9">
        <f t="shared" si="11"/>
        <v>1.0023168554112831E-2</v>
      </c>
      <c r="E87" s="60"/>
    </row>
    <row r="88" spans="2:22" x14ac:dyDescent="0.25">
      <c r="B88" s="10" t="s">
        <v>38</v>
      </c>
      <c r="C88" s="93">
        <f>6054000-5631000</f>
        <v>423000</v>
      </c>
      <c r="D88" s="9">
        <f t="shared" si="11"/>
        <v>4.239800298389728E-3</v>
      </c>
      <c r="E88" s="60"/>
    </row>
    <row r="89" spans="2:22" x14ac:dyDescent="0.25">
      <c r="B89" s="10" t="s">
        <v>39</v>
      </c>
      <c r="C89" s="93">
        <f>-1659100+425000</f>
        <v>-1234100</v>
      </c>
      <c r="D89" s="9">
        <f t="shared" si="11"/>
        <v>-1.2369592312630646E-2</v>
      </c>
      <c r="E89" s="60"/>
    </row>
    <row r="90" spans="2:22" x14ac:dyDescent="0.25">
      <c r="B90" s="87" t="s">
        <v>181</v>
      </c>
      <c r="C90" s="93">
        <v>300017</v>
      </c>
      <c r="D90" s="9">
        <f t="shared" ref="D90:D91" si="12">+C90/C$31</f>
        <v>3.0071209600992695E-3</v>
      </c>
      <c r="E90" s="60"/>
    </row>
    <row r="91" spans="2:22" x14ac:dyDescent="0.25">
      <c r="B91" s="87" t="s">
        <v>182</v>
      </c>
      <c r="C91" s="93">
        <f>441200-69200</f>
        <v>372000</v>
      </c>
      <c r="D91" s="9">
        <f t="shared" si="12"/>
        <v>3.7286187021299735E-3</v>
      </c>
      <c r="E91" s="60"/>
    </row>
    <row r="92" spans="2:22" x14ac:dyDescent="0.25">
      <c r="B92" s="87" t="s">
        <v>183</v>
      </c>
      <c r="C92" s="93">
        <v>394000</v>
      </c>
      <c r="D92" s="9">
        <f t="shared" si="11"/>
        <v>3.9491284103204561E-3</v>
      </c>
      <c r="E92" s="60"/>
    </row>
    <row r="93" spans="2:22" x14ac:dyDescent="0.25">
      <c r="B93" s="87" t="s">
        <v>184</v>
      </c>
      <c r="C93" s="93">
        <v>473600</v>
      </c>
      <c r="D93" s="9">
        <f t="shared" ref="D93" si="13">+C93/C$31</f>
        <v>4.7469726272278369E-3</v>
      </c>
      <c r="E93" s="60"/>
    </row>
    <row r="94" spans="2:22" x14ac:dyDescent="0.25">
      <c r="B94" s="87" t="s">
        <v>230</v>
      </c>
      <c r="C94" s="93">
        <f>4084400-3750400</f>
        <v>334000</v>
      </c>
      <c r="D94" s="9"/>
      <c r="E94" s="60"/>
    </row>
    <row r="95" spans="2:22" x14ac:dyDescent="0.25">
      <c r="B95" s="87"/>
      <c r="C95" s="93"/>
      <c r="D95" s="9">
        <f t="shared" si="11"/>
        <v>0</v>
      </c>
      <c r="E95" s="60"/>
    </row>
    <row r="96" spans="2:22" x14ac:dyDescent="0.25">
      <c r="B96" s="11" t="s">
        <v>156</v>
      </c>
      <c r="C96" s="12">
        <f>SUM(C80:C95)</f>
        <v>114173000</v>
      </c>
      <c r="D96" s="13">
        <f>SUM(D81:D95)</f>
        <v>3.5642557772290653E-2</v>
      </c>
      <c r="E96" s="60"/>
    </row>
    <row r="97" spans="2:16" x14ac:dyDescent="0.25">
      <c r="C97" s="14">
        <f>+C48</f>
        <v>114173000.42</v>
      </c>
      <c r="E97" s="55"/>
      <c r="F97" s="14"/>
    </row>
    <row r="98" spans="2:16" x14ac:dyDescent="0.25">
      <c r="B98" s="29" t="s">
        <v>164</v>
      </c>
      <c r="C98" s="63">
        <f>+C96-C80</f>
        <v>3890017</v>
      </c>
      <c r="E98" s="55"/>
    </row>
    <row r="99" spans="2:16" x14ac:dyDescent="0.25">
      <c r="B99" s="52" t="s">
        <v>163</v>
      </c>
      <c r="C99" s="53">
        <f>(C98)/C80</f>
        <v>3.5273048426700607E-2</v>
      </c>
      <c r="E99" s="55"/>
    </row>
    <row r="100" spans="2:16" x14ac:dyDescent="0.25">
      <c r="B100" s="115"/>
      <c r="C100" s="58"/>
      <c r="D100" s="58"/>
      <c r="E100" s="58"/>
      <c r="F100" s="58"/>
      <c r="G100" s="58"/>
      <c r="H100" s="58"/>
      <c r="O100" s="22"/>
      <c r="P100" s="23"/>
    </row>
  </sheetData>
  <mergeCells count="7">
    <mergeCell ref="A61:A64"/>
    <mergeCell ref="B2:O2"/>
    <mergeCell ref="B3:O3"/>
    <mergeCell ref="B6:O6"/>
    <mergeCell ref="B4:O4"/>
    <mergeCell ref="B54:O54"/>
    <mergeCell ref="A12:A19"/>
  </mergeCells>
  <pageMargins left="0.7" right="0.7" top="0.5" bottom="0.5" header="0.3" footer="0.3"/>
  <pageSetup scale="73" orientation="landscape" r:id="rId1"/>
  <headerFooter>
    <oddFooter>&amp;L&amp;D&amp;R&amp;F,&amp;A</oddFooter>
  </headerFooter>
  <rowBreaks count="1" manualBreakCount="1">
    <brk id="53"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2:L87"/>
  <sheetViews>
    <sheetView showGridLines="0" topLeftCell="B43" zoomScale="90" zoomScaleNormal="90" workbookViewId="0">
      <selection activeCell="B1" sqref="B1:I15"/>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61" customWidth="1"/>
    <col min="9" max="11" width="17.7109375" style="1" customWidth="1"/>
    <col min="12" max="12" width="14" style="1" bestFit="1" customWidth="1"/>
    <col min="13" max="16384" width="8.85546875" style="1"/>
  </cols>
  <sheetData>
    <row r="2" spans="2:9" x14ac:dyDescent="0.25">
      <c r="B2" s="238" t="s">
        <v>43</v>
      </c>
      <c r="C2" s="238"/>
      <c r="D2" s="238"/>
      <c r="E2" s="238"/>
      <c r="F2" s="238"/>
      <c r="G2" s="238"/>
      <c r="H2" s="238"/>
      <c r="I2" s="238"/>
    </row>
    <row r="3" spans="2:9" ht="18.75" x14ac:dyDescent="0.3">
      <c r="B3" s="250" t="s">
        <v>9</v>
      </c>
      <c r="C3" s="251"/>
      <c r="D3" s="251"/>
      <c r="E3" s="251"/>
      <c r="F3" s="251"/>
      <c r="G3" s="251"/>
      <c r="H3" s="251"/>
      <c r="I3" s="252"/>
    </row>
    <row r="4" spans="2:9" ht="18.75" x14ac:dyDescent="0.3">
      <c r="B4" s="253" t="s">
        <v>44</v>
      </c>
      <c r="C4" s="254"/>
      <c r="D4" s="254"/>
      <c r="E4" s="254"/>
      <c r="F4" s="254"/>
      <c r="G4" s="254"/>
      <c r="H4" s="254"/>
      <c r="I4" s="255"/>
    </row>
    <row r="5" spans="2:9" ht="34.9" customHeight="1" x14ac:dyDescent="0.25">
      <c r="B5" s="249" t="s">
        <v>45</v>
      </c>
      <c r="C5" s="249"/>
      <c r="D5" s="249"/>
      <c r="E5" s="249"/>
      <c r="F5" s="249"/>
      <c r="G5" s="249"/>
      <c r="H5" s="116"/>
    </row>
    <row r="6" spans="2:9" x14ac:dyDescent="0.25">
      <c r="B6" s="117"/>
      <c r="C6" s="117"/>
      <c r="D6" s="117"/>
      <c r="E6" s="117"/>
      <c r="F6" s="117"/>
      <c r="G6" s="117"/>
      <c r="H6" s="116"/>
    </row>
    <row r="7" spans="2:9" ht="29.45" customHeight="1" x14ac:dyDescent="0.25">
      <c r="B7" s="259" t="s">
        <v>179</v>
      </c>
      <c r="C7" s="260"/>
      <c r="D7" s="260"/>
      <c r="E7" s="260"/>
      <c r="F7" s="261"/>
      <c r="H7" s="1"/>
    </row>
    <row r="8" spans="2:9" x14ac:dyDescent="0.25">
      <c r="B8" s="262" t="s">
        <v>46</v>
      </c>
      <c r="C8" s="263"/>
      <c r="D8" s="263"/>
      <c r="E8" s="263"/>
      <c r="F8" s="264"/>
      <c r="H8" s="1"/>
    </row>
    <row r="9" spans="2:9" ht="42.75" customHeight="1" x14ac:dyDescent="0.25">
      <c r="B9" s="3" t="s">
        <v>47</v>
      </c>
      <c r="C9" s="47" t="s">
        <v>48</v>
      </c>
      <c r="D9" s="47" t="s">
        <v>49</v>
      </c>
      <c r="E9" s="47" t="s">
        <v>165</v>
      </c>
      <c r="F9" s="47" t="s">
        <v>166</v>
      </c>
      <c r="H9" s="1"/>
    </row>
    <row r="10" spans="2:9" x14ac:dyDescent="0.25">
      <c r="B10" s="3"/>
      <c r="C10" s="3"/>
      <c r="D10" s="47"/>
      <c r="E10" s="3"/>
      <c r="F10" s="47"/>
      <c r="H10" s="1"/>
    </row>
    <row r="11" spans="2:9" x14ac:dyDescent="0.25">
      <c r="B11" s="3" t="s">
        <v>50</v>
      </c>
      <c r="C11" s="137">
        <f>0.034*(34570600+1782700)</f>
        <v>1236012.2000000002</v>
      </c>
      <c r="D11" s="48">
        <v>3.4000000000000002E-2</v>
      </c>
      <c r="E11" s="137">
        <f>0.122*(41997900+1413100)</f>
        <v>5296142</v>
      </c>
      <c r="F11" s="48">
        <v>0.122</v>
      </c>
      <c r="H11" s="1"/>
    </row>
    <row r="12" spans="2:9" x14ac:dyDescent="0.25">
      <c r="B12" s="3" t="s">
        <v>51</v>
      </c>
      <c r="C12" s="137">
        <f>0.034*142497200</f>
        <v>4844904.8000000007</v>
      </c>
      <c r="D12" s="48">
        <v>3.4000000000000002E-2</v>
      </c>
      <c r="E12" s="137">
        <f>0.122*140644800</f>
        <v>17158665.599999998</v>
      </c>
      <c r="F12" s="48">
        <v>0.122</v>
      </c>
      <c r="H12" s="1"/>
    </row>
    <row r="13" spans="2:9" x14ac:dyDescent="0.25">
      <c r="B13" s="3" t="s">
        <v>52</v>
      </c>
      <c r="C13" s="137">
        <v>0</v>
      </c>
      <c r="D13" s="48">
        <v>0</v>
      </c>
      <c r="E13" s="137">
        <v>0</v>
      </c>
      <c r="F13" s="48">
        <v>0</v>
      </c>
      <c r="H13" s="1"/>
    </row>
    <row r="14" spans="2:9" x14ac:dyDescent="0.25">
      <c r="B14" s="3" t="s">
        <v>27</v>
      </c>
      <c r="C14" s="137">
        <v>0</v>
      </c>
      <c r="D14" s="48">
        <v>0</v>
      </c>
      <c r="E14" s="137">
        <v>0</v>
      </c>
      <c r="F14" s="48">
        <v>0</v>
      </c>
      <c r="H14" s="1"/>
    </row>
    <row r="15" spans="2:9" ht="30" x14ac:dyDescent="0.25">
      <c r="B15" s="57" t="s">
        <v>53</v>
      </c>
      <c r="C15" s="138">
        <f>SUM(C11:C14)</f>
        <v>6080917.0000000009</v>
      </c>
      <c r="D15" s="186">
        <f>C15/191972700</f>
        <v>3.1675946631995078E-2</v>
      </c>
      <c r="E15" s="138">
        <f>SUM(E11:E14)</f>
        <v>22454807.599999998</v>
      </c>
      <c r="F15" s="186">
        <f>E15/209236000</f>
        <v>0.10731808866543041</v>
      </c>
      <c r="H15" s="1"/>
    </row>
    <row r="16" spans="2:9" s="61" customFormat="1" x14ac:dyDescent="0.25">
      <c r="B16" s="118"/>
      <c r="C16" s="62"/>
      <c r="D16" s="62"/>
      <c r="E16" s="62"/>
      <c r="F16" s="62"/>
      <c r="G16" s="62"/>
      <c r="H16" s="62"/>
    </row>
    <row r="17" spans="2:11" s="61" customFormat="1" hidden="1" x14ac:dyDescent="0.25">
      <c r="B17" s="259" t="s">
        <v>189</v>
      </c>
      <c r="C17" s="260"/>
      <c r="D17" s="260"/>
      <c r="E17" s="260"/>
      <c r="F17" s="261"/>
      <c r="G17" s="187"/>
      <c r="H17" s="187"/>
      <c r="I17" s="110"/>
      <c r="J17" s="110"/>
      <c r="K17" s="110"/>
    </row>
    <row r="18" spans="2:11" s="61" customFormat="1" hidden="1" x14ac:dyDescent="0.25">
      <c r="B18" s="262" t="s">
        <v>199</v>
      </c>
      <c r="C18" s="263"/>
      <c r="D18" s="263"/>
      <c r="E18" s="263"/>
      <c r="F18" s="264"/>
      <c r="G18" s="187"/>
      <c r="H18" s="187"/>
      <c r="I18" s="110"/>
      <c r="J18" s="110"/>
      <c r="K18" s="110"/>
    </row>
    <row r="19" spans="2:11" s="61" customFormat="1" hidden="1" x14ac:dyDescent="0.25">
      <c r="B19" s="3" t="s">
        <v>47</v>
      </c>
      <c r="C19" s="47" t="s">
        <v>190</v>
      </c>
      <c r="D19" s="47" t="s">
        <v>191</v>
      </c>
      <c r="E19" s="47" t="s">
        <v>192</v>
      </c>
      <c r="F19" s="47" t="s">
        <v>193</v>
      </c>
      <c r="G19" s="187"/>
      <c r="H19" s="187"/>
      <c r="I19" s="110"/>
      <c r="J19" s="110"/>
      <c r="K19" s="110"/>
    </row>
    <row r="20" spans="2:11" s="61" customFormat="1" hidden="1" x14ac:dyDescent="0.25">
      <c r="B20" s="3"/>
      <c r="C20" s="3"/>
      <c r="D20" s="47"/>
      <c r="E20" s="3"/>
      <c r="F20" s="47"/>
      <c r="G20" s="187"/>
      <c r="H20" s="187"/>
      <c r="I20" s="110"/>
      <c r="J20" s="110"/>
      <c r="K20" s="110"/>
    </row>
    <row r="21" spans="2:11" s="61" customFormat="1" hidden="1" x14ac:dyDescent="0.25">
      <c r="B21" s="3" t="s">
        <v>50</v>
      </c>
      <c r="C21" s="137">
        <v>0</v>
      </c>
      <c r="D21" s="137">
        <v>0</v>
      </c>
      <c r="E21" s="137">
        <v>0</v>
      </c>
      <c r="F21" s="137">
        <v>0</v>
      </c>
      <c r="G21" s="187"/>
      <c r="H21" s="187"/>
      <c r="I21" s="110"/>
      <c r="J21" s="110"/>
      <c r="K21" s="110"/>
    </row>
    <row r="22" spans="2:11" s="61" customFormat="1" hidden="1" x14ac:dyDescent="0.25">
      <c r="B22" s="3" t="s">
        <v>51</v>
      </c>
      <c r="C22" s="137">
        <v>0</v>
      </c>
      <c r="D22" s="137">
        <v>0</v>
      </c>
      <c r="E22" s="137">
        <v>0</v>
      </c>
      <c r="F22" s="137">
        <v>0</v>
      </c>
      <c r="G22" s="187"/>
      <c r="H22" s="187"/>
      <c r="I22" s="110"/>
      <c r="J22" s="110"/>
      <c r="K22" s="110"/>
    </row>
    <row r="23" spans="2:11" s="61" customFormat="1" hidden="1" x14ac:dyDescent="0.25">
      <c r="B23" s="3" t="s">
        <v>52</v>
      </c>
      <c r="C23" s="137">
        <v>0</v>
      </c>
      <c r="D23" s="137">
        <v>0</v>
      </c>
      <c r="E23" s="137">
        <v>0</v>
      </c>
      <c r="F23" s="137">
        <v>0</v>
      </c>
      <c r="G23" s="187"/>
      <c r="H23" s="187"/>
      <c r="I23" s="110"/>
      <c r="J23" s="110"/>
      <c r="K23" s="110"/>
    </row>
    <row r="24" spans="2:11" s="61" customFormat="1" hidden="1" x14ac:dyDescent="0.25">
      <c r="B24" s="3" t="s">
        <v>27</v>
      </c>
      <c r="C24" s="137">
        <v>0</v>
      </c>
      <c r="D24" s="137">
        <v>0</v>
      </c>
      <c r="E24" s="137">
        <v>0</v>
      </c>
      <c r="F24" s="137">
        <v>0</v>
      </c>
      <c r="G24" s="187"/>
      <c r="H24" s="187"/>
      <c r="I24" s="110"/>
      <c r="J24" s="110"/>
      <c r="K24" s="110"/>
    </row>
    <row r="25" spans="2:11" s="61" customFormat="1" ht="30" hidden="1" x14ac:dyDescent="0.25">
      <c r="B25" s="57" t="s">
        <v>53</v>
      </c>
      <c r="C25" s="138">
        <f>SUM(C21:C24)</f>
        <v>0</v>
      </c>
      <c r="D25" s="138">
        <v>0</v>
      </c>
      <c r="E25" s="138">
        <f>SUM(E21:E24)</f>
        <v>0</v>
      </c>
      <c r="F25" s="138">
        <v>0</v>
      </c>
      <c r="G25" s="187"/>
      <c r="H25" s="187"/>
      <c r="I25" s="110"/>
      <c r="J25" s="110"/>
      <c r="K25" s="110"/>
    </row>
    <row r="26" spans="2:11" s="61" customFormat="1" hidden="1" x14ac:dyDescent="0.25">
      <c r="B26" s="118"/>
      <c r="C26" s="62"/>
      <c r="D26" s="62"/>
      <c r="E26" s="62"/>
      <c r="F26" s="62"/>
      <c r="G26" s="187"/>
      <c r="H26" s="187"/>
      <c r="I26" s="110"/>
      <c r="J26" s="110"/>
      <c r="K26" s="110"/>
    </row>
    <row r="27" spans="2:11" s="61" customFormat="1" hidden="1" x14ac:dyDescent="0.25">
      <c r="B27" s="259" t="s">
        <v>194</v>
      </c>
      <c r="C27" s="260"/>
      <c r="D27" s="260"/>
      <c r="E27" s="260"/>
      <c r="F27" s="261"/>
      <c r="G27" s="187"/>
      <c r="H27" s="187"/>
      <c r="I27" s="110"/>
      <c r="J27" s="110"/>
      <c r="K27" s="110"/>
    </row>
    <row r="28" spans="2:11" s="61" customFormat="1" hidden="1" x14ac:dyDescent="0.25">
      <c r="B28" s="262" t="s">
        <v>200</v>
      </c>
      <c r="C28" s="263"/>
      <c r="D28" s="263"/>
      <c r="E28" s="263"/>
      <c r="F28" s="264"/>
      <c r="G28" s="187"/>
      <c r="H28" s="187"/>
      <c r="I28" s="110"/>
      <c r="J28" s="110"/>
      <c r="K28" s="110"/>
    </row>
    <row r="29" spans="2:11" s="61" customFormat="1" hidden="1" x14ac:dyDescent="0.25">
      <c r="B29" s="3" t="s">
        <v>47</v>
      </c>
      <c r="C29" s="47" t="s">
        <v>195</v>
      </c>
      <c r="D29" s="47" t="s">
        <v>196</v>
      </c>
      <c r="E29" s="47" t="s">
        <v>197</v>
      </c>
      <c r="F29" s="47" t="s">
        <v>198</v>
      </c>
      <c r="G29" s="187"/>
      <c r="H29" s="187"/>
      <c r="I29" s="110"/>
      <c r="J29" s="110"/>
      <c r="K29" s="110"/>
    </row>
    <row r="30" spans="2:11" s="61" customFormat="1" hidden="1" x14ac:dyDescent="0.25">
      <c r="B30" s="3"/>
      <c r="C30" s="3"/>
      <c r="D30" s="47"/>
      <c r="E30" s="3"/>
      <c r="F30" s="47"/>
      <c r="G30" s="187"/>
      <c r="H30" s="187"/>
      <c r="I30" s="110"/>
      <c r="J30" s="110"/>
      <c r="K30" s="110"/>
    </row>
    <row r="31" spans="2:11" s="61" customFormat="1" hidden="1" x14ac:dyDescent="0.25">
      <c r="B31" s="3" t="s">
        <v>50</v>
      </c>
      <c r="C31" s="137">
        <v>0</v>
      </c>
      <c r="D31" s="137">
        <v>0</v>
      </c>
      <c r="E31" s="137">
        <v>0</v>
      </c>
      <c r="F31" s="137">
        <v>0</v>
      </c>
      <c r="G31" s="187"/>
      <c r="H31" s="187"/>
      <c r="I31" s="110"/>
      <c r="J31" s="110"/>
      <c r="K31" s="110"/>
    </row>
    <row r="32" spans="2:11" s="61" customFormat="1" hidden="1" x14ac:dyDescent="0.25">
      <c r="B32" s="3" t="s">
        <v>51</v>
      </c>
      <c r="C32" s="137">
        <v>0</v>
      </c>
      <c r="D32" s="137">
        <v>0</v>
      </c>
      <c r="E32" s="137">
        <v>0</v>
      </c>
      <c r="F32" s="137">
        <v>0</v>
      </c>
      <c r="G32" s="187"/>
      <c r="H32" s="187"/>
      <c r="I32" s="110"/>
      <c r="J32" s="110"/>
      <c r="K32" s="110"/>
    </row>
    <row r="33" spans="2:11" s="61" customFormat="1" hidden="1" x14ac:dyDescent="0.25">
      <c r="B33" s="3" t="s">
        <v>52</v>
      </c>
      <c r="C33" s="137">
        <v>0</v>
      </c>
      <c r="D33" s="137">
        <v>0</v>
      </c>
      <c r="E33" s="137">
        <v>0</v>
      </c>
      <c r="F33" s="137">
        <v>0</v>
      </c>
      <c r="G33" s="187"/>
      <c r="H33" s="187"/>
      <c r="I33" s="110"/>
      <c r="J33" s="110"/>
      <c r="K33" s="110"/>
    </row>
    <row r="34" spans="2:11" s="61" customFormat="1" hidden="1" x14ac:dyDescent="0.25">
      <c r="B34" s="3" t="s">
        <v>27</v>
      </c>
      <c r="C34" s="137">
        <v>0</v>
      </c>
      <c r="D34" s="137">
        <v>0</v>
      </c>
      <c r="E34" s="137">
        <v>0</v>
      </c>
      <c r="F34" s="137">
        <v>0</v>
      </c>
      <c r="G34" s="187"/>
      <c r="H34" s="187"/>
      <c r="I34" s="110"/>
      <c r="J34" s="110"/>
      <c r="K34" s="110"/>
    </row>
    <row r="35" spans="2:11" s="61" customFormat="1" ht="30" hidden="1" x14ac:dyDescent="0.25">
      <c r="B35" s="57" t="s">
        <v>53</v>
      </c>
      <c r="C35" s="138">
        <f>SUM(C31:C34)</f>
        <v>0</v>
      </c>
      <c r="D35" s="138">
        <v>0</v>
      </c>
      <c r="E35" s="138">
        <f>SUM(E31:E34)</f>
        <v>0</v>
      </c>
      <c r="F35" s="138">
        <v>0</v>
      </c>
      <c r="G35" s="187"/>
      <c r="H35" s="187"/>
      <c r="I35" s="110"/>
      <c r="J35" s="110"/>
      <c r="K35" s="110"/>
    </row>
    <row r="36" spans="2:11" s="61" customFormat="1" x14ac:dyDescent="0.25">
      <c r="B36" s="118"/>
      <c r="C36" s="62"/>
      <c r="D36" s="62"/>
      <c r="E36" s="62"/>
      <c r="F36" s="62"/>
      <c r="G36" s="62"/>
      <c r="H36" s="62"/>
    </row>
    <row r="37" spans="2:11" ht="45" customHeight="1" x14ac:dyDescent="0.25">
      <c r="B37" s="256" t="s">
        <v>54</v>
      </c>
      <c r="C37" s="257"/>
      <c r="D37" s="257"/>
      <c r="E37" s="257"/>
      <c r="F37" s="257"/>
      <c r="G37" s="257"/>
      <c r="H37" s="257"/>
      <c r="I37" s="257"/>
      <c r="J37" s="258"/>
    </row>
    <row r="38" spans="2:11" x14ac:dyDescent="0.25">
      <c r="B38" s="267" t="s">
        <v>55</v>
      </c>
      <c r="C38" s="268"/>
      <c r="D38" s="268"/>
      <c r="E38" s="268"/>
      <c r="F38" s="268"/>
      <c r="G38" s="268"/>
      <c r="H38" s="268"/>
      <c r="I38" s="268"/>
      <c r="J38" s="269"/>
    </row>
    <row r="39" spans="2:11" ht="42.75" customHeight="1" x14ac:dyDescent="0.25">
      <c r="B39" s="3" t="s">
        <v>47</v>
      </c>
      <c r="C39" s="47" t="s">
        <v>167</v>
      </c>
      <c r="D39" s="47" t="s">
        <v>56</v>
      </c>
      <c r="E39" s="47" t="s">
        <v>168</v>
      </c>
      <c r="F39" s="265" t="s">
        <v>57</v>
      </c>
      <c r="G39" s="266"/>
      <c r="H39" s="119" t="s">
        <v>58</v>
      </c>
      <c r="I39" s="119" t="s">
        <v>59</v>
      </c>
      <c r="J39" s="119" t="s">
        <v>60</v>
      </c>
    </row>
    <row r="40" spans="2:11" x14ac:dyDescent="0.25">
      <c r="B40" s="3"/>
      <c r="C40" s="47"/>
      <c r="D40" s="120"/>
      <c r="E40" s="47"/>
      <c r="F40" s="47" t="s">
        <v>61</v>
      </c>
      <c r="G40" s="47" t="s">
        <v>62</v>
      </c>
      <c r="H40" s="47"/>
      <c r="I40" s="47"/>
      <c r="J40" s="47"/>
    </row>
    <row r="41" spans="2:11" x14ac:dyDescent="0.25">
      <c r="B41" s="3" t="s">
        <v>50</v>
      </c>
      <c r="C41" s="121">
        <f>35607800+1836200</f>
        <v>37444000</v>
      </c>
      <c r="D41" s="122">
        <f>(E41/C41)-1</f>
        <v>0.28695919239397494</v>
      </c>
      <c r="E41" s="81">
        <f>46611700+1577200</f>
        <v>48188900</v>
      </c>
      <c r="F41" s="81">
        <f>10001400+387400+85800</f>
        <v>10474600</v>
      </c>
      <c r="G41" s="81">
        <v>0</v>
      </c>
      <c r="H41" s="81">
        <v>463700</v>
      </c>
      <c r="I41" s="81">
        <f>7888400+174200</f>
        <v>8062600</v>
      </c>
      <c r="J41" s="81">
        <f>28172400+1015600</f>
        <v>29188000</v>
      </c>
      <c r="K41" s="322"/>
    </row>
    <row r="42" spans="2:11" x14ac:dyDescent="0.25">
      <c r="B42" s="3" t="s">
        <v>51</v>
      </c>
      <c r="C42" s="121">
        <f>142497100</f>
        <v>142497100</v>
      </c>
      <c r="D42" s="122">
        <f t="shared" ref="D42:D43" si="0">(E42/C42)-1</f>
        <v>0.13661190297907821</v>
      </c>
      <c r="E42" s="81">
        <v>161963900</v>
      </c>
      <c r="F42" s="81">
        <f>51147100+1732300-G42</f>
        <v>46058300</v>
      </c>
      <c r="G42" s="81">
        <v>6821100</v>
      </c>
      <c r="H42" s="81">
        <v>2554500</v>
      </c>
      <c r="I42" s="81">
        <v>32541700</v>
      </c>
      <c r="J42" s="81">
        <v>73988300</v>
      </c>
      <c r="K42" s="322"/>
    </row>
    <row r="43" spans="2:11" x14ac:dyDescent="0.25">
      <c r="B43" s="3" t="s">
        <v>52</v>
      </c>
      <c r="C43" s="121">
        <v>23441500</v>
      </c>
      <c r="D43" s="122">
        <f t="shared" si="0"/>
        <v>0.19401488812575995</v>
      </c>
      <c r="E43" s="81">
        <v>27989500</v>
      </c>
      <c r="F43" s="81">
        <f>10539700</f>
        <v>10539700</v>
      </c>
      <c r="G43" s="81">
        <v>0</v>
      </c>
      <c r="H43" s="81">
        <v>329100</v>
      </c>
      <c r="I43" s="81">
        <v>5958900</v>
      </c>
      <c r="J43" s="81">
        <v>11161800</v>
      </c>
      <c r="K43" s="322"/>
    </row>
    <row r="44" spans="2:11" x14ac:dyDescent="0.25">
      <c r="B44" s="3" t="s">
        <v>27</v>
      </c>
      <c r="C44" s="121">
        <v>0</v>
      </c>
      <c r="D44" s="122"/>
      <c r="E44" s="81">
        <f t="shared" ref="E44" si="1">SUM(F44:J44)</f>
        <v>0</v>
      </c>
      <c r="F44" s="81"/>
      <c r="G44" s="81"/>
      <c r="H44" s="81"/>
      <c r="I44" s="81"/>
      <c r="J44" s="81"/>
    </row>
    <row r="45" spans="2:11" ht="30" x14ac:dyDescent="0.25">
      <c r="B45" s="57" t="s">
        <v>63</v>
      </c>
      <c r="C45" s="123">
        <f>SUM(C41:C44)</f>
        <v>203382600</v>
      </c>
      <c r="D45" s="124">
        <v>0</v>
      </c>
      <c r="E45" s="123">
        <f t="shared" ref="E45:J45" si="2">SUM(E41:E44)</f>
        <v>238142300</v>
      </c>
      <c r="F45" s="82">
        <f t="shared" si="2"/>
        <v>67072600</v>
      </c>
      <c r="G45" s="82">
        <f t="shared" si="2"/>
        <v>6821100</v>
      </c>
      <c r="H45" s="82">
        <f t="shared" si="2"/>
        <v>3347300</v>
      </c>
      <c r="I45" s="82">
        <f t="shared" si="2"/>
        <v>46563200</v>
      </c>
      <c r="J45" s="82">
        <f t="shared" si="2"/>
        <v>114338100</v>
      </c>
    </row>
    <row r="46" spans="2:11" s="61" customFormat="1" x14ac:dyDescent="0.25">
      <c r="B46" s="118"/>
      <c r="C46" s="62" t="s">
        <v>64</v>
      </c>
      <c r="D46" s="62"/>
      <c r="E46" s="62" t="s">
        <v>64</v>
      </c>
      <c r="F46" s="62"/>
      <c r="G46" s="62"/>
      <c r="H46" s="62"/>
    </row>
    <row r="47" spans="2:11" s="61" customFormat="1" x14ac:dyDescent="0.25">
      <c r="B47" s="118"/>
      <c r="C47" s="62"/>
      <c r="D47" s="62"/>
      <c r="E47" s="62"/>
      <c r="F47" s="62"/>
      <c r="G47" s="62"/>
      <c r="H47" s="62"/>
    </row>
    <row r="48" spans="2:11" s="61" customFormat="1" ht="23.45" customHeight="1" x14ac:dyDescent="0.25">
      <c r="B48" s="256" t="s">
        <v>180</v>
      </c>
      <c r="C48" s="257"/>
      <c r="D48" s="257"/>
      <c r="E48" s="257"/>
      <c r="F48" s="257"/>
      <c r="G48" s="257"/>
      <c r="H48" s="257"/>
      <c r="I48" s="257"/>
      <c r="J48" s="258"/>
    </row>
    <row r="49" spans="2:12" x14ac:dyDescent="0.25">
      <c r="B49" s="267" t="s">
        <v>65</v>
      </c>
      <c r="C49" s="268"/>
      <c r="D49" s="268"/>
      <c r="E49" s="268"/>
      <c r="F49" s="268"/>
      <c r="G49" s="268"/>
      <c r="H49" s="268"/>
      <c r="I49" s="268"/>
      <c r="J49" s="269"/>
    </row>
    <row r="50" spans="2:12" ht="42.75" customHeight="1" x14ac:dyDescent="0.25">
      <c r="B50" s="3" t="s">
        <v>66</v>
      </c>
      <c r="C50" s="3" t="s">
        <v>68</v>
      </c>
      <c r="D50" s="47" t="s">
        <v>67</v>
      </c>
      <c r="E50" s="47" t="s">
        <v>169</v>
      </c>
      <c r="F50" s="270" t="s">
        <v>69</v>
      </c>
      <c r="G50" s="271"/>
      <c r="H50" s="47" t="s">
        <v>70</v>
      </c>
      <c r="I50" s="47" t="s">
        <v>71</v>
      </c>
      <c r="J50" s="47" t="s">
        <v>72</v>
      </c>
    </row>
    <row r="51" spans="2:12" ht="15.75" customHeight="1" x14ac:dyDescent="0.25">
      <c r="B51" s="3"/>
      <c r="C51" s="3"/>
      <c r="D51" s="3"/>
      <c r="E51" s="47"/>
      <c r="F51" s="47" t="s">
        <v>61</v>
      </c>
      <c r="G51" s="47" t="s">
        <v>62</v>
      </c>
      <c r="H51" s="47"/>
      <c r="I51" s="47"/>
      <c r="J51" s="47"/>
    </row>
    <row r="52" spans="2:12" x14ac:dyDescent="0.25">
      <c r="B52" s="3" t="s">
        <v>50</v>
      </c>
      <c r="C52" s="121">
        <v>0</v>
      </c>
      <c r="D52" s="121">
        <v>0</v>
      </c>
      <c r="E52" s="125">
        <v>0</v>
      </c>
      <c r="F52" s="125">
        <v>0</v>
      </c>
      <c r="G52" s="125">
        <v>0</v>
      </c>
      <c r="H52" s="125">
        <v>0</v>
      </c>
      <c r="I52" s="125">
        <v>0</v>
      </c>
      <c r="J52" s="125">
        <v>0</v>
      </c>
    </row>
    <row r="53" spans="2:12" x14ac:dyDescent="0.25">
      <c r="B53" s="3" t="s">
        <v>235</v>
      </c>
      <c r="C53" s="121">
        <f>179941100-108996700+926400</f>
        <v>71870800</v>
      </c>
      <c r="D53" s="121">
        <f>+E53-C53</f>
        <v>9164300</v>
      </c>
      <c r="E53" s="125">
        <f>210152800-130044100+926400</f>
        <v>81035100</v>
      </c>
      <c r="F53" s="125">
        <f>61535900-24561000+1818100-454500-G53</f>
        <v>33563730</v>
      </c>
      <c r="G53" s="125">
        <f>G42*0.7</f>
        <v>4774770</v>
      </c>
      <c r="H53" s="125">
        <f>3018200-1358200</f>
        <v>1660000</v>
      </c>
      <c r="I53" s="125">
        <f>40604300-36400000+926400</f>
        <v>5130700</v>
      </c>
      <c r="J53" s="125">
        <f>103176300-67270400</f>
        <v>35905900</v>
      </c>
      <c r="K53" s="325">
        <f>SUM(F53:J53)-E53</f>
        <v>0</v>
      </c>
    </row>
    <row r="54" spans="2:12" x14ac:dyDescent="0.25">
      <c r="B54" s="3" t="s">
        <v>52</v>
      </c>
      <c r="C54" s="121">
        <f>23441500-6483200+34</f>
        <v>16958334</v>
      </c>
      <c r="D54" s="121">
        <f>+E54-C54</f>
        <v>3284066</v>
      </c>
      <c r="E54" s="125">
        <f>27989500-7747100</f>
        <v>20242400</v>
      </c>
      <c r="F54" s="125">
        <v>7342200</v>
      </c>
      <c r="G54" s="125">
        <v>0</v>
      </c>
      <c r="H54" s="125">
        <f>329100-80200</f>
        <v>248900</v>
      </c>
      <c r="I54" s="125">
        <f>5958900-2536800</f>
        <v>3422100</v>
      </c>
      <c r="J54" s="125">
        <f>11161800-1932600</f>
        <v>9229200</v>
      </c>
      <c r="K54" s="325">
        <f>SUM(F54:J54)-E54</f>
        <v>0</v>
      </c>
    </row>
    <row r="55" spans="2:12" x14ac:dyDescent="0.25">
      <c r="B55" s="3" t="s">
        <v>27</v>
      </c>
      <c r="C55" s="121">
        <v>0</v>
      </c>
      <c r="D55" s="121">
        <v>0</v>
      </c>
      <c r="E55" s="125">
        <v>0</v>
      </c>
      <c r="F55" s="125">
        <v>0</v>
      </c>
      <c r="G55" s="125">
        <v>0</v>
      </c>
      <c r="H55" s="125">
        <v>0</v>
      </c>
      <c r="I55" s="125">
        <v>0</v>
      </c>
      <c r="J55" s="125">
        <v>0</v>
      </c>
    </row>
    <row r="56" spans="2:12" x14ac:dyDescent="0.25">
      <c r="B56" s="3"/>
      <c r="C56" s="3"/>
      <c r="D56" s="3"/>
      <c r="E56" s="125"/>
      <c r="F56" s="125"/>
      <c r="G56" s="125"/>
      <c r="H56" s="125"/>
      <c r="I56" s="125"/>
      <c r="J56" s="125"/>
    </row>
    <row r="57" spans="2:12" x14ac:dyDescent="0.25">
      <c r="B57" s="3"/>
      <c r="C57" s="324"/>
      <c r="D57" s="3"/>
      <c r="E57" s="125"/>
      <c r="F57" s="125"/>
      <c r="G57" s="125"/>
      <c r="H57" s="125"/>
      <c r="I57" s="125"/>
      <c r="J57" s="125"/>
    </row>
    <row r="58" spans="2:12" x14ac:dyDescent="0.25">
      <c r="B58" s="3"/>
      <c r="C58" s="3"/>
      <c r="D58" s="3"/>
      <c r="E58" s="125"/>
      <c r="F58" s="125"/>
      <c r="G58" s="125"/>
      <c r="H58" s="125"/>
      <c r="I58" s="125"/>
      <c r="J58" s="125"/>
    </row>
    <row r="59" spans="2:12" x14ac:dyDescent="0.25">
      <c r="B59" s="57" t="s">
        <v>73</v>
      </c>
      <c r="C59" s="126">
        <f>SUM(C52:C58)</f>
        <v>88829134</v>
      </c>
      <c r="D59" s="126">
        <f>SUM(D52:D58)</f>
        <v>12448366</v>
      </c>
      <c r="E59" s="126">
        <f t="shared" ref="E59:J59" si="3">SUM(E52:E58)</f>
        <v>101277500</v>
      </c>
      <c r="F59" s="126">
        <f t="shared" si="3"/>
        <v>40905930</v>
      </c>
      <c r="G59" s="126">
        <f t="shared" si="3"/>
        <v>4774770</v>
      </c>
      <c r="H59" s="126">
        <f t="shared" si="3"/>
        <v>1908900</v>
      </c>
      <c r="I59" s="126">
        <f t="shared" si="3"/>
        <v>8552800</v>
      </c>
      <c r="J59" s="126">
        <f t="shared" si="3"/>
        <v>45135100</v>
      </c>
      <c r="L59" s="325"/>
    </row>
    <row r="60" spans="2:12" s="61" customFormat="1" x14ac:dyDescent="0.25">
      <c r="B60" s="323" t="s">
        <v>234</v>
      </c>
      <c r="C60" s="62"/>
      <c r="D60" s="62"/>
      <c r="E60" s="62"/>
      <c r="F60" s="127"/>
      <c r="G60" s="127"/>
      <c r="H60" s="127"/>
    </row>
    <row r="61" spans="2:12" s="61" customFormat="1" x14ac:dyDescent="0.25">
      <c r="C61" s="62"/>
      <c r="D61" s="62"/>
      <c r="E61" s="62"/>
      <c r="F61" s="127"/>
      <c r="G61" s="127"/>
      <c r="H61" s="127"/>
    </row>
    <row r="62" spans="2:12" s="61" customFormat="1" x14ac:dyDescent="0.25">
      <c r="B62" s="267" t="s">
        <v>74</v>
      </c>
      <c r="C62" s="268"/>
      <c r="D62" s="268"/>
      <c r="E62" s="268"/>
      <c r="F62" s="268"/>
      <c r="G62" s="268"/>
      <c r="H62" s="269"/>
    </row>
    <row r="63" spans="2:12" s="61" customFormat="1" ht="42.6" customHeight="1" x14ac:dyDescent="0.25">
      <c r="B63" s="3" t="s">
        <v>66</v>
      </c>
      <c r="C63" s="3" t="s">
        <v>170</v>
      </c>
      <c r="D63" s="47" t="s">
        <v>67</v>
      </c>
      <c r="E63" s="47" t="s">
        <v>171</v>
      </c>
      <c r="F63" s="176" t="s">
        <v>75</v>
      </c>
      <c r="G63" s="47" t="s">
        <v>76</v>
      </c>
      <c r="H63" s="47" t="s">
        <v>77</v>
      </c>
    </row>
    <row r="64" spans="2:12" s="61" customFormat="1" x14ac:dyDescent="0.25">
      <c r="B64" s="3" t="s">
        <v>50</v>
      </c>
      <c r="C64" s="121">
        <v>0</v>
      </c>
      <c r="D64" s="121">
        <v>0</v>
      </c>
      <c r="E64" s="125">
        <f>SUM(F64:H64)</f>
        <v>0</v>
      </c>
      <c r="F64" s="125">
        <v>0</v>
      </c>
      <c r="G64" s="125">
        <v>0</v>
      </c>
      <c r="H64" s="125">
        <v>0</v>
      </c>
    </row>
    <row r="65" spans="2:10" s="61" customFormat="1" x14ac:dyDescent="0.25">
      <c r="B65" s="3" t="s">
        <v>51</v>
      </c>
      <c r="C65" s="121">
        <v>4513577</v>
      </c>
      <c r="D65" s="121">
        <f>+E65-C65</f>
        <v>694123</v>
      </c>
      <c r="E65" s="125">
        <f t="shared" ref="E65:E68" si="4">SUM(F65:H65)</f>
        <v>5207700</v>
      </c>
      <c r="F65" s="125">
        <v>0</v>
      </c>
      <c r="G65" s="125">
        <v>5207700</v>
      </c>
      <c r="H65" s="125">
        <v>0</v>
      </c>
    </row>
    <row r="66" spans="2:10" s="61" customFormat="1" x14ac:dyDescent="0.25">
      <c r="B66" s="3" t="s">
        <v>52</v>
      </c>
      <c r="C66" s="121">
        <v>4513577</v>
      </c>
      <c r="D66" s="121">
        <f t="shared" ref="D66:D67" si="5">+E66-C66</f>
        <v>-419977</v>
      </c>
      <c r="E66" s="125">
        <f t="shared" si="4"/>
        <v>4093600</v>
      </c>
      <c r="F66" s="125">
        <v>0</v>
      </c>
      <c r="G66" s="125">
        <v>4093600</v>
      </c>
      <c r="H66" s="125">
        <v>0</v>
      </c>
    </row>
    <row r="67" spans="2:10" s="61" customFormat="1" x14ac:dyDescent="0.25">
      <c r="B67" s="3" t="s">
        <v>78</v>
      </c>
      <c r="C67" s="121">
        <f>-812500+325000</f>
        <v>-487500</v>
      </c>
      <c r="D67" s="121">
        <f t="shared" si="5"/>
        <v>-33300</v>
      </c>
      <c r="E67" s="125">
        <f t="shared" si="4"/>
        <v>-520800</v>
      </c>
      <c r="F67" s="125">
        <v>0</v>
      </c>
      <c r="G67" s="125">
        <v>-355500</v>
      </c>
      <c r="H67" s="125">
        <v>-165300</v>
      </c>
    </row>
    <row r="68" spans="2:10" s="61" customFormat="1" x14ac:dyDescent="0.25">
      <c r="B68" s="3" t="s">
        <v>79</v>
      </c>
      <c r="C68" s="121">
        <v>0</v>
      </c>
      <c r="D68" s="121">
        <v>0</v>
      </c>
      <c r="E68" s="125">
        <f t="shared" si="4"/>
        <v>0</v>
      </c>
      <c r="F68" s="125">
        <v>0</v>
      </c>
      <c r="G68" s="125">
        <v>0</v>
      </c>
      <c r="H68" s="125">
        <v>0</v>
      </c>
    </row>
    <row r="69" spans="2:10" s="61" customFormat="1" x14ac:dyDescent="0.25">
      <c r="B69" s="57" t="s">
        <v>80</v>
      </c>
      <c r="C69" s="126">
        <f>SUM(C64:C68)</f>
        <v>8539654</v>
      </c>
      <c r="D69" s="126">
        <f>SUM(D64:D68)</f>
        <v>240846</v>
      </c>
      <c r="E69" s="126">
        <f>SUM(E64:E68)</f>
        <v>8780500</v>
      </c>
      <c r="F69" s="126">
        <f t="shared" ref="F69:H69" si="6">SUM(F64:F68)</f>
        <v>0</v>
      </c>
      <c r="G69" s="126">
        <f t="shared" si="6"/>
        <v>8945800</v>
      </c>
      <c r="H69" s="126">
        <f t="shared" si="6"/>
        <v>-165300</v>
      </c>
    </row>
    <row r="70" spans="2:10" s="61" customFormat="1" x14ac:dyDescent="0.25">
      <c r="C70" s="62"/>
      <c r="D70" s="62"/>
      <c r="E70" s="62"/>
      <c r="F70" s="61" t="s">
        <v>81</v>
      </c>
      <c r="G70" s="127"/>
      <c r="H70" s="127"/>
    </row>
    <row r="71" spans="2:10" s="61" customFormat="1" ht="15.75" thickBot="1" x14ac:dyDescent="0.3">
      <c r="B71" s="116"/>
      <c r="C71" s="127"/>
      <c r="D71" s="127"/>
      <c r="E71" s="127"/>
      <c r="F71" s="127"/>
      <c r="G71" s="127"/>
      <c r="H71" s="127"/>
    </row>
    <row r="72" spans="2:10" s="61" customFormat="1" ht="30" x14ac:dyDescent="0.25">
      <c r="B72" s="128"/>
      <c r="C72" s="129" t="s">
        <v>218</v>
      </c>
      <c r="D72" s="129" t="s">
        <v>67</v>
      </c>
      <c r="E72" s="129" t="s">
        <v>56</v>
      </c>
      <c r="F72" s="130" t="s">
        <v>172</v>
      </c>
      <c r="G72" s="127"/>
      <c r="H72" s="127"/>
      <c r="I72" s="127"/>
    </row>
    <row r="73" spans="2:10" s="61" customFormat="1" x14ac:dyDescent="0.25">
      <c r="B73" s="140" t="s">
        <v>82</v>
      </c>
      <c r="C73" s="139">
        <f>C59+C69</f>
        <v>97368788</v>
      </c>
      <c r="D73" s="139">
        <f>D59+D69</f>
        <v>12689212</v>
      </c>
      <c r="E73" s="139">
        <f>D73/C73</f>
        <v>0.13032114562214742</v>
      </c>
      <c r="F73" s="141">
        <f>E59+E69</f>
        <v>110058000</v>
      </c>
      <c r="G73" s="127"/>
      <c r="H73" s="127"/>
      <c r="I73" s="127"/>
    </row>
    <row r="74" spans="2:10" s="61" customFormat="1" x14ac:dyDescent="0.25">
      <c r="B74" s="140" t="s">
        <v>83</v>
      </c>
      <c r="C74" s="142">
        <f>'1. Reconciliation'!C11</f>
        <v>97368788</v>
      </c>
      <c r="D74" s="142">
        <f>'1. Reconciliation'!C25</f>
        <v>12689212</v>
      </c>
      <c r="E74" s="143">
        <f>'1. Reconciliation'!C26</f>
        <v>0.13032114562214742</v>
      </c>
      <c r="F74" s="144">
        <f>'1. Reconciliation'!C23</f>
        <v>110058000</v>
      </c>
      <c r="G74" s="127"/>
      <c r="H74" s="127"/>
      <c r="I74" s="127"/>
    </row>
    <row r="75" spans="2:10" s="61" customFormat="1" ht="18" customHeight="1" thickBot="1" x14ac:dyDescent="0.3">
      <c r="B75" s="145" t="s">
        <v>84</v>
      </c>
      <c r="C75" s="146">
        <f>C73-C74</f>
        <v>0</v>
      </c>
      <c r="D75" s="146">
        <f t="shared" ref="D75:F75" si="7">D73-D74</f>
        <v>0</v>
      </c>
      <c r="E75" s="146">
        <f t="shared" si="7"/>
        <v>0</v>
      </c>
      <c r="F75" s="147">
        <f t="shared" si="7"/>
        <v>0</v>
      </c>
      <c r="G75" s="127"/>
      <c r="H75" s="127"/>
      <c r="I75" s="127"/>
    </row>
    <row r="76" spans="2:10" s="61" customFormat="1" x14ac:dyDescent="0.25">
      <c r="G76" s="127"/>
      <c r="H76" s="127"/>
      <c r="I76" s="127"/>
      <c r="J76" s="1"/>
    </row>
    <row r="77" spans="2:10" x14ac:dyDescent="0.25">
      <c r="B77" s="131"/>
      <c r="C77" s="132"/>
      <c r="D77" s="133"/>
      <c r="E77" s="134"/>
      <c r="F77" s="134"/>
      <c r="G77" s="134"/>
      <c r="H77" s="135"/>
    </row>
    <row r="78" spans="2:10" x14ac:dyDescent="0.25">
      <c r="B78" s="278" t="s">
        <v>188</v>
      </c>
      <c r="C78" s="279"/>
      <c r="D78" s="279"/>
      <c r="E78" s="279"/>
      <c r="F78" s="279"/>
      <c r="G78" s="280"/>
      <c r="H78" s="135"/>
    </row>
    <row r="79" spans="2:10" x14ac:dyDescent="0.25">
      <c r="B79" s="267" t="s">
        <v>85</v>
      </c>
      <c r="C79" s="268"/>
      <c r="D79" s="268"/>
      <c r="E79" s="268"/>
      <c r="F79" s="268"/>
      <c r="G79" s="269"/>
      <c r="H79" s="136"/>
    </row>
    <row r="80" spans="2:10" x14ac:dyDescent="0.25">
      <c r="B80" s="281" t="s">
        <v>185</v>
      </c>
      <c r="C80" s="282"/>
      <c r="D80" s="282"/>
      <c r="E80" s="282"/>
      <c r="F80" s="283"/>
      <c r="G80" s="184" t="s">
        <v>186</v>
      </c>
    </row>
    <row r="81" spans="2:7" x14ac:dyDescent="0.25">
      <c r="B81" s="272" t="s">
        <v>138</v>
      </c>
      <c r="C81" s="273"/>
      <c r="D81" s="273"/>
      <c r="E81" s="273"/>
      <c r="F81" s="274"/>
      <c r="G81" s="185">
        <v>436200</v>
      </c>
    </row>
    <row r="82" spans="2:7" x14ac:dyDescent="0.25">
      <c r="B82" s="272" t="s">
        <v>115</v>
      </c>
      <c r="C82" s="273"/>
      <c r="D82" s="273"/>
      <c r="E82" s="273"/>
      <c r="F82" s="274"/>
      <c r="G82" s="185">
        <v>0</v>
      </c>
    </row>
    <row r="83" spans="2:7" x14ac:dyDescent="0.25">
      <c r="B83" s="272" t="s">
        <v>114</v>
      </c>
      <c r="C83" s="273"/>
      <c r="D83" s="273"/>
      <c r="E83" s="273"/>
      <c r="F83" s="274"/>
      <c r="G83" s="185">
        <v>0</v>
      </c>
    </row>
    <row r="84" spans="2:7" ht="15.75" thickBot="1" x14ac:dyDescent="0.3">
      <c r="B84" s="275" t="s">
        <v>187</v>
      </c>
      <c r="C84" s="276"/>
      <c r="D84" s="276"/>
      <c r="E84" s="276"/>
      <c r="F84" s="277"/>
      <c r="G84" s="216">
        <f>SUM(G81:G83)</f>
        <v>436200</v>
      </c>
    </row>
    <row r="85" spans="2:7" ht="15.75" thickTop="1" x14ac:dyDescent="0.25"/>
    <row r="87" spans="2:7" x14ac:dyDescent="0.25">
      <c r="C87" s="20"/>
    </row>
  </sheetData>
  <mergeCells count="24">
    <mergeCell ref="B82:F82"/>
    <mergeCell ref="B83:F83"/>
    <mergeCell ref="B84:F84"/>
    <mergeCell ref="B62:H62"/>
    <mergeCell ref="B78:G78"/>
    <mergeCell ref="B79:G79"/>
    <mergeCell ref="B80:F80"/>
    <mergeCell ref="B81:F81"/>
    <mergeCell ref="F39:G39"/>
    <mergeCell ref="B48:J48"/>
    <mergeCell ref="B38:J38"/>
    <mergeCell ref="B49:J49"/>
    <mergeCell ref="F50:G50"/>
    <mergeCell ref="B5:G5"/>
    <mergeCell ref="B2:I2"/>
    <mergeCell ref="B3:I3"/>
    <mergeCell ref="B4:I4"/>
    <mergeCell ref="B37:J37"/>
    <mergeCell ref="B17:F17"/>
    <mergeCell ref="B18:F18"/>
    <mergeCell ref="B27:F27"/>
    <mergeCell ref="B28:F28"/>
    <mergeCell ref="B7:F7"/>
    <mergeCell ref="B8:F8"/>
  </mergeCells>
  <pageMargins left="0.45" right="0.2" top="0.25" bottom="0.5" header="0.3" footer="0.3"/>
  <pageSetup scale="59" orientation="landscape" r:id="rId1"/>
  <headerFooter>
    <oddFooter>&amp;L&amp;D&amp;R&amp;F,&amp;A,</oddFooter>
  </headerFooter>
  <ignoredErrors>
    <ignoredError sqref="E73:E75"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D19"/>
  <sheetViews>
    <sheetView showGridLines="0" topLeftCell="A2" zoomScale="90" zoomScaleNormal="90" workbookViewId="0">
      <selection activeCell="H39" sqref="H39"/>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16384" width="8.85546875" style="1"/>
  </cols>
  <sheetData>
    <row r="1" spans="2:4" x14ac:dyDescent="0.25">
      <c r="B1" s="284" t="s">
        <v>86</v>
      </c>
      <c r="C1" s="284"/>
      <c r="D1" s="284"/>
    </row>
    <row r="2" spans="2:4" ht="21" x14ac:dyDescent="0.35">
      <c r="B2" s="285" t="s">
        <v>5</v>
      </c>
      <c r="C2" s="286"/>
      <c r="D2" s="287"/>
    </row>
    <row r="3" spans="2:4" ht="18.75" x14ac:dyDescent="0.3">
      <c r="B3" s="289" t="s">
        <v>87</v>
      </c>
      <c r="C3" s="290"/>
      <c r="D3" s="291"/>
    </row>
    <row r="4" spans="2:4" ht="74.25" customHeight="1" x14ac:dyDescent="0.25">
      <c r="B4" s="288" t="s">
        <v>216</v>
      </c>
      <c r="C4" s="288"/>
      <c r="D4" s="288"/>
    </row>
    <row r="5" spans="2:4" x14ac:dyDescent="0.25">
      <c r="B5" s="21"/>
      <c r="C5" s="2"/>
      <c r="D5" s="2"/>
    </row>
    <row r="6" spans="2:4" x14ac:dyDescent="0.25">
      <c r="B6" s="293" t="s">
        <v>88</v>
      </c>
      <c r="C6" s="292" t="s">
        <v>89</v>
      </c>
      <c r="D6" s="292" t="s">
        <v>90</v>
      </c>
    </row>
    <row r="7" spans="2:4" x14ac:dyDescent="0.25">
      <c r="B7" s="293"/>
      <c r="C7" s="292"/>
      <c r="D7" s="292"/>
    </row>
    <row r="8" spans="2:4" x14ac:dyDescent="0.25">
      <c r="B8" s="79" t="s">
        <v>155</v>
      </c>
      <c r="C8" s="326">
        <v>203382600</v>
      </c>
      <c r="D8" s="174"/>
    </row>
    <row r="9" spans="2:4" x14ac:dyDescent="0.25">
      <c r="B9" s="114" t="s">
        <v>226</v>
      </c>
      <c r="C9" s="48">
        <f>D9/(11486700+2779300+4147100)</f>
        <v>0.18351065274179795</v>
      </c>
      <c r="D9" s="175">
        <f>2589500-180700+970200</f>
        <v>3379000</v>
      </c>
    </row>
    <row r="10" spans="2:4" x14ac:dyDescent="0.25">
      <c r="B10" s="3"/>
      <c r="C10" s="48"/>
      <c r="D10" s="175"/>
    </row>
    <row r="11" spans="2:4" x14ac:dyDescent="0.25">
      <c r="B11" s="3" t="s">
        <v>227</v>
      </c>
      <c r="C11" s="48">
        <f>D11/18108400</f>
        <v>0.23611694020454596</v>
      </c>
      <c r="D11" s="175">
        <v>4275700</v>
      </c>
    </row>
    <row r="12" spans="2:4" x14ac:dyDescent="0.25">
      <c r="B12" s="3" t="s">
        <v>228</v>
      </c>
      <c r="C12" s="48">
        <f>+D12/19059500</f>
        <v>0.11907972402214119</v>
      </c>
      <c r="D12" s="175">
        <v>2269600</v>
      </c>
    </row>
    <row r="13" spans="2:4" x14ac:dyDescent="0.25">
      <c r="B13" s="3" t="s">
        <v>229</v>
      </c>
      <c r="C13" s="48">
        <f>D13/(12785800+5002100+2400100+5508300)</f>
        <v>0.17115304538007417</v>
      </c>
      <c r="D13" s="175">
        <f>588100+1319100+941400+1549400</f>
        <v>4398000</v>
      </c>
    </row>
    <row r="14" spans="2:4" x14ac:dyDescent="0.25">
      <c r="B14" s="3"/>
      <c r="C14" s="48"/>
      <c r="D14" s="175"/>
    </row>
    <row r="15" spans="2:4" x14ac:dyDescent="0.25">
      <c r="B15" s="79" t="s">
        <v>156</v>
      </c>
      <c r="C15" s="327">
        <v>238142300</v>
      </c>
      <c r="D15" s="174">
        <f t="shared" ref="D15" si="0">SUM(D8:D14)</f>
        <v>14322300</v>
      </c>
    </row>
    <row r="16" spans="2:4" x14ac:dyDescent="0.25">
      <c r="B16" s="75"/>
      <c r="C16" s="43"/>
      <c r="D16" s="43"/>
    </row>
    <row r="17" spans="2:4" x14ac:dyDescent="0.25">
      <c r="B17" s="29" t="s">
        <v>173</v>
      </c>
      <c r="C17" s="106"/>
      <c r="D17" s="80">
        <f>SUM(D9:D14)</f>
        <v>14322300</v>
      </c>
    </row>
    <row r="18" spans="2:4" x14ac:dyDescent="0.25">
      <c r="B18" s="29" t="s">
        <v>174</v>
      </c>
      <c r="C18" s="328">
        <f>C15/C8-1</f>
        <v>0.17090793411039096</v>
      </c>
      <c r="D18" s="107"/>
    </row>
    <row r="19" spans="2:4" x14ac:dyDescent="0.25">
      <c r="B19" s="75" t="s">
        <v>91</v>
      </c>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R39"/>
  <sheetViews>
    <sheetView showGridLines="0" topLeftCell="A13" zoomScale="90" zoomScaleNormal="90" workbookViewId="0">
      <selection activeCell="L22" sqref="L21:L22"/>
    </sheetView>
  </sheetViews>
  <sheetFormatPr defaultRowHeight="15" x14ac:dyDescent="0.25"/>
  <cols>
    <col min="2" max="2" width="37.5703125" customWidth="1"/>
    <col min="3" max="3" width="18.85546875" customWidth="1"/>
    <col min="4" max="4" width="18.140625" customWidth="1"/>
    <col min="5" max="5" width="25.140625" customWidth="1"/>
    <col min="6" max="6" width="23.85546875" customWidth="1"/>
    <col min="7" max="7" width="45.5703125" customWidth="1"/>
    <col min="13" max="13" width="14.5703125" bestFit="1" customWidth="1"/>
  </cols>
  <sheetData>
    <row r="1" spans="2:18" x14ac:dyDescent="0.25">
      <c r="B1" s="238" t="s">
        <v>92</v>
      </c>
      <c r="C1" s="238"/>
      <c r="D1" s="238"/>
      <c r="E1" s="238"/>
      <c r="F1" s="238"/>
      <c r="G1" s="238"/>
    </row>
    <row r="2" spans="2:18" ht="18.75" x14ac:dyDescent="0.3">
      <c r="B2" s="295" t="s">
        <v>9</v>
      </c>
      <c r="C2" s="296"/>
      <c r="D2" s="296"/>
      <c r="E2" s="296"/>
      <c r="F2" s="296"/>
      <c r="G2" s="297"/>
    </row>
    <row r="3" spans="2:18" ht="18.75" x14ac:dyDescent="0.3">
      <c r="B3" s="289" t="s">
        <v>93</v>
      </c>
      <c r="C3" s="290"/>
      <c r="D3" s="290"/>
      <c r="E3" s="290"/>
      <c r="F3" s="290"/>
      <c r="G3" s="291"/>
    </row>
    <row r="4" spans="2:18" ht="63" customHeight="1" x14ac:dyDescent="0.25">
      <c r="B4" s="298" t="s">
        <v>214</v>
      </c>
      <c r="C4" s="299"/>
      <c r="D4" s="299"/>
      <c r="E4" s="299"/>
      <c r="F4" s="299"/>
      <c r="G4" s="300"/>
    </row>
    <row r="5" spans="2:18" ht="17.45" customHeight="1" x14ac:dyDescent="0.25">
      <c r="B5" s="46" t="s">
        <v>94</v>
      </c>
      <c r="C5" s="301" t="s">
        <v>95</v>
      </c>
      <c r="D5" s="302"/>
      <c r="E5" s="302"/>
      <c r="F5" s="303"/>
      <c r="G5" s="56" t="s">
        <v>96</v>
      </c>
    </row>
    <row r="6" spans="2:18" ht="31.5" customHeight="1" x14ac:dyDescent="0.25">
      <c r="B6" s="16"/>
      <c r="C6" s="49" t="s">
        <v>97</v>
      </c>
      <c r="D6" s="50" t="s">
        <v>98</v>
      </c>
      <c r="E6" s="148" t="s">
        <v>213</v>
      </c>
      <c r="F6" s="148" t="s">
        <v>99</v>
      </c>
      <c r="G6" s="16"/>
    </row>
    <row r="7" spans="2:18" ht="31.5" customHeight="1" x14ac:dyDescent="0.25">
      <c r="B7" s="149" t="s">
        <v>100</v>
      </c>
      <c r="C7" s="150">
        <v>0.02</v>
      </c>
      <c r="D7" s="151">
        <v>500000</v>
      </c>
      <c r="E7" s="152">
        <v>0.6</v>
      </c>
      <c r="F7" s="153">
        <f>C7*E7</f>
        <v>1.2E-2</v>
      </c>
      <c r="G7" s="149" t="s">
        <v>101</v>
      </c>
    </row>
    <row r="8" spans="2:18" ht="27" customHeight="1" x14ac:dyDescent="0.25">
      <c r="B8" s="16" t="s">
        <v>102</v>
      </c>
      <c r="C8" s="49">
        <v>4.2500000000000003E-2</v>
      </c>
      <c r="D8" s="50">
        <f>11024800*0.0425</f>
        <v>468554.00000000006</v>
      </c>
      <c r="E8" s="49">
        <f>11024800/90535550</f>
        <v>0.12177315982506319</v>
      </c>
      <c r="F8" s="9">
        <f>C8*E8</f>
        <v>5.1753592925651857E-3</v>
      </c>
      <c r="G8" s="16"/>
    </row>
    <row r="9" spans="2:18" ht="27" customHeight="1" x14ac:dyDescent="0.25">
      <c r="B9" s="16" t="s">
        <v>103</v>
      </c>
      <c r="C9" s="49">
        <v>9.8500000000000004E-2</v>
      </c>
      <c r="D9" s="50">
        <f>(31288317+6141955)*0.0985</f>
        <v>3686881.7920000004</v>
      </c>
      <c r="E9" s="49">
        <v>0.48</v>
      </c>
      <c r="F9" s="9">
        <f t="shared" ref="F9:F15" si="0">C9*E9</f>
        <v>4.7280000000000003E-2</v>
      </c>
      <c r="G9" s="220"/>
    </row>
    <row r="10" spans="2:18" ht="27" customHeight="1" x14ac:dyDescent="0.25">
      <c r="B10" s="16" t="s">
        <v>37</v>
      </c>
      <c r="C10" s="49">
        <v>3.2500000000000001E-2</v>
      </c>
      <c r="D10" s="50">
        <f>3500000*0.04</f>
        <v>140000</v>
      </c>
      <c r="E10" s="49">
        <f>3500000/90535350</f>
        <v>3.865893267105059E-2</v>
      </c>
      <c r="F10" s="9">
        <f t="shared" si="0"/>
        <v>1.2564153118091441E-3</v>
      </c>
      <c r="G10" s="16"/>
      <c r="R10" s="320"/>
    </row>
    <row r="11" spans="2:18" ht="27" customHeight="1" x14ac:dyDescent="0.25">
      <c r="B11" s="16" t="s">
        <v>104</v>
      </c>
      <c r="C11" s="49">
        <v>3.2500000000000001E-2</v>
      </c>
      <c r="D11" s="50">
        <f>(220310+2145626+93600+1600000+32000+951640+48000+852400+200000+50000)*0.035</f>
        <v>216775.16000000003</v>
      </c>
      <c r="E11" s="49">
        <f>(220310+2145626+93600+1600000+32000+951640+48000+852400+200000+50000)/90535350</f>
        <v>6.841058216486709E-2</v>
      </c>
      <c r="F11" s="9">
        <f t="shared" si="0"/>
        <v>2.2233439203581803E-3</v>
      </c>
      <c r="G11" s="16"/>
      <c r="H11" t="s">
        <v>233</v>
      </c>
    </row>
    <row r="12" spans="2:18" ht="27" customHeight="1" x14ac:dyDescent="0.25">
      <c r="B12" s="30" t="s">
        <v>224</v>
      </c>
      <c r="C12" s="49">
        <v>0.09</v>
      </c>
      <c r="D12" s="50">
        <v>1691700</v>
      </c>
      <c r="E12" s="49">
        <f>15344600/90535350</f>
        <v>0.16948738807548655</v>
      </c>
      <c r="F12" s="9">
        <f t="shared" ref="F12" si="1">C12*E12</f>
        <v>1.5253864926793788E-2</v>
      </c>
      <c r="G12" s="16"/>
    </row>
    <row r="13" spans="2:18" ht="27" customHeight="1" x14ac:dyDescent="0.25">
      <c r="B13" s="30"/>
      <c r="C13" s="49"/>
      <c r="D13" s="50"/>
      <c r="E13" s="49"/>
      <c r="F13" s="9"/>
      <c r="G13" s="16"/>
    </row>
    <row r="14" spans="2:18" ht="27" customHeight="1" x14ac:dyDescent="0.25">
      <c r="B14" s="30" t="s">
        <v>232</v>
      </c>
      <c r="C14" s="49"/>
      <c r="D14" s="50"/>
      <c r="E14" s="49"/>
      <c r="F14" s="9">
        <f t="shared" si="0"/>
        <v>0</v>
      </c>
      <c r="G14" s="16"/>
    </row>
    <row r="15" spans="2:18" ht="27" customHeight="1" x14ac:dyDescent="0.25">
      <c r="B15" s="30" t="s">
        <v>223</v>
      </c>
      <c r="C15" s="49">
        <v>0.03</v>
      </c>
      <c r="D15" s="50">
        <f>90535350*0.12*0.03</f>
        <v>325927.26</v>
      </c>
      <c r="E15" s="49">
        <v>0.12</v>
      </c>
      <c r="F15" s="9">
        <f t="shared" si="0"/>
        <v>3.5999999999999999E-3</v>
      </c>
      <c r="G15" s="16"/>
    </row>
    <row r="16" spans="2:18" x14ac:dyDescent="0.25">
      <c r="B16" s="11" t="s">
        <v>13</v>
      </c>
      <c r="C16" s="77" t="s">
        <v>105</v>
      </c>
      <c r="D16" s="78">
        <f>SUM(D8:D15)</f>
        <v>6529838.2120000003</v>
      </c>
      <c r="E16" s="215">
        <f>SUM(E8:E15)</f>
        <v>0.99833006273646741</v>
      </c>
      <c r="F16" s="214">
        <f>SUM(F8:F15)</f>
        <v>7.4788983451526306E-2</v>
      </c>
      <c r="G16" s="11"/>
    </row>
    <row r="17" spans="2:6" x14ac:dyDescent="0.25">
      <c r="B17" s="18" t="s">
        <v>215</v>
      </c>
      <c r="E17" t="s">
        <v>210</v>
      </c>
    </row>
    <row r="19" spans="2:6" x14ac:dyDescent="0.25">
      <c r="B19" s="294" t="s">
        <v>106</v>
      </c>
      <c r="C19" s="294"/>
      <c r="D19" s="294"/>
      <c r="E19" s="294"/>
      <c r="F19" s="177"/>
    </row>
    <row r="21" spans="2:6" ht="26.25" x14ac:dyDescent="0.4">
      <c r="B21" s="204" t="s">
        <v>209</v>
      </c>
    </row>
    <row r="39" spans="13:13" x14ac:dyDescent="0.25">
      <c r="M39" s="14"/>
    </row>
  </sheetData>
  <mergeCells count="6">
    <mergeCell ref="B19:E19"/>
    <mergeCell ref="B1:G1"/>
    <mergeCell ref="B2:G2"/>
    <mergeCell ref="B4:G4"/>
    <mergeCell ref="C5:F5"/>
    <mergeCell ref="B3:G3"/>
  </mergeCells>
  <pageMargins left="0.2" right="0.2" top="0.75" bottom="0.75" header="0.3" footer="0.3"/>
  <pageSetup scale="79" orientation="landscape" r:id="rId1"/>
  <headerFooter>
    <oddFooter>&amp;L&amp;D&amp;R&amp;F,&amp;A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F18"/>
  <sheetViews>
    <sheetView showGridLines="0" workbookViewId="0">
      <selection activeCell="M17" sqref="M17"/>
    </sheetView>
  </sheetViews>
  <sheetFormatPr defaultColWidth="8.85546875" defaultRowHeight="15" x14ac:dyDescent="0.25"/>
  <cols>
    <col min="1" max="1" width="8.85546875" style="1"/>
    <col min="2" max="2" width="32.28515625" style="40" customWidth="1"/>
    <col min="3" max="4" width="22.28515625" style="40" customWidth="1"/>
    <col min="5" max="5" width="17.5703125" style="40" customWidth="1"/>
    <col min="6" max="6" width="19.5703125" style="40" customWidth="1"/>
    <col min="7" max="16384" width="8.85546875" style="1"/>
  </cols>
  <sheetData>
    <row r="1" spans="2:6" s="110" customFormat="1" x14ac:dyDescent="0.25">
      <c r="B1" s="111"/>
      <c r="C1" s="111"/>
      <c r="D1" s="111"/>
      <c r="E1" s="111"/>
      <c r="F1" s="111"/>
    </row>
    <row r="2" spans="2:6" ht="15.75" x14ac:dyDescent="0.25">
      <c r="B2" s="305" t="s">
        <v>107</v>
      </c>
      <c r="C2" s="305"/>
      <c r="D2" s="305"/>
      <c r="E2" s="305"/>
      <c r="F2" s="305"/>
    </row>
    <row r="3" spans="2:6" ht="18.75" x14ac:dyDescent="0.3">
      <c r="B3" s="306" t="s">
        <v>2</v>
      </c>
      <c r="C3" s="307"/>
      <c r="D3" s="307"/>
      <c r="E3" s="307"/>
      <c r="F3" s="308"/>
    </row>
    <row r="4" spans="2:6" ht="18.75" x14ac:dyDescent="0.3">
      <c r="B4" s="289" t="s">
        <v>108</v>
      </c>
      <c r="C4" s="290"/>
      <c r="D4" s="290"/>
      <c r="E4" s="290"/>
      <c r="F4" s="291"/>
    </row>
    <row r="5" spans="2:6" ht="15.75" x14ac:dyDescent="0.25">
      <c r="B5" s="31"/>
      <c r="C5" s="31"/>
      <c r="D5" s="31"/>
      <c r="E5" s="31"/>
      <c r="F5" s="31"/>
    </row>
    <row r="6" spans="2:6" ht="67.5" customHeight="1" x14ac:dyDescent="0.25">
      <c r="B6" s="304" t="s">
        <v>203</v>
      </c>
      <c r="C6" s="304"/>
      <c r="D6" s="304"/>
      <c r="E6" s="304"/>
      <c r="F6" s="304"/>
    </row>
    <row r="7" spans="2:6" ht="15.75" x14ac:dyDescent="0.25">
      <c r="B7" s="31"/>
      <c r="C7" s="31"/>
      <c r="D7" s="31"/>
      <c r="E7" s="31"/>
      <c r="F7" s="31"/>
    </row>
    <row r="8" spans="2:6" ht="48" customHeight="1" x14ac:dyDescent="0.25">
      <c r="B8" s="32" t="s">
        <v>109</v>
      </c>
      <c r="C8" s="33" t="s">
        <v>175</v>
      </c>
      <c r="D8" s="33" t="s">
        <v>110</v>
      </c>
      <c r="E8" s="33" t="s">
        <v>111</v>
      </c>
      <c r="F8" s="34" t="s">
        <v>112</v>
      </c>
    </row>
    <row r="9" spans="2:6" ht="25.5" customHeight="1" x14ac:dyDescent="0.25">
      <c r="B9" s="35"/>
      <c r="C9" s="36" t="s">
        <v>113</v>
      </c>
      <c r="D9" s="36" t="s">
        <v>176</v>
      </c>
      <c r="E9" s="36" t="s">
        <v>176</v>
      </c>
      <c r="F9" s="37" t="s">
        <v>177</v>
      </c>
    </row>
    <row r="10" spans="2:6" ht="24" customHeight="1" x14ac:dyDescent="0.25">
      <c r="B10" s="38" t="s">
        <v>114</v>
      </c>
      <c r="C10" s="39" t="s">
        <v>219</v>
      </c>
      <c r="D10" s="226">
        <f>7243+1130</f>
        <v>8373</v>
      </c>
      <c r="E10" s="226">
        <f>10034725/12</f>
        <v>836227.08333333337</v>
      </c>
      <c r="F10" s="231">
        <f>622033+46445</f>
        <v>668478</v>
      </c>
    </row>
    <row r="11" spans="2:6" ht="15.75" x14ac:dyDescent="0.25">
      <c r="B11" s="38" t="s">
        <v>115</v>
      </c>
      <c r="C11" s="39" t="s">
        <v>219</v>
      </c>
      <c r="D11" s="226">
        <f>1500+2569</f>
        <v>4069</v>
      </c>
      <c r="E11" s="39"/>
      <c r="F11" s="231">
        <v>380000</v>
      </c>
    </row>
    <row r="12" spans="2:6" ht="15.75" x14ac:dyDescent="0.25">
      <c r="B12" s="38" t="s">
        <v>138</v>
      </c>
      <c r="C12" s="39"/>
      <c r="D12" s="226"/>
      <c r="E12" s="39"/>
      <c r="F12" s="231"/>
    </row>
    <row r="13" spans="2:6" ht="15.75" x14ac:dyDescent="0.25">
      <c r="B13" s="202" t="s">
        <v>201</v>
      </c>
      <c r="C13" s="193" t="s">
        <v>219</v>
      </c>
      <c r="D13" s="228">
        <f>1106+1397+2005</f>
        <v>4508</v>
      </c>
      <c r="E13" s="193"/>
      <c r="F13" s="232">
        <f>160989+188153</f>
        <v>349142</v>
      </c>
    </row>
    <row r="14" spans="2:6" ht="15.75" x14ac:dyDescent="0.25">
      <c r="B14" s="203" t="s">
        <v>202</v>
      </c>
      <c r="C14" s="194" t="s">
        <v>219</v>
      </c>
      <c r="D14" s="229">
        <f>396</f>
        <v>396</v>
      </c>
      <c r="E14" s="194"/>
      <c r="F14" s="233">
        <f>31089</f>
        <v>31089</v>
      </c>
    </row>
    <row r="15" spans="2:6" ht="16.5" thickBot="1" x14ac:dyDescent="0.3">
      <c r="B15" s="191" t="s">
        <v>116</v>
      </c>
      <c r="C15" s="189" t="s">
        <v>220</v>
      </c>
      <c r="D15" s="230"/>
      <c r="E15" s="189"/>
      <c r="F15" s="190"/>
    </row>
    <row r="16" spans="2:6" ht="15.75" x14ac:dyDescent="0.25">
      <c r="B16" s="35" t="s">
        <v>117</v>
      </c>
      <c r="C16" s="188"/>
      <c r="D16" s="227">
        <f>SUM(D10:D15)</f>
        <v>17346</v>
      </c>
      <c r="E16" s="227">
        <f t="shared" ref="E16:F16" si="0">SUM(E10:E15)</f>
        <v>836227.08333333337</v>
      </c>
      <c r="F16" s="227">
        <f t="shared" si="0"/>
        <v>1428709</v>
      </c>
    </row>
    <row r="17" spans="2:5" ht="15.75" x14ac:dyDescent="0.25">
      <c r="B17" s="31"/>
    </row>
    <row r="18" spans="2:5" ht="15.75" x14ac:dyDescent="0.25">
      <c r="B18" s="41"/>
      <c r="E18" s="42"/>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2:K24"/>
  <sheetViews>
    <sheetView showGridLines="0" tabSelected="1" zoomScale="94" zoomScaleNormal="100" zoomScaleSheetLayoutView="55" workbookViewId="0">
      <selection activeCell="H30" sqref="H30"/>
    </sheetView>
  </sheetViews>
  <sheetFormatPr defaultColWidth="9.140625" defaultRowHeight="15" customHeight="1" x14ac:dyDescent="0.25"/>
  <cols>
    <col min="1" max="1" width="3.5703125" style="108" customWidth="1"/>
    <col min="2" max="2" width="39.7109375" style="108" customWidth="1"/>
    <col min="3" max="3" width="24" style="108" customWidth="1"/>
    <col min="4" max="11" width="22.7109375" style="108" customWidth="1"/>
    <col min="12" max="16384" width="9.140625" style="108"/>
  </cols>
  <sheetData>
    <row r="2" spans="2:11" s="1" customFormat="1" ht="15.75" x14ac:dyDescent="0.25">
      <c r="B2" s="305" t="s">
        <v>107</v>
      </c>
      <c r="C2" s="305"/>
      <c r="D2" s="305"/>
      <c r="E2" s="305"/>
      <c r="F2" s="305"/>
      <c r="G2" s="305"/>
      <c r="H2" s="305"/>
      <c r="I2" s="305"/>
      <c r="J2" s="305"/>
      <c r="K2" s="305"/>
    </row>
    <row r="3" spans="2:11" s="1" customFormat="1" ht="18.75" x14ac:dyDescent="0.3">
      <c r="B3" s="306" t="s">
        <v>118</v>
      </c>
      <c r="C3" s="307"/>
      <c r="D3" s="307"/>
      <c r="E3" s="307"/>
      <c r="F3" s="307"/>
      <c r="G3" s="307"/>
      <c r="H3" s="307"/>
      <c r="I3" s="307"/>
      <c r="J3" s="307"/>
      <c r="K3" s="308"/>
    </row>
    <row r="4" spans="2:11" s="1" customFormat="1" ht="18.75" x14ac:dyDescent="0.3">
      <c r="B4" s="289" t="s">
        <v>119</v>
      </c>
      <c r="C4" s="290"/>
      <c r="D4" s="290"/>
      <c r="E4" s="290"/>
      <c r="F4" s="290"/>
      <c r="G4" s="290"/>
      <c r="H4" s="290"/>
      <c r="I4" s="290"/>
      <c r="J4" s="290"/>
      <c r="K4" s="291"/>
    </row>
    <row r="5" spans="2:11" s="110" customFormat="1" ht="18.75" x14ac:dyDescent="0.3">
      <c r="B5" s="155"/>
      <c r="C5" s="155"/>
      <c r="D5" s="155"/>
      <c r="E5" s="155"/>
      <c r="F5" s="155"/>
      <c r="G5" s="155"/>
      <c r="H5" s="155"/>
      <c r="I5" s="155"/>
      <c r="J5" s="155"/>
      <c r="K5" s="155"/>
    </row>
    <row r="6" spans="2:11" s="110" customFormat="1" ht="18.75" customHeight="1" x14ac:dyDescent="0.25">
      <c r="B6" s="311" t="s">
        <v>208</v>
      </c>
      <c r="C6" s="311"/>
      <c r="D6" s="311"/>
      <c r="E6" s="311"/>
      <c r="F6" s="311"/>
      <c r="G6" s="311"/>
      <c r="H6" s="311"/>
      <c r="I6" s="311"/>
      <c r="J6" s="311"/>
      <c r="K6" s="311"/>
    </row>
    <row r="7" spans="2:11" s="110" customFormat="1" ht="18.75" customHeight="1" x14ac:dyDescent="0.25">
      <c r="B7" s="311"/>
      <c r="C7" s="311"/>
      <c r="D7" s="311"/>
      <c r="E7" s="311"/>
      <c r="F7" s="311"/>
      <c r="G7" s="311"/>
      <c r="H7" s="311"/>
      <c r="I7" s="311"/>
      <c r="J7" s="311"/>
      <c r="K7" s="311"/>
    </row>
    <row r="8" spans="2:11" s="110" customFormat="1" ht="18.75" x14ac:dyDescent="0.3">
      <c r="B8" s="109"/>
      <c r="C8" s="109"/>
      <c r="D8" s="109"/>
      <c r="E8" s="109"/>
      <c r="F8" s="109"/>
      <c r="G8" s="109"/>
      <c r="H8" s="109"/>
    </row>
    <row r="9" spans="2:11" s="156" customFormat="1" x14ac:dyDescent="0.25">
      <c r="B9" s="157"/>
      <c r="D9" s="157"/>
      <c r="E9" s="157"/>
      <c r="F9" s="157"/>
      <c r="G9" s="157"/>
      <c r="H9" s="157"/>
      <c r="I9" s="158"/>
      <c r="J9" s="158"/>
      <c r="K9" s="158"/>
    </row>
    <row r="10" spans="2:11" s="154" customFormat="1" ht="15" customHeight="1" x14ac:dyDescent="0.25">
      <c r="B10" s="309" t="s">
        <v>120</v>
      </c>
      <c r="C10" s="172" t="s">
        <v>121</v>
      </c>
      <c r="D10" s="195" t="s">
        <v>121</v>
      </c>
      <c r="E10" s="168" t="s">
        <v>122</v>
      </c>
      <c r="F10" s="169" t="s">
        <v>207</v>
      </c>
      <c r="G10" s="197" t="s">
        <v>121</v>
      </c>
      <c r="H10" s="168" t="s">
        <v>122</v>
      </c>
      <c r="I10" s="169" t="s">
        <v>207</v>
      </c>
      <c r="J10" s="205" t="s">
        <v>122</v>
      </c>
      <c r="K10" s="206" t="s">
        <v>207</v>
      </c>
    </row>
    <row r="11" spans="2:11" s="154" customFormat="1" x14ac:dyDescent="0.25">
      <c r="B11" s="310"/>
      <c r="C11" s="171" t="s">
        <v>123</v>
      </c>
      <c r="D11" s="316" t="s">
        <v>206</v>
      </c>
      <c r="E11" s="312"/>
      <c r="F11" s="313"/>
      <c r="G11" s="312" t="s">
        <v>124</v>
      </c>
      <c r="H11" s="312"/>
      <c r="I11" s="313"/>
      <c r="J11" s="314" t="s">
        <v>204</v>
      </c>
      <c r="K11" s="315"/>
    </row>
    <row r="12" spans="2:11" ht="15" customHeight="1" x14ac:dyDescent="0.25">
      <c r="B12" s="217" t="s">
        <v>222</v>
      </c>
      <c r="C12" s="201">
        <f>+D12+G12</f>
        <v>9007166</v>
      </c>
      <c r="D12" s="198">
        <v>6607166</v>
      </c>
      <c r="E12" s="196">
        <f>5602856+1004310</f>
        <v>6607166</v>
      </c>
      <c r="F12" s="199">
        <v>0</v>
      </c>
      <c r="G12" s="218">
        <v>2400000</v>
      </c>
      <c r="H12" s="219">
        <v>2400000</v>
      </c>
      <c r="I12" s="162">
        <v>0</v>
      </c>
      <c r="J12" s="207">
        <v>0</v>
      </c>
      <c r="K12" s="208">
        <v>0</v>
      </c>
    </row>
    <row r="13" spans="2:11" ht="15" customHeight="1" x14ac:dyDescent="0.25">
      <c r="B13" s="159" t="s">
        <v>221</v>
      </c>
      <c r="C13" s="201">
        <f t="shared" ref="C13:C22" si="0">+D13+G13</f>
        <v>13725500</v>
      </c>
      <c r="D13" s="198">
        <v>13725500</v>
      </c>
      <c r="E13" s="196">
        <v>0</v>
      </c>
      <c r="F13" s="199">
        <v>10809222</v>
      </c>
      <c r="G13" s="160"/>
      <c r="H13" s="161"/>
      <c r="I13" s="162">
        <v>0</v>
      </c>
      <c r="J13" s="207"/>
      <c r="K13" s="208"/>
    </row>
    <row r="14" spans="2:11" ht="15" customHeight="1" x14ac:dyDescent="0.25">
      <c r="B14" s="159" t="s">
        <v>205</v>
      </c>
      <c r="C14" s="201">
        <f t="shared" si="0"/>
        <v>0</v>
      </c>
      <c r="D14" s="198"/>
      <c r="E14" s="196"/>
      <c r="F14" s="199"/>
      <c r="G14" s="160"/>
      <c r="H14" s="161"/>
      <c r="I14" s="162"/>
      <c r="J14" s="207"/>
      <c r="K14" s="208"/>
    </row>
    <row r="15" spans="2:11" ht="15" customHeight="1" x14ac:dyDescent="0.25">
      <c r="B15" s="159" t="s">
        <v>205</v>
      </c>
      <c r="C15" s="201">
        <f t="shared" si="0"/>
        <v>0</v>
      </c>
      <c r="D15" s="198"/>
      <c r="E15" s="196"/>
      <c r="F15" s="199"/>
      <c r="G15" s="160"/>
      <c r="H15" s="161"/>
      <c r="I15" s="162"/>
      <c r="J15" s="207"/>
      <c r="K15" s="208"/>
    </row>
    <row r="16" spans="2:11" ht="15" customHeight="1" x14ac:dyDescent="0.25">
      <c r="B16" s="159" t="s">
        <v>205</v>
      </c>
      <c r="C16" s="201">
        <f t="shared" si="0"/>
        <v>0</v>
      </c>
      <c r="D16" s="198"/>
      <c r="E16" s="196"/>
      <c r="F16" s="199"/>
      <c r="G16" s="160"/>
      <c r="H16" s="161"/>
      <c r="I16" s="162"/>
      <c r="J16" s="207"/>
      <c r="K16" s="208"/>
    </row>
    <row r="17" spans="2:11" ht="15" customHeight="1" x14ac:dyDescent="0.25">
      <c r="B17" s="159" t="s">
        <v>205</v>
      </c>
      <c r="C17" s="201">
        <f t="shared" si="0"/>
        <v>0</v>
      </c>
      <c r="D17" s="198"/>
      <c r="E17" s="196"/>
      <c r="F17" s="199"/>
      <c r="G17" s="160"/>
      <c r="H17" s="161"/>
      <c r="I17" s="162"/>
      <c r="J17" s="207"/>
      <c r="K17" s="208"/>
    </row>
    <row r="18" spans="2:11" ht="15" customHeight="1" x14ac:dyDescent="0.25">
      <c r="B18" s="159" t="s">
        <v>205</v>
      </c>
      <c r="C18" s="201">
        <f t="shared" si="0"/>
        <v>0</v>
      </c>
      <c r="D18" s="198"/>
      <c r="E18" s="196"/>
      <c r="F18" s="199"/>
      <c r="G18" s="160"/>
      <c r="H18" s="161"/>
      <c r="I18" s="162"/>
      <c r="J18" s="207"/>
      <c r="K18" s="208"/>
    </row>
    <row r="19" spans="2:11" ht="15" customHeight="1" x14ac:dyDescent="0.25">
      <c r="B19" s="159" t="s">
        <v>205</v>
      </c>
      <c r="C19" s="201">
        <f t="shared" si="0"/>
        <v>0</v>
      </c>
      <c r="D19" s="198"/>
      <c r="E19" s="196"/>
      <c r="F19" s="199"/>
      <c r="G19" s="160"/>
      <c r="H19" s="161"/>
      <c r="I19" s="162"/>
      <c r="J19" s="207"/>
      <c r="K19" s="208"/>
    </row>
    <row r="20" spans="2:11" ht="15" customHeight="1" x14ac:dyDescent="0.25">
      <c r="B20" s="159" t="s">
        <v>205</v>
      </c>
      <c r="C20" s="201">
        <f t="shared" si="0"/>
        <v>0</v>
      </c>
      <c r="D20" s="198"/>
      <c r="E20" s="196"/>
      <c r="F20" s="199"/>
      <c r="G20" s="160"/>
      <c r="H20" s="161"/>
      <c r="I20" s="162"/>
      <c r="J20" s="207"/>
      <c r="K20" s="208"/>
    </row>
    <row r="21" spans="2:11" ht="15" customHeight="1" x14ac:dyDescent="0.25">
      <c r="B21" s="159" t="s">
        <v>205</v>
      </c>
      <c r="C21" s="201">
        <f t="shared" si="0"/>
        <v>0</v>
      </c>
      <c r="D21" s="198"/>
      <c r="E21" s="196"/>
      <c r="F21" s="199"/>
      <c r="G21" s="160"/>
      <c r="H21" s="161"/>
      <c r="I21" s="162"/>
      <c r="J21" s="207"/>
      <c r="K21" s="208"/>
    </row>
    <row r="22" spans="2:11" ht="15" customHeight="1" x14ac:dyDescent="0.25">
      <c r="B22" s="159" t="s">
        <v>205</v>
      </c>
      <c r="C22" s="201">
        <f t="shared" si="0"/>
        <v>0</v>
      </c>
      <c r="D22" s="198"/>
      <c r="E22" s="196"/>
      <c r="F22" s="199"/>
      <c r="G22" s="163"/>
      <c r="H22" s="163"/>
      <c r="I22" s="164"/>
      <c r="J22" s="209"/>
      <c r="K22" s="210"/>
    </row>
    <row r="23" spans="2:11" ht="15" customHeight="1" thickBot="1" x14ac:dyDescent="0.3">
      <c r="B23" s="165" t="s">
        <v>125</v>
      </c>
      <c r="C23" s="200">
        <f>SUM(C12:C22)</f>
        <v>22732666</v>
      </c>
      <c r="D23" s="170">
        <f t="shared" ref="D23:F23" si="1">SUM(D12:D22)</f>
        <v>20332666</v>
      </c>
      <c r="E23" s="166">
        <f t="shared" si="1"/>
        <v>6607166</v>
      </c>
      <c r="F23" s="167">
        <f t="shared" si="1"/>
        <v>10809222</v>
      </c>
      <c r="G23" s="166">
        <f t="shared" ref="G23:I23" si="2">SUM(G12:G22)</f>
        <v>2400000</v>
      </c>
      <c r="H23" s="166">
        <f t="shared" si="2"/>
        <v>2400000</v>
      </c>
      <c r="I23" s="167">
        <f t="shared" si="2"/>
        <v>0</v>
      </c>
      <c r="J23" s="211">
        <f t="shared" ref="J23" si="3">SUM(J12:J22)</f>
        <v>0</v>
      </c>
      <c r="K23" s="212">
        <f t="shared" ref="K23" si="4">SUM(K12:K22)</f>
        <v>0</v>
      </c>
    </row>
    <row r="24" spans="2:11" ht="15" customHeight="1" thickTop="1" x14ac:dyDescent="0.25"/>
  </sheetData>
  <mergeCells count="8">
    <mergeCell ref="B4:K4"/>
    <mergeCell ref="B3:K3"/>
    <mergeCell ref="B2:K2"/>
    <mergeCell ref="B10:B11"/>
    <mergeCell ref="B6:K7"/>
    <mergeCell ref="G11:I11"/>
    <mergeCell ref="J11:K11"/>
    <mergeCell ref="D11:F11"/>
  </mergeCells>
  <pageMargins left="0.2" right="0.2" top="0.75" bottom="0.75" header="0.3" footer="0.3"/>
  <pageSetup scale="5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B15"/>
  <sheetViews>
    <sheetView topLeftCell="A3" zoomScale="110" zoomScaleNormal="110" workbookViewId="0">
      <selection activeCell="C24" sqref="C24"/>
    </sheetView>
  </sheetViews>
  <sheetFormatPr defaultRowHeight="15" x14ac:dyDescent="0.25"/>
  <cols>
    <col min="1" max="1" width="42.7109375" style="64" customWidth="1"/>
    <col min="2" max="2" width="13.85546875" style="64" customWidth="1"/>
  </cols>
  <sheetData>
    <row r="2" spans="1:2" x14ac:dyDescent="0.25">
      <c r="A2" s="317" t="s">
        <v>126</v>
      </c>
      <c r="B2" s="317"/>
    </row>
    <row r="3" spans="1:2" ht="15.75" x14ac:dyDescent="0.25">
      <c r="A3" s="318" t="s">
        <v>127</v>
      </c>
      <c r="B3" s="318"/>
    </row>
    <row r="4" spans="1:2" ht="24.6" customHeight="1" x14ac:dyDescent="0.25">
      <c r="A4" s="319" t="s">
        <v>128</v>
      </c>
      <c r="B4" s="319"/>
    </row>
    <row r="5" spans="1:2" x14ac:dyDescent="0.25">
      <c r="A5" s="65" t="s">
        <v>129</v>
      </c>
      <c r="B5" s="66">
        <f>'1. Reconciliation'!C23</f>
        <v>110058000</v>
      </c>
    </row>
    <row r="6" spans="1:2" x14ac:dyDescent="0.25">
      <c r="A6" s="65" t="s">
        <v>130</v>
      </c>
      <c r="B6" s="67">
        <f>'1. Reconciliation'!C26</f>
        <v>0.13032114562214742</v>
      </c>
    </row>
    <row r="7" spans="1:2" x14ac:dyDescent="0.25">
      <c r="A7" s="65" t="s">
        <v>131</v>
      </c>
      <c r="B7" s="67">
        <f>'1. Reconciliation'!C75</f>
        <v>7.6138737005139276E-2</v>
      </c>
    </row>
    <row r="8" spans="1:2" x14ac:dyDescent="0.25">
      <c r="A8" s="68"/>
      <c r="B8" s="69"/>
    </row>
    <row r="9" spans="1:2" x14ac:dyDescent="0.25">
      <c r="A9" s="70" t="s">
        <v>132</v>
      </c>
      <c r="B9" s="71"/>
    </row>
    <row r="10" spans="1:2" ht="39.6" customHeight="1" x14ac:dyDescent="0.25">
      <c r="A10" s="65" t="s">
        <v>133</v>
      </c>
      <c r="B10" s="72">
        <f>+'1. Reconciliation'!C12</f>
        <v>4688800</v>
      </c>
    </row>
    <row r="11" spans="1:2" x14ac:dyDescent="0.25">
      <c r="A11" s="65" t="s">
        <v>134</v>
      </c>
      <c r="B11" s="72">
        <f>+'1. Reconciliation'!C14</f>
        <v>4108400</v>
      </c>
    </row>
    <row r="12" spans="1:2" x14ac:dyDescent="0.25">
      <c r="A12" s="65" t="s">
        <v>23</v>
      </c>
      <c r="B12" s="72">
        <f>+'1. Reconciliation'!C16</f>
        <v>490900</v>
      </c>
    </row>
    <row r="13" spans="1:2" x14ac:dyDescent="0.25">
      <c r="A13" s="65" t="s">
        <v>24</v>
      </c>
      <c r="B13" s="72">
        <f>+'1. Reconciliation'!C17</f>
        <v>0</v>
      </c>
    </row>
    <row r="14" spans="1:2" ht="44.45" customHeight="1" x14ac:dyDescent="0.25">
      <c r="A14" s="65" t="s">
        <v>25</v>
      </c>
      <c r="B14" s="72">
        <f>+'1. Reconciliation'!C18</f>
        <v>3462439</v>
      </c>
    </row>
    <row r="15" spans="1:2" x14ac:dyDescent="0.25">
      <c r="A15" s="73" t="s">
        <v>135</v>
      </c>
      <c r="B15" s="74">
        <f>SUM(B10:B14)</f>
        <v>12750539</v>
      </c>
    </row>
  </sheetData>
  <mergeCells count="3">
    <mergeCell ref="A2:B2"/>
    <mergeCell ref="A3:B3"/>
    <mergeCell ref="A4:B4"/>
  </mergeCells>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136</v>
      </c>
    </row>
    <row r="3" spans="2:5" x14ac:dyDescent="0.25">
      <c r="B3" t="s">
        <v>137</v>
      </c>
      <c r="C3" t="s">
        <v>138</v>
      </c>
      <c r="D3" t="s">
        <v>115</v>
      </c>
      <c r="E3" t="s">
        <v>114</v>
      </c>
    </row>
    <row r="4" spans="2:5" x14ac:dyDescent="0.25">
      <c r="B4" s="16" t="s">
        <v>139</v>
      </c>
      <c r="C4" s="25">
        <v>180</v>
      </c>
      <c r="D4" s="25">
        <v>100</v>
      </c>
      <c r="E4" s="16" t="s">
        <v>140</v>
      </c>
    </row>
    <row r="5" spans="2:5" x14ac:dyDescent="0.25">
      <c r="B5" s="16" t="s">
        <v>141</v>
      </c>
      <c r="C5" s="25">
        <v>163</v>
      </c>
      <c r="D5" s="25">
        <v>100</v>
      </c>
      <c r="E5" s="25">
        <v>85</v>
      </c>
    </row>
    <row r="6" spans="2:5" x14ac:dyDescent="0.25">
      <c r="B6" s="16" t="s">
        <v>142</v>
      </c>
      <c r="C6" s="25">
        <v>186</v>
      </c>
      <c r="D6" s="25">
        <v>100</v>
      </c>
      <c r="E6" s="25">
        <v>58</v>
      </c>
    </row>
    <row r="7" spans="2:5" x14ac:dyDescent="0.25">
      <c r="B7" s="16" t="s">
        <v>143</v>
      </c>
      <c r="C7" s="25">
        <v>92</v>
      </c>
      <c r="D7" s="25">
        <v>100</v>
      </c>
      <c r="E7" s="25">
        <v>52</v>
      </c>
    </row>
    <row r="8" spans="2:5" x14ac:dyDescent="0.25">
      <c r="B8" s="16" t="s">
        <v>144</v>
      </c>
      <c r="C8" s="25">
        <v>166</v>
      </c>
      <c r="D8" s="25">
        <v>100</v>
      </c>
      <c r="E8" s="25">
        <v>76</v>
      </c>
    </row>
    <row r="9" spans="2:5" x14ac:dyDescent="0.25">
      <c r="B9" s="16" t="s">
        <v>145</v>
      </c>
      <c r="C9" s="25">
        <v>130</v>
      </c>
      <c r="D9" s="25">
        <v>100</v>
      </c>
      <c r="E9" s="25">
        <v>75</v>
      </c>
    </row>
    <row r="10" spans="2:5" x14ac:dyDescent="0.25">
      <c r="B10" s="16" t="s">
        <v>146</v>
      </c>
      <c r="C10" s="25">
        <v>160</v>
      </c>
      <c r="D10" s="25">
        <v>100</v>
      </c>
      <c r="E10" s="25">
        <v>79</v>
      </c>
    </row>
    <row r="11" spans="2:5" x14ac:dyDescent="0.25">
      <c r="B11" s="16" t="s">
        <v>147</v>
      </c>
      <c r="C11" s="25">
        <v>120</v>
      </c>
      <c r="D11" s="25">
        <v>100</v>
      </c>
      <c r="E11" s="25">
        <v>81</v>
      </c>
    </row>
    <row r="12" spans="2:5" x14ac:dyDescent="0.25">
      <c r="B12" s="16" t="s">
        <v>148</v>
      </c>
      <c r="C12" s="25">
        <v>160</v>
      </c>
      <c r="D12" s="25">
        <v>100</v>
      </c>
      <c r="E12" s="25">
        <v>72</v>
      </c>
    </row>
    <row r="13" spans="2:5" x14ac:dyDescent="0.25">
      <c r="B13" s="16" t="s">
        <v>149</v>
      </c>
      <c r="C13" s="25">
        <v>150</v>
      </c>
      <c r="D13" s="25">
        <v>100</v>
      </c>
      <c r="E13" s="16">
        <v>55</v>
      </c>
    </row>
    <row r="14" spans="2:5" x14ac:dyDescent="0.25">
      <c r="B14" s="16" t="s">
        <v>150</v>
      </c>
      <c r="C14" s="25">
        <v>264</v>
      </c>
      <c r="D14" s="25">
        <v>100</v>
      </c>
      <c r="E14" s="25">
        <v>44</v>
      </c>
    </row>
    <row r="15" spans="2:5" x14ac:dyDescent="0.25">
      <c r="B15" s="16" t="s">
        <v>151</v>
      </c>
      <c r="C15" s="25">
        <v>178</v>
      </c>
      <c r="D15" s="25">
        <v>100</v>
      </c>
      <c r="E15" s="25">
        <v>108</v>
      </c>
    </row>
    <row r="16" spans="2:5" x14ac:dyDescent="0.25">
      <c r="B16" s="16" t="s">
        <v>152</v>
      </c>
      <c r="C16" s="25">
        <v>185</v>
      </c>
      <c r="D16" s="25">
        <v>100</v>
      </c>
      <c r="E16" s="25">
        <v>89</v>
      </c>
    </row>
    <row r="17" spans="2:5" x14ac:dyDescent="0.25">
      <c r="B17" s="16" t="s">
        <v>153</v>
      </c>
      <c r="C17" s="25">
        <v>228</v>
      </c>
      <c r="D17" s="25">
        <v>100</v>
      </c>
      <c r="E17" s="25">
        <v>76</v>
      </c>
    </row>
  </sheetData>
  <sortState ref="B4:E17">
    <sortCondition ref="B4:B1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2" ma:contentTypeDescription="Create a new document." ma:contentTypeScope="" ma:versionID="7e3735d4e864d7ec0691512965e6ef7b">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185533197b816d09e5769a06b0a7be7b"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C383A7-8D29-41AC-904A-D8D13FBDB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FDD72E-62BB-4083-B4E4-70A11D422880}">
  <ds:schemaRefs>
    <ds:schemaRef ds:uri="http://purl.org/dc/dcmitype/"/>
    <ds:schemaRef ds:uri="http://schemas.openxmlformats.org/package/2006/metadata/core-properties"/>
    <ds:schemaRef ds:uri="2819d22d-c924-42b3-954a-d3b43813cc67"/>
    <ds:schemaRef ds:uri="http://schemas.microsoft.com/office/2006/metadata/properties"/>
    <ds:schemaRef ds:uri="http://schemas.microsoft.com/office/2006/documentManagement/types"/>
    <ds:schemaRef ds:uri="http://schemas.microsoft.com/office/infopath/2007/PartnerControls"/>
    <ds:schemaRef ds:uri="http://purl.org/dc/terms/"/>
    <ds:schemaRef ds:uri="18dbc17e-cec9-4211-a89f-0bf74a616302"/>
    <ds:schemaRef ds:uri="http://www.w3.org/XML/1998/namespace"/>
    <ds:schemaRef ds:uri="http://purl.org/dc/elements/1.1/"/>
  </ds:schemaRefs>
</ds:datastoreItem>
</file>

<file path=customXml/itemProps3.xml><?xml version="1.0" encoding="utf-8"?>
<ds:datastoreItem xmlns:ds="http://schemas.openxmlformats.org/officeDocument/2006/customXml" ds:itemID="{BC35E319-B666-43F5-B785-F40D79B223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Overview</vt:lpstr>
      <vt:lpstr>1. Reconciliation</vt:lpstr>
      <vt:lpstr>2. Charge and NPR Detail</vt:lpstr>
      <vt:lpstr>3. Utilization</vt:lpstr>
      <vt:lpstr>4. Inflation</vt:lpstr>
      <vt:lpstr>5. Value Based Care Participati</vt:lpstr>
      <vt:lpstr>6.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Hersey, Robert</cp:lastModifiedBy>
  <cp:revision/>
  <cp:lastPrinted>2022-07-06T17:50:01Z</cp:lastPrinted>
  <dcterms:created xsi:type="dcterms:W3CDTF">2020-01-09T18:52:12Z</dcterms:created>
  <dcterms:modified xsi:type="dcterms:W3CDTF">2022-07-08T20:13:07Z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