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S:\AOA\GMCB\GMCB - Shared\HCA-Special\HOME\HOSP\B2022\Appendix workbook\"/>
    </mc:Choice>
  </mc:AlternateContent>
  <xr:revisionPtr revIDLastSave="0" documentId="8_{CABF9114-3C44-422D-A7C6-69379BF9E4EB}" xr6:coauthVersionLast="47" xr6:coauthVersionMax="47" xr10:uidLastSave="{00000000-0000-0000-0000-000000000000}"/>
  <bookViews>
    <workbookView xWindow="-120" yWindow="-120" windowWidth="29040" windowHeight="15840" activeTab="2" xr2:uid="{00000000-000D-0000-FFFF-FFFF00000000}"/>
  </bookViews>
  <sheets>
    <sheet name="Overview" sheetId="17" r:id="rId1"/>
    <sheet name="1. Reconciliation" sheetId="15" r:id="rId2"/>
    <sheet name="2. Charge and NPR Detail" sheetId="13" r:id="rId3"/>
    <sheet name="3. Utilization" sheetId="7" r:id="rId4"/>
    <sheet name="4. Inflation" sheetId="16" r:id="rId5"/>
    <sheet name="5. Vaccine Clinics and Testing" sheetId="21" r:id="rId6"/>
    <sheet name="6. Value Based Care Participati" sheetId="8" r:id="rId7"/>
    <sheet name="7. COVID-19 Advances, Relief Fu" sheetId="20" r:id="rId8"/>
    <sheet name="Edit of Request Summary" sheetId="4" r:id="rId9"/>
    <sheet name="Non-Financial- Reimb. Ratio" sheetId="9"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Reconciliation'!$B$6:$M$115</definedName>
    <definedName name="_xlnm.Print_Area" localSheetId="2">'2. Charge and NPR Detail'!$B$2:$J$64</definedName>
    <definedName name="_xlnm.Print_Area" localSheetId="3">'3. Utilization'!$B$1:$D$19</definedName>
    <definedName name="_xlnm.Print_Area" localSheetId="4">'4. Inflation'!$B$1:$G$21</definedName>
    <definedName name="_xlnm.Print_Area" localSheetId="5">'5. Vaccine Clinics and Testing'!$B$7:$D$48</definedName>
    <definedName name="_xlnm.Print_Area" localSheetId="6">'6. Value Based Care Participati'!$B$2:$F$15</definedName>
    <definedName name="_xlnm.Print_Area" localSheetId="0">Overview!$A$1:$B$13</definedName>
    <definedName name="_xlnm.Print_Titles" localSheetId="1">'1. Reconciliation'!$2:$4</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1" i="15" l="1"/>
  <c r="F12" i="15"/>
  <c r="D20" i="7" l="1"/>
  <c r="D18" i="7"/>
  <c r="C45" i="13" l="1"/>
  <c r="F14" i="15" l="1"/>
  <c r="F11" i="15"/>
  <c r="E10" i="8" l="1"/>
  <c r="E11" i="8"/>
  <c r="E12" i="8"/>
  <c r="C107" i="15" l="1"/>
  <c r="C105" i="15"/>
  <c r="F80" i="15"/>
  <c r="E80" i="15"/>
  <c r="D80" i="15"/>
  <c r="F79" i="15"/>
  <c r="F70" i="15"/>
  <c r="E70" i="15"/>
  <c r="H72" i="15" l="1"/>
  <c r="E16" i="20" l="1"/>
  <c r="F16" i="20" s="1"/>
  <c r="F12" i="20"/>
  <c r="E15" i="20"/>
  <c r="C12" i="20"/>
  <c r="E22" i="20"/>
  <c r="C22" i="20"/>
  <c r="E21" i="20"/>
  <c r="C21" i="20"/>
  <c r="E23" i="20"/>
  <c r="E19" i="20"/>
  <c r="E18" i="20"/>
  <c r="C17" i="20"/>
  <c r="C14" i="20"/>
  <c r="C36" i="21"/>
  <c r="E13" i="16"/>
  <c r="D13" i="16"/>
  <c r="E12" i="16"/>
  <c r="D12" i="16"/>
  <c r="E11" i="16"/>
  <c r="D11" i="16"/>
  <c r="E10" i="16"/>
  <c r="E16" i="16" s="1"/>
  <c r="E9" i="16"/>
  <c r="D10" i="16"/>
  <c r="C17" i="7"/>
  <c r="C16" i="7"/>
  <c r="C15" i="7"/>
  <c r="C13" i="7"/>
  <c r="C11" i="7"/>
  <c r="C12" i="7"/>
  <c r="C10" i="7"/>
  <c r="C9" i="7"/>
  <c r="E14" i="8"/>
  <c r="D14" i="8"/>
  <c r="D34" i="13"/>
  <c r="D32" i="13"/>
  <c r="H13" i="15" l="1"/>
  <c r="E11" i="15" l="1"/>
  <c r="C24" i="20" l="1"/>
  <c r="C23" i="20"/>
  <c r="C20" i="20"/>
  <c r="C19" i="20"/>
  <c r="C18" i="20"/>
  <c r="C16" i="20"/>
  <c r="C15" i="20"/>
  <c r="C13" i="20"/>
  <c r="D16" i="16"/>
  <c r="F7" i="16"/>
  <c r="D38" i="15"/>
  <c r="G82" i="15"/>
  <c r="G84" i="15" s="1"/>
  <c r="G85" i="15" s="1"/>
  <c r="G23" i="15"/>
  <c r="G25" i="15" s="1"/>
  <c r="G26" i="15" s="1"/>
  <c r="C72" i="15"/>
  <c r="C71" i="15"/>
  <c r="C13" i="15"/>
  <c r="C12" i="15"/>
  <c r="F23" i="15"/>
  <c r="C19" i="15"/>
  <c r="C18" i="15"/>
  <c r="C17" i="15"/>
  <c r="C16" i="15"/>
  <c r="C15" i="15"/>
  <c r="C14" i="15"/>
  <c r="K25" i="20"/>
  <c r="J25" i="20"/>
  <c r="I25" i="20"/>
  <c r="H25" i="20"/>
  <c r="G25" i="20"/>
  <c r="D25" i="20"/>
  <c r="E25" i="20"/>
  <c r="F25" i="20"/>
  <c r="F15" i="16"/>
  <c r="F14" i="16"/>
  <c r="F13" i="16"/>
  <c r="F12" i="16"/>
  <c r="F11" i="16"/>
  <c r="F10" i="16"/>
  <c r="F9" i="16"/>
  <c r="F8" i="16"/>
  <c r="D21" i="13"/>
  <c r="C49" i="13"/>
  <c r="C39" i="13"/>
  <c r="C15" i="13"/>
  <c r="H49" i="13"/>
  <c r="G49" i="13"/>
  <c r="F49" i="13"/>
  <c r="E48" i="13"/>
  <c r="E47" i="13"/>
  <c r="E46" i="13"/>
  <c r="D46" i="13" s="1"/>
  <c r="E45" i="13"/>
  <c r="D45" i="13" s="1"/>
  <c r="E44" i="13"/>
  <c r="D44" i="13" s="1"/>
  <c r="D49" i="13" s="1"/>
  <c r="H39" i="13"/>
  <c r="G39" i="13"/>
  <c r="F39" i="13"/>
  <c r="J25" i="13"/>
  <c r="I25" i="13"/>
  <c r="H25" i="13"/>
  <c r="G25" i="13"/>
  <c r="F25" i="13"/>
  <c r="C25" i="13"/>
  <c r="E24" i="13"/>
  <c r="E25" i="13" s="1"/>
  <c r="D23" i="13"/>
  <c r="D22" i="13"/>
  <c r="C108" i="15"/>
  <c r="D104" i="15"/>
  <c r="D103" i="15"/>
  <c r="D106" i="15"/>
  <c r="D48" i="15"/>
  <c r="D47" i="15"/>
  <c r="D50" i="15"/>
  <c r="C57" i="15"/>
  <c r="C27" i="21"/>
  <c r="C23" i="21"/>
  <c r="D27" i="21"/>
  <c r="D23" i="21"/>
  <c r="B11" i="4"/>
  <c r="F16" i="16" l="1"/>
  <c r="G40" i="13"/>
  <c r="F73" i="15"/>
  <c r="F25" i="15"/>
  <c r="F26" i="15" s="1"/>
  <c r="C53" i="13"/>
  <c r="C25" i="20"/>
  <c r="C28" i="21"/>
  <c r="C38" i="21" s="1"/>
  <c r="C42" i="21" s="1"/>
  <c r="C46" i="21" s="1"/>
  <c r="E49" i="13"/>
  <c r="D28" i="21"/>
  <c r="D38" i="21" s="1"/>
  <c r="D45" i="21" s="1"/>
  <c r="C28" i="15"/>
  <c r="D42" i="21"/>
  <c r="D46" i="21" s="1"/>
  <c r="C18" i="7"/>
  <c r="C21" i="7" s="1"/>
  <c r="C39" i="15"/>
  <c r="D102" i="15"/>
  <c r="D105" i="15"/>
  <c r="D107" i="15"/>
  <c r="D46" i="15"/>
  <c r="D51" i="15"/>
  <c r="D49" i="15"/>
  <c r="D45" i="15"/>
  <c r="H82" i="15"/>
  <c r="H84" i="15" s="1"/>
  <c r="H85" i="15" s="1"/>
  <c r="C81" i="15"/>
  <c r="C80" i="15"/>
  <c r="C79" i="15"/>
  <c r="C78" i="15"/>
  <c r="C77" i="15"/>
  <c r="C76" i="15"/>
  <c r="C75" i="15"/>
  <c r="C74" i="15"/>
  <c r="C70" i="15"/>
  <c r="E23" i="15"/>
  <c r="H23" i="15"/>
  <c r="H25" i="15" s="1"/>
  <c r="H26" i="15" s="1"/>
  <c r="D23" i="15"/>
  <c r="B12" i="4"/>
  <c r="B13" i="4"/>
  <c r="C20" i="15"/>
  <c r="C21" i="15"/>
  <c r="C22" i="15"/>
  <c r="C11" i="15"/>
  <c r="C54" i="13" s="1"/>
  <c r="C55" i="13" l="1"/>
  <c r="E25" i="15"/>
  <c r="E26" i="15" s="1"/>
  <c r="E73" i="15"/>
  <c r="E82" i="15" s="1"/>
  <c r="E84" i="15" s="1"/>
  <c r="E85" i="15" s="1"/>
  <c r="I39" i="13"/>
  <c r="I40" i="13" s="1"/>
  <c r="D25" i="15"/>
  <c r="D26" i="15" s="1"/>
  <c r="D73" i="15"/>
  <c r="D82" i="15" s="1"/>
  <c r="D84" i="15" s="1"/>
  <c r="D85" i="15" s="1"/>
  <c r="F82" i="15"/>
  <c r="F84" i="15" s="1"/>
  <c r="F85" i="15" s="1"/>
  <c r="C45" i="21"/>
  <c r="B14" i="4"/>
  <c r="B10" i="4"/>
  <c r="B15" i="4" s="1"/>
  <c r="C73" i="15" l="1"/>
  <c r="C82" i="15" s="1"/>
  <c r="C87" i="15" s="1"/>
  <c r="C88" i="15" s="1"/>
  <c r="J39" i="13"/>
  <c r="J41" i="13" s="1"/>
  <c r="C23" i="15"/>
  <c r="C84" i="15" l="1"/>
  <c r="D33" i="13"/>
  <c r="D39" i="13" s="1"/>
  <c r="D53" i="13" s="1"/>
  <c r="E53" i="13" s="1"/>
  <c r="E39" i="13"/>
  <c r="F54" i="13"/>
  <c r="E40" i="13"/>
  <c r="B5" i="4"/>
  <c r="C29" i="15"/>
  <c r="C31" i="15" s="1"/>
  <c r="C32" i="15" s="1"/>
  <c r="D101" i="15"/>
  <c r="D100" i="15"/>
  <c r="D99" i="15"/>
  <c r="D98" i="15"/>
  <c r="D97" i="15"/>
  <c r="D96" i="15"/>
  <c r="D95" i="15"/>
  <c r="D94" i="15"/>
  <c r="C85" i="15" l="1"/>
  <c r="B7" i="4" s="1"/>
  <c r="F53" i="13"/>
  <c r="F55" i="13"/>
  <c r="D108" i="15"/>
  <c r="C113" i="15"/>
  <c r="C114" i="15" s="1"/>
  <c r="D44" i="15"/>
  <c r="D43" i="15"/>
  <c r="D42" i="15"/>
  <c r="D41" i="15"/>
  <c r="D40" i="15"/>
  <c r="C110" i="15" l="1"/>
  <c r="C111" i="15" s="1"/>
  <c r="C25" i="15" l="1"/>
  <c r="C26" i="15" s="1"/>
  <c r="D54" i="13" l="1"/>
  <c r="D55" i="13" s="1"/>
  <c r="C52" i="15"/>
  <c r="C58" i="15" s="1"/>
  <c r="C60" i="15" s="1"/>
  <c r="C61" i="15" s="1"/>
  <c r="D39" i="15"/>
  <c r="D52" i="15" s="1"/>
  <c r="B6" i="4" l="1"/>
  <c r="E54" i="13"/>
  <c r="E55" i="13" s="1"/>
  <c r="C54" i="15"/>
  <c r="C55" i="15" s="1"/>
</calcChain>
</file>

<file path=xl/sharedStrings.xml><?xml version="1.0" encoding="utf-8"?>
<sst xmlns="http://schemas.openxmlformats.org/spreadsheetml/2006/main" count="376" uniqueCount="281">
  <si>
    <t>FY2022 Budget Reporting Requirements</t>
  </si>
  <si>
    <t>Appendices 1-7</t>
  </si>
  <si>
    <t>Do not Modify</t>
  </si>
  <si>
    <t>Appendix 1: Reconciliation Tables</t>
  </si>
  <si>
    <t>Appendix 2: Change in Charge</t>
  </si>
  <si>
    <t>Modify</t>
  </si>
  <si>
    <t>Appendix 3: Utilization</t>
  </si>
  <si>
    <t>Appendix 4: Inflation</t>
  </si>
  <si>
    <t>Appendix 5: Vaccine Clinics and Testing</t>
  </si>
  <si>
    <t>Appendix 6: Value-Based Care Participation</t>
  </si>
  <si>
    <t>Appendix 7: COVID-19 Advances, Relief Funds, and Other Grants</t>
  </si>
  <si>
    <t>Request Summary (automatically populated)</t>
  </si>
  <si>
    <t>Appendix 1</t>
  </si>
  <si>
    <t>Do not Modify, except for cells labeled "Other"</t>
  </si>
  <si>
    <t>Reconciliation Tables</t>
  </si>
  <si>
    <t>Budget-to-Budget</t>
  </si>
  <si>
    <t>Table 1: NPR Variance - FY 2021 Approved Budget to FY 2022 Proposed Budget</t>
  </si>
  <si>
    <t>NPR</t>
  </si>
  <si>
    <t>Total</t>
  </si>
  <si>
    <t>Total Medicare</t>
  </si>
  <si>
    <t>Total Medicaid</t>
  </si>
  <si>
    <t>Total Commercial</t>
  </si>
  <si>
    <t>FY 2021 Approved Budget</t>
  </si>
  <si>
    <t>NPR/FPP Rate Impact</t>
  </si>
  <si>
    <t>Utilization (not factored into change in charge request)</t>
  </si>
  <si>
    <t>Provider Acquisitions/Transfers</t>
  </si>
  <si>
    <t>Changes in Accounting</t>
  </si>
  <si>
    <t>Reimbursement/Payer Mix</t>
  </si>
  <si>
    <t>Other (specify)</t>
  </si>
  <si>
    <t>FY 2022 Proposed Budget</t>
  </si>
  <si>
    <t>$ Change from FY 2021 Approved Budget</t>
  </si>
  <si>
    <t>% Change from FY 2021 Approved Budget</t>
  </si>
  <si>
    <t>Impact of COVID-19 vaccination clinics and testing</t>
  </si>
  <si>
    <t>FY 2022 Proposed Budget without COVID-19 vaccination clinics and testing</t>
  </si>
  <si>
    <t>$ Change from FY 2021 Approved Budget to Adjusted FY 2022</t>
  </si>
  <si>
    <t>% Change from FY 2021 Approved Budget to Adjusted FY 2022</t>
  </si>
  <si>
    <t>Table 2: FY 2021 Approved Expenses to FY 2022 Proposed Budget</t>
  </si>
  <si>
    <t>Expenses</t>
  </si>
  <si>
    <t>Amount</t>
  </si>
  <si>
    <t>% over/under</t>
  </si>
  <si>
    <t>FY 21 Approved Budget</t>
  </si>
  <si>
    <t>New Positions</t>
  </si>
  <si>
    <t>Inflation Increases</t>
  </si>
  <si>
    <t>Salaries</t>
  </si>
  <si>
    <t>Fringe</t>
  </si>
  <si>
    <t>Travelers (nurses)</t>
  </si>
  <si>
    <t>Locum tenans (MDs)</t>
  </si>
  <si>
    <t>Drugs</t>
  </si>
  <si>
    <t>Health Care Provider Tax</t>
  </si>
  <si>
    <t>Cost Savings</t>
  </si>
  <si>
    <t>Other (specify, add additional rows as necessary)</t>
  </si>
  <si>
    <t>FY 22 Proposed Budget</t>
  </si>
  <si>
    <t>Projection-to-Budget</t>
  </si>
  <si>
    <t>Table 3: NPR Variance - FY 2021 Projection to FY 2022 Proposed Budget</t>
  </si>
  <si>
    <t>Projection derived as of:</t>
  </si>
  <si>
    <t>(ex. May 2021 year-to-date)</t>
  </si>
  <si>
    <t>FY 2021 Projection</t>
  </si>
  <si>
    <t>Rate Effect</t>
  </si>
  <si>
    <t>Disproportionate Share Payments (DSH)</t>
  </si>
  <si>
    <t>Utilization (not factoring in change in charge request)</t>
  </si>
  <si>
    <t>Fixed Prospective Payments</t>
  </si>
  <si>
    <t>Bad Debt/Free Care</t>
  </si>
  <si>
    <t>$ Change from FY 2021 Projection</t>
  </si>
  <si>
    <t>% Change from FY 2021 Projection</t>
  </si>
  <si>
    <t>$ Change from FY 2021 Projection to Adjusted FY 2022</t>
  </si>
  <si>
    <t>% Change from FY 2021 Projection to Adjusted FY 2022</t>
  </si>
  <si>
    <t>Table 4: FY 2021 Projected Expenses to FY 2022 Proposed Budget</t>
  </si>
  <si>
    <t>Appendix 2</t>
  </si>
  <si>
    <t>Charge and NPR Detail</t>
  </si>
  <si>
    <t>The following tables demonstrate the hospital's charges by payer from your requested charge master increase.</t>
  </si>
  <si>
    <r>
      <rPr>
        <b/>
        <sz val="11"/>
        <color theme="1"/>
        <rFont val="Calibri"/>
        <family val="2"/>
      </rPr>
      <t>Table 1:</t>
    </r>
    <r>
      <rPr>
        <sz val="11"/>
        <color theme="1"/>
        <rFont val="Calibri"/>
        <family val="2"/>
      </rPr>
      <t xml:space="preserve">  Please provide the requested charge master increase by area of service without of utilization and acuity. </t>
    </r>
  </si>
  <si>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</si>
  <si>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</si>
  <si>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</si>
  <si>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</si>
  <si>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</si>
  <si>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</si>
  <si>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</si>
  <si>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</si>
  <si>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t>Budget-to-Budget Variance (%)</t>
  </si>
  <si>
    <t>In State</t>
  </si>
  <si>
    <t>Other</t>
  </si>
  <si>
    <r>
      <rPr>
        <b/>
        <sz val="11"/>
        <color theme="1"/>
        <rFont val="Calibri"/>
        <family val="2"/>
      </rPr>
      <t>Table 3:</t>
    </r>
    <r>
      <rPr>
        <sz val="11"/>
        <color theme="1"/>
        <rFont val="Calibri"/>
        <family val="2"/>
      </rPr>
      <t xml:space="preserve">  Please provide FY21 budgeted NPR/FPP and FY22 budgeted NPR/FPP by category of service taking into account the gross revenue assumptions in Table 2. </t>
    </r>
  </si>
  <si>
    <t>Areas of Service</t>
  </si>
  <si>
    <t>FY21 Budget NPR</t>
  </si>
  <si>
    <t>Budget-to-Budget Variance ($)</t>
  </si>
  <si>
    <t>FY22 Budget NPR</t>
  </si>
  <si>
    <t>FY21 Budget FPP</t>
  </si>
  <si>
    <t>FY22 Total Budget FPP</t>
  </si>
  <si>
    <t>Reserves</t>
  </si>
  <si>
    <t>Other Reform Payments</t>
  </si>
  <si>
    <t>FY21 Budget NPR/FPP</t>
  </si>
  <si>
    <t>FY22 Budget NPR/FPP</t>
  </si>
  <si>
    <t>Total Overall NPR/FPP</t>
  </si>
  <si>
    <t>From 1. Reconciliation tab</t>
  </si>
  <si>
    <t>Variance (should be 0)</t>
  </si>
  <si>
    <r>
      <rPr>
        <b/>
        <sz val="11"/>
        <color theme="1"/>
        <rFont val="Calibri"/>
        <family val="2"/>
      </rPr>
      <t>Table 4:</t>
    </r>
    <r>
      <rPr>
        <sz val="11"/>
        <color theme="1"/>
        <rFont val="Calibri"/>
        <family val="2"/>
      </rPr>
      <t xml:space="preserve"> Please indicate the NPR/FPP FY2022 dollar value of 1% overall change in charge.</t>
    </r>
  </si>
  <si>
    <t>NPR/FPP value of 1% Overall Change in Charge</t>
  </si>
  <si>
    <t>Appendix 3</t>
  </si>
  <si>
    <t>Utilization</t>
  </si>
  <si>
    <t>Category of Service</t>
  </si>
  <si>
    <t>Total increase in Gross Revenues (%)</t>
  </si>
  <si>
    <t>Total increase in Gross Revenues ($)</t>
  </si>
  <si>
    <t>$ Change from FY 2021 Approved budget</t>
  </si>
  <si>
    <t>% Change from FY 2021 Approved budget</t>
  </si>
  <si>
    <t>Does not need to tie to P&amp;L</t>
  </si>
  <si>
    <t>Appendix 4</t>
  </si>
  <si>
    <t>Inflation</t>
  </si>
  <si>
    <t>Expense Category</t>
  </si>
  <si>
    <t>Estimated Inflation</t>
  </si>
  <si>
    <t>Comment</t>
  </si>
  <si>
    <t>% Increase</t>
  </si>
  <si>
    <t>$ Increase</t>
  </si>
  <si>
    <t>Category % of Operating Expense Budget</t>
  </si>
  <si>
    <t>Example: Wages/Compensation- Medical Staff</t>
  </si>
  <si>
    <t>This is inflation price effect only, does not account for new hires (volume).</t>
  </si>
  <si>
    <t>Wages/Compensation - Medical Staff</t>
  </si>
  <si>
    <t>Wages/Compensation - Non-Medical Staff</t>
  </si>
  <si>
    <t>Medical Supplies</t>
  </si>
  <si>
    <t>Non-Medical Supplies</t>
  </si>
  <si>
    <t>Other (Please Specify)</t>
  </si>
  <si>
    <t>%</t>
  </si>
  <si>
    <t>*should be 100%</t>
  </si>
  <si>
    <t>Not intended for systemwide look or comparative analysis</t>
  </si>
  <si>
    <t>Appendix 5</t>
  </si>
  <si>
    <t>Vaccine Clinics and Testing</t>
  </si>
  <si>
    <t>Where is your hospital reporting Vaccine/Testing Revenues and Expenses?</t>
  </si>
  <si>
    <t>Fiscal Year 2022 Budget Analysis</t>
  </si>
  <si>
    <t>INCOME STATEMENT</t>
  </si>
  <si>
    <t>2021 Projection Vaccine/Testing Income Statement Supplement</t>
  </si>
  <si>
    <t>2022 Budget Vaccine/Testing Income Statement Supplement</t>
  </si>
  <si>
    <t>Revenues</t>
  </si>
  <si>
    <t>Gross Patient Care Revenue</t>
  </si>
  <si>
    <t>Disproportionate Share Payments</t>
  </si>
  <si>
    <t>Graduate Medical Education (UVMMC only)</t>
  </si>
  <si>
    <t>Bad Debt</t>
  </si>
  <si>
    <t>Free Care</t>
  </si>
  <si>
    <t>Deductions from Revenue</t>
  </si>
  <si>
    <t>Net Patient Care Revenue</t>
  </si>
  <si>
    <t>Fixed Prospective Payments, Reserves &amp; Other</t>
  </si>
  <si>
    <t>Total NPR &amp; FPP</t>
  </si>
  <si>
    <t>COVID-19 Stimulus and Other Grant Funding</t>
  </si>
  <si>
    <t>Other Operating Revenue</t>
  </si>
  <si>
    <t>Total Operating Revenue</t>
  </si>
  <si>
    <t>Salaries, Fringe Benefits, Physician Fees, Contracts</t>
  </si>
  <si>
    <t>Medical/Surgical Drugs and Supplies</t>
  </si>
  <si>
    <t>Depreciation/Amortization</t>
  </si>
  <si>
    <t>Interest - Short and Long Term</t>
  </si>
  <si>
    <t>Other Operating Expenses (includes ACO Participation Fees)</t>
  </si>
  <si>
    <t>Operating Expense</t>
  </si>
  <si>
    <t>Net Operating Income</t>
  </si>
  <si>
    <t>Non Operating Revenue</t>
  </si>
  <si>
    <t>Excess (Deficit) of Rev over Exp</t>
  </si>
  <si>
    <t>Income Statement Metrics</t>
  </si>
  <si>
    <t>Operating Margin %</t>
  </si>
  <si>
    <t>Total Margin %</t>
  </si>
  <si>
    <t>edit from P&amp;L</t>
  </si>
  <si>
    <t>Appendix 6</t>
  </si>
  <si>
    <t>Value-Based Care Participation</t>
  </si>
  <si>
    <t>Complete the following table if the hospital is participating in one or more of value-based care programs. If the hospital is not participating in value-based care programs, please indicate in the narrative.</t>
  </si>
  <si>
    <t>Value-Based Care Program</t>
  </si>
  <si>
    <t xml:space="preserve">Participating in Program in Calendar Year (CY) 2022? </t>
  </si>
  <si>
    <t xml:space="preserve">Budgeted Number of Attributed Lives (monthly average </t>
  </si>
  <si>
    <t xml:space="preserve">Budgeted Amount of FPP (monthly average </t>
  </si>
  <si>
    <t xml:space="preserve">Budgeted Maximum Upside/Downside Risk </t>
  </si>
  <si>
    <t>(Yes/No)</t>
  </si>
  <si>
    <t xml:space="preserve"> for CY 2022)</t>
  </si>
  <si>
    <t xml:space="preserve"> for CY 2022</t>
  </si>
  <si>
    <t>Medicaid</t>
  </si>
  <si>
    <t>Medicare</t>
  </si>
  <si>
    <t>Self-Insured</t>
  </si>
  <si>
    <t>TOTAL</t>
  </si>
  <si>
    <t>Appendix 7</t>
  </si>
  <si>
    <t>Do not Modify, except cells labeled "Other"</t>
  </si>
  <si>
    <t>COVID-19 Advances, Relief Funds, and Other Grants</t>
  </si>
  <si>
    <t>Description</t>
  </si>
  <si>
    <t>Amounts Received</t>
  </si>
  <si>
    <t>Recognized in Revenues</t>
  </si>
  <si>
    <t>Recorded as a liability</t>
  </si>
  <si>
    <t>As of Sept. 30, 2020</t>
  </si>
  <si>
    <t>As of Sept. 30, 2021</t>
  </si>
  <si>
    <t>As of Sept. 30, 2022</t>
  </si>
  <si>
    <t>CARES Act Funding</t>
  </si>
  <si>
    <t>Medicare Advance - Repayment</t>
  </si>
  <si>
    <t>VT Blue Cross Advance</t>
  </si>
  <si>
    <t>VT Healthcare Stabilization Grant</t>
  </si>
  <si>
    <t>VT Medicaid Retainer Funding</t>
  </si>
  <si>
    <t>VT Hazard Pay Grant</t>
  </si>
  <si>
    <t>VT Unemployment Credit - CARES Act</t>
  </si>
  <si>
    <t>CARES Workforce Retention Credit</t>
  </si>
  <si>
    <t>Other (add rows as necessary)</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</si>
  <si>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</si>
  <si>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</si>
  <si>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</si>
  <si>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</si>
  <si>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</si>
  <si>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</si>
  <si>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</si>
  <si>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</si>
  <si>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</si>
  <si>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</si>
  <si>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</si>
  <si>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</si>
  <si>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</si>
  <si>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</si>
  <si>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</si>
  <si>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</si>
  <si>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</si>
  <si>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</si>
  <si>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</si>
  <si>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</si>
  <si>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</si>
  <si>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</si>
  <si>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</si>
  <si>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</si>
  <si>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</si>
  <si>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</si>
  <si>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</si>
  <si>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</si>
  <si>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 xml:space="preserve">Identify key categories of operating expense inflation and provide the estimated inflation factor. This is not an assessment of overall growth of the category (i.e.-does not need to tie to the P&amp;L). It should focus on price effects only (not utilization growth or new hires).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</si>
  <si>
    <t>Grand Total</t>
  </si>
  <si>
    <t>PPP Funds</t>
  </si>
  <si>
    <t>Total Self-Pay/Other</t>
  </si>
  <si>
    <t>NPR ($) Analysis by Payer</t>
  </si>
  <si>
    <t>FPP ($) Analysis by Payer</t>
  </si>
  <si>
    <t>FY21 Budget Gross Revenue</t>
  </si>
  <si>
    <t>FY 22 Budget Gross Revenue</t>
  </si>
  <si>
    <t xml:space="preserve">Gross Revenue by Commercial Payer 
</t>
  </si>
  <si>
    <t xml:space="preserve">Gross Revenue by Self-Pay/Other      </t>
  </si>
  <si>
    <t xml:space="preserve">Gross Revenue by Medicaid
</t>
  </si>
  <si>
    <t xml:space="preserve">Gross Revenue by Medicare
</t>
  </si>
  <si>
    <t>Gross Revenue ($) Analysis by Payer</t>
  </si>
  <si>
    <t xml:space="preserve"> NPR by Commercial Payer</t>
  </si>
  <si>
    <t xml:space="preserve"> NPR by Self-Pay/Other</t>
  </si>
  <si>
    <t>NPR by Medicaid</t>
  </si>
  <si>
    <t>NPR by Medicare</t>
  </si>
  <si>
    <t>FPP by Medicaid</t>
  </si>
  <si>
    <t>FPP by Medicare</t>
  </si>
  <si>
    <t>Total FPP Across All Categories</t>
  </si>
  <si>
    <t>Total NPR Across All Categories</t>
  </si>
  <si>
    <t>Total Gross Revenues Across All Categories</t>
  </si>
  <si>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</si>
  <si>
    <t>Commercial (not Self-Insured)</t>
  </si>
  <si>
    <t>DSH</t>
  </si>
  <si>
    <t>from Appendix 4. Inflation (price effect only)</t>
  </si>
  <si>
    <t xml:space="preserve"> FPP by Commercial Payer (in state only)*</t>
  </si>
  <si>
    <t>*if possible</t>
  </si>
  <si>
    <t>tie to income statement</t>
  </si>
  <si>
    <t>Weighted Average 
(Column C * Column E)</t>
  </si>
  <si>
    <r>
      <t xml:space="preserve">Please denote the advances, relief funds, and other grants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2020, September 30, 2021 and September 30, 2022.</t>
    </r>
  </si>
  <si>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</si>
  <si>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Other (shift from FFS)</t>
  </si>
  <si>
    <t>Reimbursement Rate/Payer Mix</t>
  </si>
  <si>
    <t>YES</t>
  </si>
  <si>
    <t>Endoscopy</t>
  </si>
  <si>
    <t>Operating Room</t>
  </si>
  <si>
    <t>CAT Scan</t>
  </si>
  <si>
    <t>LABORATORY</t>
  </si>
  <si>
    <t>Anesthesia</t>
  </si>
  <si>
    <t>Physician practices</t>
  </si>
  <si>
    <t>Emergency Room</t>
  </si>
  <si>
    <t>Employee Benefits</t>
  </si>
  <si>
    <t>Assumes 5% increase and continue 340b savings</t>
  </si>
  <si>
    <t>Average 3% rate increase</t>
  </si>
  <si>
    <t>all other</t>
  </si>
  <si>
    <t>Largest increases in health and dental insurance</t>
  </si>
  <si>
    <t>Vacinne Clinic</t>
  </si>
  <si>
    <t>VT Child Care Covid payments</t>
  </si>
  <si>
    <t>VAHHS ASPR Grant</t>
  </si>
  <si>
    <t>VT Healthcare Emergency preparedness Covid</t>
  </si>
  <si>
    <t>Physician PSA</t>
  </si>
  <si>
    <t>Depreciation</t>
  </si>
  <si>
    <t>Interest</t>
  </si>
  <si>
    <t>Supply Cost</t>
  </si>
  <si>
    <t>COVID-19 Rate-Inpt</t>
  </si>
  <si>
    <t>COVID-19 testing</t>
  </si>
  <si>
    <t>COVID-19 staffing</t>
  </si>
  <si>
    <t>Supply expenses</t>
  </si>
  <si>
    <t>Mammography</t>
  </si>
  <si>
    <t>MED/SURG supplies sold</t>
  </si>
  <si>
    <t>The dollar value of a 1% change in charge is approximately  $840,318.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</si>
</sst>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 numFmtId="169" formatCode="_(* #,##0.0_);_(* \(#,##0.0\);_(* &quot;-&quot;??_);_(@_)"/>
  </numFmts>
  <fonts count="3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sz val="11"/>
      <color rgb="FFFF0000"/>
      <name val="Calibri"/>
      <family val="2"/>
      <scheme val="minor"/>
    </font>
    <font>
      <b/>
      <sz val="24"/>
      <color theme="1"/>
      <name val="Calibri"/>
      <family val="2"/>
      <scheme val="minor"/>
    </font>
    <font>
      <sz val="24"/>
      <color theme="1"/>
      <name val="Calibri"/>
      <family val="2"/>
      <scheme val="minor"/>
    </font>
    <font>
      <b/>
      <sz val="20"/>
      <color theme="1"/>
      <name val="Calibri"/>
      <family val="2"/>
      <scheme val="minor"/>
    </font>
    <font>
      <sz val="20"/>
      <color theme="1"/>
      <name val="Calibri"/>
      <family val="2"/>
      <scheme val="minor"/>
    </font>
    <font>
      <b/>
      <sz val="26"/>
      <color theme="1"/>
      <name val="Calibri"/>
      <family val="2"/>
      <scheme val="minor"/>
    </font>
    <font>
      <b/>
      <i/>
      <sz val="11"/>
      <color theme="1"/>
      <name val="Calibri"/>
      <family val="2"/>
    </font>
    <font>
      <sz val="11"/>
      <name val="Calibri"/>
      <family val="2"/>
    </font>
    <font>
      <i/>
      <sz val="11"/>
      <color theme="1"/>
      <name val="Calibri"/>
      <family val="2"/>
      <scheme val="minor"/>
    </font>
    <font>
      <b/>
      <sz val="24"/>
      <color theme="1"/>
      <name val="Calibri"/>
      <family val="2"/>
    </font>
    <font>
      <sz val="12"/>
      <color theme="1"/>
      <name val="Calibri"/>
      <family val="2"/>
    </font>
    <font>
      <i/>
      <sz val="12"/>
      <color rgb="FFFF0000"/>
      <name val="Calibri"/>
      <family val="2"/>
    </font>
  </fonts>
  <fills count="20">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auto="1"/>
      </left>
      <right style="thin">
        <color auto="1"/>
      </right>
      <top/>
      <bottom/>
      <diagonal/>
    </border>
    <border>
      <left style="medium">
        <color indexed="64"/>
      </left>
      <right style="thin">
        <color indexed="64"/>
      </right>
      <top/>
      <bottom/>
      <diagonal/>
    </border>
    <border>
      <left style="medium">
        <color indexed="64"/>
      </left>
      <right style="thin">
        <color auto="1"/>
      </right>
      <top style="thin">
        <color indexed="64"/>
      </top>
      <bottom style="double">
        <color indexed="64"/>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thin">
        <color auto="1"/>
      </left>
      <right style="thin">
        <color auto="1"/>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cellStyleXfs>
  <cellXfs count="408">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6" xfId="5" applyFont="1" applyBorder="1" applyAlignment="1">
      <alignment horizontal="left" vertical="top" wrapText="1"/>
    </xf>
    <xf numFmtId="0" fontId="8" fillId="0" borderId="7" xfId="5" applyFont="1" applyBorder="1" applyAlignment="1">
      <alignment horizontal="left" vertical="top" wrapText="1"/>
    </xf>
    <xf numFmtId="0" fontId="8" fillId="0" borderId="8" xfId="5" applyFont="1" applyBorder="1"/>
    <xf numFmtId="0" fontId="8" fillId="0" borderId="9" xfId="5" applyFont="1" applyBorder="1" applyAlignment="1">
      <alignment vertical="top"/>
    </xf>
    <xf numFmtId="0" fontId="8" fillId="0" borderId="10" xfId="5" applyFont="1" applyBorder="1" applyAlignment="1">
      <alignment vertical="top"/>
    </xf>
    <xf numFmtId="0" fontId="8" fillId="0" borderId="11" xfId="5" applyFont="1" applyBorder="1"/>
    <xf numFmtId="0" fontId="8" fillId="0" borderId="12" xfId="5" applyFont="1" applyBorder="1"/>
    <xf numFmtId="0" fontId="8" fillId="0" borderId="13" xfId="5" applyFont="1" applyBorder="1"/>
    <xf numFmtId="0" fontId="8" fillId="4" borderId="12" xfId="5" applyFont="1" applyFill="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4" fillId="0" borderId="4" xfId="3" applyFont="1" applyBorder="1"/>
    <xf numFmtId="9" fontId="0" fillId="0" borderId="4" xfId="3" applyFont="1" applyBorder="1" applyAlignment="1">
      <alignment horizontal="center"/>
    </xf>
    <xf numFmtId="44" fontId="0" fillId="0" borderId="4" xfId="2" applyFont="1" applyBorder="1" applyAlignment="1">
      <alignment horizontal="center"/>
    </xf>
    <xf numFmtId="0" fontId="0" fillId="0" borderId="0" xfId="0" applyBorder="1" applyAlignment="1">
      <alignment horizontal="center"/>
    </xf>
    <xf numFmtId="164" fontId="0" fillId="0" borderId="0" xfId="3" applyNumberFormat="1"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44" fontId="0" fillId="0" borderId="4" xfId="3" applyNumberFormat="1" applyFont="1" applyFill="1" applyBorder="1" applyProtection="1">
      <protection locked="0"/>
    </xf>
    <xf numFmtId="44" fontId="0" fillId="0" borderId="4" xfId="2" applyNumberFormat="1" applyFont="1" applyFill="1" applyBorder="1" applyProtection="1">
      <protection locked="0"/>
    </xf>
    <xf numFmtId="44" fontId="0" fillId="0" borderId="4" xfId="1" applyNumberFormat="1" applyFont="1" applyBorder="1" applyProtection="1">
      <protection locked="0"/>
    </xf>
    <xf numFmtId="44" fontId="0" fillId="0" borderId="4" xfId="1" quotePrefix="1" applyNumberFormat="1" applyFont="1" applyBorder="1" applyAlignment="1" applyProtection="1">
      <alignment horizontal="right"/>
      <protection locked="0"/>
    </xf>
    <xf numFmtId="166" fontId="0" fillId="0" borderId="4" xfId="1" applyNumberFormat="1" applyFont="1" applyBorder="1" applyProtection="1">
      <protection locked="0"/>
    </xf>
    <xf numFmtId="44" fontId="0" fillId="3" borderId="4" xfId="3" applyNumberFormat="1" applyFont="1" applyFill="1" applyBorder="1" applyProtection="1">
      <protection locked="0"/>
    </xf>
    <xf numFmtId="44" fontId="0" fillId="3" borderId="4" xfId="2" applyNumberFormat="1" applyFont="1" applyFill="1" applyBorder="1" applyProtection="1">
      <protection locked="0"/>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0" fontId="4" fillId="0" borderId="4" xfId="5" applyFont="1" applyFill="1" applyBorder="1"/>
    <xf numFmtId="9" fontId="4" fillId="0" borderId="0" xfId="3" applyFont="1"/>
    <xf numFmtId="0" fontId="2" fillId="0" borderId="0" xfId="1" applyNumberFormat="1" applyFont="1" applyAlignment="1">
      <alignment horizontal="right"/>
    </xf>
    <xf numFmtId="0" fontId="2" fillId="0" borderId="0" xfId="1" applyNumberFormat="1" applyFont="1" applyAlignment="1">
      <alignment horizontal="center" wrapText="1"/>
    </xf>
    <xf numFmtId="0" fontId="19" fillId="0" borderId="0" xfId="1" applyNumberFormat="1" applyFont="1" applyAlignment="1">
      <alignment horizontal="right"/>
    </xf>
    <xf numFmtId="166" fontId="19" fillId="0" borderId="0" xfId="1" applyNumberFormat="1" applyFont="1"/>
    <xf numFmtId="0" fontId="20" fillId="0" borderId="0" xfId="1" applyNumberFormat="1" applyFont="1" applyAlignment="1">
      <alignment horizontal="right"/>
    </xf>
    <xf numFmtId="0" fontId="19" fillId="0" borderId="21" xfId="1" applyNumberFormat="1" applyFont="1" applyBorder="1"/>
    <xf numFmtId="166" fontId="20" fillId="0" borderId="14" xfId="1" applyNumberFormat="1" applyFont="1" applyBorder="1"/>
    <xf numFmtId="166" fontId="20" fillId="0" borderId="0" xfId="1" applyNumberFormat="1" applyFont="1"/>
    <xf numFmtId="0" fontId="19" fillId="11" borderId="22" xfId="1" applyNumberFormat="1" applyFont="1" applyFill="1" applyBorder="1"/>
    <xf numFmtId="0" fontId="21" fillId="0" borderId="0" xfId="1" applyNumberFormat="1" applyFont="1" applyFill="1" applyAlignment="1">
      <alignment horizontal="right"/>
    </xf>
    <xf numFmtId="166" fontId="21" fillId="0" borderId="0" xfId="1" applyNumberFormat="1" applyFont="1" applyFill="1"/>
    <xf numFmtId="0" fontId="22" fillId="0" borderId="0" xfId="1" applyNumberFormat="1" applyFont="1" applyAlignment="1">
      <alignment horizontal="right"/>
    </xf>
    <xf numFmtId="0" fontId="22" fillId="0" borderId="23" xfId="1" applyNumberFormat="1" applyFont="1" applyBorder="1"/>
    <xf numFmtId="166" fontId="22" fillId="0" borderId="0" xfId="1" applyNumberFormat="1" applyFont="1" applyBorder="1"/>
    <xf numFmtId="166" fontId="22" fillId="0" borderId="0" xfId="1" applyNumberFormat="1" applyFont="1"/>
    <xf numFmtId="0" fontId="23" fillId="0" borderId="19" xfId="1" applyNumberFormat="1" applyFont="1" applyBorder="1" applyAlignment="1">
      <alignment horizontal="center" vertical="center"/>
    </xf>
    <xf numFmtId="0" fontId="23" fillId="15" borderId="13" xfId="1" applyNumberFormat="1" applyFont="1" applyFill="1" applyBorder="1" applyAlignment="1">
      <alignment horizontal="center" vertical="center"/>
    </xf>
    <xf numFmtId="166" fontId="23" fillId="14" borderId="4" xfId="1" applyNumberFormat="1" applyFont="1" applyFill="1" applyBorder="1" applyAlignment="1">
      <alignment horizontal="center" vertical="center" wrapText="1"/>
    </xf>
    <xf numFmtId="166" fontId="23" fillId="0" borderId="0" xfId="1" applyNumberFormat="1" applyFont="1" applyAlignment="1">
      <alignment horizontal="center" vertical="center" wrapText="1"/>
    </xf>
    <xf numFmtId="166" fontId="23" fillId="0" borderId="0" xfId="1" applyNumberFormat="1" applyFont="1" applyAlignment="1">
      <alignment horizontal="center" vertical="center"/>
    </xf>
    <xf numFmtId="0" fontId="20" fillId="0" borderId="15" xfId="1" applyNumberFormat="1" applyFont="1" applyBorder="1" applyAlignment="1">
      <alignment horizontal="right"/>
    </xf>
    <xf numFmtId="0" fontId="19" fillId="16" borderId="23" xfId="1" applyNumberFormat="1" applyFont="1" applyFill="1" applyBorder="1"/>
    <xf numFmtId="166" fontId="20" fillId="16" borderId="24" xfId="1" applyNumberFormat="1" applyFont="1" applyFill="1" applyBorder="1"/>
    <xf numFmtId="166" fontId="20" fillId="16" borderId="17" xfId="1" applyNumberFormat="1" applyFont="1" applyFill="1" applyBorder="1"/>
    <xf numFmtId="0" fontId="19" fillId="0" borderId="15" xfId="1" applyNumberFormat="1" applyFont="1" applyBorder="1" applyAlignment="1">
      <alignment horizontal="right"/>
    </xf>
    <xf numFmtId="49" fontId="19" fillId="17" borderId="23" xfId="1" quotePrefix="1" applyNumberFormat="1" applyFont="1" applyFill="1" applyBorder="1"/>
    <xf numFmtId="167" fontId="19" fillId="17" borderId="24" xfId="2" quotePrefix="1" applyNumberFormat="1" applyFont="1" applyFill="1" applyBorder="1"/>
    <xf numFmtId="167" fontId="19" fillId="17" borderId="17" xfId="2" quotePrefix="1" applyNumberFormat="1" applyFont="1" applyFill="1" applyBorder="1"/>
    <xf numFmtId="164" fontId="19" fillId="0" borderId="0" xfId="3" applyNumberFormat="1" applyFont="1"/>
    <xf numFmtId="49" fontId="20" fillId="0" borderId="23" xfId="1" quotePrefix="1" applyNumberFormat="1" applyFont="1" applyBorder="1" applyAlignment="1">
      <alignment horizontal="right"/>
    </xf>
    <xf numFmtId="167" fontId="20" fillId="0" borderId="24" xfId="2" quotePrefix="1" applyNumberFormat="1" applyFont="1" applyBorder="1"/>
    <xf numFmtId="167" fontId="20" fillId="18" borderId="17" xfId="2" quotePrefix="1" applyNumberFormat="1" applyFont="1" applyFill="1" applyBorder="1"/>
    <xf numFmtId="164" fontId="20" fillId="0" borderId="0" xfId="3" applyNumberFormat="1" applyFont="1"/>
    <xf numFmtId="0" fontId="20" fillId="0" borderId="23" xfId="1" quotePrefix="1" applyNumberFormat="1" applyFont="1" applyBorder="1" applyAlignment="1">
      <alignment horizontal="right"/>
    </xf>
    <xf numFmtId="49" fontId="19" fillId="0" borderId="23" xfId="1" quotePrefix="1" applyNumberFormat="1" applyFont="1" applyFill="1" applyBorder="1"/>
    <xf numFmtId="167" fontId="19" fillId="0" borderId="24" xfId="2" quotePrefix="1" applyNumberFormat="1" applyFont="1" applyFill="1" applyBorder="1"/>
    <xf numFmtId="0" fontId="19" fillId="0" borderId="23" xfId="1" applyNumberFormat="1" applyFont="1" applyFill="1" applyBorder="1"/>
    <xf numFmtId="167" fontId="19" fillId="0" borderId="17" xfId="2" quotePrefix="1" applyNumberFormat="1" applyFont="1" applyFill="1" applyBorder="1"/>
    <xf numFmtId="167" fontId="19" fillId="16" borderId="24" xfId="1" applyNumberFormat="1" applyFont="1" applyFill="1" applyBorder="1"/>
    <xf numFmtId="0" fontId="20" fillId="0" borderId="15" xfId="1" applyNumberFormat="1" applyFont="1" applyFill="1" applyBorder="1" applyAlignment="1">
      <alignment horizontal="right"/>
    </xf>
    <xf numFmtId="0" fontId="20" fillId="0" borderId="23" xfId="1" quotePrefix="1" applyNumberFormat="1" applyFont="1" applyFill="1" applyBorder="1" applyAlignment="1">
      <alignment horizontal="right"/>
    </xf>
    <xf numFmtId="167" fontId="20" fillId="0" borderId="24" xfId="2" quotePrefix="1" applyNumberFormat="1" applyFont="1" applyFill="1" applyBorder="1"/>
    <xf numFmtId="167" fontId="20" fillId="0" borderId="17" xfId="2" quotePrefix="1" applyNumberFormat="1" applyFont="1" applyFill="1" applyBorder="1"/>
    <xf numFmtId="164" fontId="20" fillId="0" borderId="0" xfId="3" applyNumberFormat="1" applyFont="1" applyFill="1"/>
    <xf numFmtId="166" fontId="20" fillId="0" borderId="0" xfId="1" applyNumberFormat="1" applyFont="1" applyFill="1"/>
    <xf numFmtId="49" fontId="19" fillId="0" borderId="23" xfId="1" quotePrefix="1" applyNumberFormat="1" applyFont="1" applyFill="1" applyBorder="1" applyAlignment="1">
      <alignment horizontal="right"/>
    </xf>
    <xf numFmtId="49" fontId="20" fillId="0" borderId="23" xfId="1" quotePrefix="1" applyNumberFormat="1" applyFont="1" applyFill="1" applyBorder="1" applyAlignment="1">
      <alignment horizontal="right"/>
    </xf>
    <xf numFmtId="0" fontId="19" fillId="17" borderId="23" xfId="1" applyNumberFormat="1" applyFont="1" applyFill="1" applyBorder="1"/>
    <xf numFmtId="0" fontId="19" fillId="16" borderId="23" xfId="1" applyNumberFormat="1" applyFont="1" applyFill="1" applyBorder="1" applyAlignment="1">
      <alignment horizontal="left"/>
    </xf>
    <xf numFmtId="167" fontId="19" fillId="16" borderId="24" xfId="2" quotePrefix="1" applyNumberFormat="1" applyFont="1" applyFill="1" applyBorder="1"/>
    <xf numFmtId="0" fontId="19" fillId="11" borderId="23" xfId="1" applyNumberFormat="1" applyFont="1" applyFill="1" applyBorder="1"/>
    <xf numFmtId="167" fontId="20" fillId="11" borderId="24" xfId="1" applyNumberFormat="1" applyFont="1" applyFill="1" applyBorder="1"/>
    <xf numFmtId="167" fontId="20" fillId="11" borderId="17" xfId="1" applyNumberFormat="1" applyFont="1" applyFill="1" applyBorder="1"/>
    <xf numFmtId="164" fontId="19" fillId="0" borderId="0" xfId="3" applyNumberFormat="1" applyFont="1" applyFill="1"/>
    <xf numFmtId="0" fontId="20" fillId="0" borderId="23" xfId="1" applyNumberFormat="1" applyFont="1" applyFill="1" applyBorder="1" applyAlignment="1">
      <alignment horizontal="right"/>
    </xf>
    <xf numFmtId="49" fontId="20" fillId="0" borderId="23" xfId="1" applyNumberFormat="1" applyFont="1" applyFill="1" applyBorder="1" applyAlignment="1">
      <alignment horizontal="right"/>
    </xf>
    <xf numFmtId="49" fontId="20" fillId="0" borderId="23" xfId="1" applyNumberFormat="1" applyFont="1" applyBorder="1" applyAlignment="1">
      <alignment horizontal="right"/>
    </xf>
    <xf numFmtId="0" fontId="19" fillId="0" borderId="23" xfId="1" applyNumberFormat="1" applyFont="1" applyFill="1" applyBorder="1" applyAlignment="1">
      <alignment horizontal="left"/>
    </xf>
    <xf numFmtId="0" fontId="20" fillId="0" borderId="23" xfId="1" applyNumberFormat="1" applyFont="1" applyBorder="1"/>
    <xf numFmtId="167" fontId="20" fillId="0" borderId="24" xfId="1" applyNumberFormat="1" applyFont="1" applyBorder="1"/>
    <xf numFmtId="167" fontId="20" fillId="0" borderId="17" xfId="1" applyNumberFormat="1" applyFont="1" applyBorder="1"/>
    <xf numFmtId="0" fontId="19" fillId="5" borderId="15" xfId="1" applyNumberFormat="1" applyFont="1" applyFill="1" applyBorder="1" applyAlignment="1">
      <alignment horizontal="right"/>
    </xf>
    <xf numFmtId="0" fontId="19" fillId="5" borderId="23" xfId="1" applyNumberFormat="1" applyFont="1" applyFill="1" applyBorder="1"/>
    <xf numFmtId="167" fontId="19" fillId="5" borderId="24" xfId="2" applyNumberFormat="1" applyFont="1" applyFill="1" applyBorder="1"/>
    <xf numFmtId="166" fontId="19" fillId="5" borderId="0" xfId="1" applyNumberFormat="1" applyFont="1" applyFill="1"/>
    <xf numFmtId="0" fontId="19" fillId="5" borderId="25" xfId="1" applyNumberFormat="1" applyFont="1" applyFill="1" applyBorder="1"/>
    <xf numFmtId="167" fontId="19" fillId="18" borderId="17" xfId="2" quotePrefix="1" applyNumberFormat="1" applyFont="1" applyFill="1" applyBorder="1"/>
    <xf numFmtId="0" fontId="19" fillId="16" borderId="26" xfId="1" applyNumberFormat="1" applyFont="1" applyFill="1" applyBorder="1" applyAlignment="1">
      <alignment horizontal="left"/>
    </xf>
    <xf numFmtId="167" fontId="19" fillId="16" borderId="27" xfId="2" quotePrefix="1" applyNumberFormat="1" applyFont="1" applyFill="1" applyBorder="1"/>
    <xf numFmtId="0" fontId="19" fillId="0" borderId="23" xfId="1" applyNumberFormat="1" applyFont="1" applyBorder="1"/>
    <xf numFmtId="167" fontId="19" fillId="0" borderId="24" xfId="2" quotePrefix="1" applyNumberFormat="1" applyFont="1" applyBorder="1"/>
    <xf numFmtId="167" fontId="19" fillId="0" borderId="17" xfId="2" quotePrefix="1" applyNumberFormat="1" applyFont="1" applyBorder="1"/>
    <xf numFmtId="0" fontId="19" fillId="2" borderId="23" xfId="1" applyNumberFormat="1" applyFont="1" applyFill="1" applyBorder="1" applyAlignment="1">
      <alignment horizontal="left"/>
    </xf>
    <xf numFmtId="167" fontId="19" fillId="2" borderId="24" xfId="3" quotePrefix="1" applyNumberFormat="1" applyFont="1" applyFill="1" applyBorder="1"/>
    <xf numFmtId="167" fontId="19" fillId="2" borderId="17" xfId="3" quotePrefix="1" applyNumberFormat="1" applyFont="1" applyFill="1" applyBorder="1"/>
    <xf numFmtId="0" fontId="20" fillId="0" borderId="23" xfId="1" applyNumberFormat="1" applyFont="1" applyBorder="1" applyAlignment="1">
      <alignment horizontal="right"/>
    </xf>
    <xf numFmtId="164" fontId="20" fillId="0" borderId="24" xfId="3" quotePrefix="1" applyNumberFormat="1" applyFont="1" applyBorder="1"/>
    <xf numFmtId="164" fontId="20" fillId="0" borderId="17" xfId="3" quotePrefix="1" applyNumberFormat="1" applyFont="1" applyBorder="1"/>
    <xf numFmtId="0" fontId="20" fillId="0" borderId="20" xfId="1" applyNumberFormat="1" applyFont="1" applyBorder="1" applyAlignment="1">
      <alignment horizontal="right"/>
    </xf>
    <xf numFmtId="0" fontId="20" fillId="0" borderId="28" xfId="1" applyNumberFormat="1" applyFont="1" applyBorder="1" applyAlignment="1">
      <alignment horizontal="right"/>
    </xf>
    <xf numFmtId="164" fontId="20" fillId="0" borderId="29" xfId="3" quotePrefix="1" applyNumberFormat="1" applyFont="1" applyBorder="1"/>
    <xf numFmtId="164" fontId="20" fillId="0" borderId="30" xfId="3" quotePrefix="1" applyNumberFormat="1" applyFont="1" applyBorder="1"/>
    <xf numFmtId="166" fontId="20" fillId="0" borderId="0" xfId="1" applyNumberFormat="1" applyFont="1" applyBorder="1"/>
    <xf numFmtId="0" fontId="20" fillId="0" borderId="0" xfId="1" applyNumberFormat="1" applyFont="1"/>
    <xf numFmtId="0" fontId="0" fillId="0" borderId="0" xfId="1" applyNumberFormat="1" applyFont="1" applyAlignment="1">
      <alignment horizontal="right"/>
    </xf>
    <xf numFmtId="0" fontId="0" fillId="0" borderId="0" xfId="1" applyNumberFormat="1" applyFont="1"/>
    <xf numFmtId="0" fontId="18" fillId="0" borderId="0" xfId="1" applyNumberFormat="1" applyFont="1" applyAlignment="1">
      <alignment horizontal="right"/>
    </xf>
    <xf numFmtId="0" fontId="18" fillId="9" borderId="0" xfId="1" applyNumberFormat="1" applyFont="1" applyFill="1"/>
    <xf numFmtId="166" fontId="18" fillId="9" borderId="0" xfId="1" applyNumberFormat="1" applyFont="1" applyFill="1"/>
    <xf numFmtId="166" fontId="18" fillId="0" borderId="0" xfId="1" applyNumberFormat="1" applyFont="1"/>
    <xf numFmtId="0" fontId="18" fillId="0" borderId="0" xfId="1" applyNumberFormat="1" applyFont="1"/>
    <xf numFmtId="0" fontId="19" fillId="0" borderId="14" xfId="1" applyNumberFormat="1" applyFont="1" applyBorder="1"/>
    <xf numFmtId="0" fontId="19" fillId="11" borderId="2" xfId="1" applyNumberFormat="1" applyFont="1" applyFill="1" applyBorder="1"/>
    <xf numFmtId="0" fontId="22" fillId="0" borderId="0" xfId="1" applyNumberFormat="1" applyFont="1" applyBorder="1"/>
    <xf numFmtId="0" fontId="19" fillId="11" borderId="3" xfId="1" applyNumberFormat="1" applyFont="1" applyFill="1" applyBorder="1"/>
    <xf numFmtId="0" fontId="0" fillId="5" borderId="0" xfId="0" applyFont="1" applyFill="1" applyBorder="1" applyAlignment="1">
      <alignment horizontal="left"/>
    </xf>
    <xf numFmtId="0" fontId="0" fillId="5" borderId="4" xfId="0" applyFont="1" applyFill="1" applyBorder="1" applyAlignment="1">
      <alignment horizontal="left" wrapText="1"/>
    </xf>
    <xf numFmtId="165" fontId="0" fillId="5" borderId="4" xfId="3" applyNumberFormat="1" applyFont="1" applyFill="1" applyBorder="1"/>
    <xf numFmtId="0" fontId="10" fillId="5" borderId="0" xfId="5" applyFont="1" applyFill="1" applyAlignment="1">
      <alignment horizontal="center"/>
    </xf>
    <xf numFmtId="0" fontId="19" fillId="0" borderId="0" xfId="5" applyFont="1" applyAlignment="1"/>
    <xf numFmtId="0" fontId="4" fillId="5" borderId="0" xfId="5" applyFill="1" applyAlignment="1">
      <alignment wrapText="1"/>
    </xf>
    <xf numFmtId="0" fontId="4" fillId="0" borderId="0" xfId="5" applyAlignment="1">
      <alignment horizontal="left" wrapText="1"/>
    </xf>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5" fillId="3" borderId="4" xfId="3" applyNumberFormat="1" applyFont="1" applyFill="1" applyBorder="1"/>
    <xf numFmtId="164" fontId="25" fillId="3" borderId="4" xfId="3" applyNumberFormat="1" applyFont="1" applyFill="1" applyBorder="1"/>
    <xf numFmtId="44" fontId="4" fillId="0" borderId="4" xfId="2" applyFont="1" applyBorder="1"/>
    <xf numFmtId="44" fontId="4" fillId="3" borderId="4" xfId="2" applyFont="1" applyFill="1" applyBorder="1"/>
    <xf numFmtId="44" fontId="4" fillId="5" borderId="0" xfId="2" applyFont="1" applyFill="1" applyBorder="1"/>
    <xf numFmtId="0" fontId="4" fillId="11" borderId="31" xfId="5" applyFill="1" applyBorder="1" applyAlignment="1">
      <alignment wrapText="1"/>
    </xf>
    <xf numFmtId="44" fontId="5" fillId="11" borderId="32" xfId="2" applyFont="1" applyFill="1" applyBorder="1" applyAlignment="1">
      <alignment horizontal="center" wrapText="1"/>
    </xf>
    <xf numFmtId="44" fontId="5" fillId="11" borderId="33"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0" fontId="6" fillId="9" borderId="0" xfId="0"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3" xfId="5" applyFont="1" applyFill="1" applyBorder="1" applyAlignment="1">
      <alignment wrapText="1"/>
    </xf>
    <xf numFmtId="44" fontId="4" fillId="11" borderId="36" xfId="2" applyFont="1" applyFill="1" applyBorder="1"/>
    <xf numFmtId="44" fontId="4" fillId="11" borderId="14" xfId="2" applyFont="1" applyFill="1" applyBorder="1"/>
    <xf numFmtId="9" fontId="4" fillId="11" borderId="14" xfId="2" applyNumberFormat="1" applyFont="1" applyFill="1" applyBorder="1"/>
    <xf numFmtId="44" fontId="4" fillId="11" borderId="37" xfId="2" applyFont="1" applyFill="1" applyBorder="1"/>
    <xf numFmtId="0" fontId="5" fillId="11" borderId="28" xfId="5" applyFont="1" applyFill="1" applyBorder="1" applyAlignment="1">
      <alignment horizontal="left" wrapText="1" indent="3"/>
    </xf>
    <xf numFmtId="44" fontId="4" fillId="17" borderId="34" xfId="2" applyFont="1" applyFill="1" applyBorder="1" applyAlignment="1">
      <alignment horizontal="center" wrapText="1"/>
    </xf>
    <xf numFmtId="44" fontId="4" fillId="17" borderId="35" xfId="2" applyFont="1" applyFill="1" applyBorder="1" applyAlignment="1">
      <alignment horizontal="center" wrapText="1"/>
    </xf>
    <xf numFmtId="44" fontId="0" fillId="0" borderId="4" xfId="2" applyFont="1" applyBorder="1" applyAlignment="1">
      <alignment horizontal="center" wrapText="1"/>
    </xf>
    <xf numFmtId="0" fontId="26" fillId="19" borderId="4" xfId="0" applyFont="1" applyFill="1" applyBorder="1" applyAlignment="1">
      <alignment wrapText="1"/>
    </xf>
    <xf numFmtId="9" fontId="26" fillId="19" borderId="4" xfId="3" applyFont="1" applyFill="1" applyBorder="1" applyAlignment="1">
      <alignment horizontal="center"/>
    </xf>
    <xf numFmtId="44" fontId="26" fillId="19" borderId="4" xfId="2" applyFont="1" applyFill="1" applyBorder="1" applyAlignment="1">
      <alignment horizontal="center"/>
    </xf>
    <xf numFmtId="9" fontId="26" fillId="19" borderId="4" xfId="3" applyFont="1" applyFill="1" applyBorder="1" applyAlignment="1">
      <alignment horizontal="center" wrapText="1"/>
    </xf>
    <xf numFmtId="164" fontId="26" fillId="19" borderId="4" xfId="3" applyNumberFormat="1" applyFont="1" applyFill="1" applyBorder="1" applyAlignment="1">
      <alignment horizontal="center"/>
    </xf>
    <xf numFmtId="0" fontId="17" fillId="0" borderId="0" xfId="0" applyFont="1" applyAlignment="1">
      <alignment horizontal="center"/>
    </xf>
    <xf numFmtId="0" fontId="11" fillId="0" borderId="0" xfId="5" applyFont="1" applyFill="1" applyBorder="1" applyAlignment="1">
      <alignment horizontal="center"/>
    </xf>
    <xf numFmtId="0" fontId="5" fillId="0" borderId="1" xfId="5" applyFont="1" applyBorder="1" applyAlignment="1">
      <alignment horizontal="center" wrapText="1"/>
    </xf>
    <xf numFmtId="0" fontId="0" fillId="9" borderId="0" xfId="0" applyFill="1" applyAlignment="1">
      <alignment horizontal="center"/>
    </xf>
    <xf numFmtId="0" fontId="21" fillId="0" borderId="23" xfId="1" applyNumberFormat="1" applyFont="1" applyFill="1" applyBorder="1" applyAlignment="1">
      <alignment horizontal="center"/>
    </xf>
    <xf numFmtId="0" fontId="21" fillId="0" borderId="0" xfId="1" applyNumberFormat="1"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1" fillId="0" borderId="0" xfId="0" applyFont="1" applyBorder="1"/>
    <xf numFmtId="0" fontId="1" fillId="0" borderId="0" xfId="0" applyFont="1"/>
    <xf numFmtId="0" fontId="1" fillId="0" borderId="17" xfId="0" applyFont="1" applyBorder="1"/>
    <xf numFmtId="0" fontId="1" fillId="0" borderId="20" xfId="0" applyFont="1" applyBorder="1"/>
    <xf numFmtId="0" fontId="1" fillId="0" borderId="14" xfId="0" applyFont="1" applyBorder="1"/>
    <xf numFmtId="0" fontId="1" fillId="0" borderId="10" xfId="0" applyFont="1" applyBorder="1"/>
    <xf numFmtId="0" fontId="2" fillId="0" borderId="40" xfId="0" applyFont="1" applyBorder="1" applyAlignment="1">
      <alignment horizontal="left" indent="3"/>
    </xf>
    <xf numFmtId="44" fontId="1" fillId="0" borderId="38" xfId="2" applyFont="1" applyBorder="1"/>
    <xf numFmtId="44" fontId="1" fillId="0" borderId="39" xfId="2" applyFont="1" applyBorder="1"/>
    <xf numFmtId="0" fontId="2" fillId="0" borderId="19" xfId="0" applyFont="1" applyBorder="1" applyAlignment="1">
      <alignment horizontal="center" vertical="center"/>
    </xf>
    <xf numFmtId="0" fontId="2" fillId="0" borderId="18" xfId="0" applyFont="1" applyBorder="1" applyAlignment="1">
      <alignment horizontal="center"/>
    </xf>
    <xf numFmtId="0" fontId="2" fillId="0" borderId="7" xfId="0" applyFont="1" applyBorder="1" applyAlignment="1">
      <alignment horizontal="center"/>
    </xf>
    <xf numFmtId="165" fontId="1" fillId="0" borderId="24" xfId="0" applyNumberFormat="1" applyFont="1" applyBorder="1"/>
    <xf numFmtId="44" fontId="1" fillId="0" borderId="40" xfId="2" applyFont="1" applyBorder="1"/>
    <xf numFmtId="0" fontId="2" fillId="0" borderId="16" xfId="0" applyFont="1" applyBorder="1" applyAlignment="1">
      <alignment horizontal="center" vertical="center"/>
    </xf>
    <xf numFmtId="0" fontId="2" fillId="0" borderId="41" xfId="0" applyFont="1" applyBorder="1" applyAlignment="1">
      <alignment horizontal="center" vertical="center"/>
    </xf>
    <xf numFmtId="166" fontId="0" fillId="2" borderId="4" xfId="1" applyNumberFormat="1" applyFont="1" applyFill="1" applyBorder="1" applyProtection="1"/>
    <xf numFmtId="164" fontId="26" fillId="0" borderId="0" xfId="3" applyNumberFormat="1" applyFont="1" applyBorder="1" applyAlignment="1">
      <alignment horizontal="left"/>
    </xf>
    <xf numFmtId="9" fontId="4" fillId="6" borderId="4" xfId="3" applyFont="1" applyFill="1" applyBorder="1"/>
    <xf numFmtId="0" fontId="5" fillId="0" borderId="4" xfId="3" applyNumberFormat="1" applyFont="1" applyBorder="1"/>
    <xf numFmtId="167" fontId="4" fillId="6" borderId="4" xfId="2" applyNumberFormat="1" applyFont="1" applyFill="1" applyBorder="1"/>
    <xf numFmtId="167" fontId="4" fillId="0" borderId="4" xfId="2" applyNumberFormat="1" applyFont="1" applyBorder="1"/>
    <xf numFmtId="164" fontId="4" fillId="0" borderId="4" xfId="3" applyNumberFormat="1" applyFont="1" applyBorder="1"/>
    <xf numFmtId="166" fontId="4" fillId="0" borderId="4" xfId="1" applyNumberFormat="1" applyFont="1" applyBorder="1"/>
    <xf numFmtId="44" fontId="4" fillId="5" borderId="0" xfId="3" applyNumberFormat="1" applyFont="1" applyFill="1" applyBorder="1"/>
    <xf numFmtId="166" fontId="8" fillId="0" borderId="12" xfId="1" applyNumberFormat="1" applyFont="1" applyBorder="1"/>
    <xf numFmtId="166" fontId="8" fillId="0" borderId="12" xfId="5" applyNumberFormat="1" applyFont="1" applyBorder="1"/>
    <xf numFmtId="9" fontId="0" fillId="3" borderId="4" xfId="2" applyNumberFormat="1" applyFont="1" applyFill="1" applyBorder="1" applyAlignment="1">
      <alignment horizontal="center"/>
    </xf>
    <xf numFmtId="164" fontId="0" fillId="3" borderId="4" xfId="2" applyNumberFormat="1" applyFont="1" applyFill="1" applyBorder="1" applyAlignment="1">
      <alignment horizontal="center"/>
    </xf>
    <xf numFmtId="166" fontId="1" fillId="0" borderId="0" xfId="1" applyNumberFormat="1" applyFont="1" applyBorder="1"/>
    <xf numFmtId="166" fontId="1" fillId="0" borderId="17" xfId="1" applyNumberFormat="1" applyFont="1" applyBorder="1"/>
    <xf numFmtId="166" fontId="1" fillId="0" borderId="0" xfId="0" applyNumberFormat="1" applyFont="1"/>
    <xf numFmtId="0" fontId="0" fillId="0" borderId="15" xfId="0" applyFont="1" applyBorder="1"/>
    <xf numFmtId="166" fontId="1" fillId="0" borderId="0" xfId="1" applyNumberFormat="1" applyFont="1"/>
    <xf numFmtId="166" fontId="1" fillId="0" borderId="17" xfId="0" applyNumberFormat="1" applyFont="1" applyBorder="1"/>
    <xf numFmtId="165" fontId="1" fillId="0" borderId="40" xfId="2" applyNumberFormat="1" applyFont="1" applyBorder="1"/>
    <xf numFmtId="165" fontId="1" fillId="0" borderId="27" xfId="2" applyNumberFormat="1" applyFont="1" applyBorder="1"/>
    <xf numFmtId="165" fontId="1" fillId="0" borderId="38" xfId="2" applyNumberFormat="1" applyFont="1" applyBorder="1"/>
    <xf numFmtId="165" fontId="1" fillId="0" borderId="39" xfId="2" applyNumberFormat="1" applyFont="1" applyBorder="1"/>
    <xf numFmtId="0" fontId="15" fillId="0" borderId="0" xfId="0" applyFont="1" applyFill="1" applyBorder="1" applyAlignment="1">
      <alignment horizontal="center"/>
    </xf>
    <xf numFmtId="164" fontId="0" fillId="0" borderId="0" xfId="3" applyNumberFormat="1" applyFont="1" applyFill="1" applyBorder="1"/>
    <xf numFmtId="165" fontId="0" fillId="0" borderId="0" xfId="2" applyNumberFormat="1" applyFont="1" applyFill="1" applyBorder="1" applyProtection="1">
      <protection locked="0"/>
    </xf>
    <xf numFmtId="9" fontId="0" fillId="0" borderId="0" xfId="3" applyFont="1" applyFill="1" applyBorder="1"/>
    <xf numFmtId="164" fontId="0" fillId="0" borderId="0" xfId="3" applyNumberFormat="1" applyFont="1" applyFill="1" applyBorder="1" applyAlignment="1">
      <alignment horizontal="right"/>
    </xf>
    <xf numFmtId="166" fontId="0" fillId="0" borderId="0" xfId="1" applyNumberFormat="1" applyFont="1" applyFill="1" applyBorder="1" applyProtection="1">
      <protection locked="0"/>
    </xf>
    <xf numFmtId="0" fontId="0" fillId="0" borderId="0" xfId="3" applyNumberFormat="1" applyFont="1" applyFill="1" applyBorder="1" applyAlignment="1">
      <alignment horizontal="center"/>
    </xf>
    <xf numFmtId="0" fontId="0" fillId="0" borderId="0" xfId="0" applyFill="1" applyBorder="1" applyAlignment="1">
      <alignment horizontal="right"/>
    </xf>
    <xf numFmtId="166" fontId="0" fillId="0" borderId="0" xfId="1" applyNumberFormat="1" applyFont="1" applyFill="1" applyBorder="1" applyProtection="1"/>
    <xf numFmtId="0" fontId="0" fillId="0" borderId="0" xfId="0" applyFill="1" applyBorder="1" applyAlignment="1" applyProtection="1">
      <alignment horizontal="right"/>
      <protection locked="0"/>
    </xf>
    <xf numFmtId="169" fontId="4" fillId="0" borderId="0" xfId="1" applyNumberFormat="1" applyFont="1"/>
    <xf numFmtId="166" fontId="4" fillId="0" borderId="0" xfId="1" applyNumberFormat="1" applyFont="1"/>
    <xf numFmtId="166" fontId="4" fillId="0" borderId="0" xfId="5" applyNumberFormat="1"/>
    <xf numFmtId="0" fontId="4" fillId="0" borderId="0" xfId="5" applyAlignment="1">
      <alignment horizontal="center"/>
    </xf>
    <xf numFmtId="10" fontId="1" fillId="0" borderId="0" xfId="3" applyNumberFormat="1" applyFont="1"/>
    <xf numFmtId="166" fontId="4" fillId="5" borderId="0" xfId="1" applyNumberFormat="1" applyFont="1" applyFill="1"/>
    <xf numFmtId="44" fontId="4" fillId="5" borderId="0" xfId="5" applyNumberFormat="1" applyFill="1"/>
    <xf numFmtId="164" fontId="4" fillId="5" borderId="0" xfId="3" applyNumberFormat="1" applyFont="1" applyFill="1"/>
    <xf numFmtId="164" fontId="0" fillId="0" borderId="0" xfId="3" applyNumberFormat="1" applyFont="1"/>
    <xf numFmtId="10" fontId="0" fillId="0" borderId="0" xfId="0" applyNumberFormat="1"/>
    <xf numFmtId="0" fontId="0" fillId="0" borderId="0" xfId="0" applyAlignment="1">
      <alignment wrapText="1"/>
    </xf>
    <xf numFmtId="44" fontId="0" fillId="0" borderId="0" xfId="2" applyFont="1" applyBorder="1" applyAlignment="1">
      <alignment horizontal="center"/>
    </xf>
    <xf numFmtId="44" fontId="4" fillId="0" borderId="0" xfId="5" applyNumberFormat="1"/>
    <xf numFmtId="164" fontId="0" fillId="5" borderId="4" xfId="3" applyNumberFormat="1" applyFont="1" applyFill="1" applyBorder="1"/>
    <xf numFmtId="44" fontId="4" fillId="0" borderId="4" xfId="3" applyNumberFormat="1" applyFont="1" applyFill="1" applyBorder="1"/>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0" fillId="5" borderId="17" xfId="0" applyFill="1" applyBorder="1" applyAlignment="1">
      <alignment horizontal="center" wrapText="1"/>
    </xf>
    <xf numFmtId="0" fontId="4" fillId="0" borderId="4" xfId="5" applyBorder="1" applyAlignment="1">
      <alignment horizontal="left"/>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5" fillId="0" borderId="1" xfId="5" applyFont="1" applyBorder="1" applyAlignment="1">
      <alignment horizontal="center" wrapText="1"/>
    </xf>
    <xf numFmtId="0" fontId="5" fillId="0" borderId="3" xfId="5" applyFont="1" applyBorder="1" applyAlignment="1">
      <alignment horizontal="center" wrapText="1"/>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5" fillId="5" borderId="0" xfId="5" applyFont="1" applyFill="1" applyAlignment="1">
      <alignment horizontal="center"/>
    </xf>
    <xf numFmtId="0" fontId="24"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4"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19" fillId="11" borderId="1" xfId="1" applyNumberFormat="1" applyFont="1" applyFill="1" applyBorder="1" applyAlignment="1">
      <alignment horizontal="center"/>
    </xf>
    <xf numFmtId="0" fontId="19" fillId="11" borderId="2" xfId="1" applyNumberFormat="1" applyFont="1" applyFill="1" applyBorder="1" applyAlignment="1">
      <alignment horizontal="center"/>
    </xf>
    <xf numFmtId="0" fontId="19" fillId="11" borderId="3" xfId="1" applyNumberFormat="1" applyFont="1" applyFill="1" applyBorder="1" applyAlignment="1">
      <alignment horizontal="center"/>
    </xf>
    <xf numFmtId="0" fontId="21" fillId="0" borderId="23" xfId="1" applyNumberFormat="1" applyFont="1" applyFill="1" applyBorder="1" applyAlignment="1">
      <alignment horizontal="center"/>
    </xf>
    <xf numFmtId="0" fontId="21" fillId="0" borderId="0" xfId="1" applyNumberFormat="1" applyFont="1" applyFill="1" applyBorder="1" applyAlignment="1">
      <alignment horizontal="center"/>
    </xf>
    <xf numFmtId="0" fontId="19" fillId="8" borderId="1" xfId="5" applyFont="1" applyFill="1" applyBorder="1" applyAlignment="1">
      <alignment horizontal="center"/>
    </xf>
    <xf numFmtId="0" fontId="19" fillId="8" borderId="2" xfId="5" applyFont="1" applyFill="1" applyBorder="1" applyAlignment="1">
      <alignment horizontal="center"/>
    </xf>
    <xf numFmtId="0" fontId="19" fillId="8" borderId="3" xfId="5" applyFont="1" applyFill="1" applyBorder="1" applyAlignment="1">
      <alignment horizontal="center"/>
    </xf>
    <xf numFmtId="0" fontId="19" fillId="0" borderId="0" xfId="5" applyFont="1" applyAlignment="1">
      <alignment horizontal="center"/>
    </xf>
    <xf numFmtId="0" fontId="27" fillId="7" borderId="1" xfId="5" applyFont="1" applyFill="1" applyBorder="1" applyAlignment="1">
      <alignment horizontal="center"/>
    </xf>
    <xf numFmtId="0" fontId="27" fillId="7" borderId="2" xfId="5" applyFont="1" applyFill="1" applyBorder="1" applyAlignment="1">
      <alignment horizontal="center"/>
    </xf>
    <xf numFmtId="0" fontId="27" fillId="7" borderId="3" xfId="5"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8" fillId="9" borderId="0" xfId="5" applyFont="1" applyFill="1" applyAlignment="1">
      <alignment horizontal="center" vertical="top"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cellXfs>
  <cellStyles count="8">
    <cellStyle name="Comma" xfId="1" builtinId="3"/>
    <cellStyle name="Comma 2" xfId="7" xr:uid="{00000000-0005-0000-0000-000001000000}"/>
    <cellStyle name="Currency" xfId="2" builtinId="4"/>
    <cellStyle name="Hyperlink" xfId="4" builtinId="8"/>
    <cellStyle name="Hyperlink 2" xfId="6" xr:uid="{00000000-0005-0000-0000-000004000000}"/>
    <cellStyle name="Normal" xfId="0" builtinId="0"/>
    <cellStyle name="Normal 2" xfId="5" xr:uid="{00000000-0005-0000-0000-000006000000}"/>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jrr\AppData\Local\Microsoft\Windows\INetCache\Content.Outlook\BV9E51D4\B2022_Part_2_Appendices__Workbook-Final_06_29_2021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1. Reconciliation"/>
      <sheetName val="2. Charge and NPR Detail"/>
      <sheetName val="3. Utilization"/>
      <sheetName val="4. Inflation"/>
      <sheetName val="5. Vaccine Clinics and Testing"/>
      <sheetName val="6. Value Based Care Participati"/>
      <sheetName val="7. COVID-19 Advances, Relief Fu"/>
      <sheetName val="Edit of Request Summary"/>
      <sheetName val="Non-Financial- Reimb. Ratio"/>
    </sheetNames>
    <sheetDataSet>
      <sheetData sheetId="0" refreshError="1"/>
      <sheetData sheetId="1" refreshError="1"/>
      <sheetData sheetId="2" refreshError="1"/>
      <sheetData sheetId="3" refreshError="1"/>
      <sheetData sheetId="4" refreshError="1"/>
      <sheetData sheetId="5">
        <row r="23">
          <cell r="C23">
            <v>0</v>
          </cell>
        </row>
      </sheetData>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C15"/>
  <sheetViews>
    <sheetView workbookViewId="0">
      <selection activeCell="A3" sqref="A3:B3"/>
    </sheetView>
  </sheetViews>
  <sheetFormatPr defaultRowHeight="15" x14ac:dyDescent="0.25"/>
  <cols>
    <col min="1" max="1" width="16.28515625" customWidth="1"/>
    <col min="2" max="2" width="66.7109375" style="26" customWidth="1"/>
    <col min="3" max="3" width="17.42578125" customWidth="1"/>
  </cols>
  <sheetData>
    <row r="1" spans="1:3" ht="18.75" x14ac:dyDescent="0.3">
      <c r="A1" s="331" t="s">
        <v>0</v>
      </c>
      <c r="B1" s="331"/>
    </row>
    <row r="2" spans="1:3" x14ac:dyDescent="0.25">
      <c r="A2" s="332" t="s">
        <v>1</v>
      </c>
      <c r="B2" s="332"/>
    </row>
    <row r="3" spans="1:3" ht="166.9" customHeight="1" x14ac:dyDescent="0.25">
      <c r="A3" s="330" t="s">
        <v>218</v>
      </c>
      <c r="B3" s="330"/>
    </row>
    <row r="4" spans="1:3" x14ac:dyDescent="0.25">
      <c r="B4" s="46"/>
    </row>
    <row r="5" spans="1:3" ht="15.75" x14ac:dyDescent="0.25">
      <c r="A5" s="114" t="s">
        <v>2</v>
      </c>
      <c r="B5" s="25" t="s">
        <v>3</v>
      </c>
      <c r="C5" s="45"/>
    </row>
    <row r="6" spans="1:3" ht="15.75" x14ac:dyDescent="0.25">
      <c r="A6" s="114" t="s">
        <v>2</v>
      </c>
      <c r="B6" s="45" t="s">
        <v>4</v>
      </c>
      <c r="C6" s="45"/>
    </row>
    <row r="7" spans="1:3" ht="15.75" x14ac:dyDescent="0.25">
      <c r="A7" s="113" t="s">
        <v>5</v>
      </c>
      <c r="B7" s="45" t="s">
        <v>6</v>
      </c>
      <c r="C7" s="45"/>
    </row>
    <row r="8" spans="1:3" ht="15.75" x14ac:dyDescent="0.25">
      <c r="A8" s="114" t="s">
        <v>2</v>
      </c>
      <c r="B8" s="25" t="s">
        <v>7</v>
      </c>
      <c r="C8" s="45"/>
    </row>
    <row r="9" spans="1:3" ht="15.75" x14ac:dyDescent="0.25">
      <c r="A9" s="114" t="s">
        <v>2</v>
      </c>
      <c r="B9" s="25" t="s">
        <v>8</v>
      </c>
      <c r="C9" s="45"/>
    </row>
    <row r="10" spans="1:3" ht="15.75" x14ac:dyDescent="0.25">
      <c r="A10" s="114" t="s">
        <v>2</v>
      </c>
      <c r="B10" s="25" t="s">
        <v>9</v>
      </c>
      <c r="C10" s="45"/>
    </row>
    <row r="11" spans="1:3" ht="15.75" x14ac:dyDescent="0.25">
      <c r="A11" s="114" t="s">
        <v>2</v>
      </c>
      <c r="B11" s="25" t="s">
        <v>10</v>
      </c>
      <c r="C11" s="45"/>
    </row>
    <row r="12" spans="1:3" ht="15.75" x14ac:dyDescent="0.25">
      <c r="A12" s="114" t="s">
        <v>2</v>
      </c>
      <c r="B12" s="45" t="s">
        <v>11</v>
      </c>
      <c r="C12" s="45"/>
    </row>
    <row r="13" spans="1:3" x14ac:dyDescent="0.25">
      <c r="C13" s="27"/>
    </row>
    <row r="14" spans="1:3" x14ac:dyDescent="0.25">
      <c r="C14" s="27"/>
    </row>
    <row r="15" spans="1:3" x14ac:dyDescent="0.25">
      <c r="C15" s="27"/>
    </row>
  </sheetData>
  <mergeCells count="3">
    <mergeCell ref="A3:B3"/>
    <mergeCell ref="A1:B1"/>
    <mergeCell ref="A2:B2"/>
  </mergeCells>
  <pageMargins left="0.7" right="0.7" top="0.75" bottom="0.75" header="0.3" footer="0.3"/>
  <pageSetup orientation="portrait" r:id="rId1"/>
  <headerFooter>
    <oddFooter>&amp;L&amp;D&amp;R&amp;F,&amp;A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B1:E17"/>
  <sheetViews>
    <sheetView zoomScale="130" zoomScaleNormal="130" workbookViewId="0">
      <selection activeCell="H15" sqref="H15"/>
    </sheetView>
  </sheetViews>
  <sheetFormatPr defaultRowHeight="15" x14ac:dyDescent="0.25"/>
  <sheetData>
    <row r="1" spans="2:5" x14ac:dyDescent="0.25">
      <c r="B1" t="s">
        <v>200</v>
      </c>
    </row>
    <row r="3" spans="2:5" x14ac:dyDescent="0.25">
      <c r="B3" t="s">
        <v>201</v>
      </c>
      <c r="C3" t="s">
        <v>202</v>
      </c>
      <c r="D3" t="s">
        <v>169</v>
      </c>
      <c r="E3" t="s">
        <v>168</v>
      </c>
    </row>
    <row r="4" spans="2:5" x14ac:dyDescent="0.25">
      <c r="B4" s="16" t="s">
        <v>203</v>
      </c>
      <c r="C4" s="24">
        <v>180</v>
      </c>
      <c r="D4" s="24">
        <v>100</v>
      </c>
      <c r="E4" s="16" t="s">
        <v>204</v>
      </c>
    </row>
    <row r="5" spans="2:5" x14ac:dyDescent="0.25">
      <c r="B5" s="16" t="s">
        <v>205</v>
      </c>
      <c r="C5" s="24">
        <v>163</v>
      </c>
      <c r="D5" s="24">
        <v>100</v>
      </c>
      <c r="E5" s="24">
        <v>85</v>
      </c>
    </row>
    <row r="6" spans="2:5" x14ac:dyDescent="0.25">
      <c r="B6" s="16" t="s">
        <v>206</v>
      </c>
      <c r="C6" s="24">
        <v>186</v>
      </c>
      <c r="D6" s="24">
        <v>100</v>
      </c>
      <c r="E6" s="24">
        <v>58</v>
      </c>
    </row>
    <row r="7" spans="2:5" x14ac:dyDescent="0.25">
      <c r="B7" s="16" t="s">
        <v>207</v>
      </c>
      <c r="C7" s="24">
        <v>92</v>
      </c>
      <c r="D7" s="24">
        <v>100</v>
      </c>
      <c r="E7" s="24">
        <v>52</v>
      </c>
    </row>
    <row r="8" spans="2:5" x14ac:dyDescent="0.25">
      <c r="B8" s="16" t="s">
        <v>208</v>
      </c>
      <c r="C8" s="24">
        <v>166</v>
      </c>
      <c r="D8" s="24">
        <v>100</v>
      </c>
      <c r="E8" s="24">
        <v>76</v>
      </c>
    </row>
    <row r="9" spans="2:5" x14ac:dyDescent="0.25">
      <c r="B9" s="16" t="s">
        <v>209</v>
      </c>
      <c r="C9" s="24">
        <v>130</v>
      </c>
      <c r="D9" s="24">
        <v>100</v>
      </c>
      <c r="E9" s="24">
        <v>75</v>
      </c>
    </row>
    <row r="10" spans="2:5" x14ac:dyDescent="0.25">
      <c r="B10" s="16" t="s">
        <v>210</v>
      </c>
      <c r="C10" s="24">
        <v>160</v>
      </c>
      <c r="D10" s="24">
        <v>100</v>
      </c>
      <c r="E10" s="24">
        <v>79</v>
      </c>
    </row>
    <row r="11" spans="2:5" x14ac:dyDescent="0.25">
      <c r="B11" s="16" t="s">
        <v>211</v>
      </c>
      <c r="C11" s="24">
        <v>120</v>
      </c>
      <c r="D11" s="24">
        <v>100</v>
      </c>
      <c r="E11" s="24">
        <v>81</v>
      </c>
    </row>
    <row r="12" spans="2:5" x14ac:dyDescent="0.25">
      <c r="B12" s="16" t="s">
        <v>212</v>
      </c>
      <c r="C12" s="24">
        <v>160</v>
      </c>
      <c r="D12" s="24">
        <v>100</v>
      </c>
      <c r="E12" s="24">
        <v>72</v>
      </c>
    </row>
    <row r="13" spans="2:5" x14ac:dyDescent="0.25">
      <c r="B13" s="16" t="s">
        <v>213</v>
      </c>
      <c r="C13" s="24">
        <v>150</v>
      </c>
      <c r="D13" s="24">
        <v>100</v>
      </c>
      <c r="E13" s="16">
        <v>55</v>
      </c>
    </row>
    <row r="14" spans="2:5" x14ac:dyDescent="0.25">
      <c r="B14" s="16" t="s">
        <v>214</v>
      </c>
      <c r="C14" s="24">
        <v>264</v>
      </c>
      <c r="D14" s="24">
        <v>100</v>
      </c>
      <c r="E14" s="24">
        <v>44</v>
      </c>
    </row>
    <row r="15" spans="2:5" x14ac:dyDescent="0.25">
      <c r="B15" s="16" t="s">
        <v>215</v>
      </c>
      <c r="C15" s="24">
        <v>178</v>
      </c>
      <c r="D15" s="24">
        <v>100</v>
      </c>
      <c r="E15" s="24">
        <v>108</v>
      </c>
    </row>
    <row r="16" spans="2:5" x14ac:dyDescent="0.25">
      <c r="B16" s="16" t="s">
        <v>216</v>
      </c>
      <c r="C16" s="24">
        <v>185</v>
      </c>
      <c r="D16" s="24">
        <v>100</v>
      </c>
      <c r="E16" s="24">
        <v>89</v>
      </c>
    </row>
    <row r="17" spans="2:5" x14ac:dyDescent="0.25">
      <c r="B17" s="16" t="s">
        <v>217</v>
      </c>
      <c r="C17" s="24">
        <v>228</v>
      </c>
      <c r="D17" s="24">
        <v>100</v>
      </c>
      <c r="E17" s="24">
        <v>76</v>
      </c>
    </row>
  </sheetData>
  <sortState xmlns:xlrd2="http://schemas.microsoft.com/office/spreadsheetml/2017/richdata2" ref="B4:E17">
    <sortCondition ref="B4:B1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2:U114"/>
  <sheetViews>
    <sheetView showGridLines="0" topLeftCell="A25" zoomScaleNormal="100" zoomScaleSheetLayoutView="80" workbookViewId="0">
      <selection activeCell="C114" sqref="C114"/>
    </sheetView>
  </sheetViews>
  <sheetFormatPr defaultRowHeight="15" x14ac:dyDescent="0.25"/>
  <cols>
    <col min="1" max="1" width="14.42578125" customWidth="1"/>
    <col min="2" max="2" width="58.140625" customWidth="1"/>
    <col min="3" max="5" width="16.42578125" customWidth="1"/>
    <col min="6" max="8" width="18.28515625" customWidth="1"/>
    <col min="9" max="9" width="16.42578125" customWidth="1"/>
    <col min="10" max="10" width="21.85546875" customWidth="1"/>
    <col min="11" max="11" width="19.7109375" customWidth="1"/>
    <col min="12" max="12" width="16.42578125" customWidth="1"/>
    <col min="13" max="13" width="15.140625" customWidth="1"/>
    <col min="14" max="14" width="36" customWidth="1"/>
    <col min="20" max="20" width="15.28515625" bestFit="1" customWidth="1"/>
    <col min="21" max="21" width="10.28515625" bestFit="1" customWidth="1"/>
  </cols>
  <sheetData>
    <row r="2" spans="1:13" x14ac:dyDescent="0.25">
      <c r="B2" s="334" t="s">
        <v>12</v>
      </c>
      <c r="C2" s="334"/>
      <c r="D2" s="334"/>
      <c r="E2" s="334"/>
      <c r="F2" s="334"/>
      <c r="G2" s="334"/>
      <c r="H2" s="334"/>
      <c r="I2" s="334"/>
      <c r="J2" s="334"/>
      <c r="K2" s="334"/>
      <c r="L2" s="334"/>
      <c r="M2" s="334"/>
    </row>
    <row r="3" spans="1:13" ht="21" x14ac:dyDescent="0.35">
      <c r="B3" s="335" t="s">
        <v>13</v>
      </c>
      <c r="C3" s="336"/>
      <c r="D3" s="336"/>
      <c r="E3" s="336"/>
      <c r="F3" s="336"/>
      <c r="G3" s="336"/>
      <c r="H3" s="336"/>
      <c r="I3" s="336"/>
      <c r="J3" s="336"/>
      <c r="K3" s="336"/>
      <c r="L3" s="336"/>
      <c r="M3" s="336"/>
    </row>
    <row r="4" spans="1:13" ht="21" x14ac:dyDescent="0.35">
      <c r="B4" s="339" t="s">
        <v>14</v>
      </c>
      <c r="C4" s="340"/>
      <c r="D4" s="340"/>
      <c r="E4" s="340"/>
      <c r="F4" s="340"/>
      <c r="G4" s="340"/>
      <c r="H4" s="340"/>
      <c r="I4" s="340"/>
      <c r="J4" s="340"/>
      <c r="K4" s="340"/>
      <c r="L4" s="340"/>
      <c r="M4" s="340"/>
    </row>
    <row r="6" spans="1:13" ht="18.75" x14ac:dyDescent="0.3">
      <c r="B6" s="337" t="s">
        <v>15</v>
      </c>
      <c r="C6" s="338"/>
      <c r="D6" s="338"/>
      <c r="E6" s="338"/>
      <c r="F6" s="338"/>
      <c r="G6" s="338"/>
      <c r="H6" s="338"/>
      <c r="I6" s="338"/>
      <c r="J6" s="338"/>
      <c r="K6" s="338"/>
      <c r="L6" s="338"/>
      <c r="M6" s="338"/>
    </row>
    <row r="7" spans="1:13" s="57" customFormat="1" ht="18.75" x14ac:dyDescent="0.3">
      <c r="B7" s="56"/>
      <c r="C7" s="56"/>
      <c r="D7" s="56"/>
      <c r="E7" s="56"/>
      <c r="F7" s="56"/>
      <c r="G7" s="56"/>
      <c r="H7" s="56"/>
      <c r="I7" s="56"/>
      <c r="J7" s="56"/>
      <c r="K7" s="56"/>
      <c r="L7" s="56"/>
      <c r="M7" s="56"/>
    </row>
    <row r="8" spans="1:13" ht="18.75" x14ac:dyDescent="0.3">
      <c r="B8" s="98" t="s">
        <v>16</v>
      </c>
      <c r="C8" s="4"/>
    </row>
    <row r="9" spans="1:13" ht="22.15" customHeight="1" x14ac:dyDescent="0.3">
      <c r="B9" s="4"/>
      <c r="C9" s="4"/>
      <c r="E9" s="85"/>
      <c r="F9" s="85"/>
      <c r="G9" s="85"/>
      <c r="H9" s="85"/>
      <c r="I9" s="85"/>
      <c r="K9" s="27"/>
    </row>
    <row r="10" spans="1:13" s="105" customFormat="1" ht="30" x14ac:dyDescent="0.25">
      <c r="B10" s="103" t="s">
        <v>17</v>
      </c>
      <c r="C10" s="103" t="s">
        <v>18</v>
      </c>
      <c r="D10" s="103" t="s">
        <v>19</v>
      </c>
      <c r="E10" s="103" t="s">
        <v>20</v>
      </c>
      <c r="F10" s="103" t="s">
        <v>21</v>
      </c>
      <c r="G10" s="103" t="s">
        <v>222</v>
      </c>
      <c r="H10" s="103" t="s">
        <v>243</v>
      </c>
      <c r="I10" s="104"/>
      <c r="J10" s="106"/>
    </row>
    <row r="11" spans="1:13" x14ac:dyDescent="0.25">
      <c r="B11" s="5" t="s">
        <v>22</v>
      </c>
      <c r="C11" s="90">
        <f>SUM(D11:H11)</f>
        <v>167089128</v>
      </c>
      <c r="D11" s="96">
        <v>64675052</v>
      </c>
      <c r="E11" s="97">
        <f>18811210-839000</f>
        <v>17972210</v>
      </c>
      <c r="F11" s="97">
        <f>81272663+2330203</f>
        <v>83602866</v>
      </c>
      <c r="G11" s="97"/>
      <c r="H11" s="97">
        <v>839000</v>
      </c>
      <c r="J11" s="27"/>
    </row>
    <row r="12" spans="1:13" ht="14.45" customHeight="1" x14ac:dyDescent="0.25">
      <c r="A12" s="341"/>
      <c r="B12" s="8" t="s">
        <v>57</v>
      </c>
      <c r="C12" s="90">
        <f>SUM(D12:H12)</f>
        <v>4033529</v>
      </c>
      <c r="D12" s="91"/>
      <c r="E12" s="92"/>
      <c r="F12" s="93">
        <f>4033529</f>
        <v>4033529</v>
      </c>
      <c r="G12" s="93"/>
      <c r="H12" s="93"/>
      <c r="K12" s="88"/>
      <c r="L12" s="101"/>
      <c r="M12" s="23"/>
    </row>
    <row r="13" spans="1:13" x14ac:dyDescent="0.25">
      <c r="A13" s="341"/>
      <c r="B13" s="8" t="s">
        <v>58</v>
      </c>
      <c r="C13" s="90">
        <f>SUM(D13:H13)</f>
        <v>-103472</v>
      </c>
      <c r="D13" s="91"/>
      <c r="E13" s="92"/>
      <c r="F13" s="93"/>
      <c r="G13" s="93"/>
      <c r="H13" s="93">
        <f>735528-839000</f>
        <v>-103472</v>
      </c>
      <c r="L13" s="22"/>
      <c r="M13" s="23"/>
    </row>
    <row r="14" spans="1:13" x14ac:dyDescent="0.25">
      <c r="A14" s="341"/>
      <c r="B14" s="8" t="s">
        <v>59</v>
      </c>
      <c r="C14" s="90">
        <f>SUM(D14:H14)</f>
        <v>5374989</v>
      </c>
      <c r="D14" s="91">
        <v>1225684</v>
      </c>
      <c r="E14" s="92">
        <v>153021</v>
      </c>
      <c r="F14" s="93">
        <f>3904119+92165</f>
        <v>3996284</v>
      </c>
      <c r="G14" s="93"/>
      <c r="H14" s="93"/>
      <c r="K14" s="22"/>
      <c r="L14" s="22"/>
      <c r="M14" s="23"/>
    </row>
    <row r="15" spans="1:13" x14ac:dyDescent="0.25">
      <c r="A15" s="341"/>
      <c r="B15" s="8" t="s">
        <v>60</v>
      </c>
      <c r="C15" s="90">
        <f t="shared" ref="C15:C19" si="0">SUM(D15:H15)</f>
        <v>4950000</v>
      </c>
      <c r="D15" s="91">
        <v>3100000</v>
      </c>
      <c r="E15" s="92">
        <v>2350000</v>
      </c>
      <c r="F15" s="93">
        <v>-500000</v>
      </c>
      <c r="G15" s="93"/>
      <c r="H15" s="93"/>
      <c r="K15" s="324"/>
      <c r="L15" s="323"/>
      <c r="M15" s="23"/>
    </row>
    <row r="16" spans="1:13" x14ac:dyDescent="0.25">
      <c r="A16" s="341"/>
      <c r="B16" s="10" t="s">
        <v>25</v>
      </c>
      <c r="C16" s="90">
        <f t="shared" si="0"/>
        <v>0</v>
      </c>
      <c r="D16" s="91"/>
      <c r="E16" s="92"/>
      <c r="F16" s="94"/>
      <c r="G16" s="94"/>
      <c r="H16" s="94"/>
      <c r="L16" s="22"/>
      <c r="M16" s="23"/>
    </row>
    <row r="17" spans="1:21" x14ac:dyDescent="0.25">
      <c r="A17" s="341"/>
      <c r="B17" s="10" t="s">
        <v>26</v>
      </c>
      <c r="C17" s="90">
        <f t="shared" si="0"/>
        <v>0</v>
      </c>
      <c r="D17" s="91"/>
      <c r="E17" s="92"/>
      <c r="F17" s="93"/>
      <c r="G17" s="93"/>
      <c r="H17" s="93"/>
      <c r="K17" s="22"/>
      <c r="L17" s="22"/>
      <c r="M17" s="23"/>
    </row>
    <row r="18" spans="1:21" x14ac:dyDescent="0.25">
      <c r="A18" s="341"/>
      <c r="B18" s="10" t="s">
        <v>252</v>
      </c>
      <c r="C18" s="90">
        <f t="shared" si="0"/>
        <v>1600265</v>
      </c>
      <c r="D18" s="91">
        <v>575989</v>
      </c>
      <c r="E18" s="92">
        <v>144276</v>
      </c>
      <c r="F18" s="93">
        <v>880000</v>
      </c>
      <c r="G18" s="93"/>
      <c r="H18" s="93"/>
      <c r="L18" s="22"/>
      <c r="M18" s="23"/>
    </row>
    <row r="19" spans="1:21" x14ac:dyDescent="0.25">
      <c r="A19" s="341"/>
      <c r="B19" s="10" t="s">
        <v>61</v>
      </c>
      <c r="C19" s="90">
        <f t="shared" si="0"/>
        <v>-400000</v>
      </c>
      <c r="D19" s="91"/>
      <c r="E19" s="92"/>
      <c r="F19" s="93">
        <v>-400000</v>
      </c>
      <c r="G19" s="93"/>
      <c r="H19" s="93"/>
      <c r="K19" s="324"/>
      <c r="L19" s="323"/>
      <c r="M19" s="23"/>
    </row>
    <row r="20" spans="1:21" x14ac:dyDescent="0.25">
      <c r="B20" s="89" t="s">
        <v>251</v>
      </c>
      <c r="C20" s="90">
        <f>SUM(D20:H20)</f>
        <v>-4950000</v>
      </c>
      <c r="D20" s="91">
        <v>-3100000</v>
      </c>
      <c r="E20" s="92">
        <v>-2350000</v>
      </c>
      <c r="F20" s="94">
        <v>500000</v>
      </c>
      <c r="G20" s="94"/>
      <c r="H20" s="94"/>
      <c r="N20" s="23"/>
    </row>
    <row r="21" spans="1:21" x14ac:dyDescent="0.25">
      <c r="B21" s="89" t="s">
        <v>28</v>
      </c>
      <c r="C21" s="90">
        <f>SUM(D21:H21)</f>
        <v>0</v>
      </c>
      <c r="D21" s="91"/>
      <c r="E21" s="92"/>
      <c r="F21" s="94"/>
      <c r="G21" s="94"/>
      <c r="H21" s="94"/>
      <c r="J21" s="325"/>
      <c r="K21" s="22"/>
      <c r="L21" s="22"/>
      <c r="N21" s="23"/>
    </row>
    <row r="22" spans="1:21" x14ac:dyDescent="0.25">
      <c r="B22" s="89" t="s">
        <v>28</v>
      </c>
      <c r="C22" s="90">
        <f>SUM(D22:H22)</f>
        <v>0</v>
      </c>
      <c r="D22" s="91"/>
      <c r="E22" s="92"/>
      <c r="F22" s="94"/>
      <c r="G22" s="94"/>
      <c r="H22" s="94"/>
      <c r="N22" s="23"/>
    </row>
    <row r="23" spans="1:21" x14ac:dyDescent="0.25">
      <c r="B23" s="11" t="s">
        <v>29</v>
      </c>
      <c r="C23" s="6">
        <f t="shared" ref="C23:H23" si="1">SUM(C11:C22)</f>
        <v>177594439</v>
      </c>
      <c r="D23" s="54">
        <f t="shared" si="1"/>
        <v>66476725</v>
      </c>
      <c r="E23" s="54">
        <f t="shared" si="1"/>
        <v>18269507</v>
      </c>
      <c r="F23" s="54">
        <f t="shared" si="1"/>
        <v>92112679</v>
      </c>
      <c r="G23" s="54">
        <f t="shared" si="1"/>
        <v>0</v>
      </c>
      <c r="H23" s="54">
        <f t="shared" si="1"/>
        <v>735528</v>
      </c>
      <c r="N23" s="23"/>
    </row>
    <row r="24" spans="1:21" x14ac:dyDescent="0.25">
      <c r="C24" s="14"/>
      <c r="D24" s="15"/>
      <c r="N24" s="23"/>
    </row>
    <row r="25" spans="1:21" x14ac:dyDescent="0.25">
      <c r="B25" s="28" t="s">
        <v>30</v>
      </c>
      <c r="C25" s="65">
        <f t="shared" ref="C25:H25" si="2">+C23-C11</f>
        <v>10505311</v>
      </c>
      <c r="D25" s="19">
        <f t="shared" si="2"/>
        <v>1801673</v>
      </c>
      <c r="E25" s="19">
        <f t="shared" si="2"/>
        <v>297297</v>
      </c>
      <c r="F25" s="19">
        <f t="shared" si="2"/>
        <v>8509813</v>
      </c>
      <c r="G25" s="19">
        <f t="shared" si="2"/>
        <v>0</v>
      </c>
      <c r="H25" s="19">
        <f t="shared" si="2"/>
        <v>-103472</v>
      </c>
      <c r="N25" s="23"/>
    </row>
    <row r="26" spans="1:21" x14ac:dyDescent="0.25">
      <c r="B26" s="55" t="s">
        <v>31</v>
      </c>
      <c r="C26" s="328">
        <f>(C25)/C11</f>
        <v>6.2872498801956764E-2</v>
      </c>
      <c r="D26" s="328">
        <f t="shared" ref="D26:H26" si="3">(D25)/D11</f>
        <v>2.785731042009831E-2</v>
      </c>
      <c r="E26" s="328">
        <f t="shared" si="3"/>
        <v>1.6542039070320234E-2</v>
      </c>
      <c r="F26" s="328">
        <f t="shared" si="3"/>
        <v>0.10178853198645128</v>
      </c>
      <c r="G26" s="328" t="e">
        <f t="shared" si="3"/>
        <v>#DIV/0!</v>
      </c>
      <c r="H26" s="328">
        <f t="shared" si="3"/>
        <v>-0.12332777115613826</v>
      </c>
      <c r="N26" s="23"/>
    </row>
    <row r="27" spans="1:21" x14ac:dyDescent="0.25">
      <c r="B27" s="212"/>
      <c r="C27" s="60"/>
      <c r="D27" s="60"/>
      <c r="E27" s="60"/>
      <c r="F27" s="60"/>
      <c r="G27" s="60"/>
      <c r="H27" s="60"/>
      <c r="N27" s="23"/>
    </row>
    <row r="28" spans="1:21" x14ac:dyDescent="0.25">
      <c r="B28" s="28" t="s">
        <v>32</v>
      </c>
      <c r="C28" s="65">
        <f>'5. Vaccine Clinics and Testing'!D23</f>
        <v>905040</v>
      </c>
      <c r="D28" s="60"/>
      <c r="E28" s="60"/>
      <c r="F28" s="60"/>
      <c r="G28" s="60"/>
      <c r="H28" s="60"/>
      <c r="N28" s="23"/>
    </row>
    <row r="29" spans="1:21" ht="30" x14ac:dyDescent="0.25">
      <c r="B29" s="213" t="s">
        <v>33</v>
      </c>
      <c r="C29" s="214">
        <f>C23-C28</f>
        <v>176689399</v>
      </c>
      <c r="D29" s="15"/>
      <c r="E29" s="15"/>
      <c r="K29" s="23"/>
      <c r="L29" s="23"/>
      <c r="M29" s="14"/>
      <c r="T29" s="22"/>
      <c r="U29" s="23"/>
    </row>
    <row r="30" spans="1:21" x14ac:dyDescent="0.25">
      <c r="B30" s="212"/>
      <c r="C30" s="60"/>
      <c r="D30" s="15"/>
      <c r="E30" s="15"/>
      <c r="K30" s="23"/>
      <c r="L30" s="23"/>
      <c r="M30" s="14"/>
      <c r="T30" s="22"/>
      <c r="U30" s="23"/>
    </row>
    <row r="31" spans="1:21" x14ac:dyDescent="0.25">
      <c r="B31" s="28" t="s">
        <v>34</v>
      </c>
      <c r="C31" s="65">
        <f>C29-C11</f>
        <v>9600271</v>
      </c>
      <c r="D31" s="15"/>
      <c r="E31" s="15"/>
      <c r="N31" s="23"/>
    </row>
    <row r="32" spans="1:21" x14ac:dyDescent="0.25">
      <c r="B32" s="55" t="s">
        <v>35</v>
      </c>
      <c r="C32" s="328">
        <f>(C31)/C11</f>
        <v>5.7455988399197341E-2</v>
      </c>
      <c r="D32" s="15"/>
      <c r="E32" s="15"/>
      <c r="N32" s="23"/>
    </row>
    <row r="33" spans="2:21" x14ac:dyDescent="0.25">
      <c r="B33" s="212"/>
      <c r="C33" s="60"/>
      <c r="D33" s="60"/>
      <c r="E33" s="60"/>
      <c r="F33" s="60"/>
      <c r="G33" s="60"/>
      <c r="H33" s="60"/>
      <c r="N33" s="23"/>
    </row>
    <row r="34" spans="2:21" ht="28.15" customHeight="1" x14ac:dyDescent="0.3">
      <c r="B34" s="98" t="s">
        <v>36</v>
      </c>
      <c r="C34" s="4"/>
      <c r="D34" s="15"/>
      <c r="E34" s="15"/>
      <c r="T34" s="22"/>
      <c r="U34" s="23"/>
    </row>
    <row r="35" spans="2:21" ht="18.75" x14ac:dyDescent="0.3">
      <c r="B35" s="98"/>
      <c r="C35" s="4"/>
      <c r="D35" s="15"/>
      <c r="E35" s="15"/>
      <c r="T35" s="22"/>
      <c r="U35" s="23"/>
    </row>
    <row r="36" spans="2:21" s="88" customFormat="1" x14ac:dyDescent="0.25">
      <c r="B36" s="100" t="s">
        <v>37</v>
      </c>
      <c r="C36" s="100" t="s">
        <v>38</v>
      </c>
      <c r="D36" s="100" t="s">
        <v>39</v>
      </c>
      <c r="E36" s="52"/>
      <c r="T36" s="101"/>
      <c r="U36" s="102"/>
    </row>
    <row r="37" spans="2:21" x14ac:dyDescent="0.25">
      <c r="B37" s="5" t="s">
        <v>40</v>
      </c>
      <c r="C37" s="90">
        <v>174402372</v>
      </c>
      <c r="D37" s="7"/>
      <c r="E37" s="60"/>
      <c r="T37" s="22"/>
      <c r="U37" s="23"/>
    </row>
    <row r="38" spans="2:21" x14ac:dyDescent="0.25">
      <c r="B38" s="8" t="s">
        <v>41</v>
      </c>
      <c r="C38" s="95">
        <v>1067880</v>
      </c>
      <c r="D38" s="9">
        <f>+C38/C$37</f>
        <v>6.1230818580839024E-3</v>
      </c>
      <c r="E38" s="53"/>
      <c r="I38" s="86"/>
      <c r="J38" s="305"/>
      <c r="K38" s="305"/>
      <c r="L38" s="305"/>
      <c r="T38" s="22"/>
    </row>
    <row r="39" spans="2:21" x14ac:dyDescent="0.25">
      <c r="B39" s="10" t="s">
        <v>42</v>
      </c>
      <c r="C39" s="282">
        <f>'4. Inflation'!D16</f>
        <v>3494721.0999999996</v>
      </c>
      <c r="D39" s="9">
        <f t="shared" ref="D39:D51" si="4">+C39/C$37</f>
        <v>2.0038265878631511E-2</v>
      </c>
      <c r="E39" s="283" t="s">
        <v>244</v>
      </c>
      <c r="I39" s="86"/>
      <c r="J39" s="306"/>
      <c r="K39" s="307"/>
      <c r="L39" s="308"/>
      <c r="T39" s="22"/>
    </row>
    <row r="40" spans="2:21" x14ac:dyDescent="0.25">
      <c r="B40" s="10" t="s">
        <v>43</v>
      </c>
      <c r="C40" s="95"/>
      <c r="D40" s="9">
        <f t="shared" si="4"/>
        <v>0</v>
      </c>
      <c r="E40" s="53"/>
      <c r="I40" s="86"/>
      <c r="J40" s="309"/>
      <c r="K40" s="310"/>
      <c r="L40" s="311"/>
      <c r="T40" s="22"/>
    </row>
    <row r="41" spans="2:21" x14ac:dyDescent="0.25">
      <c r="B41" s="10" t="s">
        <v>44</v>
      </c>
      <c r="C41" s="95">
        <v>378854</v>
      </c>
      <c r="D41" s="9">
        <f t="shared" si="4"/>
        <v>2.1722984363997068E-3</v>
      </c>
      <c r="E41" s="53"/>
      <c r="I41" s="86"/>
      <c r="J41" s="312"/>
      <c r="K41" s="313"/>
      <c r="L41" s="78"/>
      <c r="T41" s="22"/>
    </row>
    <row r="42" spans="2:21" x14ac:dyDescent="0.25">
      <c r="B42" s="10" t="s">
        <v>45</v>
      </c>
      <c r="C42" s="95"/>
      <c r="D42" s="9">
        <f t="shared" si="4"/>
        <v>0</v>
      </c>
      <c r="E42" s="53"/>
      <c r="I42" s="86"/>
      <c r="J42" s="312"/>
      <c r="K42" s="310"/>
      <c r="L42" s="78"/>
      <c r="T42" s="22"/>
    </row>
    <row r="43" spans="2:21" x14ac:dyDescent="0.25">
      <c r="B43" s="10" t="s">
        <v>46</v>
      </c>
      <c r="C43" s="95"/>
      <c r="D43" s="9">
        <f t="shared" si="4"/>
        <v>0</v>
      </c>
      <c r="E43" s="53"/>
      <c r="I43" s="86"/>
      <c r="J43" s="312"/>
      <c r="K43" s="310"/>
      <c r="L43" s="78"/>
      <c r="T43" s="22"/>
    </row>
    <row r="44" spans="2:21" x14ac:dyDescent="0.25">
      <c r="B44" s="10" t="s">
        <v>47</v>
      </c>
      <c r="C44" s="95">
        <v>-1200557</v>
      </c>
      <c r="D44" s="9">
        <f t="shared" si="4"/>
        <v>-6.8838341258340222E-3</v>
      </c>
      <c r="E44" s="53"/>
      <c r="I44" s="86"/>
      <c r="J44" s="312"/>
      <c r="K44" s="310"/>
      <c r="L44" s="78"/>
    </row>
    <row r="45" spans="2:21" x14ac:dyDescent="0.25">
      <c r="B45" s="10" t="s">
        <v>48</v>
      </c>
      <c r="C45" s="95">
        <v>794221</v>
      </c>
      <c r="D45" s="9">
        <f t="shared" si="4"/>
        <v>4.5539575574121208E-3</v>
      </c>
      <c r="E45" s="53"/>
      <c r="I45" s="86"/>
      <c r="J45" s="312"/>
      <c r="K45" s="310"/>
      <c r="L45" s="78"/>
    </row>
    <row r="46" spans="2:21" x14ac:dyDescent="0.25">
      <c r="B46" s="10" t="s">
        <v>49</v>
      </c>
      <c r="C46" s="95">
        <v>-500000</v>
      </c>
      <c r="D46" s="9">
        <f>+C46/C$37</f>
        <v>-2.8669334841386219E-3</v>
      </c>
      <c r="E46" s="78"/>
      <c r="I46" s="86"/>
      <c r="J46" s="312"/>
      <c r="K46" s="310"/>
      <c r="L46" s="78"/>
    </row>
    <row r="47" spans="2:21" x14ac:dyDescent="0.25">
      <c r="B47" s="89" t="s">
        <v>270</v>
      </c>
      <c r="C47" s="95">
        <v>1904301</v>
      </c>
      <c r="D47" s="9">
        <f t="shared" ref="D47:D48" si="5">+C47/C$37</f>
        <v>1.0919008601557322E-2</v>
      </c>
      <c r="E47" s="53"/>
      <c r="I47" s="86"/>
      <c r="J47" s="312"/>
      <c r="K47" s="310"/>
      <c r="L47" s="311"/>
    </row>
    <row r="48" spans="2:21" x14ac:dyDescent="0.25">
      <c r="B48" s="89" t="s">
        <v>271</v>
      </c>
      <c r="C48" s="95">
        <v>-447559</v>
      </c>
      <c r="D48" s="9">
        <f t="shared" si="5"/>
        <v>-2.5662437664551946E-3</v>
      </c>
      <c r="E48" s="53"/>
      <c r="I48" s="86"/>
      <c r="J48" s="312"/>
      <c r="K48" s="310"/>
      <c r="L48" s="311"/>
    </row>
    <row r="49" spans="2:21" x14ac:dyDescent="0.25">
      <c r="B49" s="89" t="s">
        <v>272</v>
      </c>
      <c r="C49" s="95">
        <v>-200000</v>
      </c>
      <c r="D49" s="9">
        <f t="shared" si="4"/>
        <v>-1.1467733936554488E-3</v>
      </c>
      <c r="E49" s="53"/>
      <c r="I49" s="86"/>
      <c r="J49" s="314"/>
      <c r="K49" s="310"/>
      <c r="L49" s="311"/>
    </row>
    <row r="50" spans="2:21" x14ac:dyDescent="0.25">
      <c r="B50" s="89" t="s">
        <v>273</v>
      </c>
      <c r="C50" s="95">
        <v>618170</v>
      </c>
      <c r="D50" s="9">
        <f t="shared" ref="D50" si="6">+C50/C$37</f>
        <v>3.5445045437799434E-3</v>
      </c>
      <c r="E50" s="53"/>
      <c r="I50" s="86"/>
      <c r="J50" s="314"/>
      <c r="K50" s="310"/>
      <c r="L50" s="311"/>
    </row>
    <row r="51" spans="2:21" x14ac:dyDescent="0.25">
      <c r="B51" s="89" t="s">
        <v>50</v>
      </c>
      <c r="C51" s="95">
        <v>447839</v>
      </c>
      <c r="D51" s="9">
        <f t="shared" si="4"/>
        <v>2.5678492492063124E-3</v>
      </c>
      <c r="E51" s="53"/>
      <c r="I51" s="86"/>
      <c r="J51" s="314"/>
      <c r="K51" s="310"/>
      <c r="L51" s="311"/>
    </row>
    <row r="52" spans="2:21" x14ac:dyDescent="0.25">
      <c r="B52" s="11" t="s">
        <v>51</v>
      </c>
      <c r="C52" s="12">
        <f>SUM(C37:C51)</f>
        <v>180760242.09999999</v>
      </c>
      <c r="D52" s="13">
        <f>SUM(D38:D51)</f>
        <v>3.6455181354987529E-2</v>
      </c>
      <c r="E52" s="78"/>
      <c r="I52" s="86"/>
      <c r="J52" s="314"/>
      <c r="K52" s="310"/>
      <c r="L52" s="311"/>
    </row>
    <row r="53" spans="2:21" x14ac:dyDescent="0.25">
      <c r="B53" s="86"/>
      <c r="C53" s="87"/>
      <c r="D53" s="78"/>
      <c r="E53" s="78"/>
      <c r="I53" s="86"/>
      <c r="J53" s="314"/>
      <c r="K53" s="310"/>
      <c r="L53" s="311"/>
    </row>
    <row r="54" spans="2:21" x14ac:dyDescent="0.25">
      <c r="B54" s="28" t="s">
        <v>30</v>
      </c>
      <c r="C54" s="65">
        <f>+C52-C37</f>
        <v>6357870.099999994</v>
      </c>
      <c r="D54" s="78"/>
      <c r="E54" s="78"/>
      <c r="I54" s="86"/>
      <c r="J54" s="86"/>
      <c r="K54" s="87"/>
      <c r="L54" s="78"/>
    </row>
    <row r="55" spans="2:21" x14ac:dyDescent="0.25">
      <c r="B55" s="55" t="s">
        <v>31</v>
      </c>
      <c r="C55" s="328">
        <f>(C54)/C37</f>
        <v>3.6455181354987501E-2</v>
      </c>
      <c r="D55" s="78"/>
      <c r="E55" s="78"/>
      <c r="I55" s="86"/>
      <c r="J55" s="86"/>
      <c r="K55" s="86"/>
      <c r="L55" s="86"/>
    </row>
    <row r="56" spans="2:21" x14ac:dyDescent="0.25">
      <c r="B56" s="212"/>
      <c r="C56" s="60"/>
      <c r="D56" s="60"/>
      <c r="E56" s="60"/>
      <c r="F56" s="60"/>
      <c r="G56" s="60"/>
      <c r="H56" s="60"/>
      <c r="I56" s="86"/>
      <c r="J56" s="86"/>
      <c r="K56" s="86"/>
      <c r="L56" s="86"/>
      <c r="N56" s="23"/>
    </row>
    <row r="57" spans="2:21" x14ac:dyDescent="0.25">
      <c r="B57" s="28" t="s">
        <v>32</v>
      </c>
      <c r="C57" s="65">
        <f>'5. Vaccine Clinics and Testing'!D36</f>
        <v>863000</v>
      </c>
      <c r="D57" s="60"/>
      <c r="E57" s="60"/>
      <c r="F57" s="60"/>
      <c r="G57" s="60"/>
      <c r="H57" s="60"/>
      <c r="N57" s="23"/>
    </row>
    <row r="58" spans="2:21" ht="30" x14ac:dyDescent="0.25">
      <c r="B58" s="213" t="s">
        <v>33</v>
      </c>
      <c r="C58" s="214">
        <f>C52-C57</f>
        <v>179897242.09999999</v>
      </c>
      <c r="D58" s="15"/>
      <c r="E58" s="15"/>
      <c r="K58" s="23"/>
      <c r="L58" s="23"/>
      <c r="M58" s="14"/>
      <c r="T58" s="22"/>
      <c r="U58" s="23"/>
    </row>
    <row r="59" spans="2:21" x14ac:dyDescent="0.25">
      <c r="B59" s="212"/>
      <c r="C59" s="60"/>
      <c r="D59" s="15"/>
      <c r="E59" s="15"/>
      <c r="K59" s="23"/>
      <c r="L59" s="23"/>
      <c r="M59" s="14"/>
      <c r="T59" s="22"/>
      <c r="U59" s="23"/>
    </row>
    <row r="60" spans="2:21" x14ac:dyDescent="0.25">
      <c r="B60" s="28" t="s">
        <v>34</v>
      </c>
      <c r="C60" s="65">
        <f>C58-C37</f>
        <v>5494870.099999994</v>
      </c>
      <c r="D60" s="15"/>
      <c r="E60" s="15"/>
      <c r="N60" s="23"/>
    </row>
    <row r="61" spans="2:21" x14ac:dyDescent="0.25">
      <c r="B61" s="55" t="s">
        <v>35</v>
      </c>
      <c r="C61" s="328">
        <f>(C60)/C37</f>
        <v>3.1506854161364242E-2</v>
      </c>
      <c r="D61" s="15"/>
      <c r="E61" s="15"/>
      <c r="N61" s="23"/>
    </row>
    <row r="62" spans="2:21" x14ac:dyDescent="0.25">
      <c r="B62" s="212"/>
      <c r="C62" s="60"/>
      <c r="D62" s="60"/>
      <c r="E62" s="60"/>
      <c r="F62" s="60"/>
      <c r="G62" s="60"/>
      <c r="H62" s="60"/>
      <c r="N62" s="23"/>
    </row>
    <row r="64" spans="2:21" ht="18.75" x14ac:dyDescent="0.3">
      <c r="B64" s="337" t="s">
        <v>52</v>
      </c>
      <c r="C64" s="338"/>
      <c r="D64" s="338"/>
      <c r="E64" s="338"/>
      <c r="F64" s="338"/>
      <c r="G64" s="338"/>
      <c r="H64" s="338"/>
      <c r="I64" s="338"/>
      <c r="J64" s="338"/>
      <c r="K64" s="338"/>
      <c r="L64" s="338"/>
      <c r="M64" s="338"/>
      <c r="T64" s="22"/>
      <c r="U64" s="23"/>
    </row>
    <row r="65" spans="1:13" x14ac:dyDescent="0.25">
      <c r="B65" s="17"/>
    </row>
    <row r="66" spans="1:13" ht="18.75" x14ac:dyDescent="0.3">
      <c r="B66" s="98" t="s">
        <v>53</v>
      </c>
      <c r="C66" s="4"/>
    </row>
    <row r="67" spans="1:13" ht="18.75" x14ac:dyDescent="0.3">
      <c r="B67" s="98"/>
      <c r="C67" s="4"/>
    </row>
    <row r="68" spans="1:13" ht="18.75" x14ac:dyDescent="0.3">
      <c r="B68" s="98" t="s">
        <v>54</v>
      </c>
      <c r="C68" s="238" t="s">
        <v>55</v>
      </c>
    </row>
    <row r="69" spans="1:13" s="88" customFormat="1" ht="30" x14ac:dyDescent="0.25">
      <c r="B69" s="99" t="s">
        <v>17</v>
      </c>
      <c r="C69" s="99" t="s">
        <v>18</v>
      </c>
      <c r="D69" s="99" t="s">
        <v>19</v>
      </c>
      <c r="E69" s="99" t="s">
        <v>20</v>
      </c>
      <c r="F69" s="99" t="s">
        <v>21</v>
      </c>
      <c r="G69" s="99" t="s">
        <v>222</v>
      </c>
      <c r="H69" s="99" t="s">
        <v>243</v>
      </c>
    </row>
    <row r="70" spans="1:13" x14ac:dyDescent="0.25">
      <c r="B70" s="5" t="s">
        <v>56</v>
      </c>
      <c r="C70" s="90">
        <f>SUM(D70:H70)</f>
        <v>169481663</v>
      </c>
      <c r="D70" s="96">
        <v>64071803</v>
      </c>
      <c r="E70" s="97">
        <f>18630262-750368</f>
        <v>17879894</v>
      </c>
      <c r="F70" s="97">
        <f>87279598-500000</f>
        <v>86779598</v>
      </c>
      <c r="G70" s="97"/>
      <c r="H70" s="97">
        <v>750368</v>
      </c>
    </row>
    <row r="71" spans="1:13" ht="14.45" customHeight="1" x14ac:dyDescent="0.25">
      <c r="A71" s="333"/>
      <c r="B71" s="8" t="s">
        <v>57</v>
      </c>
      <c r="C71" s="90">
        <f>SUM(D71:H71)</f>
        <v>4033529</v>
      </c>
      <c r="D71" s="91"/>
      <c r="E71" s="92"/>
      <c r="F71" s="93">
        <f>4913529-880000</f>
        <v>4033529</v>
      </c>
      <c r="G71" s="93"/>
      <c r="H71" s="93"/>
      <c r="L71" s="22"/>
      <c r="M71" s="23"/>
    </row>
    <row r="72" spans="1:13" x14ac:dyDescent="0.25">
      <c r="A72" s="333"/>
      <c r="B72" s="8" t="s">
        <v>58</v>
      </c>
      <c r="C72" s="90">
        <f>SUM(D72:H72)</f>
        <v>-14840</v>
      </c>
      <c r="D72" s="91"/>
      <c r="E72" s="92"/>
      <c r="F72" s="93"/>
      <c r="G72" s="93"/>
      <c r="H72" s="93">
        <f>735528-H70</f>
        <v>-14840</v>
      </c>
      <c r="J72" s="14"/>
      <c r="L72" s="22"/>
      <c r="M72" s="23"/>
    </row>
    <row r="73" spans="1:13" x14ac:dyDescent="0.25">
      <c r="A73" s="333"/>
      <c r="B73" s="8" t="s">
        <v>59</v>
      </c>
      <c r="C73" s="90">
        <f>SUM(D73:H73)</f>
        <v>7435279</v>
      </c>
      <c r="D73" s="91">
        <f>+D23-63123413</f>
        <v>3353312</v>
      </c>
      <c r="E73" s="92">
        <f>+E23-17394097</f>
        <v>875410</v>
      </c>
      <c r="F73" s="93">
        <f>+F23+G23-89306122+400000</f>
        <v>3206557</v>
      </c>
      <c r="G73" s="93"/>
      <c r="H73" s="93"/>
      <c r="K73" s="22"/>
      <c r="L73" s="22"/>
      <c r="M73" s="23"/>
    </row>
    <row r="74" spans="1:13" x14ac:dyDescent="0.25">
      <c r="A74" s="333"/>
      <c r="B74" s="8" t="s">
        <v>60</v>
      </c>
      <c r="C74" s="90">
        <f t="shared" ref="C74:C81" si="7">SUM(D74:H74)</f>
        <v>0</v>
      </c>
      <c r="D74" s="91"/>
      <c r="E74" s="92"/>
      <c r="F74" s="93"/>
      <c r="G74" s="93"/>
      <c r="H74" s="93"/>
      <c r="L74" s="22"/>
      <c r="M74" s="23"/>
    </row>
    <row r="75" spans="1:13" x14ac:dyDescent="0.25">
      <c r="B75" s="10" t="s">
        <v>25</v>
      </c>
      <c r="C75" s="90">
        <f t="shared" si="7"/>
        <v>0</v>
      </c>
      <c r="D75" s="91"/>
      <c r="E75" s="92"/>
      <c r="F75" s="94"/>
      <c r="G75" s="94"/>
      <c r="H75" s="94"/>
      <c r="L75" s="22"/>
      <c r="M75" s="23"/>
    </row>
    <row r="76" spans="1:13" x14ac:dyDescent="0.25">
      <c r="B76" s="10" t="s">
        <v>26</v>
      </c>
      <c r="C76" s="90">
        <f t="shared" si="7"/>
        <v>0</v>
      </c>
      <c r="D76" s="91"/>
      <c r="E76" s="92"/>
      <c r="F76" s="93"/>
      <c r="G76" s="93"/>
      <c r="H76" s="93"/>
      <c r="J76" s="22"/>
      <c r="L76" s="22"/>
      <c r="M76" s="23"/>
    </row>
    <row r="77" spans="1:13" x14ac:dyDescent="0.25">
      <c r="B77" s="10" t="s">
        <v>27</v>
      </c>
      <c r="C77" s="90">
        <f t="shared" si="7"/>
        <v>1600265</v>
      </c>
      <c r="D77" s="91">
        <v>575989</v>
      </c>
      <c r="E77" s="92">
        <v>144276</v>
      </c>
      <c r="F77" s="93">
        <v>880000</v>
      </c>
      <c r="G77" s="93"/>
      <c r="H77" s="93"/>
      <c r="L77" s="22"/>
      <c r="M77" s="23"/>
    </row>
    <row r="78" spans="1:13" x14ac:dyDescent="0.25">
      <c r="B78" s="10" t="s">
        <v>61</v>
      </c>
      <c r="C78" s="90">
        <f t="shared" si="7"/>
        <v>-400000</v>
      </c>
      <c r="D78" s="91"/>
      <c r="E78" s="92"/>
      <c r="F78" s="93">
        <v>-400000</v>
      </c>
      <c r="G78" s="93"/>
      <c r="H78" s="93"/>
      <c r="L78" s="22"/>
      <c r="M78" s="23"/>
    </row>
    <row r="79" spans="1:13" x14ac:dyDescent="0.25">
      <c r="B79" s="89" t="s">
        <v>274</v>
      </c>
      <c r="C79" s="90">
        <f t="shared" si="7"/>
        <v>-2278858</v>
      </c>
      <c r="D79" s="91">
        <v>-1022046</v>
      </c>
      <c r="E79" s="92">
        <v>-355348</v>
      </c>
      <c r="F79" s="94">
        <f>-80020-772245-49199</f>
        <v>-901464</v>
      </c>
      <c r="G79" s="94"/>
      <c r="H79" s="94"/>
      <c r="L79" s="22"/>
      <c r="M79" s="23"/>
    </row>
    <row r="80" spans="1:13" x14ac:dyDescent="0.25">
      <c r="B80" s="89" t="s">
        <v>275</v>
      </c>
      <c r="C80" s="90">
        <f t="shared" si="7"/>
        <v>-2262599.5</v>
      </c>
      <c r="D80" s="91">
        <f>-669778*0.75</f>
        <v>-502333.5</v>
      </c>
      <c r="E80" s="92">
        <f>-366300*0.75</f>
        <v>-274725</v>
      </c>
      <c r="F80" s="94">
        <f>-2262600+777059</f>
        <v>-1485541</v>
      </c>
      <c r="G80" s="94"/>
      <c r="H80" s="94"/>
      <c r="L80" s="22"/>
      <c r="M80" s="23"/>
    </row>
    <row r="81" spans="2:21" x14ac:dyDescent="0.25">
      <c r="B81" s="89" t="s">
        <v>28</v>
      </c>
      <c r="C81" s="90">
        <f t="shared" si="7"/>
        <v>0</v>
      </c>
      <c r="D81" s="91"/>
      <c r="E81" s="92"/>
      <c r="F81" s="94"/>
      <c r="G81" s="94"/>
      <c r="H81" s="94"/>
      <c r="L81" s="22"/>
      <c r="M81" s="23"/>
    </row>
    <row r="82" spans="2:21" x14ac:dyDescent="0.25">
      <c r="B82" s="11" t="s">
        <v>29</v>
      </c>
      <c r="C82" s="6">
        <f t="shared" ref="C82:H82" si="8">SUM(C70:C81)</f>
        <v>177594438.5</v>
      </c>
      <c r="D82" s="54">
        <f t="shared" si="8"/>
        <v>66476724.5</v>
      </c>
      <c r="E82" s="54">
        <f t="shared" si="8"/>
        <v>18269507</v>
      </c>
      <c r="F82" s="54">
        <f t="shared" si="8"/>
        <v>92112679</v>
      </c>
      <c r="G82" s="54">
        <f t="shared" si="8"/>
        <v>0</v>
      </c>
      <c r="H82" s="54">
        <f t="shared" si="8"/>
        <v>735528</v>
      </c>
      <c r="L82" s="22"/>
      <c r="M82" s="23"/>
    </row>
    <row r="83" spans="2:21" x14ac:dyDescent="0.25">
      <c r="C83" s="14"/>
      <c r="D83" s="15"/>
      <c r="L83" s="22"/>
      <c r="M83" s="23"/>
    </row>
    <row r="84" spans="2:21" x14ac:dyDescent="0.25">
      <c r="B84" s="28" t="s">
        <v>62</v>
      </c>
      <c r="C84" s="65">
        <f>+C82-C70</f>
        <v>8112775.5</v>
      </c>
      <c r="D84" s="65">
        <f t="shared" ref="D84:E84" si="9">+D82-D70</f>
        <v>2404921.5</v>
      </c>
      <c r="E84" s="65">
        <f t="shared" si="9"/>
        <v>389613</v>
      </c>
      <c r="F84" s="19">
        <f>+F82-F70</f>
        <v>5333081</v>
      </c>
      <c r="G84" s="19">
        <f>+G82-G70</f>
        <v>0</v>
      </c>
      <c r="H84" s="19">
        <f>+H82-H70</f>
        <v>-14840</v>
      </c>
      <c r="L84" s="22"/>
      <c r="M84" s="23"/>
    </row>
    <row r="85" spans="2:21" x14ac:dyDescent="0.25">
      <c r="B85" s="55" t="s">
        <v>63</v>
      </c>
      <c r="C85" s="328">
        <f>(C84)/C70</f>
        <v>4.786816081690206E-2</v>
      </c>
      <c r="D85" s="328">
        <f t="shared" ref="D85:H85" si="10">(D84)/D70</f>
        <v>3.7534787338511448E-2</v>
      </c>
      <c r="E85" s="328">
        <f t="shared" si="10"/>
        <v>2.1790565425052297E-2</v>
      </c>
      <c r="F85" s="328">
        <f t="shared" si="10"/>
        <v>6.1455470213171534E-2</v>
      </c>
      <c r="G85" s="328" t="e">
        <f t="shared" si="10"/>
        <v>#DIV/0!</v>
      </c>
      <c r="H85" s="328">
        <f t="shared" si="10"/>
        <v>-1.977696277026739E-2</v>
      </c>
      <c r="L85" s="22"/>
      <c r="M85" s="23"/>
    </row>
    <row r="86" spans="2:21" x14ac:dyDescent="0.25">
      <c r="B86" s="212"/>
      <c r="C86" s="60"/>
      <c r="D86" s="15"/>
      <c r="E86" s="15"/>
      <c r="K86" s="23"/>
      <c r="L86" s="23"/>
      <c r="M86" s="14"/>
      <c r="T86" s="22"/>
      <c r="U86" s="23"/>
    </row>
    <row r="87" spans="2:21" x14ac:dyDescent="0.25">
      <c r="B87" s="28" t="s">
        <v>64</v>
      </c>
      <c r="C87" s="65">
        <f>(C82-'5. Vaccine Clinics and Testing'!D23)-('1. Reconciliation'!C70-'5. Vaccine Clinics and Testing'!C23)</f>
        <v>10224535.5</v>
      </c>
      <c r="D87" s="15"/>
      <c r="E87" s="15"/>
      <c r="N87" s="23"/>
    </row>
    <row r="88" spans="2:21" x14ac:dyDescent="0.25">
      <c r="B88" s="55" t="s">
        <v>65</v>
      </c>
      <c r="C88" s="328">
        <f>(C87)/(C70-'[20]5. Vaccine Clinics and Testing'!C23)</f>
        <v>6.0328269849464482E-2</v>
      </c>
      <c r="D88" s="15"/>
      <c r="E88" s="15"/>
      <c r="N88" s="23"/>
    </row>
    <row r="89" spans="2:21" x14ac:dyDescent="0.25">
      <c r="B89" s="212"/>
      <c r="C89" s="60"/>
      <c r="D89" s="60"/>
      <c r="E89" s="60"/>
      <c r="F89" s="60"/>
      <c r="G89" s="60"/>
      <c r="H89" s="60"/>
      <c r="N89" s="23"/>
    </row>
    <row r="90" spans="2:21" ht="19.899999999999999" customHeight="1" x14ac:dyDescent="0.3">
      <c r="B90" s="98" t="s">
        <v>66</v>
      </c>
      <c r="C90" s="4"/>
      <c r="D90" s="15"/>
      <c r="E90" s="15"/>
      <c r="T90" s="22"/>
      <c r="U90" s="23"/>
    </row>
    <row r="91" spans="2:21" ht="18.75" x14ac:dyDescent="0.3">
      <c r="B91" s="98"/>
      <c r="C91" s="4"/>
      <c r="D91" s="15"/>
      <c r="E91" s="15"/>
      <c r="T91" s="22"/>
      <c r="U91" s="23"/>
    </row>
    <row r="92" spans="2:21" x14ac:dyDescent="0.25">
      <c r="B92" s="100" t="s">
        <v>37</v>
      </c>
      <c r="C92" s="100" t="s">
        <v>38</v>
      </c>
      <c r="D92" s="100" t="s">
        <v>39</v>
      </c>
      <c r="E92" s="61"/>
      <c r="T92" s="22"/>
      <c r="U92" s="23"/>
    </row>
    <row r="93" spans="2:21" x14ac:dyDescent="0.25">
      <c r="B93" s="5" t="s">
        <v>56</v>
      </c>
      <c r="C93" s="90">
        <v>175407639</v>
      </c>
      <c r="D93" s="7"/>
      <c r="E93" s="60"/>
      <c r="T93" s="22"/>
      <c r="U93" s="23"/>
    </row>
    <row r="94" spans="2:21" x14ac:dyDescent="0.25">
      <c r="B94" s="8" t="s">
        <v>41</v>
      </c>
      <c r="C94" s="95">
        <v>193903</v>
      </c>
      <c r="D94" s="9">
        <f>+C94/C$37</f>
        <v>1.1118140067498624E-3</v>
      </c>
      <c r="E94" s="62"/>
      <c r="T94" s="22"/>
    </row>
    <row r="95" spans="2:21" x14ac:dyDescent="0.25">
      <c r="B95" s="10" t="s">
        <v>42</v>
      </c>
      <c r="C95" s="95"/>
      <c r="D95" s="9">
        <f t="shared" ref="D95:D107" si="11">+C95/C$37</f>
        <v>0</v>
      </c>
      <c r="E95" s="62"/>
      <c r="T95" s="22"/>
    </row>
    <row r="96" spans="2:21" x14ac:dyDescent="0.25">
      <c r="B96" s="10" t="s">
        <v>43</v>
      </c>
      <c r="C96" s="95">
        <v>1609018</v>
      </c>
      <c r="D96" s="9">
        <f t="shared" si="11"/>
        <v>9.2258951615635139E-3</v>
      </c>
      <c r="E96" s="62"/>
      <c r="T96" s="22"/>
    </row>
    <row r="97" spans="2:20" x14ac:dyDescent="0.25">
      <c r="B97" s="10" t="s">
        <v>44</v>
      </c>
      <c r="C97" s="95">
        <v>1131165</v>
      </c>
      <c r="D97" s="9">
        <f t="shared" si="11"/>
        <v>6.4859496291713283E-3</v>
      </c>
      <c r="E97" s="62"/>
      <c r="T97" s="22"/>
    </row>
    <row r="98" spans="2:20" x14ac:dyDescent="0.25">
      <c r="B98" s="10" t="s">
        <v>45</v>
      </c>
      <c r="C98" s="95"/>
      <c r="D98" s="9">
        <f t="shared" si="11"/>
        <v>0</v>
      </c>
      <c r="E98" s="62"/>
      <c r="T98" s="22"/>
    </row>
    <row r="99" spans="2:20" x14ac:dyDescent="0.25">
      <c r="B99" s="10" t="s">
        <v>46</v>
      </c>
      <c r="C99" s="95"/>
      <c r="D99" s="9">
        <f t="shared" si="11"/>
        <v>0</v>
      </c>
      <c r="E99" s="62"/>
      <c r="T99" s="22"/>
    </row>
    <row r="100" spans="2:20" x14ac:dyDescent="0.25">
      <c r="B100" s="10" t="s">
        <v>47</v>
      </c>
      <c r="C100" s="95">
        <v>919020</v>
      </c>
      <c r="D100" s="9">
        <f t="shared" si="11"/>
        <v>5.2695384211861526E-3</v>
      </c>
      <c r="E100" s="62"/>
    </row>
    <row r="101" spans="2:20" x14ac:dyDescent="0.25">
      <c r="B101" s="10" t="s">
        <v>48</v>
      </c>
      <c r="C101" s="95">
        <v>792102</v>
      </c>
      <c r="D101" s="9">
        <f t="shared" si="11"/>
        <v>4.5418074933063412E-3</v>
      </c>
      <c r="E101" s="62"/>
    </row>
    <row r="102" spans="2:20" x14ac:dyDescent="0.25">
      <c r="B102" s="10" t="s">
        <v>49</v>
      </c>
      <c r="C102" s="95"/>
      <c r="D102" s="9">
        <f t="shared" si="11"/>
        <v>0</v>
      </c>
      <c r="E102" s="62"/>
    </row>
    <row r="103" spans="2:20" x14ac:dyDescent="0.25">
      <c r="B103" s="89" t="s">
        <v>276</v>
      </c>
      <c r="C103" s="95">
        <v>-821568</v>
      </c>
      <c r="D103" s="9">
        <f t="shared" ref="D103:D104" si="12">+C103/C$37</f>
        <v>-4.710761617393598E-3</v>
      </c>
      <c r="E103" s="62"/>
    </row>
    <row r="104" spans="2:20" x14ac:dyDescent="0.25">
      <c r="B104" s="89" t="s">
        <v>270</v>
      </c>
      <c r="C104" s="95">
        <v>1943810</v>
      </c>
      <c r="D104" s="9">
        <f t="shared" si="12"/>
        <v>1.1145547951606988E-2</v>
      </c>
      <c r="E104" s="62"/>
    </row>
    <row r="105" spans="2:20" x14ac:dyDescent="0.25">
      <c r="B105" s="89" t="s">
        <v>271</v>
      </c>
      <c r="C105" s="95">
        <f>-184083+151049</f>
        <v>-33034</v>
      </c>
      <c r="D105" s="9">
        <f t="shared" si="11"/>
        <v>-1.8941256143007045E-4</v>
      </c>
      <c r="E105" s="62"/>
    </row>
    <row r="106" spans="2:20" x14ac:dyDescent="0.25">
      <c r="B106" s="89" t="s">
        <v>277</v>
      </c>
      <c r="C106" s="95">
        <v>-1191103</v>
      </c>
      <c r="D106" s="9">
        <f t="shared" ref="D106" si="13">+C106/C$37</f>
        <v>-6.8296261475159293E-3</v>
      </c>
      <c r="E106" s="62"/>
    </row>
    <row r="107" spans="2:20" x14ac:dyDescent="0.25">
      <c r="B107" s="89" t="s">
        <v>50</v>
      </c>
      <c r="C107" s="95">
        <f>936301-131407+4396</f>
        <v>809290</v>
      </c>
      <c r="D107" s="9">
        <f t="shared" si="11"/>
        <v>4.6403611987570906E-3</v>
      </c>
      <c r="E107" s="62"/>
    </row>
    <row r="108" spans="2:20" x14ac:dyDescent="0.25">
      <c r="B108" s="11" t="s">
        <v>29</v>
      </c>
      <c r="C108" s="12">
        <f>SUM(C93:C107)</f>
        <v>180760242</v>
      </c>
      <c r="D108" s="13">
        <f>SUM(D94:D107)</f>
        <v>3.069111353600168E-2</v>
      </c>
      <c r="E108" s="62"/>
      <c r="F108" s="14"/>
    </row>
    <row r="109" spans="2:20" x14ac:dyDescent="0.25">
      <c r="E109" s="57"/>
    </row>
    <row r="110" spans="2:20" x14ac:dyDescent="0.25">
      <c r="B110" s="28" t="s">
        <v>62</v>
      </c>
      <c r="C110" s="65">
        <f>+C108-C93</f>
        <v>5352603</v>
      </c>
      <c r="E110" s="57"/>
    </row>
    <row r="111" spans="2:20" x14ac:dyDescent="0.25">
      <c r="B111" s="55" t="s">
        <v>63</v>
      </c>
      <c r="C111" s="328">
        <f>(C110)/C93</f>
        <v>3.051522174584426E-2</v>
      </c>
      <c r="E111" s="57"/>
    </row>
    <row r="112" spans="2:20" x14ac:dyDescent="0.25">
      <c r="B112" s="212"/>
      <c r="C112" s="60"/>
      <c r="D112" s="60"/>
      <c r="E112" s="60"/>
      <c r="F112" s="60"/>
      <c r="G112" s="60"/>
      <c r="H112" s="60"/>
      <c r="N112" s="23"/>
    </row>
    <row r="113" spans="2:21" x14ac:dyDescent="0.25">
      <c r="B113" s="28" t="s">
        <v>64</v>
      </c>
      <c r="C113" s="65">
        <f>(C108-'5. Vaccine Clinics and Testing'!D42)-('1. Reconciliation'!C93-'1. Reconciliation'!C41)</f>
        <v>5689417</v>
      </c>
      <c r="D113" s="60"/>
      <c r="E113" s="60"/>
      <c r="F113" s="60"/>
      <c r="G113" s="60"/>
      <c r="H113" s="60"/>
      <c r="N113" s="23"/>
    </row>
    <row r="114" spans="2:21" x14ac:dyDescent="0.25">
      <c r="B114" s="55" t="s">
        <v>65</v>
      </c>
      <c r="C114" s="328">
        <f>(C113)/(C93-'[20]5. Vaccine Clinics and Testing'!C36)</f>
        <v>3.2435400376148955E-2</v>
      </c>
      <c r="D114" s="15"/>
      <c r="E114" s="15"/>
      <c r="K114" s="23"/>
      <c r="L114" s="23"/>
      <c r="M114" s="14"/>
      <c r="T114" s="22"/>
      <c r="U114" s="23"/>
    </row>
  </sheetData>
  <mergeCells count="7">
    <mergeCell ref="A71:A74"/>
    <mergeCell ref="B2:M2"/>
    <mergeCell ref="B3:M3"/>
    <mergeCell ref="B6:M6"/>
    <mergeCell ref="B4:M4"/>
    <mergeCell ref="B64:M64"/>
    <mergeCell ref="A12:A19"/>
  </mergeCells>
  <pageMargins left="0.7" right="0.7" top="0.5" bottom="0.5" header="0.3" footer="0.3"/>
  <pageSetup scale="48" fitToHeight="4" orientation="landscape" r:id="rId1"/>
  <headerFooter>
    <oddFooter>&amp;L&amp;D&amp;R&amp;F,&amp;A</oddFooter>
  </headerFooter>
  <rowBreaks count="1" manualBreakCount="1">
    <brk id="63"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B2:P67"/>
  <sheetViews>
    <sheetView showGridLines="0" tabSelected="1" topLeftCell="A19" zoomScale="90" zoomScaleNormal="90" workbookViewId="0">
      <selection activeCell="J44" sqref="J44"/>
    </sheetView>
  </sheetViews>
  <sheetFormatPr defaultColWidth="8.85546875" defaultRowHeight="15" x14ac:dyDescent="0.25"/>
  <cols>
    <col min="1" max="1" width="6.5703125" style="1" customWidth="1"/>
    <col min="2" max="2" width="34.85546875" style="1" customWidth="1"/>
    <col min="3" max="3" width="19.42578125" style="1" customWidth="1"/>
    <col min="4" max="7" width="17.7109375" style="1" customWidth="1"/>
    <col min="8" max="8" width="17.7109375" style="63" customWidth="1"/>
    <col min="9" max="11" width="17.7109375" style="1" customWidth="1"/>
    <col min="12" max="12" width="23.140625" style="1" customWidth="1"/>
    <col min="13" max="13" width="12.7109375" style="316" customWidth="1"/>
    <col min="14" max="14" width="14.28515625" style="316" customWidth="1"/>
    <col min="15" max="15" width="16" style="316" customWidth="1"/>
    <col min="16" max="16" width="13.28515625" style="1" bestFit="1" customWidth="1"/>
    <col min="17" max="16384" width="8.85546875" style="1"/>
  </cols>
  <sheetData>
    <row r="2" spans="2:15" x14ac:dyDescent="0.25">
      <c r="B2" s="334" t="s">
        <v>67</v>
      </c>
      <c r="C2" s="334"/>
      <c r="D2" s="334"/>
      <c r="E2" s="334"/>
      <c r="F2" s="334"/>
      <c r="G2" s="334"/>
      <c r="H2" s="334"/>
      <c r="I2" s="334"/>
    </row>
    <row r="3" spans="2:15" ht="18.75" x14ac:dyDescent="0.3">
      <c r="B3" s="358" t="s">
        <v>13</v>
      </c>
      <c r="C3" s="359"/>
      <c r="D3" s="359"/>
      <c r="E3" s="359"/>
      <c r="F3" s="359"/>
      <c r="G3" s="359"/>
      <c r="H3" s="359"/>
      <c r="I3" s="360"/>
    </row>
    <row r="4" spans="2:15" ht="18.75" x14ac:dyDescent="0.3">
      <c r="B4" s="361" t="s">
        <v>68</v>
      </c>
      <c r="C4" s="362"/>
      <c r="D4" s="362"/>
      <c r="E4" s="362"/>
      <c r="F4" s="362"/>
      <c r="G4" s="362"/>
      <c r="H4" s="362"/>
      <c r="I4" s="363"/>
    </row>
    <row r="5" spans="2:15" ht="34.9" customHeight="1" x14ac:dyDescent="0.25">
      <c r="B5" s="357" t="s">
        <v>69</v>
      </c>
      <c r="C5" s="357"/>
      <c r="D5" s="357"/>
      <c r="E5" s="357"/>
      <c r="F5" s="357"/>
      <c r="G5" s="357"/>
      <c r="H5" s="217"/>
    </row>
    <row r="6" spans="2:15" x14ac:dyDescent="0.25">
      <c r="B6" s="218"/>
      <c r="C6" s="218"/>
      <c r="D6" s="218"/>
      <c r="E6" s="218"/>
      <c r="F6" s="218"/>
      <c r="G6" s="218"/>
      <c r="H6" s="217"/>
    </row>
    <row r="7" spans="2:15" ht="29.45" customHeight="1" x14ac:dyDescent="0.25">
      <c r="B7" s="343" t="s">
        <v>70</v>
      </c>
      <c r="C7" s="344"/>
      <c r="D7" s="345"/>
      <c r="H7" s="1"/>
    </row>
    <row r="8" spans="2:15" ht="15" customHeight="1" x14ac:dyDescent="0.25">
      <c r="B8" s="346" t="s">
        <v>71</v>
      </c>
      <c r="C8" s="347"/>
      <c r="D8" s="348"/>
      <c r="H8" s="1"/>
    </row>
    <row r="9" spans="2:15" ht="42.75" customHeight="1" x14ac:dyDescent="0.25">
      <c r="B9" s="3" t="s">
        <v>72</v>
      </c>
      <c r="C9" s="48" t="s">
        <v>73</v>
      </c>
      <c r="D9" s="48" t="s">
        <v>74</v>
      </c>
      <c r="H9" s="1"/>
    </row>
    <row r="10" spans="2:15" x14ac:dyDescent="0.25">
      <c r="B10" s="3"/>
      <c r="C10" s="3"/>
      <c r="D10" s="48"/>
      <c r="H10" s="1"/>
    </row>
    <row r="11" spans="2:15" x14ac:dyDescent="0.25">
      <c r="B11" s="3" t="s">
        <v>75</v>
      </c>
      <c r="C11" s="239">
        <v>5376820</v>
      </c>
      <c r="D11" s="288">
        <v>4.8000000000000001E-2</v>
      </c>
      <c r="H11" s="1"/>
    </row>
    <row r="12" spans="2:15" x14ac:dyDescent="0.25">
      <c r="B12" s="3" t="s">
        <v>76</v>
      </c>
      <c r="C12" s="239">
        <v>16090787</v>
      </c>
      <c r="D12" s="288">
        <v>4.8000000000000001E-2</v>
      </c>
      <c r="H12" s="1"/>
    </row>
    <row r="13" spans="2:15" x14ac:dyDescent="0.25">
      <c r="B13" s="3" t="s">
        <v>77</v>
      </c>
      <c r="C13" s="239">
        <v>0</v>
      </c>
      <c r="D13" s="49">
        <v>0</v>
      </c>
      <c r="H13" s="1"/>
    </row>
    <row r="14" spans="2:15" x14ac:dyDescent="0.25">
      <c r="B14" s="3" t="s">
        <v>28</v>
      </c>
      <c r="C14" s="239">
        <v>0</v>
      </c>
      <c r="D14" s="49">
        <v>0</v>
      </c>
      <c r="H14" s="1"/>
    </row>
    <row r="15" spans="2:15" ht="30" x14ac:dyDescent="0.25">
      <c r="B15" s="59" t="s">
        <v>78</v>
      </c>
      <c r="C15" s="240">
        <f>SUM(C11:C14)</f>
        <v>21467607</v>
      </c>
      <c r="D15" s="225">
        <v>4.8000000000000001E-2</v>
      </c>
      <c r="H15" s="1"/>
    </row>
    <row r="16" spans="2:15" s="63" customFormat="1" x14ac:dyDescent="0.25">
      <c r="B16" s="219"/>
      <c r="C16" s="64"/>
      <c r="D16" s="64"/>
      <c r="E16" s="64"/>
      <c r="F16" s="64"/>
      <c r="G16" s="64"/>
      <c r="H16" s="64"/>
      <c r="K16" s="356"/>
      <c r="L16" s="356"/>
      <c r="M16" s="356"/>
      <c r="N16" s="356"/>
      <c r="O16" s="320"/>
    </row>
    <row r="17" spans="2:15" ht="45" customHeight="1" x14ac:dyDescent="0.25">
      <c r="B17" s="343" t="s">
        <v>250</v>
      </c>
      <c r="C17" s="344"/>
      <c r="D17" s="344"/>
      <c r="E17" s="344"/>
      <c r="F17" s="344"/>
      <c r="G17" s="344"/>
      <c r="H17" s="344"/>
      <c r="I17" s="344"/>
      <c r="J17" s="345"/>
    </row>
    <row r="18" spans="2:15" ht="15" customHeight="1" x14ac:dyDescent="0.25">
      <c r="B18" s="346" t="s">
        <v>231</v>
      </c>
      <c r="C18" s="347"/>
      <c r="D18" s="347"/>
      <c r="E18" s="347"/>
      <c r="F18" s="347"/>
      <c r="G18" s="347"/>
      <c r="H18" s="347"/>
      <c r="I18" s="347"/>
      <c r="J18" s="348"/>
    </row>
    <row r="19" spans="2:15" ht="42.75" customHeight="1" x14ac:dyDescent="0.25">
      <c r="B19" s="3" t="s">
        <v>72</v>
      </c>
      <c r="C19" s="48" t="s">
        <v>225</v>
      </c>
      <c r="D19" s="48" t="s">
        <v>79</v>
      </c>
      <c r="E19" s="48" t="s">
        <v>226</v>
      </c>
      <c r="F19" s="354" t="s">
        <v>227</v>
      </c>
      <c r="G19" s="355"/>
      <c r="H19" s="220" t="s">
        <v>228</v>
      </c>
      <c r="I19" s="220" t="s">
        <v>229</v>
      </c>
      <c r="J19" s="220" t="s">
        <v>230</v>
      </c>
    </row>
    <row r="20" spans="2:15" x14ac:dyDescent="0.25">
      <c r="B20" s="3"/>
      <c r="C20" s="48"/>
      <c r="D20" s="221"/>
      <c r="E20" s="48"/>
      <c r="F20" s="48" t="s">
        <v>80</v>
      </c>
      <c r="G20" s="48" t="s">
        <v>81</v>
      </c>
      <c r="H20" s="48"/>
      <c r="I20" s="48"/>
      <c r="J20" s="48"/>
    </row>
    <row r="21" spans="2:15" x14ac:dyDescent="0.25">
      <c r="B21" s="3" t="s">
        <v>75</v>
      </c>
      <c r="C21" s="222">
        <v>71993395</v>
      </c>
      <c r="D21" s="223">
        <f>(E21/C21)-1</f>
        <v>6.301857274545819E-2</v>
      </c>
      <c r="E21" s="83">
        <v>76530316</v>
      </c>
      <c r="F21" s="83">
        <v>10837770.17</v>
      </c>
      <c r="G21" s="83">
        <v>5708443.8299999991</v>
      </c>
      <c r="H21" s="83">
        <v>0</v>
      </c>
      <c r="I21" s="83">
        <v>10042884</v>
      </c>
      <c r="J21" s="83">
        <v>49941218</v>
      </c>
    </row>
    <row r="22" spans="2:15" x14ac:dyDescent="0.25">
      <c r="B22" s="3" t="s">
        <v>76</v>
      </c>
      <c r="C22" s="222">
        <v>261092841</v>
      </c>
      <c r="D22" s="223">
        <f t="shared" ref="D22:D23" si="0">(E22/C22)-1</f>
        <v>6.067108902461249E-2</v>
      </c>
      <c r="E22" s="83">
        <v>276933628</v>
      </c>
      <c r="F22" s="83">
        <v>63971412.090000004</v>
      </c>
      <c r="G22" s="83">
        <v>33694865.909999996</v>
      </c>
      <c r="H22" s="83">
        <v>0</v>
      </c>
      <c r="I22" s="83">
        <v>43992663</v>
      </c>
      <c r="J22" s="83">
        <v>135274687</v>
      </c>
      <c r="K22" s="116"/>
    </row>
    <row r="23" spans="2:15" x14ac:dyDescent="0.25">
      <c r="B23" s="3" t="s">
        <v>77</v>
      </c>
      <c r="C23" s="222">
        <v>55037537</v>
      </c>
      <c r="D23" s="223">
        <f t="shared" si="0"/>
        <v>2.6913250133268063E-2</v>
      </c>
      <c r="E23" s="83">
        <v>56518776</v>
      </c>
      <c r="F23" s="83">
        <v>13258413.060000001</v>
      </c>
      <c r="G23" s="83">
        <v>6983438.9399999995</v>
      </c>
      <c r="H23" s="83">
        <v>0</v>
      </c>
      <c r="I23" s="83">
        <v>12498438</v>
      </c>
      <c r="J23" s="83">
        <v>23778486</v>
      </c>
    </row>
    <row r="24" spans="2:15" x14ac:dyDescent="0.25">
      <c r="B24" s="3" t="s">
        <v>28</v>
      </c>
      <c r="C24" s="222">
        <v>0</v>
      </c>
      <c r="D24" s="223"/>
      <c r="E24" s="83">
        <f t="shared" ref="E24" si="1">SUM(F24:J24)</f>
        <v>0</v>
      </c>
      <c r="F24" s="83"/>
      <c r="G24" s="83"/>
      <c r="H24" s="83"/>
      <c r="I24" s="83"/>
      <c r="J24" s="83"/>
    </row>
    <row r="25" spans="2:15" ht="30" x14ac:dyDescent="0.25">
      <c r="B25" s="59" t="s">
        <v>240</v>
      </c>
      <c r="C25" s="224">
        <f>SUM(C21:C24)</f>
        <v>388123773</v>
      </c>
      <c r="D25" s="225">
        <v>0</v>
      </c>
      <c r="E25" s="224">
        <f t="shared" ref="E25:J25" si="2">SUM(E21:E24)</f>
        <v>409982720</v>
      </c>
      <c r="F25" s="84">
        <f t="shared" si="2"/>
        <v>88067595.320000008</v>
      </c>
      <c r="G25" s="84">
        <f t="shared" si="2"/>
        <v>46386748.679999992</v>
      </c>
      <c r="H25" s="84">
        <f t="shared" si="2"/>
        <v>0</v>
      </c>
      <c r="I25" s="84">
        <f t="shared" si="2"/>
        <v>66533985</v>
      </c>
      <c r="J25" s="84">
        <f t="shared" si="2"/>
        <v>208994391</v>
      </c>
    </row>
    <row r="26" spans="2:15" s="63" customFormat="1" x14ac:dyDescent="0.25">
      <c r="B26" s="219"/>
      <c r="C26" s="64" t="s">
        <v>247</v>
      </c>
      <c r="D26" s="64"/>
      <c r="E26" s="64" t="s">
        <v>247</v>
      </c>
      <c r="F26" s="64"/>
      <c r="G26" s="64"/>
      <c r="H26" s="64"/>
      <c r="M26" s="320"/>
      <c r="N26" s="320"/>
      <c r="O26" s="320"/>
    </row>
    <row r="27" spans="2:15" s="63" customFormat="1" x14ac:dyDescent="0.25">
      <c r="B27" s="219"/>
      <c r="C27" s="64"/>
      <c r="D27" s="64"/>
      <c r="E27" s="64"/>
      <c r="F27" s="64"/>
      <c r="G27" s="64"/>
      <c r="H27" s="64"/>
      <c r="M27" s="320"/>
      <c r="N27" s="320"/>
      <c r="O27" s="320"/>
    </row>
    <row r="28" spans="2:15" s="63" customFormat="1" ht="23.45" customHeight="1" x14ac:dyDescent="0.25">
      <c r="B28" s="343" t="s">
        <v>82</v>
      </c>
      <c r="C28" s="344"/>
      <c r="D28" s="344"/>
      <c r="E28" s="344"/>
      <c r="F28" s="344"/>
      <c r="G28" s="344"/>
      <c r="H28" s="344"/>
      <c r="I28" s="344"/>
      <c r="J28" s="345"/>
      <c r="M28" s="320"/>
      <c r="N28" s="320"/>
      <c r="O28" s="320"/>
    </row>
    <row r="29" spans="2:15" x14ac:dyDescent="0.25">
      <c r="B29" s="346" t="s">
        <v>223</v>
      </c>
      <c r="C29" s="347"/>
      <c r="D29" s="347"/>
      <c r="E29" s="347"/>
      <c r="F29" s="347"/>
      <c r="G29" s="347"/>
      <c r="H29" s="347"/>
      <c r="I29" s="347"/>
      <c r="J29" s="348"/>
    </row>
    <row r="30" spans="2:15" ht="42.75" customHeight="1" x14ac:dyDescent="0.25">
      <c r="B30" s="3" t="s">
        <v>83</v>
      </c>
      <c r="C30" s="3" t="s">
        <v>84</v>
      </c>
      <c r="D30" s="48" t="s">
        <v>85</v>
      </c>
      <c r="E30" s="48" t="s">
        <v>86</v>
      </c>
      <c r="F30" s="349" t="s">
        <v>232</v>
      </c>
      <c r="G30" s="350"/>
      <c r="H30" s="48" t="s">
        <v>233</v>
      </c>
      <c r="I30" s="48" t="s">
        <v>234</v>
      </c>
      <c r="J30" s="48" t="s">
        <v>235</v>
      </c>
    </row>
    <row r="31" spans="2:15" ht="15.75" customHeight="1" x14ac:dyDescent="0.25">
      <c r="B31" s="3"/>
      <c r="C31" s="3"/>
      <c r="D31" s="3"/>
      <c r="E31" s="48"/>
      <c r="F31" s="48" t="s">
        <v>80</v>
      </c>
      <c r="G31" s="48" t="s">
        <v>81</v>
      </c>
      <c r="H31" s="48"/>
      <c r="I31" s="48"/>
      <c r="J31" s="48"/>
    </row>
    <row r="32" spans="2:15" x14ac:dyDescent="0.25">
      <c r="B32" s="3" t="s">
        <v>75</v>
      </c>
      <c r="C32" s="222">
        <v>29583944</v>
      </c>
      <c r="D32" s="222">
        <f>+E32-C32</f>
        <v>633779</v>
      </c>
      <c r="E32" s="226">
        <v>30217723</v>
      </c>
      <c r="F32" s="226">
        <v>7267769.3650000002</v>
      </c>
      <c r="G32" s="226">
        <v>4310113.6349999998</v>
      </c>
      <c r="H32" s="226">
        <v>0</v>
      </c>
      <c r="I32" s="226">
        <v>2904717</v>
      </c>
      <c r="J32" s="226">
        <v>15735123</v>
      </c>
      <c r="K32" s="327"/>
      <c r="L32" s="327"/>
    </row>
    <row r="33" spans="2:16" x14ac:dyDescent="0.25">
      <c r="B33" s="3" t="s">
        <v>76</v>
      </c>
      <c r="C33" s="222">
        <v>77839030</v>
      </c>
      <c r="D33" s="222">
        <f t="shared" ref="D33:D34" si="3">+E33-C33</f>
        <v>3860999</v>
      </c>
      <c r="E33" s="226">
        <v>81700029</v>
      </c>
      <c r="F33" s="226">
        <v>42576122.865000002</v>
      </c>
      <c r="G33" s="226">
        <v>24351060.134999998</v>
      </c>
      <c r="H33" s="226">
        <v>0</v>
      </c>
      <c r="I33" s="226">
        <v>2581992</v>
      </c>
      <c r="J33" s="289">
        <v>12190854</v>
      </c>
      <c r="K33" s="327"/>
      <c r="L33" s="327"/>
    </row>
    <row r="34" spans="2:16" x14ac:dyDescent="0.25">
      <c r="B34" s="3" t="s">
        <v>77</v>
      </c>
      <c r="C34" s="222">
        <v>22616154</v>
      </c>
      <c r="D34" s="222">
        <f t="shared" si="3"/>
        <v>1060533</v>
      </c>
      <c r="E34" s="226">
        <v>23676687</v>
      </c>
      <c r="F34" s="226">
        <v>5289912.5149999997</v>
      </c>
      <c r="G34" s="226">
        <v>3117700.4849999999</v>
      </c>
      <c r="H34" s="226">
        <v>0</v>
      </c>
      <c r="I34" s="226">
        <v>3718326</v>
      </c>
      <c r="J34" s="226">
        <v>11550748</v>
      </c>
      <c r="K34" s="327"/>
      <c r="L34" s="327"/>
    </row>
    <row r="35" spans="2:16" x14ac:dyDescent="0.25">
      <c r="B35" s="3" t="s">
        <v>28</v>
      </c>
      <c r="C35" s="222">
        <v>0</v>
      </c>
      <c r="D35" s="222">
        <v>0</v>
      </c>
      <c r="E35" s="226">
        <v>0</v>
      </c>
      <c r="F35" s="226">
        <v>0</v>
      </c>
      <c r="G35" s="226">
        <v>0</v>
      </c>
      <c r="H35" s="226">
        <v>0</v>
      </c>
      <c r="I35" s="226">
        <v>0</v>
      </c>
      <c r="J35" s="226">
        <v>0</v>
      </c>
    </row>
    <row r="36" spans="2:16" x14ac:dyDescent="0.25">
      <c r="B36" s="3"/>
      <c r="C36" s="3"/>
      <c r="D36" s="3"/>
      <c r="E36" s="226"/>
      <c r="F36" s="226"/>
      <c r="G36" s="226"/>
      <c r="H36" s="226"/>
      <c r="I36" s="226"/>
      <c r="J36" s="226"/>
    </row>
    <row r="37" spans="2:16" x14ac:dyDescent="0.25">
      <c r="B37" s="3"/>
      <c r="C37" s="3"/>
      <c r="D37" s="3"/>
      <c r="E37" s="226"/>
      <c r="F37" s="226"/>
      <c r="G37" s="226"/>
      <c r="H37" s="226"/>
      <c r="I37" s="226"/>
      <c r="J37" s="226"/>
    </row>
    <row r="38" spans="2:16" x14ac:dyDescent="0.25">
      <c r="B38" s="3"/>
      <c r="C38" s="3"/>
      <c r="D38" s="3"/>
      <c r="E38" s="226"/>
      <c r="F38" s="226"/>
      <c r="G38" s="226"/>
      <c r="H38" s="226"/>
      <c r="I38" s="226"/>
      <c r="J38" s="226"/>
    </row>
    <row r="39" spans="2:16" x14ac:dyDescent="0.25">
      <c r="B39" s="59" t="s">
        <v>239</v>
      </c>
      <c r="C39" s="227">
        <f>SUM(C32:C38)</f>
        <v>130039128</v>
      </c>
      <c r="D39" s="227">
        <f>SUM(D32:D38)</f>
        <v>5555311</v>
      </c>
      <c r="E39" s="227">
        <f t="shared" ref="E39:J39" si="4">SUM(E32:E38)</f>
        <v>135594439</v>
      </c>
      <c r="F39" s="227">
        <f t="shared" si="4"/>
        <v>55133804.745000005</v>
      </c>
      <c r="G39" s="227">
        <f t="shared" si="4"/>
        <v>31778874.254999995</v>
      </c>
      <c r="H39" s="227">
        <f t="shared" si="4"/>
        <v>0</v>
      </c>
      <c r="I39" s="227">
        <f t="shared" si="4"/>
        <v>9205035</v>
      </c>
      <c r="J39" s="227">
        <f t="shared" si="4"/>
        <v>39476725</v>
      </c>
      <c r="K39" s="316"/>
      <c r="L39" s="316"/>
      <c r="P39" s="317"/>
    </row>
    <row r="40" spans="2:16" s="63" customFormat="1" x14ac:dyDescent="0.25">
      <c r="C40" s="64"/>
      <c r="D40" s="290"/>
      <c r="E40" s="290">
        <f>+'1. Reconciliation'!C23</f>
        <v>177594439</v>
      </c>
      <c r="F40" s="228"/>
      <c r="G40" s="228">
        <f>+G39+F39+F49</f>
        <v>92112679</v>
      </c>
      <c r="H40" s="228"/>
      <c r="I40" s="321">
        <f>+I39+G49</f>
        <v>19005035</v>
      </c>
      <c r="M40" s="320"/>
      <c r="N40" s="320"/>
      <c r="O40" s="320"/>
    </row>
    <row r="41" spans="2:16" s="63" customFormat="1" x14ac:dyDescent="0.25">
      <c r="C41" s="64"/>
      <c r="D41" s="64"/>
      <c r="E41" s="64"/>
      <c r="F41" s="228"/>
      <c r="G41" s="228"/>
      <c r="H41" s="228"/>
      <c r="J41" s="321">
        <f>+J39+H49</f>
        <v>66476725</v>
      </c>
      <c r="M41" s="320"/>
      <c r="N41" s="320"/>
      <c r="O41" s="320"/>
    </row>
    <row r="42" spans="2:16" s="63" customFormat="1" x14ac:dyDescent="0.25">
      <c r="B42" s="346" t="s">
        <v>224</v>
      </c>
      <c r="C42" s="347"/>
      <c r="D42" s="347"/>
      <c r="E42" s="347"/>
      <c r="F42" s="347"/>
      <c r="G42" s="347"/>
      <c r="H42" s="348"/>
      <c r="M42" s="320"/>
      <c r="N42" s="320"/>
      <c r="O42" s="320"/>
    </row>
    <row r="43" spans="2:16" s="63" customFormat="1" ht="42.6" customHeight="1" x14ac:dyDescent="0.25">
      <c r="B43" s="3" t="s">
        <v>83</v>
      </c>
      <c r="C43" s="3" t="s">
        <v>87</v>
      </c>
      <c r="D43" s="48" t="s">
        <v>85</v>
      </c>
      <c r="E43" s="48" t="s">
        <v>88</v>
      </c>
      <c r="F43" s="258" t="s">
        <v>245</v>
      </c>
      <c r="G43" s="48" t="s">
        <v>236</v>
      </c>
      <c r="H43" s="48" t="s">
        <v>237</v>
      </c>
      <c r="L43" s="320"/>
      <c r="M43" s="320"/>
      <c r="N43" s="320"/>
      <c r="O43" s="320"/>
    </row>
    <row r="44" spans="2:16" s="63" customFormat="1" x14ac:dyDescent="0.25">
      <c r="B44" s="3" t="s">
        <v>75</v>
      </c>
      <c r="C44" s="222">
        <v>8795428.5714285709</v>
      </c>
      <c r="D44" s="329">
        <f>+E44-C44</f>
        <v>1188571.4285714291</v>
      </c>
      <c r="E44" s="226">
        <f>SUM(F44:H44)</f>
        <v>9984000</v>
      </c>
      <c r="F44" s="226">
        <v>915200</v>
      </c>
      <c r="G44" s="226">
        <v>1724800</v>
      </c>
      <c r="H44" s="226">
        <v>7344000</v>
      </c>
      <c r="L44" s="320"/>
      <c r="M44" s="320"/>
      <c r="N44" s="320"/>
      <c r="O44" s="320"/>
    </row>
    <row r="45" spans="2:16" s="63" customFormat="1" x14ac:dyDescent="0.25">
      <c r="B45" s="3" t="s">
        <v>76</v>
      </c>
      <c r="C45" s="222">
        <f>24155714.2857143+50000</f>
        <v>24205714.285714298</v>
      </c>
      <c r="D45" s="329">
        <f>+E45-C45</f>
        <v>3214285.7142857015</v>
      </c>
      <c r="E45" s="226">
        <f t="shared" ref="E45:E48" si="5">SUM(F45:H45)</f>
        <v>27420000</v>
      </c>
      <c r="F45" s="226">
        <v>3655600</v>
      </c>
      <c r="G45" s="226">
        <v>6889400</v>
      </c>
      <c r="H45" s="226">
        <v>16875000</v>
      </c>
      <c r="J45" s="322"/>
      <c r="L45" s="320"/>
      <c r="M45" s="320"/>
      <c r="N45" s="320"/>
      <c r="O45" s="320"/>
    </row>
    <row r="46" spans="2:16" s="63" customFormat="1" x14ac:dyDescent="0.25">
      <c r="B46" s="3" t="s">
        <v>77</v>
      </c>
      <c r="C46" s="222">
        <v>4048857.1428571427</v>
      </c>
      <c r="D46" s="329">
        <f>+E46-C46</f>
        <v>547142.85714285728</v>
      </c>
      <c r="E46" s="226">
        <f t="shared" si="5"/>
        <v>4596000</v>
      </c>
      <c r="F46" s="226">
        <v>629200</v>
      </c>
      <c r="G46" s="226">
        <v>1185800</v>
      </c>
      <c r="H46" s="226">
        <v>2781000</v>
      </c>
      <c r="J46" s="322"/>
      <c r="L46" s="320"/>
      <c r="M46" s="320"/>
      <c r="N46" s="320"/>
      <c r="O46" s="320"/>
    </row>
    <row r="47" spans="2:16" s="63" customFormat="1" x14ac:dyDescent="0.25">
      <c r="B47" s="3" t="s">
        <v>89</v>
      </c>
      <c r="C47" s="222">
        <v>0</v>
      </c>
      <c r="D47" s="222">
        <v>0</v>
      </c>
      <c r="E47" s="226">
        <f t="shared" si="5"/>
        <v>0</v>
      </c>
      <c r="F47" s="226"/>
      <c r="G47" s="226"/>
      <c r="H47" s="226"/>
      <c r="J47" s="322"/>
      <c r="M47" s="320"/>
      <c r="N47" s="320"/>
      <c r="O47" s="320"/>
    </row>
    <row r="48" spans="2:16" s="63" customFormat="1" x14ac:dyDescent="0.25">
      <c r="B48" s="3" t="s">
        <v>90</v>
      </c>
      <c r="C48" s="222">
        <v>0</v>
      </c>
      <c r="D48" s="222">
        <v>0</v>
      </c>
      <c r="E48" s="226">
        <f t="shared" si="5"/>
        <v>0</v>
      </c>
      <c r="F48" s="226">
        <v>0</v>
      </c>
      <c r="G48" s="226">
        <v>0</v>
      </c>
      <c r="H48" s="226">
        <v>0</v>
      </c>
      <c r="M48" s="320"/>
      <c r="N48" s="320"/>
      <c r="O48" s="320"/>
    </row>
    <row r="49" spans="2:15" s="63" customFormat="1" x14ac:dyDescent="0.25">
      <c r="B49" s="59" t="s">
        <v>238</v>
      </c>
      <c r="C49" s="227">
        <f>SUM(C44:C48)</f>
        <v>37050000.000000015</v>
      </c>
      <c r="D49" s="227">
        <f>SUM(D44:D48)</f>
        <v>4949999.9999999879</v>
      </c>
      <c r="E49" s="227">
        <f>SUM(E44:E48)</f>
        <v>42000000</v>
      </c>
      <c r="F49" s="227">
        <f t="shared" ref="F49:H49" si="6">SUM(F44:F48)</f>
        <v>5200000</v>
      </c>
      <c r="G49" s="227">
        <f t="shared" si="6"/>
        <v>9800000</v>
      </c>
      <c r="H49" s="227">
        <f t="shared" si="6"/>
        <v>27000000</v>
      </c>
      <c r="M49" s="320"/>
      <c r="N49" s="320"/>
      <c r="O49" s="320"/>
    </row>
    <row r="50" spans="2:15" s="63" customFormat="1" x14ac:dyDescent="0.25">
      <c r="C50" s="64"/>
      <c r="D50" s="64"/>
      <c r="E50" s="64"/>
      <c r="F50" s="63" t="s">
        <v>246</v>
      </c>
      <c r="G50" s="228"/>
      <c r="H50" s="228"/>
      <c r="M50" s="320"/>
      <c r="N50" s="320"/>
      <c r="O50" s="320"/>
    </row>
    <row r="51" spans="2:15" s="63" customFormat="1" ht="15.75" thickBot="1" x14ac:dyDescent="0.3">
      <c r="B51" s="217"/>
      <c r="C51" s="228"/>
      <c r="D51" s="228"/>
      <c r="E51" s="228"/>
      <c r="F51" s="228"/>
      <c r="G51" s="228"/>
      <c r="H51" s="228"/>
      <c r="I51" s="321"/>
      <c r="M51" s="320"/>
      <c r="N51" s="320"/>
      <c r="O51" s="320"/>
    </row>
    <row r="52" spans="2:15" s="63" customFormat="1" ht="30" x14ac:dyDescent="0.25">
      <c r="B52" s="229"/>
      <c r="C52" s="230" t="s">
        <v>91</v>
      </c>
      <c r="D52" s="230" t="s">
        <v>85</v>
      </c>
      <c r="E52" s="230" t="s">
        <v>79</v>
      </c>
      <c r="F52" s="231" t="s">
        <v>92</v>
      </c>
      <c r="G52" s="228"/>
      <c r="H52" s="228"/>
      <c r="I52" s="228"/>
      <c r="J52" s="321"/>
      <c r="M52" s="320"/>
      <c r="N52" s="320"/>
      <c r="O52" s="320"/>
    </row>
    <row r="53" spans="2:15" s="63" customFormat="1" x14ac:dyDescent="0.25">
      <c r="B53" s="242" t="s">
        <v>93</v>
      </c>
      <c r="C53" s="241">
        <f>C39+C49</f>
        <v>167089128</v>
      </c>
      <c r="D53" s="241">
        <f>D39+D49</f>
        <v>10505310.999999989</v>
      </c>
      <c r="E53" s="241">
        <f>D53/C53</f>
        <v>6.2872498801956694E-2</v>
      </c>
      <c r="F53" s="243">
        <f>E39+E49</f>
        <v>177594439</v>
      </c>
      <c r="G53" s="228"/>
      <c r="H53" s="228"/>
      <c r="I53" s="228"/>
      <c r="M53" s="320"/>
      <c r="N53" s="320"/>
      <c r="O53" s="320"/>
    </row>
    <row r="54" spans="2:15" s="63" customFormat="1" x14ac:dyDescent="0.25">
      <c r="B54" s="242" t="s">
        <v>94</v>
      </c>
      <c r="C54" s="244">
        <f>'1. Reconciliation'!C11</f>
        <v>167089128</v>
      </c>
      <c r="D54" s="244">
        <f>'1. Reconciliation'!C25</f>
        <v>10505311</v>
      </c>
      <c r="E54" s="245">
        <f>'1. Reconciliation'!C26</f>
        <v>6.2872498801956764E-2</v>
      </c>
      <c r="F54" s="246">
        <f>'1. Reconciliation'!C23</f>
        <v>177594439</v>
      </c>
      <c r="G54" s="228"/>
      <c r="H54" s="228"/>
      <c r="I54" s="228"/>
      <c r="M54" s="320"/>
      <c r="N54" s="320"/>
      <c r="O54" s="320"/>
    </row>
    <row r="55" spans="2:15" s="63" customFormat="1" ht="18" customHeight="1" thickBot="1" x14ac:dyDescent="0.3">
      <c r="B55" s="247" t="s">
        <v>95</v>
      </c>
      <c r="C55" s="248">
        <f>C53-C54</f>
        <v>0</v>
      </c>
      <c r="D55" s="248">
        <f t="shared" ref="D55:F55" si="7">D53-D54</f>
        <v>0</v>
      </c>
      <c r="E55" s="248">
        <f t="shared" si="7"/>
        <v>0</v>
      </c>
      <c r="F55" s="249">
        <f t="shared" si="7"/>
        <v>0</v>
      </c>
      <c r="G55" s="228"/>
      <c r="H55" s="228"/>
      <c r="I55" s="228"/>
      <c r="M55" s="320"/>
      <c r="N55" s="320"/>
      <c r="O55" s="320"/>
    </row>
    <row r="56" spans="2:15" s="63" customFormat="1" x14ac:dyDescent="0.25">
      <c r="G56" s="228"/>
      <c r="H56" s="228"/>
      <c r="I56" s="228"/>
      <c r="J56" s="1"/>
      <c r="M56" s="320"/>
      <c r="N56" s="320"/>
      <c r="O56" s="320"/>
    </row>
    <row r="57" spans="2:15" x14ac:dyDescent="0.25">
      <c r="B57" s="232"/>
      <c r="C57" s="233"/>
      <c r="D57" s="234"/>
      <c r="E57" s="235"/>
      <c r="F57" s="235"/>
      <c r="G57" s="235"/>
      <c r="H57" s="236"/>
    </row>
    <row r="58" spans="2:15" x14ac:dyDescent="0.25">
      <c r="B58" s="351" t="s">
        <v>96</v>
      </c>
      <c r="C58" s="352"/>
      <c r="D58" s="352"/>
      <c r="E58" s="352"/>
      <c r="F58" s="352"/>
      <c r="G58" s="353"/>
      <c r="H58" s="236"/>
    </row>
    <row r="59" spans="2:15" x14ac:dyDescent="0.25">
      <c r="B59" s="346" t="s">
        <v>97</v>
      </c>
      <c r="C59" s="347"/>
      <c r="D59" s="347"/>
      <c r="E59" s="347"/>
      <c r="F59" s="347"/>
      <c r="G59" s="348"/>
      <c r="H59" s="237"/>
    </row>
    <row r="60" spans="2:15" x14ac:dyDescent="0.25">
      <c r="B60" s="342" t="s">
        <v>280</v>
      </c>
      <c r="C60" s="342"/>
      <c r="D60" s="342"/>
      <c r="E60" s="342"/>
      <c r="F60" s="342"/>
      <c r="G60" s="342"/>
    </row>
    <row r="61" spans="2:15" x14ac:dyDescent="0.25">
      <c r="B61" s="342"/>
      <c r="C61" s="342"/>
      <c r="D61" s="342"/>
      <c r="E61" s="342"/>
      <c r="F61" s="342"/>
      <c r="G61" s="342"/>
    </row>
    <row r="62" spans="2:15" x14ac:dyDescent="0.25">
      <c r="B62" s="342"/>
      <c r="C62" s="342"/>
      <c r="D62" s="342"/>
      <c r="E62" s="342"/>
      <c r="F62" s="342"/>
      <c r="G62" s="342"/>
    </row>
    <row r="63" spans="2:15" x14ac:dyDescent="0.25">
      <c r="B63" s="342"/>
      <c r="C63" s="342"/>
      <c r="D63" s="342"/>
      <c r="E63" s="342"/>
      <c r="F63" s="342"/>
      <c r="G63" s="342"/>
    </row>
    <row r="64" spans="2:15" x14ac:dyDescent="0.25">
      <c r="B64" s="342"/>
      <c r="C64" s="342"/>
      <c r="D64" s="342"/>
      <c r="E64" s="342"/>
      <c r="F64" s="342"/>
      <c r="G64" s="342"/>
    </row>
    <row r="67" spans="3:3" x14ac:dyDescent="0.25">
      <c r="C67" s="20"/>
    </row>
  </sheetData>
  <mergeCells count="17">
    <mergeCell ref="K16:N16"/>
    <mergeCell ref="B5:G5"/>
    <mergeCell ref="B2:I2"/>
    <mergeCell ref="B3:I3"/>
    <mergeCell ref="B4:I4"/>
    <mergeCell ref="B60:G64"/>
    <mergeCell ref="B7:D7"/>
    <mergeCell ref="B29:J29"/>
    <mergeCell ref="F30:G30"/>
    <mergeCell ref="B42:H42"/>
    <mergeCell ref="B58:G58"/>
    <mergeCell ref="B59:G59"/>
    <mergeCell ref="B17:J17"/>
    <mergeCell ref="F19:G19"/>
    <mergeCell ref="B28:J28"/>
    <mergeCell ref="B18:J18"/>
    <mergeCell ref="B8:D8"/>
  </mergeCells>
  <pageMargins left="0.7" right="0.7" top="0.75" bottom="0.75" header="0.3" footer="0.3"/>
  <pageSetup scale="68" fitToHeight="2" orientation="landscape" r:id="rId1"/>
  <headerFooter>
    <oddFooter>&amp;L&amp;D&amp;R&amp;F,&amp;A,</oddFooter>
  </headerFooter>
  <rowBreaks count="1" manualBreakCount="1">
    <brk id="40" max="16383" man="1"/>
  </rowBreaks>
  <ignoredErrors>
    <ignoredError sqref="E53:E55"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B1:D22"/>
  <sheetViews>
    <sheetView showGridLines="0" topLeftCell="A4" zoomScale="90" zoomScaleNormal="90" workbookViewId="0">
      <selection activeCell="C15" sqref="C15"/>
    </sheetView>
  </sheetViews>
  <sheetFormatPr defaultColWidth="8.85546875" defaultRowHeight="15" x14ac:dyDescent="0.25"/>
  <cols>
    <col min="1" max="1" width="19.85546875" style="1" customWidth="1"/>
    <col min="2" max="2" width="41.7109375" style="1" customWidth="1"/>
    <col min="3" max="3" width="24.7109375" style="1" customWidth="1"/>
    <col min="4" max="4" width="24" style="1" customWidth="1"/>
    <col min="5" max="16384" width="8.85546875" style="1"/>
  </cols>
  <sheetData>
    <row r="1" spans="2:4" x14ac:dyDescent="0.25">
      <c r="B1" s="364" t="s">
        <v>98</v>
      </c>
      <c r="C1" s="364"/>
      <c r="D1" s="364"/>
    </row>
    <row r="2" spans="2:4" ht="21" x14ac:dyDescent="0.35">
      <c r="B2" s="365" t="s">
        <v>5</v>
      </c>
      <c r="C2" s="366"/>
      <c r="D2" s="367"/>
    </row>
    <row r="3" spans="2:4" ht="18.75" x14ac:dyDescent="0.3">
      <c r="B3" s="369" t="s">
        <v>99</v>
      </c>
      <c r="C3" s="370"/>
      <c r="D3" s="371"/>
    </row>
    <row r="4" spans="2:4" ht="65.25" customHeight="1" x14ac:dyDescent="0.25">
      <c r="B4" s="368" t="s">
        <v>241</v>
      </c>
      <c r="C4" s="368"/>
      <c r="D4" s="368"/>
    </row>
    <row r="5" spans="2:4" x14ac:dyDescent="0.25">
      <c r="B5" s="21"/>
      <c r="C5" s="2"/>
      <c r="D5" s="2"/>
    </row>
    <row r="6" spans="2:4" x14ac:dyDescent="0.25">
      <c r="B6" s="373" t="s">
        <v>100</v>
      </c>
      <c r="C6" s="372" t="s">
        <v>101</v>
      </c>
      <c r="D6" s="372" t="s">
        <v>102</v>
      </c>
    </row>
    <row r="7" spans="2:4" x14ac:dyDescent="0.25">
      <c r="B7" s="373"/>
      <c r="C7" s="372"/>
      <c r="D7" s="372"/>
    </row>
    <row r="8" spans="2:4" x14ac:dyDescent="0.25">
      <c r="B8" s="81" t="s">
        <v>22</v>
      </c>
      <c r="C8" s="284"/>
      <c r="D8" s="286"/>
    </row>
    <row r="9" spans="2:4" x14ac:dyDescent="0.25">
      <c r="B9" s="115" t="s">
        <v>255</v>
      </c>
      <c r="C9" s="288">
        <f>+D9/17844217</f>
        <v>0.27578206429567631</v>
      </c>
      <c r="D9" s="287">
        <v>4921115</v>
      </c>
    </row>
    <row r="10" spans="2:4" x14ac:dyDescent="0.25">
      <c r="B10" s="3" t="s">
        <v>254</v>
      </c>
      <c r="C10" s="288">
        <f>+D10/7191824</f>
        <v>0.23671449690648713</v>
      </c>
      <c r="D10" s="287">
        <v>1702409</v>
      </c>
    </row>
    <row r="11" spans="2:4" x14ac:dyDescent="0.25">
      <c r="B11" s="3" t="s">
        <v>256</v>
      </c>
      <c r="C11" s="49">
        <f>+D11/26132436</f>
        <v>3.9922301923938509E-2</v>
      </c>
      <c r="D11" s="287">
        <v>1043267</v>
      </c>
    </row>
    <row r="12" spans="2:4" x14ac:dyDescent="0.25">
      <c r="B12" s="3" t="s">
        <v>279</v>
      </c>
      <c r="C12" s="288">
        <f>+D12/6086812</f>
        <v>0.22362034510019366</v>
      </c>
      <c r="D12" s="287">
        <v>1361135</v>
      </c>
    </row>
    <row r="13" spans="2:4" x14ac:dyDescent="0.25">
      <c r="B13" s="3" t="s">
        <v>257</v>
      </c>
      <c r="C13" s="49">
        <f>+D13/41737859</f>
        <v>3.7366818456116786E-2</v>
      </c>
      <c r="D13" s="287">
        <v>1559611</v>
      </c>
    </row>
    <row r="14" spans="2:4" x14ac:dyDescent="0.25">
      <c r="B14" s="3" t="s">
        <v>278</v>
      </c>
      <c r="C14" s="49">
        <v>0.2</v>
      </c>
      <c r="D14" s="287">
        <v>779686</v>
      </c>
    </row>
    <row r="15" spans="2:4" x14ac:dyDescent="0.25">
      <c r="B15" s="3" t="s">
        <v>258</v>
      </c>
      <c r="C15" s="49">
        <f>+D15/4051788</f>
        <v>0.19316805321502506</v>
      </c>
      <c r="D15" s="287">
        <v>782676</v>
      </c>
    </row>
    <row r="16" spans="2:4" x14ac:dyDescent="0.25">
      <c r="B16" s="3" t="s">
        <v>259</v>
      </c>
      <c r="C16" s="49">
        <f>+D16/26985334</f>
        <v>2.2612467942772174E-2</v>
      </c>
      <c r="D16" s="287">
        <v>610205</v>
      </c>
    </row>
    <row r="17" spans="2:4" x14ac:dyDescent="0.25">
      <c r="B17" s="3" t="s">
        <v>260</v>
      </c>
      <c r="C17" s="49">
        <f>+D17/24140462</f>
        <v>-0.10894534661349894</v>
      </c>
      <c r="D17" s="287">
        <v>-2629991</v>
      </c>
    </row>
    <row r="18" spans="2:4" x14ac:dyDescent="0.25">
      <c r="B18" s="81" t="s">
        <v>29</v>
      </c>
      <c r="C18" s="284">
        <f>SUM(C8:C15)</f>
        <v>1.2065740798974376</v>
      </c>
      <c r="D18" s="286">
        <f>SUM(D8:D17)</f>
        <v>10130113</v>
      </c>
    </row>
    <row r="19" spans="2:4" x14ac:dyDescent="0.25">
      <c r="B19" s="77"/>
      <c r="C19" s="44"/>
      <c r="D19" s="44"/>
    </row>
    <row r="20" spans="2:4" x14ac:dyDescent="0.25">
      <c r="B20" s="28" t="s">
        <v>103</v>
      </c>
      <c r="C20" s="107"/>
      <c r="D20" s="82">
        <f>SUM(D9:D17)</f>
        <v>10130113</v>
      </c>
    </row>
    <row r="21" spans="2:4" x14ac:dyDescent="0.25">
      <c r="B21" s="28" t="s">
        <v>104</v>
      </c>
      <c r="C21" s="285" t="e">
        <f>C18/C8-1</f>
        <v>#DIV/0!</v>
      </c>
      <c r="D21" s="108"/>
    </row>
    <row r="22" spans="2:4" x14ac:dyDescent="0.25">
      <c r="B22" s="77" t="s">
        <v>105</v>
      </c>
    </row>
  </sheetData>
  <mergeCells count="7">
    <mergeCell ref="B1:D1"/>
    <mergeCell ref="B2:D2"/>
    <mergeCell ref="B4:D4"/>
    <mergeCell ref="B3:D3"/>
    <mergeCell ref="C6:C7"/>
    <mergeCell ref="B6:B7"/>
    <mergeCell ref="D6:D7"/>
  </mergeCells>
  <pageMargins left="0.7" right="0.7" top="0.75" bottom="0.75" header="0.3" footer="0.3"/>
  <pageSetup orientation="landscape" r:id="rId1"/>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B1:L23"/>
  <sheetViews>
    <sheetView showGridLines="0" zoomScale="77" zoomScaleNormal="110" workbookViewId="0">
      <selection activeCell="B1" sqref="B1:G21"/>
    </sheetView>
  </sheetViews>
  <sheetFormatPr defaultRowHeight="15" x14ac:dyDescent="0.25"/>
  <cols>
    <col min="2" max="2" width="37.5703125" customWidth="1"/>
    <col min="3" max="3" width="18.85546875" customWidth="1"/>
    <col min="4" max="4" width="18.140625" customWidth="1"/>
    <col min="5" max="5" width="25.140625" customWidth="1"/>
    <col min="6" max="6" width="23.85546875" customWidth="1"/>
    <col min="7" max="7" width="45.5703125" customWidth="1"/>
    <col min="9" max="9" width="24.42578125" customWidth="1"/>
    <col min="10" max="13" width="34.7109375" customWidth="1"/>
  </cols>
  <sheetData>
    <row r="1" spans="2:12" x14ac:dyDescent="0.25">
      <c r="B1" s="334" t="s">
        <v>106</v>
      </c>
      <c r="C1" s="334"/>
      <c r="D1" s="334"/>
      <c r="E1" s="334"/>
      <c r="F1" s="334"/>
      <c r="G1" s="334"/>
      <c r="I1" s="22"/>
    </row>
    <row r="2" spans="2:12" ht="18.75" x14ac:dyDescent="0.3">
      <c r="B2" s="375" t="s">
        <v>13</v>
      </c>
      <c r="C2" s="376"/>
      <c r="D2" s="376"/>
      <c r="E2" s="376"/>
      <c r="F2" s="376"/>
      <c r="G2" s="377"/>
    </row>
    <row r="3" spans="2:12" ht="18.75" x14ac:dyDescent="0.3">
      <c r="B3" s="369" t="s">
        <v>107</v>
      </c>
      <c r="C3" s="370"/>
      <c r="D3" s="370"/>
      <c r="E3" s="370"/>
      <c r="F3" s="370"/>
      <c r="G3" s="371"/>
    </row>
    <row r="4" spans="2:12" ht="63" customHeight="1" x14ac:dyDescent="0.25">
      <c r="B4" s="378" t="s">
        <v>219</v>
      </c>
      <c r="C4" s="378"/>
      <c r="D4" s="378"/>
      <c r="E4" s="378"/>
      <c r="F4" s="378"/>
      <c r="G4" s="378"/>
    </row>
    <row r="5" spans="2:12" ht="17.45" customHeight="1" x14ac:dyDescent="0.25">
      <c r="B5" s="47" t="s">
        <v>108</v>
      </c>
      <c r="C5" s="379" t="s">
        <v>109</v>
      </c>
      <c r="D5" s="380"/>
      <c r="E5" s="380"/>
      <c r="F5" s="381"/>
      <c r="G5" s="58" t="s">
        <v>110</v>
      </c>
    </row>
    <row r="6" spans="2:12" ht="31.5" customHeight="1" x14ac:dyDescent="0.25">
      <c r="B6" s="16"/>
      <c r="C6" s="50" t="s">
        <v>111</v>
      </c>
      <c r="D6" s="51" t="s">
        <v>112</v>
      </c>
      <c r="E6" s="250" t="s">
        <v>113</v>
      </c>
      <c r="F6" s="250" t="s">
        <v>248</v>
      </c>
      <c r="G6" s="16"/>
      <c r="J6" s="305"/>
      <c r="K6" s="305"/>
      <c r="L6" s="305"/>
    </row>
    <row r="7" spans="2:12" ht="31.5" customHeight="1" x14ac:dyDescent="0.25">
      <c r="B7" s="251" t="s">
        <v>114</v>
      </c>
      <c r="C7" s="252">
        <v>0.02</v>
      </c>
      <c r="D7" s="253">
        <v>500000</v>
      </c>
      <c r="E7" s="254">
        <v>0.6</v>
      </c>
      <c r="F7" s="255">
        <f>C7*E7</f>
        <v>1.2E-2</v>
      </c>
      <c r="G7" s="251" t="s">
        <v>115</v>
      </c>
      <c r="J7" s="306"/>
      <c r="K7" s="307"/>
      <c r="L7" s="308"/>
    </row>
    <row r="8" spans="2:12" ht="27" customHeight="1" x14ac:dyDescent="0.25">
      <c r="B8" s="16" t="s">
        <v>116</v>
      </c>
      <c r="C8" s="50">
        <v>0</v>
      </c>
      <c r="D8" s="51"/>
      <c r="E8" s="50"/>
      <c r="F8" s="9">
        <f>C8*E8</f>
        <v>0</v>
      </c>
      <c r="G8" s="16"/>
      <c r="J8" s="309"/>
      <c r="K8" s="310"/>
      <c r="L8" s="311"/>
    </row>
    <row r="9" spans="2:12" ht="27" customHeight="1" x14ac:dyDescent="0.25">
      <c r="B9" s="16" t="s">
        <v>117</v>
      </c>
      <c r="C9" s="50">
        <v>0.03</v>
      </c>
      <c r="D9" s="51">
        <v>1609018</v>
      </c>
      <c r="E9" s="50">
        <f>54884801/180760242</f>
        <v>0.30363314627560634</v>
      </c>
      <c r="F9" s="9">
        <f t="shared" ref="F9:F15" si="0">C9*E9</f>
        <v>9.1089943882681889E-3</v>
      </c>
      <c r="G9" s="16" t="s">
        <v>263</v>
      </c>
      <c r="J9" s="312"/>
      <c r="K9" s="313"/>
      <c r="L9" s="78"/>
    </row>
    <row r="10" spans="2:12" ht="27" customHeight="1" x14ac:dyDescent="0.25">
      <c r="B10" s="16" t="s">
        <v>47</v>
      </c>
      <c r="C10" s="50">
        <v>0.05</v>
      </c>
      <c r="D10" s="51">
        <f>16791383*0.05</f>
        <v>839569.15</v>
      </c>
      <c r="E10" s="50">
        <f>15145800/180760242</f>
        <v>8.3789443034713348E-2</v>
      </c>
      <c r="F10" s="9">
        <f t="shared" si="0"/>
        <v>4.1894721517356679E-3</v>
      </c>
      <c r="G10" s="16" t="s">
        <v>262</v>
      </c>
      <c r="J10" s="312"/>
      <c r="K10" s="310"/>
      <c r="L10" s="78"/>
    </row>
    <row r="11" spans="2:12" ht="27" customHeight="1" x14ac:dyDescent="0.25">
      <c r="B11" s="16" t="s">
        <v>118</v>
      </c>
      <c r="C11" s="50">
        <v>0.02</v>
      </c>
      <c r="D11" s="51">
        <f>7894765*0.02</f>
        <v>157895.30000000002</v>
      </c>
      <c r="E11" s="50">
        <f>7894765/180760242</f>
        <v>4.3675339846026541E-2</v>
      </c>
      <c r="F11" s="9">
        <f t="shared" si="0"/>
        <v>8.7350679692053089E-4</v>
      </c>
      <c r="G11" s="16"/>
      <c r="J11" s="312"/>
      <c r="K11" s="310"/>
      <c r="L11" s="78"/>
    </row>
    <row r="12" spans="2:12" ht="27" customHeight="1" x14ac:dyDescent="0.25">
      <c r="B12" s="16" t="s">
        <v>119</v>
      </c>
      <c r="C12" s="50">
        <v>0.02</v>
      </c>
      <c r="D12" s="51">
        <f>4893600*0.02</f>
        <v>97872</v>
      </c>
      <c r="E12" s="50">
        <f>4893600/180760242</f>
        <v>2.7072324897639825E-2</v>
      </c>
      <c r="F12" s="9">
        <f t="shared" si="0"/>
        <v>5.4144649795279652E-4</v>
      </c>
      <c r="G12" s="16"/>
      <c r="I12" s="326"/>
      <c r="J12" s="312"/>
      <c r="K12" s="310"/>
      <c r="L12" s="78"/>
    </row>
    <row r="13" spans="2:12" ht="27" customHeight="1" x14ac:dyDescent="0.25">
      <c r="B13" s="29" t="s">
        <v>261</v>
      </c>
      <c r="C13" s="50">
        <v>0.05</v>
      </c>
      <c r="D13" s="51">
        <f>15807333*0.05</f>
        <v>790366.65</v>
      </c>
      <c r="E13" s="50">
        <f>16938498/1807760242</f>
        <v>9.3698808096698925E-3</v>
      </c>
      <c r="F13" s="9">
        <f t="shared" si="0"/>
        <v>4.6849404048349467E-4</v>
      </c>
      <c r="G13" s="16" t="s">
        <v>265</v>
      </c>
      <c r="J13" s="312"/>
      <c r="K13" s="310"/>
      <c r="L13" s="78"/>
    </row>
    <row r="14" spans="2:12" ht="27" customHeight="1" x14ac:dyDescent="0.25">
      <c r="B14" s="29" t="s">
        <v>264</v>
      </c>
      <c r="C14" s="50"/>
      <c r="D14" s="51"/>
      <c r="E14" s="50">
        <v>0.53</v>
      </c>
      <c r="F14" s="9">
        <f t="shared" si="0"/>
        <v>0</v>
      </c>
      <c r="G14" s="16"/>
      <c r="J14" s="312"/>
      <c r="K14" s="310"/>
      <c r="L14" s="78"/>
    </row>
    <row r="15" spans="2:12" ht="27" customHeight="1" x14ac:dyDescent="0.25">
      <c r="B15" s="29" t="s">
        <v>120</v>
      </c>
      <c r="C15" s="50"/>
      <c r="D15" s="51"/>
      <c r="E15" s="50"/>
      <c r="F15" s="9">
        <f t="shared" si="0"/>
        <v>0</v>
      </c>
      <c r="G15" s="16"/>
      <c r="J15" s="312"/>
      <c r="K15" s="310"/>
      <c r="L15" s="311"/>
    </row>
    <row r="16" spans="2:12" x14ac:dyDescent="0.25">
      <c r="B16" s="11" t="s">
        <v>18</v>
      </c>
      <c r="C16" s="79" t="s">
        <v>121</v>
      </c>
      <c r="D16" s="80">
        <f>SUM(D8:D15)</f>
        <v>3494721.0999999996</v>
      </c>
      <c r="E16" s="293">
        <f>SUM(E9:E15)</f>
        <v>0.997540134863656</v>
      </c>
      <c r="F16" s="294">
        <f>SUM(F8:F14)</f>
        <v>1.5181913875360678E-2</v>
      </c>
      <c r="G16" s="11"/>
      <c r="J16" s="312"/>
      <c r="K16" s="310"/>
      <c r="L16" s="311"/>
    </row>
    <row r="17" spans="2:12" x14ac:dyDescent="0.25">
      <c r="B17" s="18"/>
      <c r="E17" t="s">
        <v>122</v>
      </c>
      <c r="J17" s="314"/>
      <c r="K17" s="310"/>
      <c r="L17" s="311"/>
    </row>
    <row r="18" spans="2:12" x14ac:dyDescent="0.25">
      <c r="J18" s="314"/>
      <c r="K18" s="310"/>
      <c r="L18" s="311"/>
    </row>
    <row r="19" spans="2:12" x14ac:dyDescent="0.25">
      <c r="B19" s="374" t="s">
        <v>123</v>
      </c>
      <c r="C19" s="374"/>
      <c r="D19" s="374"/>
      <c r="E19" s="374"/>
      <c r="F19" s="259"/>
      <c r="J19" s="314"/>
      <c r="K19" s="310"/>
      <c r="L19" s="311"/>
    </row>
    <row r="20" spans="2:12" x14ac:dyDescent="0.25">
      <c r="J20" s="314"/>
      <c r="K20" s="310"/>
      <c r="L20" s="311"/>
    </row>
    <row r="21" spans="2:12" x14ac:dyDescent="0.25">
      <c r="J21" s="314"/>
      <c r="K21" s="310"/>
      <c r="L21" s="311"/>
    </row>
    <row r="22" spans="2:12" x14ac:dyDescent="0.25">
      <c r="J22" s="86"/>
      <c r="K22" s="87"/>
      <c r="L22" s="78"/>
    </row>
    <row r="23" spans="2:12" x14ac:dyDescent="0.25">
      <c r="J23" s="86"/>
      <c r="K23" s="86"/>
      <c r="L23" s="86"/>
    </row>
  </sheetData>
  <mergeCells count="6">
    <mergeCell ref="B19:E19"/>
    <mergeCell ref="B1:G1"/>
    <mergeCell ref="B2:G2"/>
    <mergeCell ref="B4:G4"/>
    <mergeCell ref="C5:F5"/>
    <mergeCell ref="B3:G3"/>
  </mergeCells>
  <pageMargins left="0.7" right="0.7" top="0.75" bottom="0.75" header="0.3" footer="0.3"/>
  <pageSetup scale="72" orientation="landscape" r:id="rId1"/>
  <headerFooter>
    <oddFooter>&amp;L&amp;D&amp;R&amp;F,&amp;A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F80"/>
  <sheetViews>
    <sheetView showGridLines="0" zoomScale="50" zoomScaleNormal="50" zoomScaleSheetLayoutView="30" workbookViewId="0">
      <selection activeCell="C28" sqref="C28"/>
    </sheetView>
  </sheetViews>
  <sheetFormatPr defaultColWidth="9.140625" defaultRowHeight="15" outlineLevelRow="1" x14ac:dyDescent="0.25"/>
  <cols>
    <col min="1" max="1" width="1.5703125" style="201" customWidth="1"/>
    <col min="2" max="2" width="113.5703125" style="202" customWidth="1"/>
    <col min="3" max="3" width="59.85546875" style="202" customWidth="1"/>
    <col min="4" max="4" width="59.85546875" style="22" customWidth="1"/>
    <col min="5" max="16384" width="9.140625" style="22"/>
  </cols>
  <sheetData>
    <row r="1" spans="1:6" s="118" customFormat="1" x14ac:dyDescent="0.25">
      <c r="A1" s="117"/>
    </row>
    <row r="2" spans="1:6" s="1" customFormat="1" ht="31.5" x14ac:dyDescent="0.5">
      <c r="B2" s="390" t="s">
        <v>124</v>
      </c>
      <c r="C2" s="390"/>
      <c r="D2" s="390"/>
      <c r="E2" s="216"/>
      <c r="F2" s="216"/>
    </row>
    <row r="3" spans="1:6" s="1" customFormat="1" ht="31.5" x14ac:dyDescent="0.5">
      <c r="B3" s="387" t="s">
        <v>2</v>
      </c>
      <c r="C3" s="388"/>
      <c r="D3" s="389"/>
      <c r="E3" s="120"/>
      <c r="F3" s="120"/>
    </row>
    <row r="4" spans="1:6" s="1" customFormat="1" ht="31.5" x14ac:dyDescent="0.5">
      <c r="B4" s="391" t="s">
        <v>125</v>
      </c>
      <c r="C4" s="392"/>
      <c r="D4" s="393"/>
    </row>
    <row r="5" spans="1:6" s="63" customFormat="1" ht="18.75" x14ac:dyDescent="0.3">
      <c r="B5" s="215"/>
      <c r="C5" s="215"/>
      <c r="D5" s="215"/>
      <c r="E5" s="215"/>
      <c r="F5" s="215"/>
    </row>
    <row r="6" spans="1:6" s="63" customFormat="1" ht="18.75" x14ac:dyDescent="0.3">
      <c r="B6" s="215"/>
      <c r="C6" s="215"/>
      <c r="D6" s="215"/>
      <c r="E6" s="215"/>
      <c r="F6" s="215"/>
    </row>
    <row r="7" spans="1:6" s="120" customFormat="1" ht="31.5" x14ac:dyDescent="0.5">
      <c r="A7" s="119"/>
      <c r="B7" s="382" t="s">
        <v>126</v>
      </c>
      <c r="C7" s="383"/>
      <c r="D7" s="384"/>
    </row>
    <row r="8" spans="1:6" s="124" customFormat="1" ht="31.5" x14ac:dyDescent="0.5">
      <c r="A8" s="121"/>
      <c r="B8" s="122"/>
      <c r="C8" s="208"/>
      <c r="D8" s="123"/>
    </row>
    <row r="9" spans="1:6" s="120" customFormat="1" ht="48" customHeight="1" x14ac:dyDescent="0.5">
      <c r="A9" s="119"/>
      <c r="B9" s="125" t="s">
        <v>127</v>
      </c>
      <c r="C9" s="209"/>
      <c r="D9" s="211"/>
    </row>
    <row r="10" spans="1:6" s="127" customFormat="1" ht="15.75" customHeight="1" x14ac:dyDescent="0.4">
      <c r="A10" s="126"/>
      <c r="B10" s="385"/>
      <c r="C10" s="386"/>
      <c r="D10" s="386"/>
    </row>
    <row r="11" spans="1:6" s="127" customFormat="1" ht="24.75" customHeight="1" x14ac:dyDescent="0.4">
      <c r="A11" s="126"/>
      <c r="B11" s="260"/>
      <c r="C11" s="261"/>
      <c r="D11" s="261"/>
    </row>
    <row r="12" spans="1:6" s="131" customFormat="1" ht="11.25" customHeight="1" x14ac:dyDescent="0.4">
      <c r="A12" s="128"/>
      <c r="B12" s="129"/>
      <c r="C12" s="210"/>
      <c r="D12" s="130"/>
    </row>
    <row r="13" spans="1:6" s="136" customFormat="1" ht="104.25" customHeight="1" x14ac:dyDescent="0.25">
      <c r="A13" s="132"/>
      <c r="B13" s="133" t="s">
        <v>128</v>
      </c>
      <c r="C13" s="134" t="s">
        <v>129</v>
      </c>
      <c r="D13" s="134" t="s">
        <v>130</v>
      </c>
      <c r="E13" s="135"/>
    </row>
    <row r="14" spans="1:6" s="124" customFormat="1" ht="31.5" x14ac:dyDescent="0.5">
      <c r="A14" s="137"/>
      <c r="B14" s="138" t="s">
        <v>131</v>
      </c>
      <c r="C14" s="139"/>
      <c r="D14" s="140"/>
    </row>
    <row r="15" spans="1:6" s="120" customFormat="1" ht="30" hidden="1" customHeight="1" x14ac:dyDescent="0.5">
      <c r="A15" s="141"/>
      <c r="B15" s="142" t="s">
        <v>132</v>
      </c>
      <c r="C15" s="143"/>
      <c r="D15" s="144"/>
      <c r="E15" s="145"/>
    </row>
    <row r="16" spans="1:6" s="124" customFormat="1" ht="30" hidden="1" customHeight="1" x14ac:dyDescent="0.5">
      <c r="A16" s="137"/>
      <c r="B16" s="146" t="s">
        <v>133</v>
      </c>
      <c r="C16" s="147"/>
      <c r="D16" s="148"/>
      <c r="E16" s="149"/>
    </row>
    <row r="17" spans="1:5" s="124" customFormat="1" ht="30" hidden="1" customHeight="1" x14ac:dyDescent="0.5">
      <c r="A17" s="137"/>
      <c r="B17" s="150" t="s">
        <v>134</v>
      </c>
      <c r="C17" s="147"/>
      <c r="D17" s="148"/>
      <c r="E17" s="149"/>
    </row>
    <row r="18" spans="1:5" s="124" customFormat="1" ht="30" hidden="1" customHeight="1" x14ac:dyDescent="0.5">
      <c r="A18" s="137"/>
      <c r="B18" s="146" t="s">
        <v>135</v>
      </c>
      <c r="C18" s="147"/>
      <c r="D18" s="148"/>
      <c r="E18" s="149"/>
    </row>
    <row r="19" spans="1:5" s="124" customFormat="1" ht="30" hidden="1" customHeight="1" x14ac:dyDescent="0.5">
      <c r="A19" s="137"/>
      <c r="B19" s="146" t="s">
        <v>136</v>
      </c>
      <c r="C19" s="147"/>
      <c r="D19" s="148"/>
      <c r="E19" s="149"/>
    </row>
    <row r="20" spans="1:5" s="124" customFormat="1" ht="30" hidden="1" customHeight="1" x14ac:dyDescent="0.5">
      <c r="A20" s="137"/>
      <c r="B20" s="146" t="s">
        <v>137</v>
      </c>
      <c r="C20" s="147"/>
      <c r="D20" s="148"/>
      <c r="E20" s="149"/>
    </row>
    <row r="21" spans="1:5" s="120" customFormat="1" ht="30" customHeight="1" x14ac:dyDescent="0.5">
      <c r="A21" s="141"/>
      <c r="B21" s="151" t="s">
        <v>138</v>
      </c>
      <c r="C21" s="152">
        <v>3016800</v>
      </c>
      <c r="D21" s="152">
        <v>905040</v>
      </c>
      <c r="E21" s="145"/>
    </row>
    <row r="22" spans="1:5" s="124" customFormat="1" ht="30" customHeight="1" x14ac:dyDescent="0.5">
      <c r="A22" s="137"/>
      <c r="B22" s="153" t="s">
        <v>139</v>
      </c>
      <c r="C22" s="152"/>
      <c r="D22" s="154"/>
      <c r="E22" s="145"/>
    </row>
    <row r="23" spans="1:5" s="120" customFormat="1" ht="30" customHeight="1" x14ac:dyDescent="0.5">
      <c r="A23" s="141"/>
      <c r="B23" s="138" t="s">
        <v>140</v>
      </c>
      <c r="C23" s="155">
        <f>SUM(C21:C22)</f>
        <v>3016800</v>
      </c>
      <c r="D23" s="155">
        <f>SUM(D21:D22)</f>
        <v>905040</v>
      </c>
      <c r="E23" s="145"/>
    </row>
    <row r="24" spans="1:5" s="161" customFormat="1" ht="15" customHeight="1" x14ac:dyDescent="0.5">
      <c r="A24" s="156"/>
      <c r="B24" s="157"/>
      <c r="C24" s="158"/>
      <c r="D24" s="159"/>
      <c r="E24" s="160"/>
    </row>
    <row r="25" spans="1:5" s="161" customFormat="1" ht="30" customHeight="1" x14ac:dyDescent="0.5">
      <c r="A25" s="156"/>
      <c r="B25" s="162" t="s">
        <v>141</v>
      </c>
      <c r="C25" s="158"/>
      <c r="D25" s="159"/>
      <c r="E25" s="160"/>
    </row>
    <row r="26" spans="1:5" s="161" customFormat="1" ht="30" customHeight="1" x14ac:dyDescent="0.5">
      <c r="A26" s="156"/>
      <c r="B26" s="163" t="s">
        <v>266</v>
      </c>
      <c r="C26" s="158">
        <v>872000</v>
      </c>
      <c r="D26" s="159"/>
      <c r="E26" s="160"/>
    </row>
    <row r="27" spans="1:5" s="120" customFormat="1" ht="30" customHeight="1" x14ac:dyDescent="0.5">
      <c r="A27" s="141"/>
      <c r="B27" s="164" t="s">
        <v>142</v>
      </c>
      <c r="C27" s="143">
        <f>SUM(C24:C26)</f>
        <v>872000</v>
      </c>
      <c r="D27" s="143">
        <f>SUM(D24:D26)</f>
        <v>0</v>
      </c>
      <c r="E27" s="145"/>
    </row>
    <row r="28" spans="1:5" s="124" customFormat="1" ht="30" customHeight="1" x14ac:dyDescent="0.5">
      <c r="A28" s="137"/>
      <c r="B28" s="165" t="s">
        <v>143</v>
      </c>
      <c r="C28" s="166">
        <f>C23+C27</f>
        <v>3888800</v>
      </c>
      <c r="D28" s="166">
        <f>D23+D27</f>
        <v>905040</v>
      </c>
      <c r="E28" s="145"/>
    </row>
    <row r="29" spans="1:5" s="161" customFormat="1" ht="27" hidden="1" customHeight="1" x14ac:dyDescent="0.5">
      <c r="A29" s="156"/>
      <c r="B29" s="167" t="s">
        <v>37</v>
      </c>
      <c r="C29" s="168"/>
      <c r="D29" s="169"/>
      <c r="E29" s="170"/>
    </row>
    <row r="30" spans="1:5" s="124" customFormat="1" ht="30" hidden="1" customHeight="1" x14ac:dyDescent="0.5">
      <c r="A30" s="137"/>
      <c r="B30" s="171" t="s">
        <v>144</v>
      </c>
      <c r="C30" s="158"/>
      <c r="D30" s="148"/>
    </row>
    <row r="31" spans="1:5" s="124" customFormat="1" ht="30" hidden="1" customHeight="1" x14ac:dyDescent="0.5">
      <c r="A31" s="137"/>
      <c r="B31" s="172" t="s">
        <v>145</v>
      </c>
      <c r="C31" s="158"/>
      <c r="D31" s="148"/>
    </row>
    <row r="32" spans="1:5" s="124" customFormat="1" ht="30" hidden="1" customHeight="1" x14ac:dyDescent="0.5">
      <c r="A32" s="137"/>
      <c r="B32" s="172" t="s">
        <v>48</v>
      </c>
      <c r="C32" s="158"/>
      <c r="D32" s="148"/>
    </row>
    <row r="33" spans="1:5" s="124" customFormat="1" ht="30" hidden="1" customHeight="1" x14ac:dyDescent="0.5">
      <c r="A33" s="137"/>
      <c r="B33" s="172" t="s">
        <v>146</v>
      </c>
      <c r="C33" s="158"/>
      <c r="D33" s="148"/>
    </row>
    <row r="34" spans="1:5" s="124" customFormat="1" ht="30" hidden="1" customHeight="1" x14ac:dyDescent="0.5">
      <c r="A34" s="137"/>
      <c r="B34" s="172" t="s">
        <v>147</v>
      </c>
      <c r="C34" s="158"/>
      <c r="D34" s="148"/>
    </row>
    <row r="35" spans="1:5" s="124" customFormat="1" ht="30" hidden="1" customHeight="1" x14ac:dyDescent="0.5">
      <c r="A35" s="137"/>
      <c r="B35" s="173" t="s">
        <v>148</v>
      </c>
      <c r="C35" s="158"/>
      <c r="D35" s="148"/>
    </row>
    <row r="36" spans="1:5" s="124" customFormat="1" ht="30" customHeight="1" x14ac:dyDescent="0.5">
      <c r="A36" s="137"/>
      <c r="B36" s="174" t="s">
        <v>149</v>
      </c>
      <c r="C36" s="152">
        <f>872000+537816+1292678+1000000</f>
        <v>3702494</v>
      </c>
      <c r="D36" s="152">
        <v>863000</v>
      </c>
      <c r="E36" s="145"/>
    </row>
    <row r="37" spans="1:5" s="124" customFormat="1" ht="7.9" customHeight="1" x14ac:dyDescent="0.5">
      <c r="A37" s="137"/>
      <c r="B37" s="175"/>
      <c r="C37" s="176"/>
      <c r="D37" s="177"/>
    </row>
    <row r="38" spans="1:5" s="124" customFormat="1" ht="30" customHeight="1" x14ac:dyDescent="0.5">
      <c r="A38" s="137"/>
      <c r="B38" s="165" t="s">
        <v>150</v>
      </c>
      <c r="C38" s="166">
        <f>C28-C36</f>
        <v>186306</v>
      </c>
      <c r="D38" s="166">
        <f>D28-D36</f>
        <v>42040</v>
      </c>
      <c r="E38" s="145"/>
    </row>
    <row r="39" spans="1:5" s="181" customFormat="1" ht="30" customHeight="1" x14ac:dyDescent="0.5">
      <c r="A39" s="178"/>
      <c r="B39" s="179"/>
      <c r="C39" s="180"/>
      <c r="D39" s="177"/>
      <c r="E39" s="145"/>
    </row>
    <row r="40" spans="1:5" s="120" customFormat="1" ht="30" customHeight="1" x14ac:dyDescent="0.5">
      <c r="A40" s="141"/>
      <c r="B40" s="182" t="s">
        <v>151</v>
      </c>
      <c r="C40" s="183"/>
      <c r="D40" s="148"/>
      <c r="E40" s="145"/>
    </row>
    <row r="41" spans="1:5" s="181" customFormat="1" ht="30" customHeight="1" x14ac:dyDescent="0.5">
      <c r="A41" s="178"/>
      <c r="B41" s="179"/>
      <c r="C41" s="180"/>
      <c r="D41" s="177"/>
      <c r="E41" s="145"/>
    </row>
    <row r="42" spans="1:5" s="124" customFormat="1" ht="30" customHeight="1" thickBot="1" x14ac:dyDescent="0.55000000000000004">
      <c r="A42" s="137"/>
      <c r="B42" s="184" t="s">
        <v>152</v>
      </c>
      <c r="C42" s="185">
        <f>C38+C40</f>
        <v>186306</v>
      </c>
      <c r="D42" s="185">
        <f>D38+D40</f>
        <v>42040</v>
      </c>
      <c r="E42" s="145"/>
    </row>
    <row r="43" spans="1:5" s="124" customFormat="1" ht="30" customHeight="1" thickTop="1" x14ac:dyDescent="0.5">
      <c r="A43" s="137"/>
      <c r="B43" s="186"/>
      <c r="C43" s="187"/>
      <c r="D43" s="188"/>
      <c r="E43" s="145"/>
    </row>
    <row r="44" spans="1:5" s="124" customFormat="1" ht="30" customHeight="1" outlineLevel="1" x14ac:dyDescent="0.5">
      <c r="A44" s="137"/>
      <c r="B44" s="189" t="s">
        <v>153</v>
      </c>
      <c r="C44" s="190"/>
      <c r="D44" s="191"/>
      <c r="E44" s="145"/>
    </row>
    <row r="45" spans="1:5" s="120" customFormat="1" ht="30" customHeight="1" outlineLevel="1" x14ac:dyDescent="0.5">
      <c r="A45" s="141"/>
      <c r="B45" s="192" t="s">
        <v>154</v>
      </c>
      <c r="C45" s="193">
        <f t="shared" ref="C45" si="0">C38/C28</f>
        <v>4.7908352190907222E-2</v>
      </c>
      <c r="D45" s="194">
        <f t="shared" ref="D45" si="1">D38/D28</f>
        <v>4.6450985591797049E-2</v>
      </c>
      <c r="E45" s="145"/>
    </row>
    <row r="46" spans="1:5" s="199" customFormat="1" ht="30" customHeight="1" outlineLevel="1" thickBot="1" x14ac:dyDescent="0.55000000000000004">
      <c r="A46" s="195"/>
      <c r="B46" s="196" t="s">
        <v>155</v>
      </c>
      <c r="C46" s="197">
        <f t="shared" ref="C46" si="2">C42/(C28+C40)</f>
        <v>4.7908352190907222E-2</v>
      </c>
      <c r="D46" s="198">
        <f t="shared" ref="D46" si="3">D42/(D28+D40)</f>
        <v>4.6450985591797049E-2</v>
      </c>
    </row>
    <row r="47" spans="1:5" s="124" customFormat="1" ht="30" customHeight="1" x14ac:dyDescent="0.5">
      <c r="A47" s="121"/>
      <c r="B47" s="200"/>
      <c r="C47" s="200"/>
    </row>
    <row r="48" spans="1:5" s="124" customFormat="1" ht="30" customHeight="1" x14ac:dyDescent="0.5">
      <c r="A48" s="121"/>
      <c r="B48" s="200"/>
      <c r="C48" s="200"/>
    </row>
    <row r="49" spans="2:5" ht="30" customHeight="1" x14ac:dyDescent="0.25"/>
    <row r="50" spans="2:5" ht="30" customHeight="1" x14ac:dyDescent="0.25"/>
    <row r="51" spans="2:5" ht="30" customHeight="1" x14ac:dyDescent="0.25"/>
    <row r="52" spans="2:5" ht="30" customHeight="1" x14ac:dyDescent="0.25"/>
    <row r="53" spans="2:5" ht="30" customHeight="1" x14ac:dyDescent="0.25"/>
    <row r="54" spans="2:5" s="201" customFormat="1" ht="30" customHeight="1" x14ac:dyDescent="0.25">
      <c r="B54" s="202"/>
      <c r="C54" s="202"/>
      <c r="D54" s="22"/>
      <c r="E54" s="22"/>
    </row>
    <row r="55" spans="2:5" s="201" customFormat="1" ht="30" customHeight="1" x14ac:dyDescent="0.25">
      <c r="B55" s="202"/>
      <c r="C55" s="202"/>
      <c r="D55" s="22"/>
      <c r="E55" s="22"/>
    </row>
    <row r="56" spans="2:5" s="201" customFormat="1" ht="30" customHeight="1" x14ac:dyDescent="0.25">
      <c r="B56" s="202"/>
      <c r="C56" s="202"/>
      <c r="D56" s="22"/>
      <c r="E56" s="22"/>
    </row>
    <row r="57" spans="2:5" s="201" customFormat="1" ht="30" customHeight="1" x14ac:dyDescent="0.25">
      <c r="B57" s="202"/>
      <c r="C57" s="202"/>
      <c r="D57" s="22"/>
      <c r="E57" s="22"/>
    </row>
    <row r="58" spans="2:5" s="201" customFormat="1" ht="30" customHeight="1" x14ac:dyDescent="0.25">
      <c r="B58" s="202"/>
      <c r="C58" s="202"/>
      <c r="D58" s="22"/>
      <c r="E58" s="22"/>
    </row>
    <row r="59" spans="2:5" s="201" customFormat="1" ht="30" customHeight="1" x14ac:dyDescent="0.25">
      <c r="B59" s="202"/>
      <c r="C59" s="202"/>
      <c r="D59" s="22"/>
      <c r="E59" s="22"/>
    </row>
    <row r="60" spans="2:5" s="201" customFormat="1" ht="30" customHeight="1" x14ac:dyDescent="0.25">
      <c r="B60" s="202"/>
      <c r="C60" s="202"/>
      <c r="D60" s="22"/>
      <c r="E60" s="22"/>
    </row>
    <row r="61" spans="2:5" s="201" customFormat="1" ht="30" customHeight="1" x14ac:dyDescent="0.25">
      <c r="B61" s="202"/>
      <c r="C61" s="202"/>
      <c r="D61" s="22"/>
      <c r="E61" s="22"/>
    </row>
    <row r="62" spans="2:5" s="201" customFormat="1" ht="30" customHeight="1" x14ac:dyDescent="0.25">
      <c r="B62" s="202"/>
      <c r="C62" s="202"/>
      <c r="D62" s="22"/>
      <c r="E62" s="22"/>
    </row>
    <row r="63" spans="2:5" s="201" customFormat="1" ht="30" customHeight="1" x14ac:dyDescent="0.25">
      <c r="B63" s="202"/>
      <c r="C63" s="202"/>
      <c r="D63" s="22"/>
      <c r="E63" s="22"/>
    </row>
    <row r="64" spans="2:5" s="201" customFormat="1" ht="30" customHeight="1" x14ac:dyDescent="0.25">
      <c r="B64" s="202"/>
      <c r="C64" s="202"/>
      <c r="D64" s="22"/>
      <c r="E64" s="22"/>
    </row>
    <row r="65" spans="1:5" s="201" customFormat="1" ht="30" customHeight="1" x14ac:dyDescent="0.25">
      <c r="B65" s="202"/>
      <c r="C65" s="202"/>
      <c r="D65" s="22"/>
      <c r="E65" s="22"/>
    </row>
    <row r="66" spans="1:5" s="201" customFormat="1" ht="30" customHeight="1" x14ac:dyDescent="0.25">
      <c r="B66" s="202"/>
      <c r="C66" s="202"/>
      <c r="D66" s="22"/>
      <c r="E66" s="22"/>
    </row>
    <row r="67" spans="1:5" s="201" customFormat="1" ht="30" customHeight="1" x14ac:dyDescent="0.25">
      <c r="B67" s="202"/>
      <c r="C67" s="202"/>
      <c r="D67" s="22"/>
      <c r="E67" s="22"/>
    </row>
    <row r="68" spans="1:5" s="201" customFormat="1" ht="30" customHeight="1" x14ac:dyDescent="0.25">
      <c r="B68" s="202"/>
      <c r="C68" s="202"/>
      <c r="D68" s="22"/>
      <c r="E68" s="22"/>
    </row>
    <row r="69" spans="1:5" s="201" customFormat="1" ht="30" customHeight="1" x14ac:dyDescent="0.25">
      <c r="B69" s="202"/>
      <c r="C69" s="202"/>
      <c r="D69" s="22"/>
      <c r="E69" s="22"/>
    </row>
    <row r="70" spans="1:5" ht="30" customHeight="1" x14ac:dyDescent="0.25"/>
    <row r="71" spans="1:5" ht="30" customHeight="1" x14ac:dyDescent="0.25"/>
    <row r="72" spans="1:5" ht="30" customHeight="1" x14ac:dyDescent="0.25"/>
    <row r="73" spans="1:5" ht="30" customHeight="1" x14ac:dyDescent="0.25"/>
    <row r="79" spans="1:5" s="206" customFormat="1" x14ac:dyDescent="0.25">
      <c r="A79" s="203"/>
      <c r="B79" s="204" t="s">
        <v>156</v>
      </c>
      <c r="C79" s="204"/>
      <c r="D79" s="205"/>
    </row>
    <row r="80" spans="1:5" x14ac:dyDescent="0.25">
      <c r="B80" s="207"/>
      <c r="C80" s="207"/>
      <c r="D80" s="206"/>
    </row>
  </sheetData>
  <mergeCells count="5">
    <mergeCell ref="B7:D7"/>
    <mergeCell ref="B10:D10"/>
    <mergeCell ref="B3:D3"/>
    <mergeCell ref="B2:D2"/>
    <mergeCell ref="B4:D4"/>
  </mergeCells>
  <pageMargins left="0.45" right="0.45" top="0.25" bottom="0.5" header="0.3" footer="0.3"/>
  <pageSetup scale="55" orientation="landscape" r:id="rId1"/>
  <headerFooter>
    <oddFooter>&amp;L&amp;16&amp;D, Page &amp;P&amp;C&amp;16Green Mountain Care Board&amp;R&amp;16&amp;F,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sheetPr>
  <dimension ref="B1:V22"/>
  <sheetViews>
    <sheetView showGridLines="0" topLeftCell="C1" workbookViewId="0">
      <selection activeCell="E17" sqref="E17"/>
    </sheetView>
  </sheetViews>
  <sheetFormatPr defaultColWidth="8.85546875" defaultRowHeight="15" x14ac:dyDescent="0.25"/>
  <cols>
    <col min="1" max="1" width="8.85546875" style="1"/>
    <col min="2" max="2" width="32.28515625" style="41" customWidth="1"/>
    <col min="3" max="4" width="22.28515625" style="41" customWidth="1"/>
    <col min="5" max="5" width="17.5703125" style="41" customWidth="1"/>
    <col min="6" max="6" width="19.5703125" style="41" customWidth="1"/>
    <col min="7" max="7" width="8.85546875" style="1"/>
    <col min="8" max="8" width="14.5703125" style="1" customWidth="1"/>
    <col min="9" max="10" width="13.7109375" style="1" bestFit="1" customWidth="1"/>
    <col min="11" max="11" width="13.28515625" style="1" bestFit="1" customWidth="1"/>
    <col min="12" max="14" width="8.85546875" style="1"/>
    <col min="15" max="15" width="13.7109375" style="1" bestFit="1" customWidth="1"/>
    <col min="16" max="16384" width="8.85546875" style="1"/>
  </cols>
  <sheetData>
    <row r="1" spans="2:10" s="111" customFormat="1" x14ac:dyDescent="0.25">
      <c r="B1" s="112"/>
      <c r="C1" s="112"/>
      <c r="D1" s="112"/>
      <c r="E1" s="112"/>
      <c r="F1" s="112"/>
    </row>
    <row r="2" spans="2:10" ht="15.75" x14ac:dyDescent="0.25">
      <c r="B2" s="395" t="s">
        <v>157</v>
      </c>
      <c r="C2" s="395"/>
      <c r="D2" s="395"/>
      <c r="E2" s="395"/>
      <c r="F2" s="395"/>
    </row>
    <row r="3" spans="2:10" ht="18.75" x14ac:dyDescent="0.3">
      <c r="B3" s="396" t="s">
        <v>2</v>
      </c>
      <c r="C3" s="397"/>
      <c r="D3" s="397"/>
      <c r="E3" s="397"/>
      <c r="F3" s="398"/>
    </row>
    <row r="4" spans="2:10" ht="18.75" x14ac:dyDescent="0.3">
      <c r="B4" s="369" t="s">
        <v>158</v>
      </c>
      <c r="C4" s="370"/>
      <c r="D4" s="370"/>
      <c r="E4" s="370"/>
      <c r="F4" s="371"/>
    </row>
    <row r="5" spans="2:10" ht="15.75" x14ac:dyDescent="0.25">
      <c r="B5" s="30"/>
      <c r="C5" s="30"/>
      <c r="D5" s="30"/>
      <c r="E5" s="30"/>
      <c r="F5" s="30"/>
    </row>
    <row r="6" spans="2:10" ht="28.5" customHeight="1" x14ac:dyDescent="0.25">
      <c r="B6" s="394" t="s">
        <v>159</v>
      </c>
      <c r="C6" s="394"/>
      <c r="D6" s="394"/>
      <c r="E6" s="394"/>
      <c r="F6" s="394"/>
    </row>
    <row r="7" spans="2:10" ht="15.75" x14ac:dyDescent="0.25">
      <c r="B7" s="30"/>
      <c r="C7" s="30"/>
      <c r="D7" s="30"/>
      <c r="E7" s="30"/>
      <c r="F7" s="30"/>
    </row>
    <row r="8" spans="2:10" ht="48" customHeight="1" x14ac:dyDescent="0.25">
      <c r="B8" s="31" t="s">
        <v>160</v>
      </c>
      <c r="C8" s="32" t="s">
        <v>161</v>
      </c>
      <c r="D8" s="32" t="s">
        <v>162</v>
      </c>
      <c r="E8" s="32" t="s">
        <v>163</v>
      </c>
      <c r="F8" s="33" t="s">
        <v>164</v>
      </c>
      <c r="H8" s="318"/>
    </row>
    <row r="9" spans="2:10" ht="25.5" customHeight="1" x14ac:dyDescent="0.25">
      <c r="B9" s="34"/>
      <c r="C9" s="35" t="s">
        <v>165</v>
      </c>
      <c r="D9" s="35" t="s">
        <v>166</v>
      </c>
      <c r="E9" s="35" t="s">
        <v>166</v>
      </c>
      <c r="F9" s="36" t="s">
        <v>167</v>
      </c>
    </row>
    <row r="10" spans="2:10" ht="24" customHeight="1" x14ac:dyDescent="0.25">
      <c r="B10" s="37" t="s">
        <v>168</v>
      </c>
      <c r="C10" s="38" t="s">
        <v>253</v>
      </c>
      <c r="D10" s="291">
        <v>7600</v>
      </c>
      <c r="E10" s="291">
        <f>9800000/12</f>
        <v>816666.66666666663</v>
      </c>
      <c r="F10" s="39">
        <v>0</v>
      </c>
      <c r="H10" s="316"/>
      <c r="J10" s="316"/>
    </row>
    <row r="11" spans="2:10" ht="15.75" x14ac:dyDescent="0.25">
      <c r="B11" s="37" t="s">
        <v>169</v>
      </c>
      <c r="C11" s="38" t="s">
        <v>253</v>
      </c>
      <c r="D11" s="291">
        <v>5500</v>
      </c>
      <c r="E11" s="291">
        <f>27000000/12</f>
        <v>2250000</v>
      </c>
      <c r="F11" s="39">
        <v>0</v>
      </c>
      <c r="H11" s="316"/>
      <c r="J11" s="316"/>
    </row>
    <row r="12" spans="2:10" ht="15.75" x14ac:dyDescent="0.25">
      <c r="B12" s="37" t="s">
        <v>242</v>
      </c>
      <c r="C12" s="38" t="s">
        <v>253</v>
      </c>
      <c r="D12" s="291">
        <v>5200</v>
      </c>
      <c r="E12" s="291">
        <f>5200000/12</f>
        <v>433333.33333333331</v>
      </c>
      <c r="F12" s="39">
        <v>0</v>
      </c>
      <c r="H12" s="316"/>
      <c r="J12" s="316"/>
    </row>
    <row r="13" spans="2:10" ht="15.75" x14ac:dyDescent="0.25">
      <c r="B13" s="37" t="s">
        <v>170</v>
      </c>
      <c r="C13" s="38"/>
      <c r="D13" s="38"/>
      <c r="E13" s="291"/>
      <c r="F13" s="39"/>
    </row>
    <row r="14" spans="2:10" ht="15.75" x14ac:dyDescent="0.25">
      <c r="B14" s="37" t="s">
        <v>171</v>
      </c>
      <c r="C14" s="40"/>
      <c r="D14" s="292">
        <f>SUM(D10:D13)</f>
        <v>18300</v>
      </c>
      <c r="E14" s="292">
        <f>SUM(E10:E13)</f>
        <v>3500000</v>
      </c>
      <c r="F14" s="39">
        <v>0</v>
      </c>
      <c r="H14" s="317"/>
      <c r="J14" s="316"/>
    </row>
    <row r="15" spans="2:10" ht="15.75" x14ac:dyDescent="0.25">
      <c r="B15" s="30"/>
    </row>
    <row r="16" spans="2:10" ht="15.75" x14ac:dyDescent="0.25">
      <c r="B16" s="42"/>
      <c r="E16" s="43"/>
    </row>
    <row r="17" spans="5:22" x14ac:dyDescent="0.25">
      <c r="E17" s="319"/>
    </row>
    <row r="18" spans="5:22" x14ac:dyDescent="0.25">
      <c r="I18" s="316"/>
      <c r="J18" s="316"/>
      <c r="K18" s="315"/>
      <c r="V18" s="316"/>
    </row>
    <row r="19" spans="5:22" x14ac:dyDescent="0.25">
      <c r="I19" s="316"/>
      <c r="J19" s="316"/>
      <c r="K19" s="315"/>
      <c r="V19" s="316"/>
    </row>
    <row r="20" spans="5:22" x14ac:dyDescent="0.25">
      <c r="I20" s="316"/>
      <c r="J20" s="316"/>
      <c r="K20" s="315"/>
      <c r="V20" s="316"/>
    </row>
    <row r="22" spans="5:22" x14ac:dyDescent="0.25">
      <c r="I22" s="317"/>
      <c r="J22" s="317"/>
      <c r="K22" s="317"/>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pageSetUpPr fitToPage="1"/>
  </sheetPr>
  <dimension ref="B2:K26"/>
  <sheetViews>
    <sheetView showGridLines="0" zoomScale="94" zoomScaleNormal="100" zoomScaleSheetLayoutView="55" workbookViewId="0">
      <selection activeCell="F13" sqref="F13"/>
    </sheetView>
  </sheetViews>
  <sheetFormatPr defaultColWidth="9.140625" defaultRowHeight="15" customHeight="1" x14ac:dyDescent="0.25"/>
  <cols>
    <col min="1" max="1" width="3.5703125" style="109" customWidth="1"/>
    <col min="2" max="2" width="39.7109375" style="109" customWidth="1"/>
    <col min="3" max="3" width="24" style="109" customWidth="1"/>
    <col min="4" max="11" width="22.7109375" style="109" customWidth="1"/>
    <col min="12" max="16384" width="9.140625" style="109"/>
  </cols>
  <sheetData>
    <row r="2" spans="2:11" s="1" customFormat="1" ht="15.75" x14ac:dyDescent="0.25">
      <c r="B2" s="395" t="s">
        <v>172</v>
      </c>
      <c r="C2" s="395"/>
      <c r="D2" s="395"/>
      <c r="E2" s="395"/>
      <c r="F2" s="395"/>
      <c r="G2" s="395"/>
      <c r="H2" s="395"/>
      <c r="I2" s="395"/>
      <c r="J2" s="395"/>
      <c r="K2" s="395"/>
    </row>
    <row r="3" spans="2:11" s="1" customFormat="1" ht="18.75" x14ac:dyDescent="0.3">
      <c r="B3" s="396" t="s">
        <v>173</v>
      </c>
      <c r="C3" s="397"/>
      <c r="D3" s="397"/>
      <c r="E3" s="397"/>
      <c r="F3" s="397"/>
      <c r="G3" s="397"/>
      <c r="H3" s="397"/>
      <c r="I3" s="397"/>
      <c r="J3" s="397"/>
      <c r="K3" s="398"/>
    </row>
    <row r="4" spans="2:11" s="1" customFormat="1" ht="18.75" x14ac:dyDescent="0.3">
      <c r="B4" s="369" t="s">
        <v>174</v>
      </c>
      <c r="C4" s="370"/>
      <c r="D4" s="370"/>
      <c r="E4" s="370"/>
      <c r="F4" s="370"/>
      <c r="G4" s="370"/>
      <c r="H4" s="370"/>
      <c r="I4" s="370"/>
      <c r="J4" s="370"/>
      <c r="K4" s="371"/>
    </row>
    <row r="5" spans="2:11" s="111" customFormat="1" ht="18.75" x14ac:dyDescent="0.3">
      <c r="B5" s="257"/>
      <c r="C5" s="257"/>
      <c r="D5" s="257"/>
      <c r="E5" s="257"/>
      <c r="F5" s="257"/>
      <c r="G5" s="257"/>
      <c r="H5" s="257"/>
      <c r="I5" s="257"/>
      <c r="J5" s="257"/>
      <c r="K5" s="257"/>
    </row>
    <row r="6" spans="2:11" s="111" customFormat="1" ht="18.75" customHeight="1" x14ac:dyDescent="0.25">
      <c r="B6" s="401" t="s">
        <v>249</v>
      </c>
      <c r="C6" s="401"/>
      <c r="D6" s="401"/>
      <c r="E6" s="401"/>
      <c r="F6" s="401"/>
      <c r="G6" s="401"/>
      <c r="H6" s="401"/>
      <c r="I6" s="401"/>
      <c r="J6" s="401"/>
      <c r="K6" s="401"/>
    </row>
    <row r="7" spans="2:11" s="111" customFormat="1" ht="18.75" customHeight="1" x14ac:dyDescent="0.25">
      <c r="B7" s="401"/>
      <c r="C7" s="401"/>
      <c r="D7" s="401"/>
      <c r="E7" s="401"/>
      <c r="F7" s="401"/>
      <c r="G7" s="401"/>
      <c r="H7" s="401"/>
      <c r="I7" s="401"/>
      <c r="J7" s="401"/>
      <c r="K7" s="401"/>
    </row>
    <row r="8" spans="2:11" s="111" customFormat="1" ht="18.75" x14ac:dyDescent="0.3">
      <c r="B8" s="110"/>
      <c r="C8" s="110"/>
      <c r="D8" s="110"/>
      <c r="E8" s="110"/>
      <c r="F8" s="110"/>
      <c r="G8" s="110"/>
      <c r="H8" s="110"/>
    </row>
    <row r="9" spans="2:11" s="262" customFormat="1" x14ac:dyDescent="0.25">
      <c r="B9" s="263"/>
      <c r="D9" s="263"/>
      <c r="E9" s="263"/>
      <c r="F9" s="263"/>
      <c r="G9" s="263"/>
      <c r="H9" s="263"/>
      <c r="I9" s="264"/>
      <c r="J9" s="264"/>
      <c r="K9" s="264"/>
    </row>
    <row r="10" spans="2:11" s="256" customFormat="1" ht="15" customHeight="1" x14ac:dyDescent="0.25">
      <c r="B10" s="399" t="s">
        <v>175</v>
      </c>
      <c r="C10" s="281" t="s">
        <v>176</v>
      </c>
      <c r="D10" s="275" t="s">
        <v>176</v>
      </c>
      <c r="E10" s="276" t="s">
        <v>177</v>
      </c>
      <c r="F10" s="277" t="s">
        <v>178</v>
      </c>
      <c r="G10" s="275" t="s">
        <v>176</v>
      </c>
      <c r="H10" s="276" t="s">
        <v>177</v>
      </c>
      <c r="I10" s="277" t="s">
        <v>178</v>
      </c>
      <c r="J10" s="276" t="s">
        <v>177</v>
      </c>
      <c r="K10" s="277" t="s">
        <v>178</v>
      </c>
    </row>
    <row r="11" spans="2:11" s="256" customFormat="1" ht="15" customHeight="1" x14ac:dyDescent="0.25">
      <c r="B11" s="400"/>
      <c r="C11" s="280" t="s">
        <v>220</v>
      </c>
      <c r="D11" s="402" t="s">
        <v>179</v>
      </c>
      <c r="E11" s="403"/>
      <c r="F11" s="404"/>
      <c r="G11" s="402" t="s">
        <v>180</v>
      </c>
      <c r="H11" s="403"/>
      <c r="I11" s="404"/>
      <c r="J11" s="403" t="s">
        <v>181</v>
      </c>
      <c r="K11" s="404"/>
    </row>
    <row r="12" spans="2:11" ht="15" customHeight="1" x14ac:dyDescent="0.25">
      <c r="B12" s="265" t="s">
        <v>182</v>
      </c>
      <c r="C12" s="278">
        <f>+D12+G12</f>
        <v>9745969</v>
      </c>
      <c r="D12" s="295">
        <v>9745969</v>
      </c>
      <c r="E12" s="299">
        <v>5338324</v>
      </c>
      <c r="F12" s="300">
        <f>+D12-E12</f>
        <v>4407645</v>
      </c>
      <c r="G12" s="266"/>
      <c r="H12" s="299">
        <v>4407645</v>
      </c>
      <c r="I12" s="268">
        <v>0</v>
      </c>
      <c r="J12" s="267"/>
      <c r="K12" s="268">
        <v>0</v>
      </c>
    </row>
    <row r="13" spans="2:11" ht="15" customHeight="1" x14ac:dyDescent="0.25">
      <c r="B13" s="265" t="s">
        <v>183</v>
      </c>
      <c r="C13" s="278">
        <f t="shared" ref="C13:C24" si="0">+D13+G13</f>
        <v>9470000</v>
      </c>
      <c r="D13" s="295">
        <v>9470000</v>
      </c>
      <c r="E13" s="267"/>
      <c r="F13" s="296">
        <v>9470000</v>
      </c>
      <c r="G13" s="266"/>
      <c r="H13" s="267"/>
      <c r="I13" s="296">
        <v>7200000</v>
      </c>
      <c r="J13" s="267"/>
      <c r="K13" s="268">
        <v>0</v>
      </c>
    </row>
    <row r="14" spans="2:11" ht="15" customHeight="1" x14ac:dyDescent="0.25">
      <c r="B14" s="265" t="s">
        <v>184</v>
      </c>
      <c r="C14" s="278">
        <f t="shared" si="0"/>
        <v>1900000</v>
      </c>
      <c r="D14" s="295">
        <v>1900000</v>
      </c>
      <c r="E14" s="267"/>
      <c r="F14" s="296">
        <v>1900000</v>
      </c>
      <c r="G14" s="266"/>
      <c r="H14" s="267"/>
      <c r="I14" s="268">
        <v>0</v>
      </c>
      <c r="J14" s="267"/>
      <c r="K14" s="268">
        <v>0</v>
      </c>
    </row>
    <row r="15" spans="2:11" ht="15" customHeight="1" x14ac:dyDescent="0.25">
      <c r="B15" s="265" t="s">
        <v>185</v>
      </c>
      <c r="C15" s="278">
        <f t="shared" si="0"/>
        <v>6457919.5700000003</v>
      </c>
      <c r="D15" s="295">
        <v>6457919.5700000003</v>
      </c>
      <c r="E15" s="297">
        <f>+D15</f>
        <v>6457919.5700000003</v>
      </c>
      <c r="F15" s="296"/>
      <c r="G15" s="266"/>
      <c r="H15" s="267"/>
      <c r="I15" s="268"/>
      <c r="J15" s="267"/>
      <c r="K15" s="268"/>
    </row>
    <row r="16" spans="2:11" ht="15" customHeight="1" x14ac:dyDescent="0.25">
      <c r="B16" s="265" t="s">
        <v>186</v>
      </c>
      <c r="C16" s="278">
        <f t="shared" si="0"/>
        <v>784500.66</v>
      </c>
      <c r="D16" s="295">
        <v>784500.66</v>
      </c>
      <c r="E16" s="297">
        <f>+D16*0.9</f>
        <v>706050.59400000004</v>
      </c>
      <c r="F16" s="296">
        <f>+D16-E16</f>
        <v>78450.065999999992</v>
      </c>
      <c r="G16" s="266"/>
      <c r="H16" s="299">
        <v>78450</v>
      </c>
      <c r="I16" s="268">
        <v>0</v>
      </c>
      <c r="J16" s="267"/>
      <c r="K16" s="268"/>
    </row>
    <row r="17" spans="2:11" ht="15" customHeight="1" x14ac:dyDescent="0.25">
      <c r="B17" s="265" t="s">
        <v>187</v>
      </c>
      <c r="C17" s="278">
        <f t="shared" si="0"/>
        <v>466400</v>
      </c>
      <c r="D17" s="295">
        <v>466400</v>
      </c>
      <c r="E17" s="297">
        <v>466400</v>
      </c>
      <c r="F17" s="296"/>
      <c r="G17" s="266"/>
      <c r="H17" s="267"/>
      <c r="I17" s="268"/>
      <c r="J17" s="267"/>
      <c r="K17" s="268"/>
    </row>
    <row r="18" spans="2:11" ht="15" customHeight="1" x14ac:dyDescent="0.25">
      <c r="B18" s="265" t="s">
        <v>188</v>
      </c>
      <c r="C18" s="278">
        <f t="shared" si="0"/>
        <v>263772.51</v>
      </c>
      <c r="D18" s="295">
        <v>263772.51</v>
      </c>
      <c r="E18" s="297">
        <f>+D18</f>
        <v>263772.51</v>
      </c>
      <c r="F18" s="296"/>
      <c r="G18" s="266"/>
      <c r="H18" s="267"/>
      <c r="I18" s="268"/>
      <c r="J18" s="267"/>
      <c r="K18" s="268"/>
    </row>
    <row r="19" spans="2:11" ht="15" customHeight="1" x14ac:dyDescent="0.25">
      <c r="B19" s="265" t="s">
        <v>189</v>
      </c>
      <c r="C19" s="278">
        <f t="shared" si="0"/>
        <v>88188.09</v>
      </c>
      <c r="D19" s="295">
        <v>88188.09</v>
      </c>
      <c r="E19" s="297">
        <f>+D19</f>
        <v>88188.09</v>
      </c>
      <c r="F19" s="296"/>
      <c r="G19" s="266"/>
      <c r="H19" s="267"/>
      <c r="I19" s="268"/>
      <c r="J19" s="267"/>
      <c r="K19" s="268"/>
    </row>
    <row r="20" spans="2:11" ht="15" customHeight="1" x14ac:dyDescent="0.25">
      <c r="B20" s="265" t="s">
        <v>221</v>
      </c>
      <c r="C20" s="278">
        <f t="shared" si="0"/>
        <v>0</v>
      </c>
      <c r="D20" s="295"/>
      <c r="E20" s="267"/>
      <c r="F20" s="296"/>
      <c r="G20" s="266"/>
      <c r="H20" s="267"/>
      <c r="I20" s="268"/>
      <c r="J20" s="267"/>
      <c r="K20" s="268"/>
    </row>
    <row r="21" spans="2:11" ht="15" customHeight="1" x14ac:dyDescent="0.25">
      <c r="B21" s="298" t="s">
        <v>267</v>
      </c>
      <c r="C21" s="278">
        <f t="shared" ref="C21:C22" si="1">+D21+G21</f>
        <v>106925</v>
      </c>
      <c r="D21" s="295">
        <v>106925</v>
      </c>
      <c r="E21" s="297">
        <f>+D21</f>
        <v>106925</v>
      </c>
      <c r="F21" s="296"/>
      <c r="G21" s="266"/>
      <c r="H21" s="267"/>
      <c r="I21" s="268"/>
      <c r="J21" s="267"/>
      <c r="K21" s="268"/>
    </row>
    <row r="22" spans="2:11" ht="15" customHeight="1" x14ac:dyDescent="0.25">
      <c r="B22" s="298" t="s">
        <v>268</v>
      </c>
      <c r="C22" s="278">
        <f t="shared" si="1"/>
        <v>18442.2</v>
      </c>
      <c r="D22" s="295">
        <v>18442.2</v>
      </c>
      <c r="E22" s="297">
        <f>+D22</f>
        <v>18442.2</v>
      </c>
      <c r="F22" s="296"/>
      <c r="G22" s="266"/>
      <c r="H22" s="267"/>
      <c r="I22" s="268"/>
      <c r="J22" s="267"/>
      <c r="K22" s="268"/>
    </row>
    <row r="23" spans="2:11" ht="15" customHeight="1" x14ac:dyDescent="0.25">
      <c r="B23" s="298" t="s">
        <v>269</v>
      </c>
      <c r="C23" s="278">
        <f t="shared" si="0"/>
        <v>4450</v>
      </c>
      <c r="D23" s="295">
        <v>4450</v>
      </c>
      <c r="E23" s="297">
        <f>+D23</f>
        <v>4450</v>
      </c>
      <c r="F23" s="296"/>
      <c r="G23" s="266"/>
      <c r="H23" s="267"/>
      <c r="I23" s="268"/>
      <c r="J23" s="267"/>
      <c r="K23" s="268"/>
    </row>
    <row r="24" spans="2:11" ht="15" customHeight="1" x14ac:dyDescent="0.25">
      <c r="B24" s="269" t="s">
        <v>190</v>
      </c>
      <c r="C24" s="278">
        <f t="shared" si="0"/>
        <v>0</v>
      </c>
      <c r="D24" s="270"/>
      <c r="E24" s="270"/>
      <c r="F24" s="271"/>
      <c r="G24" s="270"/>
      <c r="H24" s="270"/>
      <c r="I24" s="271"/>
      <c r="J24" s="270"/>
      <c r="K24" s="271"/>
    </row>
    <row r="25" spans="2:11" ht="15" customHeight="1" thickBot="1" x14ac:dyDescent="0.3">
      <c r="B25" s="272" t="s">
        <v>191</v>
      </c>
      <c r="C25" s="302">
        <f t="shared" ref="C25:K25" si="2">SUM(C12:C24)</f>
        <v>29306567.030000001</v>
      </c>
      <c r="D25" s="301">
        <f t="shared" si="2"/>
        <v>29306567.030000001</v>
      </c>
      <c r="E25" s="303">
        <f t="shared" si="2"/>
        <v>13450471.964</v>
      </c>
      <c r="F25" s="304">
        <f t="shared" si="2"/>
        <v>15856095.066</v>
      </c>
      <c r="G25" s="279">
        <f t="shared" si="2"/>
        <v>0</v>
      </c>
      <c r="H25" s="273">
        <f t="shared" si="2"/>
        <v>4486095</v>
      </c>
      <c r="I25" s="274">
        <f t="shared" si="2"/>
        <v>7200000</v>
      </c>
      <c r="J25" s="273">
        <f t="shared" si="2"/>
        <v>0</v>
      </c>
      <c r="K25" s="274">
        <f t="shared" si="2"/>
        <v>0</v>
      </c>
    </row>
    <row r="26" spans="2:11" ht="15" customHeight="1" thickTop="1" x14ac:dyDescent="0.25"/>
  </sheetData>
  <mergeCells count="8">
    <mergeCell ref="B4:K4"/>
    <mergeCell ref="B3:K3"/>
    <mergeCell ref="B2:K2"/>
    <mergeCell ref="B10:B11"/>
    <mergeCell ref="B6:K7"/>
    <mergeCell ref="D11:F11"/>
    <mergeCell ref="G11:I11"/>
    <mergeCell ref="J11:K11"/>
  </mergeCells>
  <pageMargins left="0.7" right="0.7" top="0.75" bottom="0.75" header="0.3" footer="0.3"/>
  <pageSetup scale="4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sheetPr>
  <dimension ref="A2:B15"/>
  <sheetViews>
    <sheetView topLeftCell="A3" zoomScale="110" zoomScaleNormal="110" workbookViewId="0">
      <selection activeCell="B6" sqref="B6"/>
    </sheetView>
  </sheetViews>
  <sheetFormatPr defaultRowHeight="15" x14ac:dyDescent="0.25"/>
  <cols>
    <col min="1" max="1" width="42.7109375" style="66" customWidth="1"/>
    <col min="2" max="2" width="13.85546875" style="66" customWidth="1"/>
  </cols>
  <sheetData>
    <row r="2" spans="1:2" x14ac:dyDescent="0.25">
      <c r="A2" s="405" t="s">
        <v>192</v>
      </c>
      <c r="B2" s="405"/>
    </row>
    <row r="3" spans="1:2" ht="15.75" x14ac:dyDescent="0.25">
      <c r="A3" s="406" t="s">
        <v>193</v>
      </c>
      <c r="B3" s="406"/>
    </row>
    <row r="4" spans="1:2" ht="24.6" customHeight="1" x14ac:dyDescent="0.25">
      <c r="A4" s="407" t="s">
        <v>194</v>
      </c>
      <c r="B4" s="407"/>
    </row>
    <row r="5" spans="1:2" x14ac:dyDescent="0.25">
      <c r="A5" s="67" t="s">
        <v>195</v>
      </c>
      <c r="B5" s="68">
        <f>'1. Reconciliation'!C23</f>
        <v>177594439</v>
      </c>
    </row>
    <row r="6" spans="1:2" x14ac:dyDescent="0.25">
      <c r="A6" s="67" t="s">
        <v>196</v>
      </c>
      <c r="B6" s="69">
        <f>'1. Reconciliation'!C26</f>
        <v>6.2872498801956764E-2</v>
      </c>
    </row>
    <row r="7" spans="1:2" x14ac:dyDescent="0.25">
      <c r="A7" s="67" t="s">
        <v>197</v>
      </c>
      <c r="B7" s="69">
        <f>'1. Reconciliation'!C85</f>
        <v>4.786816081690206E-2</v>
      </c>
    </row>
    <row r="8" spans="1:2" x14ac:dyDescent="0.25">
      <c r="A8" s="70"/>
      <c r="B8" s="71"/>
    </row>
    <row r="9" spans="1:2" x14ac:dyDescent="0.25">
      <c r="A9" s="72" t="s">
        <v>198</v>
      </c>
      <c r="B9" s="73"/>
    </row>
    <row r="10" spans="1:2" ht="39.6" customHeight="1" x14ac:dyDescent="0.25">
      <c r="A10" s="67" t="s">
        <v>23</v>
      </c>
      <c r="B10" s="74" t="e">
        <f>'1. Reconciliation'!#REF!</f>
        <v>#REF!</v>
      </c>
    </row>
    <row r="11" spans="1:2" x14ac:dyDescent="0.25">
      <c r="A11" s="67" t="s">
        <v>24</v>
      </c>
      <c r="B11" s="74" t="e">
        <f>'1. Reconciliation'!#REF!</f>
        <v>#REF!</v>
      </c>
    </row>
    <row r="12" spans="1:2" x14ac:dyDescent="0.25">
      <c r="A12" s="67" t="s">
        <v>25</v>
      </c>
      <c r="B12" s="74" t="e">
        <f>'1. Reconciliation'!#REF!</f>
        <v>#REF!</v>
      </c>
    </row>
    <row r="13" spans="1:2" x14ac:dyDescent="0.25">
      <c r="A13" s="67" t="s">
        <v>26</v>
      </c>
      <c r="B13" s="74" t="e">
        <f>'1. Reconciliation'!#REF!</f>
        <v>#REF!</v>
      </c>
    </row>
    <row r="14" spans="1:2" ht="44.45" customHeight="1" x14ac:dyDescent="0.25">
      <c r="A14" s="67" t="s">
        <v>27</v>
      </c>
      <c r="B14" s="74" t="e">
        <f>'1. Reconciliation'!#REF!</f>
        <v>#REF!</v>
      </c>
    </row>
    <row r="15" spans="1:2" x14ac:dyDescent="0.25">
      <c r="A15" s="75" t="s">
        <v>199</v>
      </c>
      <c r="B15" s="76" t="e">
        <f>SUM(B10:B14)</f>
        <v>#REF!</v>
      </c>
    </row>
  </sheetData>
  <mergeCells count="3">
    <mergeCell ref="A2:B2"/>
    <mergeCell ref="A3:B3"/>
    <mergeCell ref="A4:B4"/>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0" ma:contentTypeDescription="Create a new document." ma:contentTypeScope="" ma:versionID="1278417fdb9f8493a22335f0e63ebd5c">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495da0a1964501ca35e461a3d0667575"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35E319-B666-43F5-B785-F40D79B22305}">
  <ds:schemaRefs>
    <ds:schemaRef ds:uri="http://schemas.microsoft.com/sharepoint/v3/contenttype/forms"/>
  </ds:schemaRefs>
</ds:datastoreItem>
</file>

<file path=customXml/itemProps2.xml><?xml version="1.0" encoding="utf-8"?>
<ds:datastoreItem xmlns:ds="http://schemas.openxmlformats.org/officeDocument/2006/customXml" ds:itemID="{A7D8BEBE-0F29-4D55-84E7-679A65C3BC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FDD72E-62BB-4083-B4E4-70A11D42288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18dbc17e-cec9-4211-a89f-0bf74a616302"/>
    <ds:schemaRef ds:uri="http://purl.org/dc/terms/"/>
    <ds:schemaRef ds:uri="http://schemas.openxmlformats.org/package/2006/metadata/core-properties"/>
    <ds:schemaRef ds:uri="2819d22d-c924-42b3-954a-d3b43813cc6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Overview</vt:lpstr>
      <vt:lpstr>1. Reconciliation</vt:lpstr>
      <vt:lpstr>2. Charge and NPR Detail</vt:lpstr>
      <vt:lpstr>3. Utilization</vt:lpstr>
      <vt:lpstr>4. Inflation</vt:lpstr>
      <vt:lpstr>5. Vaccine Clinics and Testing</vt:lpstr>
      <vt:lpstr>6. Value Based Care Participati</vt:lpstr>
      <vt:lpstr>7.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Vaccine Clinics and Testing'!Print_Area</vt:lpstr>
      <vt:lpstr>'6.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Perry, Lori</cp:lastModifiedBy>
  <cp:revision/>
  <cp:lastPrinted>2021-06-30T18:41:41Z</cp:lastPrinted>
  <dcterms:created xsi:type="dcterms:W3CDTF">2020-01-09T18:52:12Z</dcterms:created>
  <dcterms:modified xsi:type="dcterms:W3CDTF">2021-07-06T12:06:14Z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