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roups\Budget\2023 Budget\10_GMCB\Appendices\WithRobUpdatesforTable6\"/>
    </mc:Choice>
  </mc:AlternateContent>
  <bookViews>
    <workbookView xWindow="0" yWindow="0" windowWidth="28800" windowHeight="11175" firstSheet="1" activeTab="1"/>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Reconciliation'!$B$6:$O$119</definedName>
    <definedName name="_xlnm.Print_Area" localSheetId="2">'2. Charge and NPR Detail'!$A$2:$H$69</definedName>
    <definedName name="_xlnm.Print_Area" localSheetId="3">'3. Utilization'!$B$1:$D$18</definedName>
    <definedName name="_xlnm.Print_Area" localSheetId="4">'4. Inflation'!$B$1:$D$24</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8" l="1"/>
  <c r="E16" i="8"/>
  <c r="D16" i="8"/>
  <c r="D45" i="13" l="1"/>
  <c r="C31" i="15"/>
  <c r="C30" i="15"/>
  <c r="C29" i="15"/>
  <c r="C28" i="15"/>
  <c r="C27" i="15"/>
  <c r="C26" i="15"/>
  <c r="C25" i="15"/>
  <c r="C24" i="15"/>
  <c r="C23" i="15"/>
  <c r="C22" i="15"/>
  <c r="C21" i="15"/>
  <c r="C20" i="15"/>
  <c r="C19" i="15"/>
  <c r="C18" i="15"/>
  <c r="C17" i="15"/>
  <c r="C16" i="15"/>
  <c r="C15" i="15"/>
  <c r="C14" i="15"/>
  <c r="C13" i="15"/>
  <c r="C12" i="15"/>
  <c r="C88" i="15"/>
  <c r="C87" i="15"/>
  <c r="C86" i="15"/>
  <c r="C85" i="15"/>
  <c r="C84" i="15"/>
  <c r="C83" i="15"/>
  <c r="C82" i="15"/>
  <c r="C81" i="15"/>
  <c r="C80" i="15"/>
  <c r="C79" i="15"/>
  <c r="C78" i="15"/>
  <c r="C77" i="15"/>
  <c r="C76" i="15"/>
  <c r="C75" i="15"/>
  <c r="C74" i="15"/>
  <c r="C73" i="15"/>
  <c r="C72" i="15"/>
  <c r="G73" i="15"/>
  <c r="G72" i="15"/>
  <c r="F73" i="15"/>
  <c r="F72" i="15"/>
  <c r="E73" i="15"/>
  <c r="E72" i="15"/>
  <c r="D73" i="15"/>
  <c r="D72" i="15"/>
  <c r="C32" i="15" l="1"/>
  <c r="D57" i="15" l="1"/>
  <c r="D56" i="15"/>
  <c r="D55" i="15"/>
  <c r="D54" i="15"/>
  <c r="D53" i="15"/>
  <c r="D52" i="15"/>
  <c r="D51" i="15"/>
  <c r="D50" i="15"/>
  <c r="D49" i="15"/>
  <c r="D48" i="15"/>
  <c r="D47" i="15"/>
  <c r="D46" i="15"/>
  <c r="D45" i="15"/>
  <c r="D44" i="15"/>
  <c r="D43" i="15"/>
  <c r="D42" i="15"/>
  <c r="D41" i="15"/>
  <c r="C30" i="20" l="1"/>
  <c r="C25" i="20"/>
  <c r="C24" i="20"/>
  <c r="C23" i="20"/>
  <c r="C22" i="20"/>
  <c r="C21" i="20"/>
  <c r="C20" i="20"/>
  <c r="C19" i="20"/>
  <c r="C18" i="20"/>
  <c r="C17" i="20"/>
  <c r="C16" i="20"/>
  <c r="C15" i="20"/>
  <c r="C14" i="20"/>
  <c r="C13" i="20"/>
  <c r="C12" i="20"/>
  <c r="F20" i="16"/>
  <c r="D20" i="16"/>
  <c r="E20" i="16"/>
  <c r="E15" i="13"/>
  <c r="C15" i="13"/>
  <c r="D112" i="15"/>
  <c r="D111" i="15"/>
  <c r="C26" i="20" l="1"/>
  <c r="E27" i="20"/>
  <c r="F27" i="20"/>
  <c r="D27" i="20"/>
  <c r="E35" i="13"/>
  <c r="C35" i="13"/>
  <c r="E25" i="13"/>
  <c r="C25" i="13"/>
  <c r="G84" i="13"/>
  <c r="B10" i="4" l="1"/>
  <c r="F7" i="16"/>
  <c r="G89" i="15"/>
  <c r="G91" i="15" s="1"/>
  <c r="G92" i="15" s="1"/>
  <c r="G32" i="15"/>
  <c r="G34" i="15" s="1"/>
  <c r="G35" i="15" s="1"/>
  <c r="F89" i="15"/>
  <c r="F91" i="15" s="1"/>
  <c r="F92" i="15" s="1"/>
  <c r="F32" i="15"/>
  <c r="F34" i="15" s="1"/>
  <c r="F35" i="15" s="1"/>
  <c r="B14" i="4"/>
  <c r="B13" i="4"/>
  <c r="B12" i="4"/>
  <c r="B11" i="4"/>
  <c r="K27" i="20"/>
  <c r="J27" i="20"/>
  <c r="G27" i="20"/>
  <c r="H27" i="20"/>
  <c r="I27" i="20"/>
  <c r="D41" i="13"/>
  <c r="D69" i="13"/>
  <c r="C69" i="13"/>
  <c r="C59" i="13"/>
  <c r="D59" i="13"/>
  <c r="H69" i="13"/>
  <c r="G69" i="13"/>
  <c r="F69" i="13"/>
  <c r="J59" i="13"/>
  <c r="I59" i="13"/>
  <c r="H59" i="13"/>
  <c r="G59" i="13"/>
  <c r="F59" i="13"/>
  <c r="E59" i="13"/>
  <c r="J45" i="13"/>
  <c r="I45" i="13"/>
  <c r="H45" i="13"/>
  <c r="G45" i="13"/>
  <c r="F45" i="13"/>
  <c r="C45" i="13"/>
  <c r="E45" i="13"/>
  <c r="D43" i="13"/>
  <c r="D42" i="13"/>
  <c r="C114" i="15"/>
  <c r="D108" i="15"/>
  <c r="D107" i="15"/>
  <c r="D110" i="15"/>
  <c r="C116" i="15" l="1"/>
  <c r="C117" i="15" s="1"/>
  <c r="C73" i="13"/>
  <c r="C27" i="20"/>
  <c r="D73" i="13"/>
  <c r="E69" i="13"/>
  <c r="F73" i="13" s="1"/>
  <c r="D17" i="7"/>
  <c r="C17" i="7"/>
  <c r="D19" i="7"/>
  <c r="D106" i="15"/>
  <c r="D109" i="15"/>
  <c r="D113" i="15"/>
  <c r="D58" i="15"/>
  <c r="H89" i="15"/>
  <c r="H91" i="15" s="1"/>
  <c r="H92" i="15" s="1"/>
  <c r="E89" i="15"/>
  <c r="E91" i="15" s="1"/>
  <c r="E92" i="15" s="1"/>
  <c r="D89" i="15"/>
  <c r="D91" i="15" s="1"/>
  <c r="D92" i="15" s="1"/>
  <c r="C71" i="15"/>
  <c r="E32" i="15"/>
  <c r="E34" i="15" s="1"/>
  <c r="E35" i="15" s="1"/>
  <c r="H32" i="15"/>
  <c r="H34" i="15" s="1"/>
  <c r="H35" i="15" s="1"/>
  <c r="D32" i="15"/>
  <c r="D34" i="15" s="1"/>
  <c r="D35" i="15" s="1"/>
  <c r="C11" i="15"/>
  <c r="C74" i="13" s="1"/>
  <c r="C75" i="13" s="1"/>
  <c r="E73" i="13" l="1"/>
  <c r="B15" i="4"/>
  <c r="C89" i="15"/>
  <c r="C91" i="15" l="1"/>
  <c r="F74" i="13" l="1"/>
  <c r="F75" i="13" s="1"/>
  <c r="C34" i="15"/>
  <c r="C35" i="15" s="1"/>
  <c r="C92" i="15"/>
  <c r="B7" i="4" s="1"/>
  <c r="B5" i="4"/>
  <c r="D105" i="15"/>
  <c r="D104" i="15"/>
  <c r="D103" i="15"/>
  <c r="D102" i="15"/>
  <c r="D101" i="15"/>
  <c r="D100" i="15"/>
  <c r="D99" i="15"/>
  <c r="D98" i="15"/>
  <c r="D114" i="15" l="1"/>
  <c r="D74" i="13" l="1"/>
  <c r="D75" i="13" s="1"/>
  <c r="C59" i="15"/>
  <c r="D59" i="15"/>
  <c r="B6" i="4" l="1"/>
  <c r="E74" i="13"/>
  <c r="E75" i="13" s="1"/>
  <c r="C61" i="15"/>
  <c r="C62" i="15" s="1"/>
</calcChain>
</file>

<file path=xl/sharedStrings.xml><?xml version="1.0" encoding="utf-8"?>
<sst xmlns="http://schemas.openxmlformats.org/spreadsheetml/2006/main" count="394" uniqueCount="276">
  <si>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</si>
  <si>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</si>
  <si>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</si>
  <si>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</si>
  <si>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</si>
  <si>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</si>
  <si>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</si>
  <si>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</si>
  <si>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</si>
  <si>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</si>
  <si>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</si>
  <si>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</si>
  <si>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</si>
  <si>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</si>
  <si>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</si>
  <si>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</si>
  <si>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</si>
  <si>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</si>
  <si>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</si>
  <si>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Disproportionate Share Payments (DSH)</t>
  </si>
  <si>
    <t>Fixed Prospective Payments</t>
  </si>
  <si>
    <t>Provider Acquisitions/Transfers</t>
  </si>
  <si>
    <t>Changes in Accounting</t>
  </si>
  <si>
    <t>Reimbursement/Payer Mix</t>
  </si>
  <si>
    <t>Bad Debt/Free Care</t>
  </si>
  <si>
    <t>Other (specify)</t>
  </si>
  <si>
    <t>Expenses</t>
  </si>
  <si>
    <t>Amount</t>
  </si>
  <si>
    <t>% over/under</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</si>
  <si>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</si>
  <si>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</si>
  <si>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</si>
  <si>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</si>
  <si>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</si>
  <si>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</si>
  <si>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</si>
  <si>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</si>
  <si>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</si>
  <si>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</si>
  <si>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</si>
  <si>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</si>
  <si>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</si>
  <si>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</si>
  <si>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</si>
  <si>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</si>
  <si>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</si>
  <si>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</si>
  <si>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</si>
  <si>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</si>
  <si>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</si>
  <si>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</si>
  <si>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</si>
  <si>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</si>
  <si>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</si>
  <si>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</si>
  <si>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</si>
  <si>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</si>
  <si>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</si>
  <si>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</si>
  <si>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</si>
  <si>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</si>
  <si>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</si>
  <si>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</si>
  <si>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</si>
  <si>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</si>
  <si>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</si>
  <si>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</si>
  <si>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</si>
  <si>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</si>
  <si>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</si>
  <si>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</si>
  <si>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</si>
  <si>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</si>
  <si>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</si>
  <si>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</si>
  <si>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</si>
  <si>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</si>
  <si>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</si>
  <si>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</si>
  <si>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</si>
  <si>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</si>
  <si>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</si>
  <si>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</si>
  <si>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</si>
  <si>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</si>
  <si>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</si>
  <si>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</si>
  <si>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</si>
  <si>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</si>
  <si>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</si>
  <si>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</si>
  <si>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</si>
  <si>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</si>
  <si>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</si>
  <si>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</si>
  <si>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</si>
  <si>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</si>
  <si>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</si>
  <si>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Non-Medical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</si>
  <si>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</si>
  <si>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</si>
  <si>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</si>
  <si>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</si>
  <si>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</si>
  <si>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</si>
  <si>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</si>
  <si>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</si>
  <si>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</si>
  <si>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</si>
  <si>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</si>
  <si>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</si>
  <si>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</si>
  <si>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</si>
  <si>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</si>
  <si>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</si>
  <si>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</si>
  <si>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</si>
  <si>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</si>
  <si>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</si>
  <si>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</si>
  <si>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</si>
  <si>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</si>
  <si>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</si>
  <si>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</si>
  <si>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</si>
  <si>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</si>
  <si>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</si>
  <si>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</si>
  <si>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</si>
  <si>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</si>
  <si>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</si>
  <si>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</si>
  <si>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</si>
  <si>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</si>
  <si>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</si>
  <si>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</si>
  <si>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</si>
  <si>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</si>
  <si>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</si>
  <si>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</si>
  <si>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</si>
  <si>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</si>
  <si>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</si>
  <si>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</si>
  <si>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</si>
  <si>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</si>
  <si>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</si>
  <si>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</si>
  <si>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</si>
  <si>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</si>
  <si>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</si>
  <si>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</si>
  <si>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</si>
  <si>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</si>
  <si>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</si>
  <si>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</si>
  <si>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</si>
  <si>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</si>
  <si>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</si>
  <si>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</si>
  <si>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</si>
  <si>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</si>
  <si>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</si>
  <si>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</si>
  <si>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</si>
  <si>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</si>
  <si>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</si>
  <si>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</si>
  <si>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</si>
  <si>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</si>
  <si>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</si>
  <si>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</si>
  <si>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</si>
  <si>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</si>
  <si>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</si>
  <si>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</si>
  <si>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</si>
  <si>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</si>
  <si>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</si>
  <si>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</si>
  <si>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</si>
  <si>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</si>
  <si>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</si>
  <si>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</si>
  <si>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</si>
  <si>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</si>
  <si>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</si>
  <si>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</si>
  <si>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</si>
  <si>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</si>
  <si>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</si>
  <si>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</si>
  <si>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</si>
  <si>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</si>
  <si>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</si>
  <si>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</si>
  <si>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</si>
  <si>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</si>
  <si>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</si>
  <si>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</si>
  <si>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</si>
  <si>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</si>
  <si>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</si>
  <si>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</si>
  <si>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</si>
  <si>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</si>
  <si>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</si>
  <si>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</si>
  <si>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</si>
  <si>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</si>
  <si>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</si>
  <si>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</si>
  <si>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</si>
  <si>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</si>
  <si>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ALOS Initiative</t>
  </si>
  <si>
    <t>CMI Initiative</t>
  </si>
  <si>
    <t>Staff New Positions</t>
  </si>
  <si>
    <t>Vacancy Change</t>
  </si>
  <si>
    <t>All Other</t>
  </si>
  <si>
    <t>GME</t>
  </si>
  <si>
    <t>NOTE: Prior to Provider Tax and Bad Debt</t>
  </si>
  <si>
    <t>Drugs Sold</t>
  </si>
  <si>
    <t>Medical Group</t>
  </si>
  <si>
    <t>Emergency Room</t>
  </si>
  <si>
    <t>Operating Room</t>
  </si>
  <si>
    <t>Gross Charge increase</t>
  </si>
  <si>
    <t>Wages/Compensation - Physicians</t>
  </si>
  <si>
    <t>Wages/Compensation - Staff</t>
  </si>
  <si>
    <t>Drugs - All Other</t>
  </si>
  <si>
    <t>Drugs - Retail Pharmacy</t>
  </si>
  <si>
    <t>Provider Tax</t>
  </si>
  <si>
    <t>Y</t>
  </si>
  <si>
    <t>CARES Act Funding</t>
  </si>
  <si>
    <t>VT Healthcare Stabilization Grant phase I</t>
  </si>
  <si>
    <t>VT Healthcare Stabilization Grant phase II</t>
  </si>
  <si>
    <t>VT Medicaid Retainer Funding</t>
  </si>
  <si>
    <t>VT Hazard pay grant</t>
  </si>
  <si>
    <t>VT Hazard pay grant (Y Time)</t>
  </si>
  <si>
    <t>VT Unemployment Credit - CARES act</t>
  </si>
  <si>
    <t>CARES Workforce Retention Credit</t>
  </si>
  <si>
    <t>Other (VAHHS)</t>
  </si>
  <si>
    <t>Other (VHEPC)</t>
  </si>
  <si>
    <t>Other (FEMA)</t>
  </si>
  <si>
    <t>Other ( Childcare Stabilization)</t>
  </si>
  <si>
    <t>Other (COVID Insurance)</t>
  </si>
  <si>
    <t>Other (Donations SP327)</t>
  </si>
  <si>
    <t>BALANCE SHEET ONLY ADVANCES</t>
  </si>
  <si>
    <t>Medicare Advanced - Repayment</t>
  </si>
  <si>
    <t>VHEPC and VAHHS in 1204-6042 rolling into 1201</t>
  </si>
  <si>
    <t>transferred 46,855.79 of healthcare stabilization phase II to org 1801 in FY21</t>
  </si>
  <si>
    <t>FEMA financial agreement with SOV signed 6.8.21</t>
  </si>
  <si>
    <t>YMCA pass thru childcare stabilization FY21 20,636</t>
  </si>
  <si>
    <t>SP038 utilized in FY20 in error and reversed in FY21</t>
  </si>
  <si>
    <t>SP327 FY21 2,127,591.37 used out of 5202 to cover employee bonuses</t>
  </si>
  <si>
    <t>Recognized Medicare Advanced Payment revenues are reversal of contract liabilities in 2040-100</t>
  </si>
  <si>
    <t>5% employee retention credit paid to vendor for preparation</t>
  </si>
  <si>
    <t>slight change to Medicare Advanced - Repayment total from FY22 narrative to FY23 narrative</t>
  </si>
  <si>
    <t>YM783 and YM800 are YMCA child care stabilization</t>
  </si>
  <si>
    <t>Insurance payment received by UVMMC allocated to all affiliates</t>
  </si>
  <si>
    <t>FY2023 Cost Inflation in FY2023 Net Revenue Rates - All Payers</t>
  </si>
  <si>
    <t>FY2022 Add'l Cost Inflation in FY2023 Commercial Net Revenue Rates</t>
  </si>
  <si>
    <t xml:space="preserve">Adjustment for full year impact of Commercial FY22 Mid-Year Rate increase </t>
  </si>
  <si>
    <t>Utilization - FY2022 to FY2023 Increased Patient Volume prior to rate impact</t>
  </si>
  <si>
    <t>FY2022 to FY2023 Payer Categorization Shift prior to rate impact</t>
  </si>
  <si>
    <t>FY2022 to FY2023 Reimbursement/Payer Mix prior to rate impact</t>
  </si>
  <si>
    <t>FY2023 Estimated Shift from Medicaid population to Commercial prior to rate impact</t>
  </si>
  <si>
    <t>FY2022 to FY2023 Bad Debt/Free Care Adjustments prior to rate impact</t>
  </si>
  <si>
    <t>Epic Revenue Cycle Optimization</t>
  </si>
  <si>
    <t>Medicare GME Reimbursement Change</t>
  </si>
  <si>
    <t>FY2022 to FY2023 Payer Administrative Write-Offs Adjustments prior to rate impact</t>
  </si>
  <si>
    <t>FY2023 Rate impact on Payer Administrative Write-Offs</t>
  </si>
  <si>
    <t>FY2022 to FY2023 Budget Collection Rate Difference prior to rate impact</t>
  </si>
  <si>
    <t>FY23 Cost Inflation Increases - Retail Pharmacy</t>
  </si>
  <si>
    <t>FY23 Cost Inflation Increases - All Other</t>
  </si>
  <si>
    <t>FY22 Cost Inflation Not in FY22 Budget</t>
  </si>
  <si>
    <t>FY2023 Rate impact on Bad Debt / Free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</si>
</sst>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b/>
      <sz val="11"/>
      <color rgb="FF0000FF"/>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
      <patternFill patternType="solid">
        <fgColor theme="0" tint="-0.1499374370555742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36">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9" fontId="4" fillId="9" borderId="0" xfId="3" applyFont="1" applyFill="1" applyBorder="1"/>
    <xf numFmtId="0" fontId="8" fillId="4" borderId="9" xfId="5" applyFont="1" applyFill="1" applyBorder="1"/>
    <xf numFmtId="0" fontId="8" fillId="0" borderId="37" xfId="5" applyFont="1" applyBorder="1"/>
    <xf numFmtId="0" fontId="8" fillId="0" borderId="38" xfId="5" applyFont="1" applyBorder="1"/>
    <xf numFmtId="0" fontId="8" fillId="0" borderId="39" xfId="5" applyFont="1" applyBorder="1"/>
    <xf numFmtId="0" fontId="2" fillId="0" borderId="0" xfId="0" applyFont="1" applyFill="1" applyBorder="1" applyAlignment="1">
      <alignment horizontal="center"/>
    </xf>
    <xf numFmtId="0" fontId="8" fillId="9" borderId="12" xfId="5" applyFont="1" applyFill="1" applyBorder="1"/>
    <xf numFmtId="0" fontId="8" fillId="9" borderId="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66" fontId="0" fillId="16" borderId="4" xfId="1" applyNumberFormat="1" applyFont="1" applyFill="1" applyBorder="1" applyProtection="1"/>
    <xf numFmtId="0" fontId="5" fillId="0" borderId="4" xfId="8" applyFont="1" applyBorder="1"/>
    <xf numFmtId="0" fontId="26" fillId="0" borderId="4" xfId="8" applyFont="1" applyBorder="1"/>
    <xf numFmtId="165" fontId="4" fillId="3" borderId="4" xfId="2" applyNumberFormat="1" applyFont="1" applyFill="1" applyBorder="1"/>
    <xf numFmtId="0" fontId="4" fillId="0" borderId="0" xfId="8"/>
    <xf numFmtId="0" fontId="0" fillId="0" borderId="35" xfId="0" applyBorder="1"/>
    <xf numFmtId="166" fontId="8" fillId="0" borderId="12" xfId="1" applyNumberFormat="1" applyFont="1" applyBorder="1"/>
    <xf numFmtId="166" fontId="8" fillId="0" borderId="13" xfId="1" applyNumberFormat="1" applyFont="1" applyBorder="1"/>
    <xf numFmtId="166" fontId="8" fillId="0" borderId="9" xfId="5" applyNumberFormat="1" applyFont="1" applyBorder="1"/>
    <xf numFmtId="165" fontId="0" fillId="0" borderId="22" xfId="2" applyNumberFormat="1" applyFont="1" applyBorder="1"/>
    <xf numFmtId="165" fontId="0" fillId="0" borderId="19" xfId="2" applyNumberFormat="1" applyFont="1" applyBorder="1"/>
    <xf numFmtId="165" fontId="0" fillId="0" borderId="18" xfId="2" applyNumberFormat="1" applyFont="1" applyFill="1" applyBorder="1"/>
    <xf numFmtId="165" fontId="0" fillId="0" borderId="7" xfId="2" applyNumberFormat="1" applyFont="1" applyBorder="1"/>
    <xf numFmtId="165" fontId="0" fillId="0" borderId="18" xfId="2" applyNumberFormat="1" applyFont="1" applyBorder="1"/>
    <xf numFmtId="0" fontId="0" fillId="0" borderId="22" xfId="0" applyBorder="1"/>
    <xf numFmtId="165" fontId="0" fillId="0" borderId="15" xfId="2" applyNumberFormat="1" applyFont="1" applyBorder="1"/>
    <xf numFmtId="165" fontId="0" fillId="0" borderId="0" xfId="2" applyNumberFormat="1" applyFont="1" applyFill="1" applyBorder="1"/>
    <xf numFmtId="165" fontId="0" fillId="0" borderId="17" xfId="2" applyNumberFormat="1" applyFont="1" applyBorder="1"/>
    <xf numFmtId="165" fontId="0" fillId="0" borderId="0" xfId="2" applyNumberFormat="1" applyFont="1" applyBorder="1"/>
    <xf numFmtId="165" fontId="0" fillId="0" borderId="15" xfId="2" applyNumberFormat="1" applyFont="1" applyFill="1" applyBorder="1"/>
    <xf numFmtId="165" fontId="0" fillId="0" borderId="17" xfId="2" applyNumberFormat="1" applyFont="1" applyFill="1" applyBorder="1"/>
    <xf numFmtId="0" fontId="0" fillId="0" borderId="22" xfId="0" applyFill="1" applyBorder="1"/>
    <xf numFmtId="0" fontId="17" fillId="0" borderId="0" xfId="0" applyFont="1"/>
    <xf numFmtId="0" fontId="0" fillId="0" borderId="1" xfId="0" applyFont="1" applyBorder="1"/>
    <xf numFmtId="165" fontId="0" fillId="0" borderId="4" xfId="0" applyNumberFormat="1" applyFont="1" applyBorder="1"/>
    <xf numFmtId="166" fontId="0" fillId="0" borderId="2" xfId="1" applyNumberFormat="1" applyFont="1" applyBorder="1"/>
    <xf numFmtId="166" fontId="0" fillId="0" borderId="3" xfId="1" applyNumberFormat="1" applyFont="1" applyBorder="1"/>
    <xf numFmtId="168" fontId="0" fillId="0" borderId="0" xfId="0" applyNumberFormat="1"/>
    <xf numFmtId="165" fontId="4" fillId="5" borderId="0" xfId="3" applyNumberFormat="1" applyFont="1" applyFill="1" applyBorder="1"/>
    <xf numFmtId="165" fontId="4" fillId="0" borderId="23" xfId="2" applyNumberFormat="1" applyFont="1" applyBorder="1" applyAlignment="1"/>
    <xf numFmtId="164" fontId="4" fillId="0" borderId="4" xfId="3" applyNumberFormat="1" applyFont="1" applyBorder="1"/>
    <xf numFmtId="164" fontId="24" fillId="3" borderId="4" xfId="3" applyNumberFormat="1" applyFont="1" applyFill="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5" fontId="0" fillId="0" borderId="4" xfId="0" applyNumberFormat="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166" fontId="8" fillId="9" borderId="12" xfId="1" applyNumberFormat="1" applyFont="1" applyFill="1" applyBorder="1"/>
    <xf numFmtId="166" fontId="8" fillId="9" borderId="13" xfId="1" applyNumberFormat="1" applyFont="1" applyFill="1" applyBorder="1"/>
    <xf numFmtId="166" fontId="8" fillId="9" borderId="6" xfId="1" applyNumberFormat="1" applyFont="1" applyFill="1" applyBorder="1"/>
    <xf numFmtId="166" fontId="8" fillId="9" borderId="36" xfId="1" applyNumberFormat="1" applyFont="1" applyFill="1" applyBorder="1"/>
  </cellXfs>
  <cellStyles count="9">
    <cellStyle name="Comma" xfId="1" builtinId="3"/>
    <cellStyle name="Comma 2" xfId="7"/>
    <cellStyle name="Currency" xfId="2" builtinId="4"/>
    <cellStyle name="Hyperlink" xfId="4" builtinId="8"/>
    <cellStyle name="Hyperlink 2" xfId="6"/>
    <cellStyle name="Normal" xfId="0" builtinId="0"/>
    <cellStyle name="Normal 2" xfId="5"/>
    <cellStyle name="Normal 2 2" xfId="8"/>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76200</xdr:colOff>
      <xdr:row>51</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sheetData sheetId="1"/>
      <sheetData sheetId="2"/>
      <sheetData sheetId="3"/>
      <sheetData sheetId="4"/>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ow r="7">
          <cell r="L7">
            <v>2</v>
          </cell>
        </row>
        <row r="9">
          <cell r="L9">
            <v>0</v>
          </cell>
        </row>
      </sheetData>
      <sheetData sheetId="1"/>
      <sheetData sheetId="2"/>
      <sheetData sheetId="3"/>
      <sheetData sheetId="4"/>
      <sheetData sheetId="5"/>
      <sheetData sheetId="6"/>
      <sheetData sheetId="7"/>
      <sheetData sheetId="8"/>
      <sheetData sheetId="9"/>
      <sheetData sheetId="10"/>
      <sheetData sheetId="1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47" t="s">
        <v>212</v>
      </c>
      <c r="B1" s="247"/>
    </row>
    <row r="2" spans="1:3" x14ac:dyDescent="0.25">
      <c r="A2" s="248" t="s">
        <v>0</v>
      </c>
      <c r="B2" s="248"/>
    </row>
    <row r="3" spans="1:3" ht="166.9" customHeight="1" x14ac:dyDescent="0.25">
      <c r="A3" s="246" t="s">
        <v>1</v>
      </c>
      <c r="B3" s="246"/>
    </row>
    <row r="4" spans="1:3" x14ac:dyDescent="0.25">
      <c r="B4" s="45"/>
    </row>
    <row r="5" spans="1:3" ht="15.75" x14ac:dyDescent="0.25">
      <c r="A5" s="109" t="s">
        <v>2</v>
      </c>
      <c r="B5" s="26" t="s">
        <v>3</v>
      </c>
      <c r="C5" s="44"/>
    </row>
    <row r="6" spans="1:3" ht="15.75" x14ac:dyDescent="0.25">
      <c r="A6" s="109" t="s">
        <v>2</v>
      </c>
      <c r="B6" s="44" t="s">
        <v>4</v>
      </c>
      <c r="C6" s="44"/>
    </row>
    <row r="7" spans="1:3" ht="15.75" x14ac:dyDescent="0.25">
      <c r="A7" s="108" t="s">
        <v>5</v>
      </c>
      <c r="B7" s="44" t="s">
        <v>6</v>
      </c>
      <c r="C7" s="44"/>
    </row>
    <row r="8" spans="1:3" ht="15.75" x14ac:dyDescent="0.25">
      <c r="A8" s="109" t="s">
        <v>2</v>
      </c>
      <c r="B8" s="26" t="s">
        <v>7</v>
      </c>
      <c r="C8" s="44"/>
    </row>
    <row r="9" spans="1:3" ht="15.75" x14ac:dyDescent="0.25">
      <c r="A9" s="109" t="s">
        <v>2</v>
      </c>
      <c r="B9" s="26" t="s">
        <v>206</v>
      </c>
      <c r="C9" s="44"/>
    </row>
    <row r="10" spans="1:3" ht="15.75" x14ac:dyDescent="0.25">
      <c r="A10" s="109" t="s">
        <v>2</v>
      </c>
      <c r="B10" s="205" t="s">
        <v>207</v>
      </c>
      <c r="C10" s="44"/>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W118"/>
  <sheetViews>
    <sheetView showGridLines="0" tabSelected="1" zoomScaleNormal="100" zoomScaleSheetLayoutView="80" workbookViewId="0">
      <selection activeCell="B38" sqref="B38"/>
    </sheetView>
  </sheetViews>
  <sheetFormatPr defaultRowHeight="15" x14ac:dyDescent="0.25"/>
  <cols>
    <col min="1" max="1" width="14.42578125" customWidth="1"/>
    <col min="2" max="2" width="77.710937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50" t="s">
        <v>8</v>
      </c>
      <c r="C2" s="250"/>
      <c r="D2" s="250"/>
      <c r="E2" s="250"/>
      <c r="F2" s="250"/>
      <c r="G2" s="250"/>
      <c r="H2" s="250"/>
      <c r="I2" s="250"/>
      <c r="J2" s="250"/>
      <c r="K2" s="250"/>
      <c r="L2" s="250"/>
      <c r="M2" s="250"/>
      <c r="N2" s="250"/>
      <c r="O2" s="250"/>
    </row>
    <row r="3" spans="1:15" ht="21" x14ac:dyDescent="0.35">
      <c r="B3" s="251" t="s">
        <v>9</v>
      </c>
      <c r="C3" s="252"/>
      <c r="D3" s="252"/>
      <c r="E3" s="252"/>
      <c r="F3" s="252"/>
      <c r="G3" s="252"/>
      <c r="H3" s="252"/>
      <c r="I3" s="252"/>
      <c r="J3" s="252"/>
      <c r="K3" s="252"/>
      <c r="L3" s="252"/>
      <c r="M3" s="252"/>
      <c r="N3" s="252"/>
      <c r="O3" s="253"/>
    </row>
    <row r="4" spans="1:15" ht="21" x14ac:dyDescent="0.35">
      <c r="B4" s="257" t="s">
        <v>10</v>
      </c>
      <c r="C4" s="258"/>
      <c r="D4" s="258"/>
      <c r="E4" s="258"/>
      <c r="F4" s="258"/>
      <c r="G4" s="258"/>
      <c r="H4" s="258"/>
      <c r="I4" s="258"/>
      <c r="J4" s="258"/>
      <c r="K4" s="258"/>
      <c r="L4" s="258"/>
      <c r="M4" s="258"/>
      <c r="N4" s="258"/>
      <c r="O4" s="259"/>
    </row>
    <row r="6" spans="1:15" ht="18.75" x14ac:dyDescent="0.3">
      <c r="B6" s="254" t="s">
        <v>11</v>
      </c>
      <c r="C6" s="255"/>
      <c r="D6" s="255"/>
      <c r="E6" s="255"/>
      <c r="F6" s="255"/>
      <c r="G6" s="255"/>
      <c r="H6" s="255"/>
      <c r="I6" s="255"/>
      <c r="J6" s="255"/>
      <c r="K6" s="255"/>
      <c r="L6" s="255"/>
      <c r="M6" s="255"/>
      <c r="N6" s="255"/>
      <c r="O6" s="256"/>
    </row>
    <row r="7" spans="1:15" s="55" customFormat="1" ht="18.75" x14ac:dyDescent="0.3">
      <c r="B7" s="54"/>
      <c r="C7" s="54"/>
      <c r="D7" s="54"/>
      <c r="E7" s="54"/>
      <c r="F7" s="54"/>
      <c r="G7" s="54"/>
      <c r="H7" s="54"/>
      <c r="I7" s="54"/>
      <c r="J7" s="54"/>
      <c r="K7" s="54"/>
      <c r="L7" s="54"/>
      <c r="M7" s="54"/>
      <c r="N7" s="54"/>
      <c r="O7" s="54"/>
    </row>
    <row r="8" spans="1:15" ht="18.75" x14ac:dyDescent="0.3">
      <c r="B8" s="93" t="s">
        <v>149</v>
      </c>
      <c r="C8" s="4"/>
    </row>
    <row r="9" spans="1:15" ht="22.15" customHeight="1" x14ac:dyDescent="0.3">
      <c r="B9" s="4"/>
      <c r="C9" s="4"/>
      <c r="E9" s="83"/>
      <c r="F9" s="83"/>
      <c r="G9" s="83"/>
      <c r="H9" s="83"/>
      <c r="I9" s="83"/>
      <c r="K9" s="28"/>
    </row>
    <row r="10" spans="1:15" s="100" customFormat="1" ht="30" x14ac:dyDescent="0.25">
      <c r="B10" s="98" t="s">
        <v>12</v>
      </c>
      <c r="C10" s="98" t="s">
        <v>13</v>
      </c>
      <c r="D10" s="98" t="s">
        <v>14</v>
      </c>
      <c r="E10" s="98" t="s">
        <v>15</v>
      </c>
      <c r="F10" s="98" t="s">
        <v>16</v>
      </c>
      <c r="G10" s="98" t="s">
        <v>17</v>
      </c>
      <c r="H10" s="98" t="s">
        <v>18</v>
      </c>
      <c r="I10" s="99"/>
      <c r="J10" s="101"/>
    </row>
    <row r="11" spans="1:15" x14ac:dyDescent="0.25">
      <c r="B11" s="5" t="s">
        <v>150</v>
      </c>
      <c r="C11" s="88">
        <f>SUM(D11:H11)</f>
        <v>1508506475.7411926</v>
      </c>
      <c r="D11" s="240">
        <v>438289245.69523984</v>
      </c>
      <c r="E11" s="88">
        <v>163271620.13002113</v>
      </c>
      <c r="F11" s="88">
        <v>679055296.62497056</v>
      </c>
      <c r="G11" s="88">
        <v>216676030.290961</v>
      </c>
      <c r="H11" s="88">
        <v>11214283</v>
      </c>
      <c r="J11" s="28"/>
    </row>
    <row r="12" spans="1:15" ht="14.45" customHeight="1" x14ac:dyDescent="0.25">
      <c r="A12" s="260"/>
      <c r="B12" s="8" t="s">
        <v>259</v>
      </c>
      <c r="C12" s="88">
        <f>SUM(D12:H12)</f>
        <v>92524913.165014774</v>
      </c>
      <c r="D12" s="241">
        <v>14867828.772628069</v>
      </c>
      <c r="E12" s="242">
        <v>150171.74200291932</v>
      </c>
      <c r="F12" s="243">
        <v>77276516.85415256</v>
      </c>
      <c r="G12" s="243">
        <v>230395.79623122374</v>
      </c>
      <c r="H12" s="243"/>
      <c r="L12" s="22"/>
      <c r="M12" s="23"/>
    </row>
    <row r="13" spans="1:15" x14ac:dyDescent="0.25">
      <c r="A13" s="260"/>
      <c r="B13" s="8" t="s">
        <v>260</v>
      </c>
      <c r="C13" s="88">
        <f>SUM(D13:H13)</f>
        <v>36457445</v>
      </c>
      <c r="D13" s="241"/>
      <c r="E13" s="242"/>
      <c r="F13" s="243">
        <v>36457445</v>
      </c>
      <c r="G13" s="243"/>
      <c r="H13" s="243"/>
      <c r="L13" s="22"/>
      <c r="M13" s="23"/>
    </row>
    <row r="14" spans="1:15" x14ac:dyDescent="0.25">
      <c r="A14" s="260"/>
      <c r="B14" s="10" t="s">
        <v>261</v>
      </c>
      <c r="C14" s="88">
        <f>SUM(D14:H14)</f>
        <v>9587452.1972602736</v>
      </c>
      <c r="D14" s="241">
        <v>0</v>
      </c>
      <c r="E14" s="242">
        <v>0</v>
      </c>
      <c r="F14" s="244">
        <v>9587452.1972602736</v>
      </c>
      <c r="G14" s="244">
        <v>0</v>
      </c>
      <c r="H14" s="244"/>
      <c r="L14" s="22"/>
      <c r="M14" s="23"/>
    </row>
    <row r="15" spans="1:15" x14ac:dyDescent="0.25">
      <c r="A15" s="260"/>
      <c r="B15" s="8" t="s">
        <v>275</v>
      </c>
      <c r="C15" s="88">
        <f t="shared" ref="C15:C31" si="0">SUM(D15:H15)</f>
        <v>-6398469.0736209601</v>
      </c>
      <c r="D15" s="241">
        <v>-1459805.5888660401</v>
      </c>
      <c r="E15" s="242">
        <v>-371574.07892887038</v>
      </c>
      <c r="F15" s="243">
        <v>-2387090.2760903714</v>
      </c>
      <c r="G15" s="243">
        <v>-2179999.1297356789</v>
      </c>
      <c r="H15" s="243"/>
      <c r="L15" s="22"/>
      <c r="M15" s="23"/>
    </row>
    <row r="16" spans="1:15" x14ac:dyDescent="0.25">
      <c r="A16" s="260"/>
      <c r="B16" s="8" t="s">
        <v>270</v>
      </c>
      <c r="C16" s="88">
        <f t="shared" si="0"/>
        <v>-1464584.3654</v>
      </c>
      <c r="D16" s="241">
        <v>0</v>
      </c>
      <c r="E16" s="242">
        <v>0</v>
      </c>
      <c r="F16" s="243">
        <v>0</v>
      </c>
      <c r="G16" s="243">
        <v>-1464584.3654</v>
      </c>
      <c r="H16" s="243"/>
      <c r="L16" s="22"/>
      <c r="M16" s="23"/>
    </row>
    <row r="17" spans="1:16" x14ac:dyDescent="0.25">
      <c r="A17" s="260"/>
      <c r="B17" s="10" t="s">
        <v>19</v>
      </c>
      <c r="C17" s="88">
        <f t="shared" si="0"/>
        <v>5518</v>
      </c>
      <c r="D17" s="241"/>
      <c r="E17" s="242"/>
      <c r="F17" s="243"/>
      <c r="G17" s="243"/>
      <c r="H17" s="243">
        <v>5518</v>
      </c>
      <c r="L17" s="22"/>
      <c r="M17" s="23"/>
    </row>
    <row r="18" spans="1:16" x14ac:dyDescent="0.25">
      <c r="A18" s="260"/>
      <c r="B18" s="10" t="s">
        <v>262</v>
      </c>
      <c r="C18" s="88">
        <f t="shared" si="0"/>
        <v>51340068.5189685</v>
      </c>
      <c r="D18" s="241">
        <v>14910192.302276395</v>
      </c>
      <c r="E18" s="242">
        <v>5460679.5327506363</v>
      </c>
      <c r="F18" s="243">
        <v>24868338.213984139</v>
      </c>
      <c r="G18" s="243">
        <v>6100858.4699573275</v>
      </c>
      <c r="H18" s="243"/>
      <c r="L18" s="22"/>
      <c r="M18" s="23"/>
    </row>
    <row r="19" spans="1:16" x14ac:dyDescent="0.25">
      <c r="A19" s="260"/>
      <c r="B19" s="10" t="s">
        <v>20</v>
      </c>
      <c r="C19" s="88">
        <f t="shared" si="0"/>
        <v>0</v>
      </c>
      <c r="D19" s="241"/>
      <c r="E19" s="242"/>
      <c r="F19" s="243"/>
      <c r="G19" s="243"/>
      <c r="H19" s="243"/>
      <c r="L19" s="22"/>
      <c r="M19" s="23"/>
    </row>
    <row r="20" spans="1:16" x14ac:dyDescent="0.25">
      <c r="B20" s="87" t="s">
        <v>21</v>
      </c>
      <c r="C20" s="88">
        <f t="shared" si="0"/>
        <v>0</v>
      </c>
      <c r="D20" s="241"/>
      <c r="E20" s="242"/>
      <c r="F20" s="244"/>
      <c r="G20" s="244"/>
      <c r="H20" s="244"/>
      <c r="O20" s="22"/>
      <c r="P20" s="23"/>
    </row>
    <row r="21" spans="1:16" x14ac:dyDescent="0.25">
      <c r="B21" s="87" t="s">
        <v>263</v>
      </c>
      <c r="C21" s="88">
        <f t="shared" si="0"/>
        <v>-1.7881393432617188E-7</v>
      </c>
      <c r="D21" s="241">
        <v>-38564.509704113007</v>
      </c>
      <c r="E21" s="242">
        <v>0</v>
      </c>
      <c r="F21" s="244">
        <v>71663684.868611455</v>
      </c>
      <c r="G21" s="244">
        <v>-71625120.358907521</v>
      </c>
      <c r="H21" s="244"/>
      <c r="O21" s="22"/>
      <c r="P21" s="23"/>
    </row>
    <row r="22" spans="1:16" x14ac:dyDescent="0.25">
      <c r="B22" s="87" t="s">
        <v>264</v>
      </c>
      <c r="C22" s="88">
        <f t="shared" si="0"/>
        <v>-27940297.195162352</v>
      </c>
      <c r="D22" s="241">
        <v>-3370209.1464412264</v>
      </c>
      <c r="E22" s="242">
        <v>11494589.21530899</v>
      </c>
      <c r="F22" s="244">
        <v>-55794330.465645455</v>
      </c>
      <c r="G22" s="244">
        <v>19729653.201615337</v>
      </c>
      <c r="H22" s="244"/>
      <c r="O22" s="22"/>
      <c r="P22" s="23"/>
    </row>
    <row r="23" spans="1:16" x14ac:dyDescent="0.25">
      <c r="B23" s="87" t="s">
        <v>265</v>
      </c>
      <c r="C23" s="88">
        <f t="shared" si="0"/>
        <v>21600000</v>
      </c>
      <c r="D23" s="241">
        <v>0</v>
      </c>
      <c r="E23" s="242">
        <v>-13394229.5504</v>
      </c>
      <c r="F23" s="244">
        <v>33232231.184900001</v>
      </c>
      <c r="G23" s="244">
        <v>1761998.3655000001</v>
      </c>
      <c r="H23" s="244"/>
      <c r="O23" s="22"/>
      <c r="P23" s="23"/>
    </row>
    <row r="24" spans="1:16" x14ac:dyDescent="0.25">
      <c r="B24" s="87" t="s">
        <v>266</v>
      </c>
      <c r="C24" s="88">
        <f t="shared" si="0"/>
        <v>-948435.66217563208</v>
      </c>
      <c r="D24" s="241">
        <v>1805257.0676382184</v>
      </c>
      <c r="E24" s="242">
        <v>179844.8250370521</v>
      </c>
      <c r="F24" s="244">
        <v>509289.22528776899</v>
      </c>
      <c r="G24" s="244">
        <v>-3442826.7801386714</v>
      </c>
      <c r="H24" s="244"/>
      <c r="O24" s="22"/>
      <c r="P24" s="23"/>
    </row>
    <row r="25" spans="1:16" x14ac:dyDescent="0.25">
      <c r="B25" s="87" t="s">
        <v>269</v>
      </c>
      <c r="C25" s="88">
        <f t="shared" si="0"/>
        <v>3460792.2052000002</v>
      </c>
      <c r="D25" s="241">
        <v>0</v>
      </c>
      <c r="E25" s="242">
        <v>0</v>
      </c>
      <c r="F25" s="244">
        <v>0</v>
      </c>
      <c r="G25" s="244">
        <v>3460792.2052000002</v>
      </c>
      <c r="H25" s="244"/>
      <c r="O25" s="22"/>
      <c r="P25" s="23"/>
    </row>
    <row r="26" spans="1:16" x14ac:dyDescent="0.25">
      <c r="B26" s="87" t="s">
        <v>271</v>
      </c>
      <c r="C26" s="88">
        <f t="shared" si="0"/>
        <v>-49868771.111860879</v>
      </c>
      <c r="D26" s="241">
        <v>-33857477.737106271</v>
      </c>
      <c r="E26" s="242">
        <v>-10507444.187852887</v>
      </c>
      <c r="F26" s="244">
        <v>-275664.91337296739</v>
      </c>
      <c r="G26" s="244">
        <v>-5228184.2735287491</v>
      </c>
      <c r="H26" s="244"/>
      <c r="O26" s="22"/>
      <c r="P26" s="23"/>
    </row>
    <row r="27" spans="1:16" x14ac:dyDescent="0.25">
      <c r="B27" s="87" t="s">
        <v>214</v>
      </c>
      <c r="C27" s="88">
        <f t="shared" si="0"/>
        <v>9714780</v>
      </c>
      <c r="D27" s="241">
        <v>4112559.3909999998</v>
      </c>
      <c r="E27" s="242">
        <v>1343578.1809</v>
      </c>
      <c r="F27" s="244">
        <v>3474906.2475999999</v>
      </c>
      <c r="G27" s="244">
        <v>783736.18050000002</v>
      </c>
      <c r="H27" s="244"/>
      <c r="O27" s="22"/>
      <c r="P27" s="23"/>
    </row>
    <row r="28" spans="1:16" x14ac:dyDescent="0.25">
      <c r="B28" s="87" t="s">
        <v>215</v>
      </c>
      <c r="C28" s="88">
        <f t="shared" si="0"/>
        <v>2999999.9998999997</v>
      </c>
      <c r="D28" s="241">
        <v>1104624.7128000001</v>
      </c>
      <c r="E28" s="242">
        <v>423718.5943</v>
      </c>
      <c r="F28" s="244">
        <v>1372781.7878</v>
      </c>
      <c r="G28" s="244">
        <v>98874.904999999999</v>
      </c>
      <c r="H28" s="244"/>
      <c r="O28" s="22"/>
      <c r="P28" s="23"/>
    </row>
    <row r="29" spans="1:16" x14ac:dyDescent="0.25">
      <c r="B29" s="87" t="s">
        <v>267</v>
      </c>
      <c r="C29" s="88">
        <f t="shared" si="0"/>
        <v>7848740</v>
      </c>
      <c r="D29" s="241">
        <v>2362452.4638</v>
      </c>
      <c r="E29" s="242">
        <v>766776.30219999992</v>
      </c>
      <c r="F29" s="244">
        <v>3988264.7478999998</v>
      </c>
      <c r="G29" s="244">
        <v>731246.48609999998</v>
      </c>
      <c r="H29" s="244"/>
      <c r="O29" s="22"/>
      <c r="P29" s="23"/>
    </row>
    <row r="30" spans="1:16" x14ac:dyDescent="0.25">
      <c r="B30" s="87" t="s">
        <v>268</v>
      </c>
      <c r="C30" s="88">
        <f t="shared" si="0"/>
        <v>1300000</v>
      </c>
      <c r="D30" s="241">
        <v>1300000</v>
      </c>
      <c r="E30" s="242">
        <v>0</v>
      </c>
      <c r="F30" s="244">
        <v>0</v>
      </c>
      <c r="G30" s="244">
        <v>0</v>
      </c>
      <c r="H30" s="244"/>
      <c r="O30" s="22"/>
      <c r="P30" s="23"/>
    </row>
    <row r="31" spans="1:16" x14ac:dyDescent="0.25">
      <c r="B31" s="87" t="s">
        <v>25</v>
      </c>
      <c r="C31" s="88">
        <f t="shared" si="0"/>
        <v>0</v>
      </c>
      <c r="D31" s="89"/>
      <c r="E31" s="90"/>
      <c r="F31" s="91"/>
      <c r="G31" s="91"/>
      <c r="H31" s="91"/>
      <c r="O31" s="22"/>
      <c r="P31" s="23"/>
    </row>
    <row r="32" spans="1:16" x14ac:dyDescent="0.25">
      <c r="B32" s="11" t="s">
        <v>151</v>
      </c>
      <c r="C32" s="6">
        <f t="shared" ref="C32:H32" si="1">SUM(C11:C31)</f>
        <v>1658725627.4193161</v>
      </c>
      <c r="D32" s="51">
        <f t="shared" si="1"/>
        <v>440026103.42326486</v>
      </c>
      <c r="E32" s="51">
        <f t="shared" si="1"/>
        <v>158817730.70533901</v>
      </c>
      <c r="F32" s="51">
        <f t="shared" si="1"/>
        <v>883029121.29735792</v>
      </c>
      <c r="G32" s="51">
        <f t="shared" si="1"/>
        <v>165632870.99335423</v>
      </c>
      <c r="H32" s="51">
        <f t="shared" si="1"/>
        <v>11219801</v>
      </c>
      <c r="O32" s="22"/>
      <c r="P32" s="23"/>
    </row>
    <row r="33" spans="2:23" x14ac:dyDescent="0.25">
      <c r="C33" s="14"/>
      <c r="D33" s="15"/>
      <c r="O33" s="22"/>
      <c r="P33" s="23"/>
    </row>
    <row r="34" spans="2:23" x14ac:dyDescent="0.25">
      <c r="B34" s="29" t="s">
        <v>152</v>
      </c>
      <c r="C34" s="63">
        <f t="shared" ref="C34:H34" si="2">+C32-C11</f>
        <v>150219151.67812347</v>
      </c>
      <c r="D34" s="19">
        <f t="shared" si="2"/>
        <v>1736857.7280250192</v>
      </c>
      <c r="E34" s="19">
        <f t="shared" si="2"/>
        <v>-4453889.4246821105</v>
      </c>
      <c r="F34" s="19">
        <f t="shared" si="2"/>
        <v>203973824.67238736</v>
      </c>
      <c r="G34" s="19">
        <f t="shared" si="2"/>
        <v>-51043159.297606766</v>
      </c>
      <c r="H34" s="19">
        <f t="shared" si="2"/>
        <v>5518</v>
      </c>
      <c r="O34" s="22"/>
      <c r="P34" s="23"/>
    </row>
    <row r="35" spans="2:23" x14ac:dyDescent="0.25">
      <c r="B35" s="52" t="s">
        <v>153</v>
      </c>
      <c r="C35" s="53">
        <f t="shared" ref="C35:H35" si="3">(C34)/C11</f>
        <v>9.958137674173026E-2</v>
      </c>
      <c r="D35" s="53">
        <f t="shared" si="3"/>
        <v>3.9628116479789839E-3</v>
      </c>
      <c r="E35" s="53">
        <f t="shared" si="3"/>
        <v>-2.7279017756639285E-2</v>
      </c>
      <c r="F35" s="53">
        <f t="shared" si="3"/>
        <v>0.30037881404677158</v>
      </c>
      <c r="G35" s="53">
        <f t="shared" si="3"/>
        <v>-0.23557363142136223</v>
      </c>
      <c r="H35" s="53">
        <f t="shared" si="3"/>
        <v>4.9205107450917723E-4</v>
      </c>
      <c r="O35" s="22"/>
      <c r="P35" s="23"/>
    </row>
    <row r="36" spans="2:23" x14ac:dyDescent="0.25">
      <c r="B36" s="112"/>
      <c r="C36" s="58"/>
      <c r="D36" s="58"/>
      <c r="E36" s="58"/>
      <c r="F36" s="58"/>
      <c r="G36" s="58"/>
      <c r="H36" s="58"/>
      <c r="O36" s="22"/>
      <c r="P36" s="23"/>
    </row>
    <row r="37" spans="2:23" ht="28.15" customHeight="1" x14ac:dyDescent="0.3">
      <c r="B37" s="93" t="s">
        <v>154</v>
      </c>
      <c r="C37" s="4"/>
      <c r="D37" s="15"/>
      <c r="E37" s="15"/>
      <c r="V37" s="22"/>
      <c r="W37" s="23"/>
    </row>
    <row r="38" spans="2:23" ht="18.75" x14ac:dyDescent="0.3">
      <c r="B38" s="93"/>
      <c r="C38" s="4"/>
      <c r="D38" s="15"/>
      <c r="E38" s="15"/>
      <c r="V38" s="22"/>
      <c r="W38" s="23"/>
    </row>
    <row r="39" spans="2:23" s="86" customFormat="1" x14ac:dyDescent="0.25">
      <c r="B39" s="95" t="s">
        <v>26</v>
      </c>
      <c r="C39" s="95" t="s">
        <v>27</v>
      </c>
      <c r="D39" s="95" t="s">
        <v>28</v>
      </c>
      <c r="E39" s="174"/>
      <c r="F39" s="175"/>
      <c r="G39" s="175"/>
      <c r="H39" s="175"/>
      <c r="V39" s="96"/>
      <c r="W39" s="97"/>
    </row>
    <row r="40" spans="2:23" x14ac:dyDescent="0.25">
      <c r="B40" s="5" t="s">
        <v>150</v>
      </c>
      <c r="C40" s="88">
        <v>1662751678.682502</v>
      </c>
      <c r="D40" s="7"/>
      <c r="E40" s="186"/>
      <c r="F40" s="186"/>
      <c r="G40" s="177"/>
      <c r="H40" s="177"/>
      <c r="V40" s="22"/>
      <c r="W40" s="23"/>
    </row>
    <row r="41" spans="2:23" x14ac:dyDescent="0.25">
      <c r="B41" s="8" t="s">
        <v>216</v>
      </c>
      <c r="C41" s="92">
        <v>20704604.817088433</v>
      </c>
      <c r="D41" s="9">
        <f t="shared" ref="D41:D58" si="4">+C41/C$40</f>
        <v>1.2452012578026042E-2</v>
      </c>
      <c r="E41" s="176"/>
      <c r="F41" s="84"/>
      <c r="G41" s="177"/>
      <c r="H41" s="177"/>
      <c r="V41" s="22"/>
    </row>
    <row r="42" spans="2:23" x14ac:dyDescent="0.25">
      <c r="B42" s="10" t="s">
        <v>272</v>
      </c>
      <c r="C42" s="208">
        <v>9135532.7123409957</v>
      </c>
      <c r="D42" s="9">
        <f t="shared" si="4"/>
        <v>5.4942255235487878E-3</v>
      </c>
      <c r="E42" s="178"/>
      <c r="F42" s="84"/>
      <c r="G42" s="177"/>
      <c r="H42" s="177"/>
      <c r="V42" s="22"/>
    </row>
    <row r="43" spans="2:23" x14ac:dyDescent="0.25">
      <c r="B43" s="10" t="s">
        <v>273</v>
      </c>
      <c r="C43" s="208">
        <v>84661860.357437938</v>
      </c>
      <c r="D43" s="9">
        <f t="shared" si="4"/>
        <v>5.0916719220828341E-2</v>
      </c>
      <c r="E43" s="176"/>
      <c r="F43" s="176"/>
      <c r="G43" s="177"/>
      <c r="H43" s="177"/>
      <c r="V43" s="22"/>
    </row>
    <row r="44" spans="2:23" x14ac:dyDescent="0.25">
      <c r="B44" s="10" t="s">
        <v>274</v>
      </c>
      <c r="C44" s="92">
        <v>66109926</v>
      </c>
      <c r="D44" s="9">
        <f t="shared" si="4"/>
        <v>3.9759350026567324E-2</v>
      </c>
      <c r="E44" s="176"/>
      <c r="F44" s="176"/>
      <c r="G44" s="177"/>
      <c r="H44" s="177"/>
      <c r="V44" s="22"/>
    </row>
    <row r="45" spans="2:23" x14ac:dyDescent="0.25">
      <c r="B45" s="10" t="s">
        <v>29</v>
      </c>
      <c r="C45" s="92">
        <v>17941382.212853715</v>
      </c>
      <c r="D45" s="9">
        <f t="shared" si="4"/>
        <v>1.0790175371868967E-2</v>
      </c>
      <c r="E45" s="176"/>
      <c r="F45" s="176"/>
      <c r="G45" s="177"/>
      <c r="H45" s="177"/>
      <c r="V45" s="22"/>
    </row>
    <row r="46" spans="2:23" x14ac:dyDescent="0.25">
      <c r="B46" s="10" t="s">
        <v>30</v>
      </c>
      <c r="C46" s="92">
        <v>-13280831.916623235</v>
      </c>
      <c r="D46" s="9">
        <f t="shared" si="4"/>
        <v>-7.9872611688754595E-3</v>
      </c>
      <c r="E46" s="176"/>
      <c r="F46" s="176"/>
      <c r="G46" s="177"/>
      <c r="H46" s="177"/>
      <c r="V46" s="22"/>
    </row>
    <row r="47" spans="2:23" x14ac:dyDescent="0.25">
      <c r="B47" s="10" t="s">
        <v>31</v>
      </c>
      <c r="C47" s="92">
        <v>13293095.911263958</v>
      </c>
      <c r="D47" s="9">
        <f t="shared" si="4"/>
        <v>7.9946368911784083E-3</v>
      </c>
      <c r="E47" s="176"/>
      <c r="F47" s="176"/>
      <c r="G47" s="177"/>
      <c r="H47" s="177"/>
    </row>
    <row r="48" spans="2:23" x14ac:dyDescent="0.25">
      <c r="B48" s="10" t="s">
        <v>32</v>
      </c>
      <c r="C48" s="92">
        <v>2568475</v>
      </c>
      <c r="D48" s="9">
        <f t="shared" si="4"/>
        <v>1.5447135209240366E-3</v>
      </c>
      <c r="E48" s="176"/>
      <c r="F48" s="176"/>
      <c r="G48" s="177"/>
      <c r="H48" s="177"/>
    </row>
    <row r="49" spans="2:16" x14ac:dyDescent="0.25">
      <c r="B49" s="10" t="s">
        <v>33</v>
      </c>
      <c r="C49" s="92">
        <v>57319997.687734768</v>
      </c>
      <c r="D49" s="9">
        <f t="shared" si="4"/>
        <v>3.4472975383283234E-2</v>
      </c>
      <c r="E49" s="176"/>
      <c r="F49" s="176"/>
      <c r="G49" s="177"/>
      <c r="H49" s="177"/>
    </row>
    <row r="50" spans="2:16" x14ac:dyDescent="0.25">
      <c r="B50" s="10" t="s">
        <v>34</v>
      </c>
      <c r="C50" s="92">
        <v>3256070.1923616976</v>
      </c>
      <c r="D50" s="9">
        <f t="shared" si="4"/>
        <v>1.9582420117847527E-3</v>
      </c>
      <c r="E50" s="176"/>
      <c r="F50" s="176"/>
      <c r="G50" s="177"/>
      <c r="H50" s="177"/>
    </row>
    <row r="51" spans="2:16" x14ac:dyDescent="0.25">
      <c r="B51" s="10" t="s">
        <v>35</v>
      </c>
      <c r="C51" s="92">
        <v>0</v>
      </c>
      <c r="D51" s="9">
        <f t="shared" si="4"/>
        <v>0</v>
      </c>
      <c r="E51" s="176"/>
      <c r="F51" s="176"/>
      <c r="G51" s="177"/>
      <c r="H51" s="177"/>
    </row>
    <row r="52" spans="2:16" x14ac:dyDescent="0.25">
      <c r="B52" s="87" t="s">
        <v>176</v>
      </c>
      <c r="C52" s="92">
        <v>1604069.4953414742</v>
      </c>
      <c r="D52" s="9">
        <f t="shared" si="4"/>
        <v>9.6470778884582132E-4</v>
      </c>
      <c r="E52" s="176"/>
      <c r="F52" s="176"/>
      <c r="G52" s="177"/>
      <c r="H52" s="177"/>
    </row>
    <row r="53" spans="2:16" x14ac:dyDescent="0.25">
      <c r="B53" s="87" t="s">
        <v>177</v>
      </c>
      <c r="C53" s="92">
        <v>0</v>
      </c>
      <c r="D53" s="9">
        <f t="shared" si="4"/>
        <v>0</v>
      </c>
      <c r="E53" s="176"/>
      <c r="F53" s="176"/>
      <c r="G53" s="177"/>
      <c r="H53" s="177"/>
    </row>
    <row r="54" spans="2:16" x14ac:dyDescent="0.25">
      <c r="B54" s="87" t="s">
        <v>178</v>
      </c>
      <c r="C54" s="92">
        <v>21454722.513865683</v>
      </c>
      <c r="D54" s="9">
        <f t="shared" si="4"/>
        <v>1.2903142897961496E-2</v>
      </c>
      <c r="E54" s="176"/>
      <c r="F54" s="176"/>
      <c r="G54" s="177"/>
      <c r="H54" s="177"/>
    </row>
    <row r="55" spans="2:16" x14ac:dyDescent="0.25">
      <c r="B55" s="87" t="s">
        <v>179</v>
      </c>
      <c r="C55" s="92">
        <v>-9757543.8804353029</v>
      </c>
      <c r="D55" s="9">
        <f t="shared" si="4"/>
        <v>-5.868310948371311E-3</v>
      </c>
      <c r="E55" s="176"/>
      <c r="F55" s="176"/>
      <c r="G55" s="177"/>
      <c r="H55" s="177"/>
    </row>
    <row r="56" spans="2:16" x14ac:dyDescent="0.25">
      <c r="B56" s="8" t="s">
        <v>217</v>
      </c>
      <c r="C56" s="92">
        <v>-6967992.4082999993</v>
      </c>
      <c r="D56" s="9">
        <f t="shared" si="4"/>
        <v>-4.1906392263101836E-3</v>
      </c>
      <c r="E56" s="176"/>
      <c r="F56" s="176"/>
      <c r="G56" s="177"/>
      <c r="H56" s="177"/>
    </row>
    <row r="57" spans="2:16" x14ac:dyDescent="0.25">
      <c r="B57" s="87" t="s">
        <v>218</v>
      </c>
      <c r="C57" s="92">
        <v>-9181673.3556417897</v>
      </c>
      <c r="D57" s="9">
        <f t="shared" si="4"/>
        <v>-5.5219750930680048E-3</v>
      </c>
      <c r="E57" s="176"/>
      <c r="F57" s="176"/>
      <c r="G57" s="177"/>
      <c r="H57" s="177"/>
    </row>
    <row r="58" spans="2:16" x14ac:dyDescent="0.25">
      <c r="B58" s="87" t="s">
        <v>36</v>
      </c>
      <c r="C58" s="92"/>
      <c r="D58" s="9">
        <f t="shared" si="4"/>
        <v>0</v>
      </c>
      <c r="E58" s="176"/>
      <c r="F58" s="176"/>
      <c r="G58" s="177"/>
      <c r="H58" s="177"/>
    </row>
    <row r="59" spans="2:16" x14ac:dyDescent="0.25">
      <c r="B59" s="11" t="s">
        <v>151</v>
      </c>
      <c r="C59" s="12">
        <f>SUM(C40:C58)</f>
        <v>1921613374.0217903</v>
      </c>
      <c r="D59" s="13">
        <f>SUM(D41:D58)</f>
        <v>0.15568271477819226</v>
      </c>
      <c r="E59" s="176"/>
      <c r="F59" s="176"/>
      <c r="G59" s="177"/>
      <c r="H59" s="177"/>
    </row>
    <row r="60" spans="2:16" x14ac:dyDescent="0.25">
      <c r="B60" s="84"/>
      <c r="C60" s="85"/>
      <c r="D60" s="76"/>
      <c r="E60" s="76"/>
    </row>
    <row r="61" spans="2:16" x14ac:dyDescent="0.25">
      <c r="B61" s="29" t="s">
        <v>152</v>
      </c>
      <c r="C61" s="63">
        <f>+C59-C40</f>
        <v>258861695.33928823</v>
      </c>
      <c r="D61" s="76"/>
      <c r="E61" s="76"/>
    </row>
    <row r="62" spans="2:16" x14ac:dyDescent="0.25">
      <c r="B62" s="52" t="s">
        <v>153</v>
      </c>
      <c r="C62" s="53">
        <f>(C61)/C40</f>
        <v>0.1556827147781922</v>
      </c>
      <c r="D62" s="76"/>
      <c r="E62" s="76"/>
    </row>
    <row r="63" spans="2:16" x14ac:dyDescent="0.25">
      <c r="B63" s="112"/>
      <c r="C63" s="58"/>
      <c r="D63" s="58"/>
      <c r="E63" s="58"/>
      <c r="F63" s="58"/>
      <c r="G63" s="58"/>
      <c r="H63" s="58"/>
      <c r="O63" s="22"/>
      <c r="P63" s="23"/>
    </row>
    <row r="65" spans="1:23" ht="18.75" x14ac:dyDescent="0.3">
      <c r="B65" s="254" t="s">
        <v>37</v>
      </c>
      <c r="C65" s="255"/>
      <c r="D65" s="255"/>
      <c r="E65" s="255"/>
      <c r="F65" s="255"/>
      <c r="G65" s="255"/>
      <c r="H65" s="255"/>
      <c r="I65" s="255"/>
      <c r="J65" s="255"/>
      <c r="K65" s="255"/>
      <c r="L65" s="255"/>
      <c r="M65" s="255"/>
      <c r="N65" s="255"/>
      <c r="O65" s="256"/>
      <c r="V65" s="22"/>
      <c r="W65" s="23"/>
    </row>
    <row r="66" spans="1:23" x14ac:dyDescent="0.25">
      <c r="B66" s="17"/>
    </row>
    <row r="67" spans="1:23" ht="18.75" x14ac:dyDescent="0.3">
      <c r="B67" s="93" t="s">
        <v>155</v>
      </c>
      <c r="C67" s="4"/>
    </row>
    <row r="68" spans="1:23" ht="18.75" x14ac:dyDescent="0.3">
      <c r="B68" s="93"/>
      <c r="C68" s="4"/>
    </row>
    <row r="69" spans="1:23" ht="18.75" x14ac:dyDescent="0.3">
      <c r="B69" s="93" t="s">
        <v>38</v>
      </c>
      <c r="C69" s="134" t="s">
        <v>156</v>
      </c>
    </row>
    <row r="70" spans="1:23" s="86" customFormat="1" ht="30" x14ac:dyDescent="0.25">
      <c r="B70" s="94" t="s">
        <v>12</v>
      </c>
      <c r="C70" s="94" t="s">
        <v>13</v>
      </c>
      <c r="D70" s="94" t="s">
        <v>14</v>
      </c>
      <c r="E70" s="94" t="s">
        <v>15</v>
      </c>
      <c r="F70" s="94" t="s">
        <v>16</v>
      </c>
      <c r="G70" s="94" t="s">
        <v>17</v>
      </c>
      <c r="H70" s="94" t="s">
        <v>18</v>
      </c>
    </row>
    <row r="71" spans="1:23" x14ac:dyDescent="0.25">
      <c r="B71" s="5" t="s">
        <v>157</v>
      </c>
      <c r="C71" s="88">
        <f>SUM(D71:H71)</f>
        <v>1433295005.2114277</v>
      </c>
      <c r="D71" s="240">
        <v>442821862.82857162</v>
      </c>
      <c r="E71" s="88">
        <v>157169547.82856998</v>
      </c>
      <c r="F71" s="88">
        <v>696110162.70285761</v>
      </c>
      <c r="G71" s="88">
        <v>128793432.28000003</v>
      </c>
      <c r="H71" s="88">
        <v>8399999.5714286007</v>
      </c>
    </row>
    <row r="72" spans="1:23" ht="14.45" customHeight="1" x14ac:dyDescent="0.25">
      <c r="A72" s="249"/>
      <c r="B72" s="8" t="s">
        <v>259</v>
      </c>
      <c r="C72" s="88">
        <f>SUM(D72:H72)</f>
        <v>92524913.165014774</v>
      </c>
      <c r="D72" s="241">
        <f t="shared" ref="D72:G73" si="5">D12</f>
        <v>14867828.772628069</v>
      </c>
      <c r="E72" s="241">
        <f t="shared" si="5"/>
        <v>150171.74200291932</v>
      </c>
      <c r="F72" s="241">
        <f t="shared" si="5"/>
        <v>77276516.85415256</v>
      </c>
      <c r="G72" s="241">
        <f t="shared" si="5"/>
        <v>230395.79623122374</v>
      </c>
      <c r="H72" s="243"/>
      <c r="L72" s="22"/>
      <c r="M72" s="23"/>
    </row>
    <row r="73" spans="1:23" ht="14.45" customHeight="1" x14ac:dyDescent="0.25">
      <c r="A73" s="249"/>
      <c r="B73" s="8" t="s">
        <v>260</v>
      </c>
      <c r="C73" s="88">
        <f>SUM(D73:H73)</f>
        <v>36457445</v>
      </c>
      <c r="D73" s="241">
        <f t="shared" si="5"/>
        <v>0</v>
      </c>
      <c r="E73" s="241">
        <f t="shared" si="5"/>
        <v>0</v>
      </c>
      <c r="F73" s="241">
        <f t="shared" si="5"/>
        <v>36457445</v>
      </c>
      <c r="G73" s="241">
        <f t="shared" si="5"/>
        <v>0</v>
      </c>
      <c r="H73" s="243"/>
      <c r="L73" s="22"/>
      <c r="M73" s="23"/>
    </row>
    <row r="74" spans="1:23" x14ac:dyDescent="0.25">
      <c r="A74" s="249"/>
      <c r="B74" s="8" t="s">
        <v>275</v>
      </c>
      <c r="C74" s="88">
        <f t="shared" ref="C74:C88" si="6">SUM(D74:H74)</f>
        <v>-6398469.0736209601</v>
      </c>
      <c r="D74" s="241">
        <v>-1459805.5888660401</v>
      </c>
      <c r="E74" s="242">
        <v>-371574.07892887038</v>
      </c>
      <c r="F74" s="243">
        <v>-2387090.2760903714</v>
      </c>
      <c r="G74" s="243">
        <v>-2179999.1297356789</v>
      </c>
      <c r="H74" s="243"/>
      <c r="L74" s="22"/>
      <c r="M74" s="23"/>
    </row>
    <row r="75" spans="1:23" x14ac:dyDescent="0.25">
      <c r="A75" s="249"/>
      <c r="B75" s="8" t="s">
        <v>270</v>
      </c>
      <c r="C75" s="88">
        <f t="shared" si="6"/>
        <v>-1464584.3654</v>
      </c>
      <c r="D75" s="241"/>
      <c r="E75" s="242"/>
      <c r="F75" s="243"/>
      <c r="G75" s="243">
        <v>-1464584.3654</v>
      </c>
      <c r="H75" s="243"/>
      <c r="L75" s="22"/>
      <c r="M75" s="23"/>
    </row>
    <row r="76" spans="1:23" x14ac:dyDescent="0.25">
      <c r="A76" s="249"/>
      <c r="B76" s="8" t="s">
        <v>19</v>
      </c>
      <c r="C76" s="88">
        <f t="shared" si="6"/>
        <v>2819801.4285713993</v>
      </c>
      <c r="D76" s="241"/>
      <c r="E76" s="242"/>
      <c r="F76" s="243"/>
      <c r="G76" s="243"/>
      <c r="H76" s="243">
        <v>2819801.4285713993</v>
      </c>
      <c r="L76" s="22"/>
      <c r="M76" s="23"/>
    </row>
    <row r="77" spans="1:23" x14ac:dyDescent="0.25">
      <c r="B77" s="10" t="s">
        <v>262</v>
      </c>
      <c r="C77" s="88">
        <f t="shared" si="6"/>
        <v>43253860.97651539</v>
      </c>
      <c r="D77" s="241">
        <v>12742044.696914531</v>
      </c>
      <c r="E77" s="242">
        <v>4101076.2468840769</v>
      </c>
      <c r="F77" s="244">
        <v>21633509.57103486</v>
      </c>
      <c r="G77" s="244">
        <v>4777230.4616819229</v>
      </c>
      <c r="H77" s="244"/>
      <c r="L77" s="22"/>
      <c r="M77" s="23"/>
    </row>
    <row r="78" spans="1:23" x14ac:dyDescent="0.25">
      <c r="B78" s="10" t="s">
        <v>20</v>
      </c>
      <c r="C78" s="88">
        <f t="shared" si="6"/>
        <v>0</v>
      </c>
      <c r="D78" s="241"/>
      <c r="E78" s="242"/>
      <c r="F78" s="243"/>
      <c r="G78" s="243"/>
      <c r="H78" s="243"/>
      <c r="L78" s="22"/>
      <c r="M78" s="23"/>
    </row>
    <row r="79" spans="1:23" x14ac:dyDescent="0.25">
      <c r="B79" s="10" t="s">
        <v>21</v>
      </c>
      <c r="C79" s="88">
        <f t="shared" si="6"/>
        <v>0</v>
      </c>
      <c r="D79" s="241">
        <v>0</v>
      </c>
      <c r="E79" s="242">
        <v>0</v>
      </c>
      <c r="F79" s="243">
        <v>0</v>
      </c>
      <c r="G79" s="243">
        <v>0</v>
      </c>
      <c r="H79" s="243">
        <v>0</v>
      </c>
      <c r="L79" s="22"/>
      <c r="M79" s="23"/>
    </row>
    <row r="80" spans="1:23" x14ac:dyDescent="0.25">
      <c r="B80" s="87" t="s">
        <v>264</v>
      </c>
      <c r="C80" s="88">
        <f t="shared" si="6"/>
        <v>11638190.855681226</v>
      </c>
      <c r="D80" s="241">
        <v>-3202444.8886457607</v>
      </c>
      <c r="E80" s="242">
        <v>-1030853.4703171878</v>
      </c>
      <c r="F80" s="243">
        <v>13349509.271658547</v>
      </c>
      <c r="G80" s="243">
        <v>2521979.9429856287</v>
      </c>
      <c r="H80" s="243"/>
      <c r="L80" s="22"/>
      <c r="M80" s="23"/>
    </row>
    <row r="81" spans="2:23" x14ac:dyDescent="0.25">
      <c r="B81" s="87" t="s">
        <v>265</v>
      </c>
      <c r="C81" s="88">
        <f t="shared" si="6"/>
        <v>21600000</v>
      </c>
      <c r="D81" s="241">
        <v>0</v>
      </c>
      <c r="E81" s="242">
        <v>-13394229.5504</v>
      </c>
      <c r="F81" s="244">
        <v>33232231.184900001</v>
      </c>
      <c r="G81" s="244">
        <v>1761998.3655000001</v>
      </c>
      <c r="H81" s="244">
        <v>0</v>
      </c>
      <c r="L81" s="22"/>
      <c r="M81" s="23"/>
    </row>
    <row r="82" spans="2:23" x14ac:dyDescent="0.25">
      <c r="B82" s="87" t="s">
        <v>266</v>
      </c>
      <c r="C82" s="88">
        <f t="shared" si="6"/>
        <v>-10442391.561733134</v>
      </c>
      <c r="D82" s="241">
        <v>-8925509.9835185502</v>
      </c>
      <c r="E82" s="242">
        <v>-3143087.3225092245</v>
      </c>
      <c r="F82" s="244">
        <v>-10697035.45411405</v>
      </c>
      <c r="G82" s="244">
        <v>12323241.198408689</v>
      </c>
      <c r="H82" s="244"/>
      <c r="L82" s="22"/>
      <c r="M82" s="23"/>
    </row>
    <row r="83" spans="2:23" x14ac:dyDescent="0.25">
      <c r="B83" s="87" t="s">
        <v>269</v>
      </c>
      <c r="C83" s="88">
        <f t="shared" si="6"/>
        <v>15712668.448100001</v>
      </c>
      <c r="D83" s="241">
        <v>0</v>
      </c>
      <c r="E83" s="242">
        <v>0</v>
      </c>
      <c r="F83" s="244">
        <v>0</v>
      </c>
      <c r="G83" s="244">
        <v>15712668.448100001</v>
      </c>
      <c r="H83" s="244">
        <v>0</v>
      </c>
      <c r="L83" s="22"/>
      <c r="M83" s="23"/>
    </row>
    <row r="84" spans="2:23" x14ac:dyDescent="0.25">
      <c r="B84" s="87" t="s">
        <v>271</v>
      </c>
      <c r="C84" s="88">
        <f t="shared" si="6"/>
        <v>-2134332.6651407536</v>
      </c>
      <c r="D84" s="241">
        <v>-25697508.981419258</v>
      </c>
      <c r="E84" s="242">
        <v>12802606.232637318</v>
      </c>
      <c r="F84" s="244">
        <v>9217919.6596587431</v>
      </c>
      <c r="G84" s="244">
        <v>1542650.4239824435</v>
      </c>
      <c r="H84" s="244"/>
      <c r="L84" s="22"/>
      <c r="M84" s="23"/>
    </row>
    <row r="85" spans="2:23" x14ac:dyDescent="0.25">
      <c r="B85" s="87" t="s">
        <v>214</v>
      </c>
      <c r="C85" s="88">
        <f t="shared" si="6"/>
        <v>9714780</v>
      </c>
      <c r="D85" s="241">
        <v>4112559.3909999998</v>
      </c>
      <c r="E85" s="242">
        <v>1343578.1809</v>
      </c>
      <c r="F85" s="244">
        <v>3474906.2475999999</v>
      </c>
      <c r="G85" s="244">
        <v>783736.18050000002</v>
      </c>
      <c r="H85" s="244">
        <v>0</v>
      </c>
      <c r="L85" s="22"/>
      <c r="M85" s="23"/>
    </row>
    <row r="86" spans="2:23" x14ac:dyDescent="0.25">
      <c r="B86" s="87" t="s">
        <v>215</v>
      </c>
      <c r="C86" s="88">
        <f t="shared" si="6"/>
        <v>2999999.9998999997</v>
      </c>
      <c r="D86" s="241">
        <v>1104624.7128000001</v>
      </c>
      <c r="E86" s="242">
        <v>423718.5943</v>
      </c>
      <c r="F86" s="244">
        <v>1372781.7878</v>
      </c>
      <c r="G86" s="244">
        <v>98874.904999999999</v>
      </c>
      <c r="H86" s="244">
        <v>0</v>
      </c>
      <c r="L86" s="22"/>
      <c r="M86" s="23"/>
    </row>
    <row r="87" spans="2:23" x14ac:dyDescent="0.25">
      <c r="B87" s="87" t="s">
        <v>267</v>
      </c>
      <c r="C87" s="88">
        <f t="shared" si="6"/>
        <v>7848740</v>
      </c>
      <c r="D87" s="241">
        <v>2362452.4638</v>
      </c>
      <c r="E87" s="242">
        <v>766776.30219999992</v>
      </c>
      <c r="F87" s="244">
        <v>3988264.7478999998</v>
      </c>
      <c r="G87" s="244">
        <v>731246.48609999998</v>
      </c>
      <c r="H87" s="244">
        <v>0</v>
      </c>
      <c r="L87" s="22"/>
      <c r="M87" s="23"/>
    </row>
    <row r="88" spans="2:23" x14ac:dyDescent="0.25">
      <c r="B88" s="87" t="s">
        <v>268</v>
      </c>
      <c r="C88" s="88">
        <f t="shared" si="6"/>
        <v>1300000</v>
      </c>
      <c r="D88" s="241">
        <v>1300000</v>
      </c>
      <c r="E88" s="242">
        <v>0</v>
      </c>
      <c r="F88" s="244">
        <v>0</v>
      </c>
      <c r="G88" s="244">
        <v>0</v>
      </c>
      <c r="H88" s="244">
        <v>0</v>
      </c>
      <c r="L88" s="22"/>
      <c r="M88" s="23"/>
    </row>
    <row r="89" spans="2:23" x14ac:dyDescent="0.25">
      <c r="B89" s="11" t="s">
        <v>151</v>
      </c>
      <c r="C89" s="6">
        <f t="shared" ref="C89:H89" si="7">SUM(C71:C88)</f>
        <v>1658725627.4193153</v>
      </c>
      <c r="D89" s="51">
        <f t="shared" si="7"/>
        <v>440026103.42326462</v>
      </c>
      <c r="E89" s="51">
        <f t="shared" si="7"/>
        <v>158817730.70533904</v>
      </c>
      <c r="F89" s="51">
        <f t="shared" si="7"/>
        <v>883029121.29735792</v>
      </c>
      <c r="G89" s="51">
        <f t="shared" si="7"/>
        <v>165632870.99335423</v>
      </c>
      <c r="H89" s="51">
        <f t="shared" si="7"/>
        <v>11219801</v>
      </c>
      <c r="L89" s="22"/>
      <c r="M89" s="23"/>
    </row>
    <row r="90" spans="2:23" x14ac:dyDescent="0.25">
      <c r="C90" s="14"/>
      <c r="D90" s="15"/>
      <c r="L90" s="22"/>
      <c r="M90" s="23"/>
    </row>
    <row r="91" spans="2:23" x14ac:dyDescent="0.25">
      <c r="B91" s="29" t="s">
        <v>160</v>
      </c>
      <c r="C91" s="63">
        <f>+C89-C71</f>
        <v>225430622.20788765</v>
      </c>
      <c r="D91" s="63">
        <f t="shared" ref="D91:E91" si="8">+D89-D71</f>
        <v>-2795759.4053069949</v>
      </c>
      <c r="E91" s="63">
        <f t="shared" si="8"/>
        <v>1648182.8767690659</v>
      </c>
      <c r="F91" s="19">
        <f>+F89-F71</f>
        <v>186918958.5945003</v>
      </c>
      <c r="G91" s="19">
        <f>+G89-G71</f>
        <v>36839438.7133542</v>
      </c>
      <c r="H91" s="19">
        <f>+H89-H71</f>
        <v>2819801.4285713993</v>
      </c>
      <c r="L91" s="22"/>
      <c r="M91" s="23"/>
    </row>
    <row r="92" spans="2:23" x14ac:dyDescent="0.25">
      <c r="B92" s="52" t="s">
        <v>159</v>
      </c>
      <c r="C92" s="53">
        <f>(C91)/C71</f>
        <v>0.15728138407531395</v>
      </c>
      <c r="D92" s="53">
        <f t="shared" ref="D92:H92" si="9">(D91)/D71</f>
        <v>-6.313508071730662E-3</v>
      </c>
      <c r="E92" s="53">
        <f t="shared" si="9"/>
        <v>1.0486655332029035E-2</v>
      </c>
      <c r="F92" s="53">
        <f t="shared" si="9"/>
        <v>0.26851922096458281</v>
      </c>
      <c r="G92" s="53">
        <f t="shared" si="9"/>
        <v>0.28603507229518016</v>
      </c>
      <c r="H92" s="53">
        <f t="shared" si="9"/>
        <v>0.33569066338557341</v>
      </c>
      <c r="L92" s="22"/>
      <c r="M92" s="23"/>
    </row>
    <row r="93" spans="2:23" x14ac:dyDescent="0.25">
      <c r="B93" s="112"/>
      <c r="C93" s="58"/>
      <c r="D93" s="15"/>
      <c r="E93" s="15"/>
      <c r="K93" s="23"/>
      <c r="L93" s="23"/>
      <c r="M93" s="14"/>
      <c r="N93" s="24"/>
      <c r="V93" s="22"/>
      <c r="W93" s="23"/>
    </row>
    <row r="94" spans="2:23" ht="19.899999999999999" customHeight="1" x14ac:dyDescent="0.3">
      <c r="B94" s="93" t="s">
        <v>158</v>
      </c>
      <c r="C94" s="4"/>
      <c r="D94" s="15"/>
      <c r="E94" s="15"/>
      <c r="V94" s="22"/>
      <c r="W94" s="23"/>
    </row>
    <row r="95" spans="2:23" ht="18.75" x14ac:dyDescent="0.3">
      <c r="B95" s="93"/>
      <c r="C95" s="4"/>
      <c r="D95" s="15"/>
      <c r="E95" s="15"/>
      <c r="V95" s="22"/>
      <c r="W95" s="23"/>
    </row>
    <row r="96" spans="2:23" x14ac:dyDescent="0.25">
      <c r="B96" s="95" t="s">
        <v>26</v>
      </c>
      <c r="C96" s="95" t="s">
        <v>27</v>
      </c>
      <c r="D96" s="95" t="s">
        <v>28</v>
      </c>
      <c r="E96" s="59"/>
      <c r="V96" s="22"/>
      <c r="W96" s="23"/>
    </row>
    <row r="97" spans="2:23" x14ac:dyDescent="0.25">
      <c r="B97" s="5" t="s">
        <v>157</v>
      </c>
      <c r="C97" s="88">
        <v>1791170987.4914289</v>
      </c>
      <c r="D97" s="7"/>
      <c r="E97" s="58"/>
      <c r="V97" s="22"/>
      <c r="W97" s="23"/>
    </row>
    <row r="98" spans="2:23" x14ac:dyDescent="0.25">
      <c r="B98" s="8" t="s">
        <v>216</v>
      </c>
      <c r="C98" s="92">
        <v>47091078.858720981</v>
      </c>
      <c r="D98" s="9">
        <f>+C98/C$40</f>
        <v>2.8321173547714636E-2</v>
      </c>
      <c r="E98" s="60"/>
      <c r="V98" s="22"/>
    </row>
    <row r="99" spans="2:23" x14ac:dyDescent="0.25">
      <c r="B99" s="10" t="s">
        <v>272</v>
      </c>
      <c r="C99" s="92">
        <v>9135532.7123409957</v>
      </c>
      <c r="D99" s="9">
        <f t="shared" ref="D99:D113" si="10">+C99/C$40</f>
        <v>5.4942255235487878E-3</v>
      </c>
      <c r="E99" s="60"/>
      <c r="V99" s="22"/>
    </row>
    <row r="100" spans="2:23" x14ac:dyDescent="0.25">
      <c r="B100" s="10" t="s">
        <v>273</v>
      </c>
      <c r="C100" s="92">
        <v>84661860.357437938</v>
      </c>
      <c r="D100" s="9">
        <f t="shared" si="10"/>
        <v>5.0916719220828341E-2</v>
      </c>
      <c r="E100" s="60"/>
      <c r="V100" s="22"/>
    </row>
    <row r="101" spans="2:23" x14ac:dyDescent="0.25">
      <c r="B101" s="10" t="s">
        <v>29</v>
      </c>
      <c r="C101" s="92">
        <v>18281108.246012159</v>
      </c>
      <c r="D101" s="9">
        <f t="shared" si="10"/>
        <v>1.099449092753127E-2</v>
      </c>
      <c r="E101" s="60"/>
      <c r="V101" s="22"/>
    </row>
    <row r="102" spans="2:23" x14ac:dyDescent="0.25">
      <c r="B102" s="10" t="s">
        <v>30</v>
      </c>
      <c r="C102" s="92">
        <v>1822361.3148193713</v>
      </c>
      <c r="D102" s="9">
        <f t="shared" si="10"/>
        <v>1.0959912644703132E-3</v>
      </c>
      <c r="E102" s="60"/>
      <c r="V102" s="22"/>
    </row>
    <row r="103" spans="2:23" x14ac:dyDescent="0.25">
      <c r="B103" s="10" t="s">
        <v>31</v>
      </c>
      <c r="C103" s="92">
        <v>-63438658.923037291</v>
      </c>
      <c r="D103" s="9">
        <f t="shared" si="10"/>
        <v>-3.8152816043646127E-2</v>
      </c>
      <c r="E103" s="60"/>
      <c r="V103" s="22"/>
    </row>
    <row r="104" spans="2:23" x14ac:dyDescent="0.25">
      <c r="B104" s="10" t="s">
        <v>32</v>
      </c>
      <c r="C104" s="92">
        <v>-2659854.3314285702</v>
      </c>
      <c r="D104" s="9">
        <f t="shared" si="10"/>
        <v>-1.5996702126538417E-3</v>
      </c>
      <c r="E104" s="60"/>
    </row>
    <row r="105" spans="2:23" x14ac:dyDescent="0.25">
      <c r="B105" s="10" t="s">
        <v>33</v>
      </c>
      <c r="C105" s="92">
        <v>28959253.855675727</v>
      </c>
      <c r="D105" s="9">
        <f t="shared" si="10"/>
        <v>1.7416463460510161E-2</v>
      </c>
      <c r="E105" s="60"/>
    </row>
    <row r="106" spans="2:23" x14ac:dyDescent="0.25">
      <c r="B106" s="10" t="s">
        <v>34</v>
      </c>
      <c r="C106" s="92">
        <v>6290994.6313814968</v>
      </c>
      <c r="D106" s="9">
        <f t="shared" si="10"/>
        <v>3.7834841558339184E-3</v>
      </c>
      <c r="E106" s="60"/>
    </row>
    <row r="107" spans="2:23" x14ac:dyDescent="0.25">
      <c r="B107" s="87" t="s">
        <v>35</v>
      </c>
      <c r="C107" s="92">
        <v>0</v>
      </c>
      <c r="D107" s="9">
        <f t="shared" ref="D107:D108" si="11">+C107/C$40</f>
        <v>0</v>
      </c>
      <c r="E107" s="60"/>
    </row>
    <row r="108" spans="2:23" x14ac:dyDescent="0.25">
      <c r="B108" s="87" t="s">
        <v>176</v>
      </c>
      <c r="C108" s="92">
        <v>-1802116.0066416925</v>
      </c>
      <c r="D108" s="9">
        <f t="shared" si="11"/>
        <v>-1.0838154787307852E-3</v>
      </c>
      <c r="E108" s="60"/>
    </row>
    <row r="109" spans="2:23" x14ac:dyDescent="0.25">
      <c r="B109" s="87" t="s">
        <v>177</v>
      </c>
      <c r="C109" s="92">
        <v>0</v>
      </c>
      <c r="D109" s="9">
        <f t="shared" si="10"/>
        <v>0</v>
      </c>
      <c r="E109" s="60"/>
    </row>
    <row r="110" spans="2:23" x14ac:dyDescent="0.25">
      <c r="B110" s="87" t="s">
        <v>178</v>
      </c>
      <c r="C110" s="92">
        <v>23774747.32606601</v>
      </c>
      <c r="D110" s="9">
        <f t="shared" ref="D110:D112" si="12">+C110/C$40</f>
        <v>1.4298435317114921E-2</v>
      </c>
      <c r="E110" s="60"/>
    </row>
    <row r="111" spans="2:23" x14ac:dyDescent="0.25">
      <c r="B111" s="87" t="s">
        <v>179</v>
      </c>
      <c r="C111" s="92">
        <v>-17728384.862622011</v>
      </c>
      <c r="D111" s="9">
        <f t="shared" si="12"/>
        <v>-1.0662076057363704E-2</v>
      </c>
      <c r="E111" s="60"/>
    </row>
    <row r="112" spans="2:23" x14ac:dyDescent="0.25">
      <c r="B112" s="87" t="s">
        <v>218</v>
      </c>
      <c r="C112" s="92">
        <v>-3945536.6483636945</v>
      </c>
      <c r="D112" s="9">
        <f t="shared" si="12"/>
        <v>-2.3728959043902336E-3</v>
      </c>
      <c r="E112" s="60"/>
    </row>
    <row r="113" spans="2:16" x14ac:dyDescent="0.25">
      <c r="B113" s="87" t="s">
        <v>36</v>
      </c>
      <c r="C113" s="92"/>
      <c r="D113" s="9">
        <f t="shared" si="10"/>
        <v>0</v>
      </c>
      <c r="E113" s="60"/>
    </row>
    <row r="114" spans="2:16" x14ac:dyDescent="0.25">
      <c r="B114" s="11" t="s">
        <v>151</v>
      </c>
      <c r="C114" s="12">
        <f>SUM(C97:C113)</f>
        <v>1921613374.0217905</v>
      </c>
      <c r="D114" s="13">
        <f>SUM(D98:D113)</f>
        <v>7.844970972076766E-2</v>
      </c>
      <c r="E114" s="60"/>
    </row>
    <row r="115" spans="2:16" x14ac:dyDescent="0.25">
      <c r="E115" s="55"/>
    </row>
    <row r="116" spans="2:16" x14ac:dyDescent="0.25">
      <c r="B116" s="29" t="s">
        <v>160</v>
      </c>
      <c r="C116" s="63">
        <f>+C114-C97</f>
        <v>130442386.53036165</v>
      </c>
      <c r="E116" s="55"/>
    </row>
    <row r="117" spans="2:16" x14ac:dyDescent="0.25">
      <c r="B117" s="52" t="s">
        <v>159</v>
      </c>
      <c r="C117" s="53">
        <f>(C116)/C97</f>
        <v>7.2825200632045103E-2</v>
      </c>
      <c r="E117" s="55"/>
    </row>
    <row r="118" spans="2:16" x14ac:dyDescent="0.25">
      <c r="B118" s="112"/>
      <c r="C118" s="58"/>
      <c r="D118" s="58"/>
      <c r="E118" s="58"/>
      <c r="F118" s="58"/>
      <c r="G118" s="58"/>
      <c r="H118" s="58"/>
      <c r="O118" s="22"/>
      <c r="P118" s="23"/>
    </row>
  </sheetData>
  <mergeCells count="7">
    <mergeCell ref="A72:A76"/>
    <mergeCell ref="B2:O2"/>
    <mergeCell ref="B3:O3"/>
    <mergeCell ref="B6:O6"/>
    <mergeCell ref="B4:O4"/>
    <mergeCell ref="B65:O65"/>
    <mergeCell ref="A12:A19"/>
  </mergeCells>
  <pageMargins left="0.7" right="0.7" top="0.5" bottom="0.5" header="0.3" footer="0.3"/>
  <pageSetup scale="48" fitToHeight="4" orientation="landscape" r:id="rId1"/>
  <headerFooter>
    <oddFooter>&amp;L&amp;D&amp;R&amp;F,&amp;A</oddFooter>
  </headerFooter>
  <rowBreaks count="1" manualBreakCount="1">
    <brk id="6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87"/>
  <sheetViews>
    <sheetView showGridLines="0" zoomScale="90" zoomScaleNormal="90" workbookViewId="0">
      <selection activeCell="F88" sqref="F88"/>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1" customWidth="1"/>
    <col min="9" max="11" width="17.7109375" style="1" customWidth="1"/>
    <col min="12" max="16384" width="8.85546875" style="1"/>
  </cols>
  <sheetData>
    <row r="2" spans="2:9" x14ac:dyDescent="0.25">
      <c r="B2" s="250" t="s">
        <v>39</v>
      </c>
      <c r="C2" s="250"/>
      <c r="D2" s="250"/>
      <c r="E2" s="250"/>
      <c r="F2" s="250"/>
      <c r="G2" s="250"/>
      <c r="H2" s="250"/>
      <c r="I2" s="250"/>
    </row>
    <row r="3" spans="2:9" ht="18.75" x14ac:dyDescent="0.3">
      <c r="B3" s="284" t="s">
        <v>9</v>
      </c>
      <c r="C3" s="285"/>
      <c r="D3" s="285"/>
      <c r="E3" s="285"/>
      <c r="F3" s="285"/>
      <c r="G3" s="285"/>
      <c r="H3" s="285"/>
      <c r="I3" s="286"/>
    </row>
    <row r="4" spans="2:9" ht="18.75" x14ac:dyDescent="0.3">
      <c r="B4" s="287" t="s">
        <v>40</v>
      </c>
      <c r="C4" s="288"/>
      <c r="D4" s="288"/>
      <c r="E4" s="288"/>
      <c r="F4" s="288"/>
      <c r="G4" s="288"/>
      <c r="H4" s="288"/>
      <c r="I4" s="289"/>
    </row>
    <row r="5" spans="2:9" ht="34.9" customHeight="1" x14ac:dyDescent="0.25">
      <c r="B5" s="283" t="s">
        <v>41</v>
      </c>
      <c r="C5" s="283"/>
      <c r="D5" s="283"/>
      <c r="E5" s="283"/>
      <c r="F5" s="283"/>
      <c r="G5" s="283"/>
      <c r="H5" s="113"/>
    </row>
    <row r="6" spans="2:9" x14ac:dyDescent="0.25">
      <c r="B6" s="114"/>
      <c r="C6" s="114"/>
      <c r="D6" s="114"/>
      <c r="E6" s="114"/>
      <c r="F6" s="114"/>
      <c r="G6" s="114"/>
      <c r="H6" s="113"/>
    </row>
    <row r="7" spans="2:9" ht="29.45" customHeight="1" x14ac:dyDescent="0.25">
      <c r="B7" s="290" t="s">
        <v>174</v>
      </c>
      <c r="C7" s="291"/>
      <c r="D7" s="291"/>
      <c r="E7" s="291"/>
      <c r="F7" s="292"/>
      <c r="H7" s="1"/>
    </row>
    <row r="8" spans="2:9" x14ac:dyDescent="0.25">
      <c r="B8" s="293" t="s">
        <v>42</v>
      </c>
      <c r="C8" s="294"/>
      <c r="D8" s="294"/>
      <c r="E8" s="294"/>
      <c r="F8" s="295"/>
      <c r="H8" s="1"/>
    </row>
    <row r="9" spans="2:9" ht="42.75" customHeight="1" x14ac:dyDescent="0.25">
      <c r="B9" s="3" t="s">
        <v>43</v>
      </c>
      <c r="C9" s="47" t="s">
        <v>44</v>
      </c>
      <c r="D9" s="47" t="s">
        <v>45</v>
      </c>
      <c r="E9" s="47" t="s">
        <v>161</v>
      </c>
      <c r="F9" s="47" t="s">
        <v>162</v>
      </c>
      <c r="H9" s="1"/>
    </row>
    <row r="10" spans="2:9" x14ac:dyDescent="0.25">
      <c r="B10" s="3"/>
      <c r="C10" s="3"/>
      <c r="D10" s="47"/>
      <c r="E10" s="3"/>
      <c r="F10" s="47"/>
      <c r="H10" s="1"/>
    </row>
    <row r="11" spans="2:9" x14ac:dyDescent="0.25">
      <c r="B11" s="3" t="s">
        <v>46</v>
      </c>
      <c r="C11" s="135">
        <v>77445140.788399994</v>
      </c>
      <c r="D11" s="238">
        <v>7.0550648612878103E-2</v>
      </c>
      <c r="E11" s="135">
        <v>119335546.4711</v>
      </c>
      <c r="F11" s="238">
        <v>0.10116539139766501</v>
      </c>
      <c r="H11" s="1"/>
    </row>
    <row r="12" spans="2:9" x14ac:dyDescent="0.25">
      <c r="B12" s="3" t="s">
        <v>47</v>
      </c>
      <c r="C12" s="135">
        <v>113218270.7789</v>
      </c>
      <c r="D12" s="238">
        <v>7.5330808622367004E-2</v>
      </c>
      <c r="E12" s="135">
        <v>171092178.28459999</v>
      </c>
      <c r="F12" s="238">
        <v>0.10059970740240499</v>
      </c>
      <c r="H12" s="1"/>
    </row>
    <row r="13" spans="2:9" x14ac:dyDescent="0.25">
      <c r="B13" s="3" t="s">
        <v>48</v>
      </c>
      <c r="C13" s="135">
        <v>48360391.936399996</v>
      </c>
      <c r="D13" s="238">
        <v>7.3776281413608993E-2</v>
      </c>
      <c r="E13" s="135">
        <v>72631018.919300005</v>
      </c>
      <c r="F13" s="238">
        <v>9.94413645845241E-2</v>
      </c>
      <c r="H13" s="1"/>
    </row>
    <row r="14" spans="2:9" x14ac:dyDescent="0.25">
      <c r="B14" s="3" t="s">
        <v>25</v>
      </c>
      <c r="C14" s="135">
        <v>0</v>
      </c>
      <c r="D14" s="238">
        <v>0</v>
      </c>
      <c r="E14" s="135">
        <v>0</v>
      </c>
      <c r="F14" s="238">
        <v>0</v>
      </c>
      <c r="H14" s="1"/>
    </row>
    <row r="15" spans="2:9" ht="30" x14ac:dyDescent="0.25">
      <c r="B15" s="57" t="s">
        <v>49</v>
      </c>
      <c r="C15" s="136">
        <f>SUM(C11:C14)</f>
        <v>239023803.50369999</v>
      </c>
      <c r="D15" s="239">
        <v>7.3406374279986752E-2</v>
      </c>
      <c r="E15" s="136">
        <f>SUM(E11:E14)</f>
        <v>363058743.67500001</v>
      </c>
      <c r="F15" s="239">
        <v>0.10055020015050863</v>
      </c>
      <c r="H15" s="1"/>
    </row>
    <row r="16" spans="2:9" s="61" customFormat="1" x14ac:dyDescent="0.25">
      <c r="B16" s="115"/>
      <c r="C16" s="62"/>
      <c r="D16" s="62"/>
      <c r="E16" s="62"/>
      <c r="F16" s="62"/>
      <c r="G16" s="62"/>
      <c r="H16" s="62"/>
    </row>
    <row r="17" spans="2:11" s="61" customFormat="1" hidden="1" x14ac:dyDescent="0.25">
      <c r="B17" s="290" t="s">
        <v>184</v>
      </c>
      <c r="C17" s="291"/>
      <c r="D17" s="291"/>
      <c r="E17" s="291"/>
      <c r="F17" s="292"/>
      <c r="G17" s="181"/>
      <c r="H17" s="181"/>
      <c r="I17" s="106"/>
      <c r="J17" s="106"/>
      <c r="K17" s="106"/>
    </row>
    <row r="18" spans="2:11" s="61" customFormat="1" hidden="1" x14ac:dyDescent="0.25">
      <c r="B18" s="293" t="s">
        <v>194</v>
      </c>
      <c r="C18" s="294"/>
      <c r="D18" s="294"/>
      <c r="E18" s="294"/>
      <c r="F18" s="295"/>
      <c r="G18" s="181"/>
      <c r="H18" s="181"/>
      <c r="I18" s="106"/>
      <c r="J18" s="106"/>
      <c r="K18" s="106"/>
    </row>
    <row r="19" spans="2:11" s="61" customFormat="1" hidden="1" x14ac:dyDescent="0.25">
      <c r="B19" s="3" t="s">
        <v>43</v>
      </c>
      <c r="C19" s="47" t="s">
        <v>185</v>
      </c>
      <c r="D19" s="47" t="s">
        <v>186</v>
      </c>
      <c r="E19" s="47" t="s">
        <v>187</v>
      </c>
      <c r="F19" s="47" t="s">
        <v>188</v>
      </c>
      <c r="G19" s="181"/>
      <c r="H19" s="181"/>
      <c r="I19" s="106"/>
      <c r="J19" s="106"/>
      <c r="K19" s="106"/>
    </row>
    <row r="20" spans="2:11" s="61" customFormat="1" hidden="1" x14ac:dyDescent="0.25">
      <c r="B20" s="3"/>
      <c r="C20" s="3"/>
      <c r="D20" s="47"/>
      <c r="E20" s="3"/>
      <c r="F20" s="47"/>
      <c r="G20" s="181"/>
      <c r="H20" s="181"/>
      <c r="I20" s="106"/>
      <c r="J20" s="106"/>
      <c r="K20" s="106"/>
    </row>
    <row r="21" spans="2:11" s="61" customFormat="1" hidden="1" x14ac:dyDescent="0.25">
      <c r="B21" s="3" t="s">
        <v>46</v>
      </c>
      <c r="C21" s="135">
        <v>0</v>
      </c>
      <c r="D21" s="135">
        <v>0</v>
      </c>
      <c r="E21" s="135">
        <v>0</v>
      </c>
      <c r="F21" s="135">
        <v>0</v>
      </c>
      <c r="G21" s="181"/>
      <c r="H21" s="181"/>
      <c r="I21" s="106"/>
      <c r="J21" s="106"/>
      <c r="K21" s="106"/>
    </row>
    <row r="22" spans="2:11" s="61" customFormat="1" hidden="1" x14ac:dyDescent="0.25">
      <c r="B22" s="3" t="s">
        <v>47</v>
      </c>
      <c r="C22" s="135">
        <v>0</v>
      </c>
      <c r="D22" s="135">
        <v>0</v>
      </c>
      <c r="E22" s="135">
        <v>0</v>
      </c>
      <c r="F22" s="135">
        <v>0</v>
      </c>
      <c r="G22" s="181"/>
      <c r="H22" s="181"/>
      <c r="I22" s="106"/>
      <c r="J22" s="106"/>
      <c r="K22" s="106"/>
    </row>
    <row r="23" spans="2:11" s="61" customFormat="1" hidden="1" x14ac:dyDescent="0.25">
      <c r="B23" s="3" t="s">
        <v>48</v>
      </c>
      <c r="C23" s="135">
        <v>0</v>
      </c>
      <c r="D23" s="135">
        <v>0</v>
      </c>
      <c r="E23" s="135">
        <v>0</v>
      </c>
      <c r="F23" s="135">
        <v>0</v>
      </c>
      <c r="G23" s="181"/>
      <c r="H23" s="181"/>
      <c r="I23" s="106"/>
      <c r="J23" s="106"/>
      <c r="K23" s="106"/>
    </row>
    <row r="24" spans="2:11" s="61" customFormat="1" hidden="1" x14ac:dyDescent="0.25">
      <c r="B24" s="3" t="s">
        <v>25</v>
      </c>
      <c r="C24" s="135">
        <v>0</v>
      </c>
      <c r="D24" s="135">
        <v>0</v>
      </c>
      <c r="E24" s="135">
        <v>0</v>
      </c>
      <c r="F24" s="135">
        <v>0</v>
      </c>
      <c r="G24" s="181"/>
      <c r="H24" s="181"/>
      <c r="I24" s="106"/>
      <c r="J24" s="106"/>
      <c r="K24" s="106"/>
    </row>
    <row r="25" spans="2:11" s="61" customFormat="1" ht="30" hidden="1" x14ac:dyDescent="0.25">
      <c r="B25" s="57" t="s">
        <v>49</v>
      </c>
      <c r="C25" s="136">
        <f>SUM(C21:C24)</f>
        <v>0</v>
      </c>
      <c r="D25" s="136">
        <v>0</v>
      </c>
      <c r="E25" s="136">
        <f>SUM(E21:E24)</f>
        <v>0</v>
      </c>
      <c r="F25" s="136">
        <v>0</v>
      </c>
      <c r="G25" s="181"/>
      <c r="H25" s="181"/>
      <c r="I25" s="106"/>
      <c r="J25" s="106"/>
      <c r="K25" s="106"/>
    </row>
    <row r="26" spans="2:11" s="61" customFormat="1" hidden="1" x14ac:dyDescent="0.25">
      <c r="B26" s="115"/>
      <c r="C26" s="62"/>
      <c r="D26" s="62"/>
      <c r="E26" s="62"/>
      <c r="F26" s="62"/>
      <c r="G26" s="181"/>
      <c r="H26" s="181"/>
      <c r="I26" s="106"/>
      <c r="J26" s="106"/>
      <c r="K26" s="106"/>
    </row>
    <row r="27" spans="2:11" s="61" customFormat="1" hidden="1" x14ac:dyDescent="0.25">
      <c r="B27" s="290" t="s">
        <v>189</v>
      </c>
      <c r="C27" s="291"/>
      <c r="D27" s="291"/>
      <c r="E27" s="291"/>
      <c r="F27" s="292"/>
      <c r="G27" s="181"/>
      <c r="H27" s="181"/>
      <c r="I27" s="106"/>
      <c r="J27" s="106"/>
      <c r="K27" s="106"/>
    </row>
    <row r="28" spans="2:11" s="61" customFormat="1" hidden="1" x14ac:dyDescent="0.25">
      <c r="B28" s="293" t="s">
        <v>195</v>
      </c>
      <c r="C28" s="294"/>
      <c r="D28" s="294"/>
      <c r="E28" s="294"/>
      <c r="F28" s="295"/>
      <c r="G28" s="181"/>
      <c r="H28" s="181"/>
      <c r="I28" s="106"/>
      <c r="J28" s="106"/>
      <c r="K28" s="106"/>
    </row>
    <row r="29" spans="2:11" s="61" customFormat="1" hidden="1" x14ac:dyDescent="0.25">
      <c r="B29" s="3" t="s">
        <v>43</v>
      </c>
      <c r="C29" s="47" t="s">
        <v>190</v>
      </c>
      <c r="D29" s="47" t="s">
        <v>191</v>
      </c>
      <c r="E29" s="47" t="s">
        <v>192</v>
      </c>
      <c r="F29" s="47" t="s">
        <v>193</v>
      </c>
      <c r="G29" s="181"/>
      <c r="H29" s="181"/>
      <c r="I29" s="106"/>
      <c r="J29" s="106"/>
      <c r="K29" s="106"/>
    </row>
    <row r="30" spans="2:11" s="61" customFormat="1" hidden="1" x14ac:dyDescent="0.25">
      <c r="B30" s="3"/>
      <c r="C30" s="3"/>
      <c r="D30" s="47"/>
      <c r="E30" s="3"/>
      <c r="F30" s="47"/>
      <c r="G30" s="181"/>
      <c r="H30" s="181"/>
      <c r="I30" s="106"/>
      <c r="J30" s="106"/>
      <c r="K30" s="106"/>
    </row>
    <row r="31" spans="2:11" s="61" customFormat="1" hidden="1" x14ac:dyDescent="0.25">
      <c r="B31" s="3" t="s">
        <v>46</v>
      </c>
      <c r="C31" s="135">
        <v>0</v>
      </c>
      <c r="D31" s="135">
        <v>0</v>
      </c>
      <c r="E31" s="135">
        <v>0</v>
      </c>
      <c r="F31" s="135">
        <v>0</v>
      </c>
      <c r="G31" s="181"/>
      <c r="H31" s="181"/>
      <c r="I31" s="106"/>
      <c r="J31" s="106"/>
      <c r="K31" s="106"/>
    </row>
    <row r="32" spans="2:11" s="61" customFormat="1" hidden="1" x14ac:dyDescent="0.25">
      <c r="B32" s="3" t="s">
        <v>47</v>
      </c>
      <c r="C32" s="135">
        <v>0</v>
      </c>
      <c r="D32" s="135">
        <v>0</v>
      </c>
      <c r="E32" s="135">
        <v>0</v>
      </c>
      <c r="F32" s="135">
        <v>0</v>
      </c>
      <c r="G32" s="181"/>
      <c r="H32" s="181"/>
      <c r="I32" s="106"/>
      <c r="J32" s="106"/>
      <c r="K32" s="106"/>
    </row>
    <row r="33" spans="2:11" s="61" customFormat="1" hidden="1" x14ac:dyDescent="0.25">
      <c r="B33" s="3" t="s">
        <v>48</v>
      </c>
      <c r="C33" s="135">
        <v>0</v>
      </c>
      <c r="D33" s="135">
        <v>0</v>
      </c>
      <c r="E33" s="135">
        <v>0</v>
      </c>
      <c r="F33" s="135">
        <v>0</v>
      </c>
      <c r="G33" s="181"/>
      <c r="H33" s="181"/>
      <c r="I33" s="106"/>
      <c r="J33" s="106"/>
      <c r="K33" s="106"/>
    </row>
    <row r="34" spans="2:11" s="61" customFormat="1" hidden="1" x14ac:dyDescent="0.25">
      <c r="B34" s="3" t="s">
        <v>25</v>
      </c>
      <c r="C34" s="135">
        <v>0</v>
      </c>
      <c r="D34" s="135">
        <v>0</v>
      </c>
      <c r="E34" s="135">
        <v>0</v>
      </c>
      <c r="F34" s="135">
        <v>0</v>
      </c>
      <c r="G34" s="181"/>
      <c r="H34" s="181"/>
      <c r="I34" s="106"/>
      <c r="J34" s="106"/>
      <c r="K34" s="106"/>
    </row>
    <row r="35" spans="2:11" s="61" customFormat="1" ht="30" hidden="1" x14ac:dyDescent="0.25">
      <c r="B35" s="57" t="s">
        <v>49</v>
      </c>
      <c r="C35" s="136">
        <f>SUM(C31:C34)</f>
        <v>0</v>
      </c>
      <c r="D35" s="136">
        <v>0</v>
      </c>
      <c r="E35" s="136">
        <f>SUM(E31:E34)</f>
        <v>0</v>
      </c>
      <c r="F35" s="136">
        <v>0</v>
      </c>
      <c r="G35" s="181"/>
      <c r="H35" s="181"/>
      <c r="I35" s="106"/>
      <c r="J35" s="106"/>
      <c r="K35" s="106"/>
    </row>
    <row r="36" spans="2:11" s="61" customFormat="1" x14ac:dyDescent="0.25">
      <c r="B36" s="115"/>
      <c r="C36" s="62"/>
      <c r="D36" s="62"/>
      <c r="E36" s="62"/>
      <c r="F36" s="62"/>
      <c r="G36" s="62"/>
      <c r="H36" s="62"/>
    </row>
    <row r="37" spans="2:11" ht="45" customHeight="1" x14ac:dyDescent="0.25">
      <c r="B37" s="278" t="s">
        <v>50</v>
      </c>
      <c r="C37" s="279"/>
      <c r="D37" s="279"/>
      <c r="E37" s="279"/>
      <c r="F37" s="279"/>
      <c r="G37" s="279"/>
      <c r="H37" s="279"/>
      <c r="I37" s="279"/>
      <c r="J37" s="280"/>
    </row>
    <row r="38" spans="2:11" x14ac:dyDescent="0.25">
      <c r="B38" s="267" t="s">
        <v>51</v>
      </c>
      <c r="C38" s="268"/>
      <c r="D38" s="268"/>
      <c r="E38" s="268"/>
      <c r="F38" s="268"/>
      <c r="G38" s="268"/>
      <c r="H38" s="268"/>
      <c r="I38" s="268"/>
      <c r="J38" s="269"/>
    </row>
    <row r="39" spans="2:11" ht="42.75" customHeight="1" x14ac:dyDescent="0.25">
      <c r="B39" s="3" t="s">
        <v>43</v>
      </c>
      <c r="C39" s="47" t="s">
        <v>163</v>
      </c>
      <c r="D39" s="47" t="s">
        <v>52</v>
      </c>
      <c r="E39" s="47" t="s">
        <v>164</v>
      </c>
      <c r="F39" s="276" t="s">
        <v>53</v>
      </c>
      <c r="G39" s="277"/>
      <c r="H39" s="116" t="s">
        <v>54</v>
      </c>
      <c r="I39" s="116" t="s">
        <v>55</v>
      </c>
      <c r="J39" s="116" t="s">
        <v>56</v>
      </c>
    </row>
    <row r="40" spans="2:11" x14ac:dyDescent="0.25">
      <c r="B40" s="3"/>
      <c r="C40" s="47"/>
      <c r="D40" s="117"/>
      <c r="E40" s="47"/>
      <c r="F40" s="47" t="s">
        <v>57</v>
      </c>
      <c r="G40" s="47" t="s">
        <v>58</v>
      </c>
      <c r="H40" s="47"/>
      <c r="I40" s="47"/>
      <c r="J40" s="47"/>
    </row>
    <row r="41" spans="2:11" x14ac:dyDescent="0.25">
      <c r="B41" s="3" t="s">
        <v>46</v>
      </c>
      <c r="C41" s="118">
        <v>1175169149.1573999</v>
      </c>
      <c r="D41" s="119">
        <f>(E41/C41)-1</f>
        <v>0.10532509909756138</v>
      </c>
      <c r="E41" s="81">
        <v>1298943956.2488</v>
      </c>
      <c r="F41" s="81">
        <v>259893026.6248</v>
      </c>
      <c r="G41" s="81">
        <v>0</v>
      </c>
      <c r="H41" s="81">
        <v>130215620.4734</v>
      </c>
      <c r="I41" s="81">
        <v>252107615.54949999</v>
      </c>
      <c r="J41" s="81">
        <v>656727693.60099995</v>
      </c>
    </row>
    <row r="42" spans="2:11" x14ac:dyDescent="0.25">
      <c r="B42" s="3" t="s">
        <v>47</v>
      </c>
      <c r="C42" s="118">
        <v>1616166040.0834999</v>
      </c>
      <c r="D42" s="119">
        <f t="shared" ref="D42:D45" si="0">(E42/C42)-1</f>
        <v>0.1581821152232552</v>
      </c>
      <c r="E42" s="81">
        <v>1871814602.8559</v>
      </c>
      <c r="F42" s="81">
        <v>574270982.88250005</v>
      </c>
      <c r="G42" s="81">
        <v>0</v>
      </c>
      <c r="H42" s="81">
        <v>215755412.72060001</v>
      </c>
      <c r="I42" s="81">
        <v>230602325.87169999</v>
      </c>
      <c r="J42" s="81">
        <v>851185881.38110006</v>
      </c>
      <c r="K42" s="111"/>
    </row>
    <row r="43" spans="2:11" x14ac:dyDescent="0.25">
      <c r="B43" s="3" t="s">
        <v>48</v>
      </c>
      <c r="C43" s="118">
        <v>703860926.92879999</v>
      </c>
      <c r="D43" s="119">
        <f t="shared" si="0"/>
        <v>0.14088081449651302</v>
      </c>
      <c r="E43" s="81">
        <v>803021427.60679996</v>
      </c>
      <c r="F43" s="81">
        <v>277954236.80559999</v>
      </c>
      <c r="G43" s="81">
        <v>0</v>
      </c>
      <c r="H43" s="81">
        <v>110978425.5572</v>
      </c>
      <c r="I43" s="81">
        <v>135641475.1471</v>
      </c>
      <c r="J43" s="81">
        <v>278447290.09680003</v>
      </c>
    </row>
    <row r="44" spans="2:11" x14ac:dyDescent="0.25">
      <c r="B44" s="3" t="s">
        <v>25</v>
      </c>
      <c r="C44" s="118">
        <v>0</v>
      </c>
      <c r="D44" s="119"/>
      <c r="E44" s="81">
        <v>0</v>
      </c>
      <c r="F44" s="81"/>
      <c r="G44" s="81"/>
      <c r="H44" s="81"/>
      <c r="I44" s="81"/>
      <c r="J44" s="81"/>
    </row>
    <row r="45" spans="2:11" ht="30" x14ac:dyDescent="0.25">
      <c r="B45" s="57" t="s">
        <v>59</v>
      </c>
      <c r="C45" s="120">
        <f>SUM(C41:C44)</f>
        <v>3495196116.1697001</v>
      </c>
      <c r="D45" s="121">
        <f t="shared" si="0"/>
        <v>0.13692618515102617</v>
      </c>
      <c r="E45" s="120">
        <f t="shared" ref="E45:J45" si="1">SUM(E41:E44)</f>
        <v>3973779986.7115002</v>
      </c>
      <c r="F45" s="82">
        <f t="shared" si="1"/>
        <v>1112118246.3129001</v>
      </c>
      <c r="G45" s="82">
        <f t="shared" si="1"/>
        <v>0</v>
      </c>
      <c r="H45" s="82">
        <f t="shared" si="1"/>
        <v>456949458.75120002</v>
      </c>
      <c r="I45" s="82">
        <f t="shared" si="1"/>
        <v>618351416.56830001</v>
      </c>
      <c r="J45" s="82">
        <f t="shared" si="1"/>
        <v>1786360865.0789001</v>
      </c>
    </row>
    <row r="46" spans="2:11" s="61" customFormat="1" x14ac:dyDescent="0.25">
      <c r="B46" s="115"/>
      <c r="C46" s="62" t="s">
        <v>60</v>
      </c>
      <c r="D46" s="62"/>
      <c r="E46" s="62" t="s">
        <v>60</v>
      </c>
      <c r="F46" s="62"/>
      <c r="G46" s="62"/>
      <c r="H46" s="62"/>
    </row>
    <row r="47" spans="2:11" s="61" customFormat="1" x14ac:dyDescent="0.25">
      <c r="B47" s="115"/>
      <c r="C47" s="62"/>
      <c r="D47" s="62"/>
      <c r="E47" s="236"/>
      <c r="F47" s="62"/>
      <c r="G47" s="62"/>
      <c r="H47" s="62"/>
    </row>
    <row r="48" spans="2:11" s="61" customFormat="1" ht="23.45" customHeight="1" x14ac:dyDescent="0.25">
      <c r="B48" s="278" t="s">
        <v>175</v>
      </c>
      <c r="C48" s="279"/>
      <c r="D48" s="279"/>
      <c r="E48" s="279"/>
      <c r="F48" s="279"/>
      <c r="G48" s="279"/>
      <c r="H48" s="279"/>
      <c r="I48" s="279"/>
      <c r="J48" s="280"/>
    </row>
    <row r="49" spans="2:10" x14ac:dyDescent="0.25">
      <c r="B49" s="267" t="s">
        <v>61</v>
      </c>
      <c r="C49" s="268"/>
      <c r="D49" s="268"/>
      <c r="E49" s="268"/>
      <c r="F49" s="268"/>
      <c r="G49" s="268"/>
      <c r="H49" s="268"/>
      <c r="I49" s="268"/>
      <c r="J49" s="269"/>
    </row>
    <row r="50" spans="2:10" ht="42.75" customHeight="1" x14ac:dyDescent="0.25">
      <c r="B50" s="3" t="s">
        <v>62</v>
      </c>
      <c r="C50" s="3" t="s">
        <v>64</v>
      </c>
      <c r="D50" s="47" t="s">
        <v>63</v>
      </c>
      <c r="E50" s="47" t="s">
        <v>165</v>
      </c>
      <c r="F50" s="281" t="s">
        <v>65</v>
      </c>
      <c r="G50" s="282"/>
      <c r="H50" s="47" t="s">
        <v>66</v>
      </c>
      <c r="I50" s="47" t="s">
        <v>67</v>
      </c>
      <c r="J50" s="47" t="s">
        <v>68</v>
      </c>
    </row>
    <row r="51" spans="2:10" ht="15.75" customHeight="1" x14ac:dyDescent="0.25">
      <c r="B51" s="3"/>
      <c r="C51" s="3"/>
      <c r="D51" s="3"/>
      <c r="E51" s="47"/>
      <c r="F51" s="47" t="s">
        <v>57</v>
      </c>
      <c r="G51" s="47" t="s">
        <v>58</v>
      </c>
      <c r="H51" s="47"/>
      <c r="I51" s="47"/>
      <c r="J51" s="47"/>
    </row>
    <row r="52" spans="2:10" x14ac:dyDescent="0.25">
      <c r="B52" s="209" t="s">
        <v>46</v>
      </c>
      <c r="C52" s="118">
        <v>471332785.14590001</v>
      </c>
      <c r="D52" s="118">
        <v>13921665.478200018</v>
      </c>
      <c r="E52" s="122">
        <v>485254450.62410003</v>
      </c>
      <c r="F52" s="122">
        <v>228242321.78220001</v>
      </c>
      <c r="G52" s="122">
        <v>0</v>
      </c>
      <c r="H52" s="122">
        <v>61610365.313500002</v>
      </c>
      <c r="I52" s="122">
        <v>35744518.387800001</v>
      </c>
      <c r="J52" s="122">
        <v>159657245.14050001</v>
      </c>
    </row>
    <row r="53" spans="2:10" x14ac:dyDescent="0.25">
      <c r="B53" s="209" t="s">
        <v>47</v>
      </c>
      <c r="C53" s="118">
        <v>623890062.65380001</v>
      </c>
      <c r="D53" s="118">
        <v>78678784.861699939</v>
      </c>
      <c r="E53" s="122">
        <v>702568847.51549995</v>
      </c>
      <c r="F53" s="122">
        <v>507339758.31510001</v>
      </c>
      <c r="G53" s="122">
        <v>0</v>
      </c>
      <c r="H53" s="122">
        <v>79033966.462500006</v>
      </c>
      <c r="I53" s="122">
        <v>12708882.3465</v>
      </c>
      <c r="J53" s="122">
        <v>103486240.39139999</v>
      </c>
    </row>
    <row r="54" spans="2:10" x14ac:dyDescent="0.25">
      <c r="B54" s="209" t="s">
        <v>48</v>
      </c>
      <c r="C54" s="118">
        <v>249523456.8107</v>
      </c>
      <c r="D54" s="118">
        <v>41034828.030099988</v>
      </c>
      <c r="E54" s="122">
        <v>290558284.84079999</v>
      </c>
      <c r="F54" s="122">
        <v>172664107.9359</v>
      </c>
      <c r="G54" s="122">
        <v>0</v>
      </c>
      <c r="H54" s="122">
        <v>48649400.142999999</v>
      </c>
      <c r="I54" s="122">
        <v>15015483.4814</v>
      </c>
      <c r="J54" s="122">
        <v>54229293.280500002</v>
      </c>
    </row>
    <row r="55" spans="2:10" x14ac:dyDescent="0.25">
      <c r="B55" s="210" t="s">
        <v>24</v>
      </c>
      <c r="C55" s="118">
        <v>-62334501.608099997</v>
      </c>
      <c r="D55" s="118">
        <v>-7346904.735799998</v>
      </c>
      <c r="E55" s="122">
        <v>-69681406.343899995</v>
      </c>
      <c r="F55" s="122">
        <v>-26108918.7359</v>
      </c>
      <c r="G55" s="122">
        <v>0</v>
      </c>
      <c r="H55" s="122">
        <v>-23660860.9256</v>
      </c>
      <c r="I55" s="122">
        <v>-4031824.2014000001</v>
      </c>
      <c r="J55" s="122">
        <v>-15879802.481000001</v>
      </c>
    </row>
    <row r="56" spans="2:10" x14ac:dyDescent="0.25">
      <c r="B56" s="210" t="s">
        <v>19</v>
      </c>
      <c r="C56" s="3">
        <v>11214283</v>
      </c>
      <c r="D56" s="3">
        <v>5518</v>
      </c>
      <c r="E56" s="122">
        <v>11219801</v>
      </c>
      <c r="F56" s="122">
        <v>0</v>
      </c>
      <c r="G56" s="122">
        <v>0</v>
      </c>
      <c r="H56" s="122">
        <v>0</v>
      </c>
      <c r="I56" s="122">
        <v>11219801</v>
      </c>
      <c r="J56" s="122">
        <v>0</v>
      </c>
    </row>
    <row r="57" spans="2:10" x14ac:dyDescent="0.25">
      <c r="B57" s="210" t="s">
        <v>219</v>
      </c>
      <c r="C57" s="3">
        <v>30000000</v>
      </c>
      <c r="D57" s="3">
        <v>0</v>
      </c>
      <c r="E57" s="122">
        <v>30000000</v>
      </c>
      <c r="F57" s="122">
        <v>0</v>
      </c>
      <c r="G57" s="122">
        <v>0</v>
      </c>
      <c r="H57" s="122">
        <v>0</v>
      </c>
      <c r="I57" s="122">
        <v>30000000</v>
      </c>
      <c r="J57" s="122">
        <v>0</v>
      </c>
    </row>
    <row r="58" spans="2:10" x14ac:dyDescent="0.25">
      <c r="B58" s="3"/>
      <c r="C58" s="3"/>
      <c r="D58" s="3"/>
      <c r="E58" s="122"/>
      <c r="F58" s="122"/>
      <c r="G58" s="122"/>
      <c r="H58" s="122"/>
      <c r="I58" s="122"/>
      <c r="J58" s="122"/>
    </row>
    <row r="59" spans="2:10" x14ac:dyDescent="0.25">
      <c r="B59" s="57" t="s">
        <v>69</v>
      </c>
      <c r="C59" s="211">
        <f>SUM(C52:C58)</f>
        <v>1323626086.0023</v>
      </c>
      <c r="D59" s="211">
        <f>SUM(D52:D58)</f>
        <v>126293891.63419995</v>
      </c>
      <c r="E59" s="211">
        <f t="shared" ref="E59:J59" si="2">SUM(E52:E58)</f>
        <v>1449919977.6365001</v>
      </c>
      <c r="F59" s="211">
        <f t="shared" si="2"/>
        <v>882137269.29729998</v>
      </c>
      <c r="G59" s="211">
        <f t="shared" si="2"/>
        <v>0</v>
      </c>
      <c r="H59" s="211">
        <f t="shared" si="2"/>
        <v>165632870.99340004</v>
      </c>
      <c r="I59" s="211">
        <f t="shared" si="2"/>
        <v>100656861.0143</v>
      </c>
      <c r="J59" s="211">
        <f t="shared" si="2"/>
        <v>301492976.33139998</v>
      </c>
    </row>
    <row r="60" spans="2:10" s="61" customFormat="1" x14ac:dyDescent="0.25">
      <c r="C60" s="62"/>
      <c r="D60" s="62"/>
      <c r="E60" s="62"/>
      <c r="F60" s="124"/>
      <c r="G60" s="124"/>
      <c r="H60" s="124"/>
    </row>
    <row r="61" spans="2:10" s="61" customFormat="1" x14ac:dyDescent="0.25">
      <c r="C61" s="62"/>
      <c r="D61" s="62"/>
      <c r="E61" s="62"/>
      <c r="F61" s="124"/>
      <c r="G61" s="124"/>
      <c r="H61" s="124"/>
    </row>
    <row r="62" spans="2:10" s="61" customFormat="1" x14ac:dyDescent="0.25">
      <c r="B62" s="267" t="s">
        <v>70</v>
      </c>
      <c r="C62" s="268"/>
      <c r="D62" s="268"/>
      <c r="E62" s="268"/>
      <c r="F62" s="268"/>
      <c r="G62" s="268"/>
      <c r="H62" s="269"/>
    </row>
    <row r="63" spans="2:10" s="61" customFormat="1" ht="42.6" customHeight="1" x14ac:dyDescent="0.25">
      <c r="B63" s="3" t="s">
        <v>62</v>
      </c>
      <c r="C63" s="3" t="s">
        <v>166</v>
      </c>
      <c r="D63" s="47" t="s">
        <v>63</v>
      </c>
      <c r="E63" s="47" t="s">
        <v>167</v>
      </c>
      <c r="F63" s="172" t="s">
        <v>71</v>
      </c>
      <c r="G63" s="47" t="s">
        <v>72</v>
      </c>
      <c r="H63" s="47" t="s">
        <v>73</v>
      </c>
    </row>
    <row r="64" spans="2:10" s="61" customFormat="1" x14ac:dyDescent="0.25">
      <c r="B64" s="3" t="s">
        <v>46</v>
      </c>
      <c r="C64" s="118">
        <v>74188794.414100006</v>
      </c>
      <c r="D64" s="118">
        <v>13457586.655899987</v>
      </c>
      <c r="E64" s="122">
        <v>87646381.069999993</v>
      </c>
      <c r="F64" s="122">
        <v>0</v>
      </c>
      <c r="G64" s="122">
        <v>29710893.616599999</v>
      </c>
      <c r="H64" s="122">
        <v>57935487.453500003</v>
      </c>
    </row>
    <row r="65" spans="2:10" s="61" customFormat="1" x14ac:dyDescent="0.25">
      <c r="B65" s="3" t="s">
        <v>47</v>
      </c>
      <c r="C65" s="118">
        <v>75140898.678000003</v>
      </c>
      <c r="D65" s="118">
        <v>12900839.59009999</v>
      </c>
      <c r="E65" s="122">
        <v>88041738.268099993</v>
      </c>
      <c r="F65" s="122">
        <v>0</v>
      </c>
      <c r="G65" s="122">
        <v>25305869.048599999</v>
      </c>
      <c r="H65" s="122">
        <v>62735869.219499998</v>
      </c>
    </row>
    <row r="66" spans="2:10" s="61" customFormat="1" x14ac:dyDescent="0.25">
      <c r="B66" s="3" t="s">
        <v>48</v>
      </c>
      <c r="C66" s="118">
        <v>32968813.6468</v>
      </c>
      <c r="D66" s="118">
        <v>-2728772.2019999996</v>
      </c>
      <c r="E66" s="122">
        <v>30240041.444800001</v>
      </c>
      <c r="F66" s="122">
        <v>0</v>
      </c>
      <c r="G66" s="122">
        <v>13934299.025900001</v>
      </c>
      <c r="H66" s="122">
        <v>16305742.4189</v>
      </c>
    </row>
    <row r="67" spans="2:10" s="61" customFormat="1" x14ac:dyDescent="0.25">
      <c r="B67" s="3" t="s">
        <v>74</v>
      </c>
      <c r="C67" s="118">
        <v>0</v>
      </c>
      <c r="D67" s="118">
        <v>0</v>
      </c>
      <c r="E67" s="122">
        <v>0</v>
      </c>
      <c r="F67" s="122">
        <v>0</v>
      </c>
      <c r="G67" s="122">
        <v>0</v>
      </c>
      <c r="H67" s="122">
        <v>0</v>
      </c>
    </row>
    <row r="68" spans="2:10" s="61" customFormat="1" x14ac:dyDescent="0.25">
      <c r="B68" s="3" t="s">
        <v>75</v>
      </c>
      <c r="C68" s="118">
        <v>2581883</v>
      </c>
      <c r="D68" s="118">
        <v>295606</v>
      </c>
      <c r="E68" s="122">
        <v>2877489</v>
      </c>
      <c r="F68" s="122">
        <v>891852</v>
      </c>
      <c r="G68" s="122">
        <v>429609</v>
      </c>
      <c r="H68" s="122">
        <v>1556028</v>
      </c>
    </row>
    <row r="69" spans="2:10" s="61" customFormat="1" x14ac:dyDescent="0.25">
      <c r="B69" s="57" t="s">
        <v>76</v>
      </c>
      <c r="C69" s="123">
        <f>SUM(C64:C68)</f>
        <v>184880389.73890004</v>
      </c>
      <c r="D69" s="123">
        <f>SUM(D64:D68)</f>
        <v>23925260.043999977</v>
      </c>
      <c r="E69" s="123">
        <f>SUM(E64:E68)</f>
        <v>208805649.78289998</v>
      </c>
      <c r="F69" s="123">
        <f t="shared" ref="F69:H69" si="3">SUM(F64:F68)</f>
        <v>891852</v>
      </c>
      <c r="G69" s="123">
        <f t="shared" si="3"/>
        <v>69380670.691100001</v>
      </c>
      <c r="H69" s="123">
        <f t="shared" si="3"/>
        <v>138533127.09190002</v>
      </c>
    </row>
    <row r="70" spans="2:10" s="61" customFormat="1" x14ac:dyDescent="0.25">
      <c r="C70" s="62"/>
      <c r="D70" s="62"/>
      <c r="E70" s="62"/>
      <c r="F70" s="61" t="s">
        <v>77</v>
      </c>
      <c r="G70" s="124"/>
      <c r="H70" s="124"/>
    </row>
    <row r="71" spans="2:10" s="61" customFormat="1" ht="15.75" thickBot="1" x14ac:dyDescent="0.3">
      <c r="B71" s="113"/>
      <c r="C71" s="124"/>
      <c r="D71" s="124"/>
      <c r="E71" s="124"/>
      <c r="F71" s="124"/>
      <c r="G71" s="124"/>
      <c r="H71" s="124"/>
    </row>
    <row r="72" spans="2:10" s="61" customFormat="1" ht="30" x14ac:dyDescent="0.25">
      <c r="B72" s="125"/>
      <c r="C72" s="126" t="s">
        <v>213</v>
      </c>
      <c r="D72" s="126" t="s">
        <v>63</v>
      </c>
      <c r="E72" s="126" t="s">
        <v>52</v>
      </c>
      <c r="F72" s="127" t="s">
        <v>168</v>
      </c>
      <c r="G72" s="124"/>
      <c r="H72" s="124"/>
      <c r="I72" s="124"/>
    </row>
    <row r="73" spans="2:10" s="61" customFormat="1" x14ac:dyDescent="0.25">
      <c r="B73" s="138" t="s">
        <v>78</v>
      </c>
      <c r="C73" s="137">
        <f>C59+C69</f>
        <v>1508506475.7412</v>
      </c>
      <c r="D73" s="137">
        <f>D59+D69</f>
        <v>150219151.67819992</v>
      </c>
      <c r="E73" s="137">
        <f>D73/C73</f>
        <v>9.9581376741780442E-2</v>
      </c>
      <c r="F73" s="139">
        <f>E59+E69</f>
        <v>1658725627.4194002</v>
      </c>
      <c r="G73" s="124"/>
      <c r="H73" s="124"/>
      <c r="I73" s="124"/>
    </row>
    <row r="74" spans="2:10" s="61" customFormat="1" x14ac:dyDescent="0.25">
      <c r="B74" s="138" t="s">
        <v>79</v>
      </c>
      <c r="C74" s="140">
        <f>'1. Reconciliation'!C11</f>
        <v>1508506475.7411926</v>
      </c>
      <c r="D74" s="140">
        <f>'1. Reconciliation'!C34</f>
        <v>150219151.67812347</v>
      </c>
      <c r="E74" s="141">
        <f>'1. Reconciliation'!C35</f>
        <v>9.958137674173026E-2</v>
      </c>
      <c r="F74" s="142">
        <f>'1. Reconciliation'!C32</f>
        <v>1658725627.4193161</v>
      </c>
      <c r="G74" s="124"/>
      <c r="H74" s="124"/>
      <c r="I74" s="124"/>
    </row>
    <row r="75" spans="2:10" s="61" customFormat="1" ht="18" customHeight="1" thickBot="1" x14ac:dyDescent="0.3">
      <c r="B75" s="143" t="s">
        <v>80</v>
      </c>
      <c r="C75" s="144">
        <f>C73-C74</f>
        <v>7.3909759521484375E-6</v>
      </c>
      <c r="D75" s="144">
        <f t="shared" ref="D75:F75" si="4">D73-D74</f>
        <v>7.6442956924438477E-5</v>
      </c>
      <c r="E75" s="144">
        <f t="shared" si="4"/>
        <v>5.0182080713057076E-14</v>
      </c>
      <c r="F75" s="145">
        <f t="shared" si="4"/>
        <v>8.4161758422851563E-5</v>
      </c>
      <c r="G75" s="124"/>
      <c r="H75" s="124"/>
      <c r="I75" s="124"/>
    </row>
    <row r="76" spans="2:10" s="61" customFormat="1" x14ac:dyDescent="0.25">
      <c r="G76" s="124"/>
      <c r="H76" s="124"/>
      <c r="I76" s="124"/>
      <c r="J76" s="1"/>
    </row>
    <row r="77" spans="2:10" x14ac:dyDescent="0.25">
      <c r="B77" s="128"/>
      <c r="C77" s="129"/>
      <c r="D77" s="130"/>
      <c r="E77" s="131"/>
      <c r="F77" s="131"/>
      <c r="G77" s="131"/>
      <c r="H77" s="132"/>
    </row>
    <row r="78" spans="2:10" x14ac:dyDescent="0.25">
      <c r="B78" s="270" t="s">
        <v>183</v>
      </c>
      <c r="C78" s="271"/>
      <c r="D78" s="271"/>
      <c r="E78" s="271"/>
      <c r="F78" s="271"/>
      <c r="G78" s="272"/>
      <c r="H78" s="132"/>
    </row>
    <row r="79" spans="2:10" x14ac:dyDescent="0.25">
      <c r="B79" s="267" t="s">
        <v>81</v>
      </c>
      <c r="C79" s="268"/>
      <c r="D79" s="268"/>
      <c r="E79" s="268"/>
      <c r="F79" s="268"/>
      <c r="G79" s="269"/>
      <c r="H79" s="133"/>
    </row>
    <row r="80" spans="2:10" x14ac:dyDescent="0.25">
      <c r="B80" s="273" t="s">
        <v>180</v>
      </c>
      <c r="C80" s="274"/>
      <c r="D80" s="274"/>
      <c r="E80" s="274"/>
      <c r="F80" s="275"/>
      <c r="G80" s="179" t="s">
        <v>181</v>
      </c>
    </row>
    <row r="81" spans="2:7" x14ac:dyDescent="0.25">
      <c r="B81" s="261" t="s">
        <v>133</v>
      </c>
      <c r="C81" s="262"/>
      <c r="D81" s="262"/>
      <c r="E81" s="262"/>
      <c r="F81" s="263"/>
      <c r="G81" s="245">
        <v>5715274.4650327554</v>
      </c>
    </row>
    <row r="82" spans="2:7" x14ac:dyDescent="0.25">
      <c r="B82" s="261" t="s">
        <v>109</v>
      </c>
      <c r="C82" s="262"/>
      <c r="D82" s="262"/>
      <c r="E82" s="262"/>
      <c r="F82" s="263"/>
      <c r="G82" s="180">
        <v>3380011.5911337044</v>
      </c>
    </row>
    <row r="83" spans="2:7" x14ac:dyDescent="0.25">
      <c r="B83" s="261" t="s">
        <v>108</v>
      </c>
      <c r="C83" s="262"/>
      <c r="D83" s="262"/>
      <c r="E83" s="262"/>
      <c r="F83" s="263"/>
      <c r="G83" s="180">
        <v>829982.76041051885</v>
      </c>
    </row>
    <row r="84" spans="2:7" ht="15.75" thickBot="1" x14ac:dyDescent="0.3">
      <c r="B84" s="264" t="s">
        <v>182</v>
      </c>
      <c r="C84" s="265"/>
      <c r="D84" s="265"/>
      <c r="E84" s="265"/>
      <c r="F84" s="266"/>
      <c r="G84" s="237">
        <f>SUM(G81:G83)</f>
        <v>9925268.8165769782</v>
      </c>
    </row>
    <row r="85" spans="2:7" ht="15.75" thickTop="1" x14ac:dyDescent="0.25">
      <c r="B85" s="212" t="s">
        <v>220</v>
      </c>
    </row>
    <row r="87" spans="2:7" x14ac:dyDescent="0.25">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21"/>
  <sheetViews>
    <sheetView showGridLines="0" zoomScale="90" zoomScaleNormal="90" workbookViewId="0">
      <selection activeCell="C20" sqref="C20"/>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96" t="s">
        <v>82</v>
      </c>
      <c r="C1" s="296"/>
      <c r="D1" s="296"/>
    </row>
    <row r="2" spans="2:4" ht="21" x14ac:dyDescent="0.35">
      <c r="B2" s="297" t="s">
        <v>5</v>
      </c>
      <c r="C2" s="298"/>
      <c r="D2" s="299"/>
    </row>
    <row r="3" spans="2:4" ht="18.75" x14ac:dyDescent="0.3">
      <c r="B3" s="301" t="s">
        <v>83</v>
      </c>
      <c r="C3" s="302"/>
      <c r="D3" s="303"/>
    </row>
    <row r="4" spans="2:4" ht="74.25" customHeight="1" x14ac:dyDescent="0.25">
      <c r="B4" s="300" t="s">
        <v>211</v>
      </c>
      <c r="C4" s="300"/>
      <c r="D4" s="300"/>
    </row>
    <row r="5" spans="2:4" x14ac:dyDescent="0.25">
      <c r="B5" s="21"/>
      <c r="C5" s="2"/>
      <c r="D5" s="2"/>
    </row>
    <row r="6" spans="2:4" x14ac:dyDescent="0.25">
      <c r="B6" s="305" t="s">
        <v>84</v>
      </c>
      <c r="C6" s="304" t="s">
        <v>85</v>
      </c>
      <c r="D6" s="304" t="s">
        <v>86</v>
      </c>
    </row>
    <row r="7" spans="2:4" x14ac:dyDescent="0.25">
      <c r="B7" s="305"/>
      <c r="C7" s="304"/>
      <c r="D7" s="304"/>
    </row>
    <row r="8" spans="2:4" x14ac:dyDescent="0.25">
      <c r="B8" s="79" t="s">
        <v>150</v>
      </c>
      <c r="C8" s="168"/>
      <c r="D8" s="170">
        <v>3495196116.1697741</v>
      </c>
    </row>
    <row r="9" spans="2:4" x14ac:dyDescent="0.25">
      <c r="B9" s="110"/>
      <c r="C9" s="48"/>
      <c r="D9" s="171"/>
    </row>
    <row r="10" spans="2:4" x14ac:dyDescent="0.25">
      <c r="B10" s="110" t="s">
        <v>221</v>
      </c>
      <c r="C10" s="48">
        <v>1.3796696781158852E-2</v>
      </c>
      <c r="D10" s="171">
        <v>48222161.005478442</v>
      </c>
    </row>
    <row r="11" spans="2:4" x14ac:dyDescent="0.25">
      <c r="B11" s="3" t="s">
        <v>222</v>
      </c>
      <c r="C11" s="48">
        <v>1.0093419150327985E-2</v>
      </c>
      <c r="D11" s="171">
        <v>35278479.413099997</v>
      </c>
    </row>
    <row r="12" spans="2:4" x14ac:dyDescent="0.25">
      <c r="B12" s="3" t="s">
        <v>223</v>
      </c>
      <c r="C12" s="48">
        <v>4.7240152168400986E-3</v>
      </c>
      <c r="D12" s="171">
        <v>16511359.638626426</v>
      </c>
    </row>
    <row r="13" spans="2:4" x14ac:dyDescent="0.25">
      <c r="B13" s="3" t="s">
        <v>224</v>
      </c>
      <c r="C13" s="48">
        <v>3.3163698736635022E-3</v>
      </c>
      <c r="D13" s="171">
        <v>11591363.102211118</v>
      </c>
    </row>
    <row r="14" spans="2:4" x14ac:dyDescent="0.25">
      <c r="B14" s="3" t="s">
        <v>218</v>
      </c>
      <c r="C14" s="48">
        <v>1.1220439645813092E-3</v>
      </c>
      <c r="D14" s="171">
        <v>3921763.7071763277</v>
      </c>
    </row>
    <row r="15" spans="2:4" x14ac:dyDescent="0.25">
      <c r="B15" s="3" t="s">
        <v>225</v>
      </c>
      <c r="C15" s="48">
        <v>0.10387364016440309</v>
      </c>
      <c r="D15" s="171">
        <v>363058743.67503834</v>
      </c>
    </row>
    <row r="16" spans="2:4" x14ac:dyDescent="0.25">
      <c r="B16" s="3"/>
      <c r="C16" s="48"/>
      <c r="D16" s="171"/>
    </row>
    <row r="17" spans="2:4" x14ac:dyDescent="0.25">
      <c r="B17" s="79" t="s">
        <v>151</v>
      </c>
      <c r="C17" s="168">
        <f>SUM(C8:C16)</f>
        <v>0.13692618515097482</v>
      </c>
      <c r="D17" s="170">
        <f t="shared" ref="D17" si="0">SUM(D8:D16)</f>
        <v>3973779986.7114043</v>
      </c>
    </row>
    <row r="18" spans="2:4" x14ac:dyDescent="0.25">
      <c r="B18" s="75"/>
      <c r="C18" s="43"/>
      <c r="D18" s="43"/>
    </row>
    <row r="19" spans="2:4" x14ac:dyDescent="0.25">
      <c r="B19" s="29" t="s">
        <v>169</v>
      </c>
      <c r="C19" s="102"/>
      <c r="D19" s="80">
        <f>SUM(D9:D16)</f>
        <v>478583870.54163063</v>
      </c>
    </row>
    <row r="20" spans="2:4" x14ac:dyDescent="0.25">
      <c r="B20" s="29" t="s">
        <v>170</v>
      </c>
      <c r="C20" s="169">
        <v>0.13692618515097466</v>
      </c>
      <c r="D20" s="103"/>
    </row>
    <row r="21" spans="2:4" x14ac:dyDescent="0.25">
      <c r="B21" s="75" t="s">
        <v>87</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43"/>
  <sheetViews>
    <sheetView showGridLines="0" zoomScale="90" zoomScaleNormal="90" workbookViewId="0">
      <selection activeCell="D11" sqref="D11"/>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50" t="s">
        <v>88</v>
      </c>
      <c r="C1" s="250"/>
      <c r="D1" s="250"/>
      <c r="E1" s="250"/>
      <c r="F1" s="250"/>
      <c r="G1" s="250"/>
    </row>
    <row r="2" spans="2:7" ht="18.75" x14ac:dyDescent="0.3">
      <c r="B2" s="307" t="s">
        <v>9</v>
      </c>
      <c r="C2" s="308"/>
      <c r="D2" s="308"/>
      <c r="E2" s="308"/>
      <c r="F2" s="308"/>
      <c r="G2" s="309"/>
    </row>
    <row r="3" spans="2:7" ht="18.75" x14ac:dyDescent="0.3">
      <c r="B3" s="301" t="s">
        <v>89</v>
      </c>
      <c r="C3" s="302"/>
      <c r="D3" s="302"/>
      <c r="E3" s="302"/>
      <c r="F3" s="302"/>
      <c r="G3" s="303"/>
    </row>
    <row r="4" spans="2:7" ht="63" customHeight="1" x14ac:dyDescent="0.25">
      <c r="B4" s="310" t="s">
        <v>209</v>
      </c>
      <c r="C4" s="311"/>
      <c r="D4" s="311"/>
      <c r="E4" s="311"/>
      <c r="F4" s="311"/>
      <c r="G4" s="312"/>
    </row>
    <row r="5" spans="2:7" ht="17.45" customHeight="1" x14ac:dyDescent="0.25">
      <c r="B5" s="46" t="s">
        <v>90</v>
      </c>
      <c r="C5" s="313" t="s">
        <v>91</v>
      </c>
      <c r="D5" s="314"/>
      <c r="E5" s="314"/>
      <c r="F5" s="315"/>
      <c r="G5" s="56" t="s">
        <v>92</v>
      </c>
    </row>
    <row r="6" spans="2:7" ht="31.5" customHeight="1" x14ac:dyDescent="0.25">
      <c r="B6" s="16"/>
      <c r="C6" s="49" t="s">
        <v>93</v>
      </c>
      <c r="D6" s="50" t="s">
        <v>94</v>
      </c>
      <c r="E6" s="146" t="s">
        <v>208</v>
      </c>
      <c r="F6" s="146" t="s">
        <v>95</v>
      </c>
      <c r="G6" s="16"/>
    </row>
    <row r="7" spans="2:7" ht="31.5" customHeight="1" x14ac:dyDescent="0.25">
      <c r="B7" s="147" t="s">
        <v>96</v>
      </c>
      <c r="C7" s="148">
        <v>0.02</v>
      </c>
      <c r="D7" s="149">
        <v>500000</v>
      </c>
      <c r="E7" s="150">
        <v>0.6</v>
      </c>
      <c r="F7" s="151">
        <f>C7*E7</f>
        <v>1.2E-2</v>
      </c>
      <c r="G7" s="147" t="s">
        <v>97</v>
      </c>
    </row>
    <row r="8" spans="2:7" ht="27" customHeight="1" x14ac:dyDescent="0.25">
      <c r="B8" s="16" t="s">
        <v>226</v>
      </c>
      <c r="C8" s="49">
        <v>2.2764092682546991E-2</v>
      </c>
      <c r="D8" s="50">
        <v>5118912.1770691276</v>
      </c>
      <c r="E8" s="49">
        <v>0.12302542197853079</v>
      </c>
      <c r="F8" s="9">
        <v>2.8005621082287284E-3</v>
      </c>
      <c r="G8" s="16"/>
    </row>
    <row r="9" spans="2:7" ht="27" customHeight="1" x14ac:dyDescent="0.25">
      <c r="B9" s="16" t="s">
        <v>227</v>
      </c>
      <c r="C9" s="49">
        <v>7.4016174216663316E-2</v>
      </c>
      <c r="D9" s="50">
        <v>42374323.268640161</v>
      </c>
      <c r="E9" s="49">
        <v>0.3132158074372044</v>
      </c>
      <c r="F9" s="9">
        <v>2.3183035770684989E-2</v>
      </c>
      <c r="G9" s="16"/>
    </row>
    <row r="10" spans="2:7" ht="27" customHeight="1" x14ac:dyDescent="0.25">
      <c r="B10" s="16" t="s">
        <v>228</v>
      </c>
      <c r="C10" s="49">
        <v>7.0999141458640364E-2</v>
      </c>
      <c r="D10" s="50">
        <v>7392545.4771260023</v>
      </c>
      <c r="E10" s="49">
        <v>5.6965044058132491E-2</v>
      </c>
      <c r="F10" s="9">
        <v>4.0444692212810293E-3</v>
      </c>
      <c r="G10" s="16"/>
    </row>
    <row r="11" spans="2:7" ht="27" customHeight="1" x14ac:dyDescent="0.25">
      <c r="B11" s="16" t="s">
        <v>229</v>
      </c>
      <c r="C11" s="49">
        <v>6.9999999999999965E-2</v>
      </c>
      <c r="D11" s="50">
        <v>9135532.7123409957</v>
      </c>
      <c r="E11" s="49">
        <v>7.1400847534074829E-2</v>
      </c>
      <c r="F11" s="9">
        <v>4.9980593273852352E-3</v>
      </c>
      <c r="G11" s="16"/>
    </row>
    <row r="12" spans="2:7" ht="27" customHeight="1" x14ac:dyDescent="0.25">
      <c r="B12" s="16" t="s">
        <v>176</v>
      </c>
      <c r="C12" s="49">
        <v>5.2838972913606189E-2</v>
      </c>
      <c r="D12" s="50">
        <v>6630545.6181850126</v>
      </c>
      <c r="E12" s="49">
        <v>6.8653460050330226E-2</v>
      </c>
      <c r="F12" s="9">
        <v>3.6275783160247435E-3</v>
      </c>
      <c r="G12" s="16"/>
    </row>
    <row r="13" spans="2:7" ht="27" customHeight="1" x14ac:dyDescent="0.25">
      <c r="B13" s="30" t="s">
        <v>98</v>
      </c>
      <c r="C13" s="49">
        <v>0</v>
      </c>
      <c r="D13" s="50">
        <v>0</v>
      </c>
      <c r="E13" s="49">
        <v>0</v>
      </c>
      <c r="F13" s="9">
        <v>0</v>
      </c>
      <c r="G13" s="16"/>
    </row>
    <row r="14" spans="2:7" ht="27" customHeight="1" x14ac:dyDescent="0.25">
      <c r="B14" s="30" t="s">
        <v>31</v>
      </c>
      <c r="C14" s="49">
        <v>0</v>
      </c>
      <c r="D14" s="50">
        <v>0</v>
      </c>
      <c r="E14" s="49">
        <v>3.0157374124544587E-2</v>
      </c>
      <c r="F14" s="9">
        <v>0</v>
      </c>
      <c r="G14" s="16"/>
    </row>
    <row r="15" spans="2:7" ht="27" customHeight="1" x14ac:dyDescent="0.25">
      <c r="B15" s="30" t="s">
        <v>30</v>
      </c>
      <c r="C15" s="49">
        <v>3.3801821487748213E-2</v>
      </c>
      <c r="D15" s="50">
        <v>6520618.5785833346</v>
      </c>
      <c r="E15" s="49">
        <v>0.10553978935950085</v>
      </c>
      <c r="F15" s="9">
        <v>3.5674371197843961E-3</v>
      </c>
      <c r="G15" s="16"/>
    </row>
    <row r="16" spans="2:7" ht="27" customHeight="1" x14ac:dyDescent="0.25">
      <c r="B16" s="30" t="s">
        <v>178</v>
      </c>
      <c r="C16" s="49">
        <v>4.9278146699507627E-2</v>
      </c>
      <c r="D16" s="50">
        <v>3777511.6135791689</v>
      </c>
      <c r="E16" s="49">
        <v>4.193908701926613E-2</v>
      </c>
      <c r="F16" s="9">
        <v>2.0666804825788124E-3</v>
      </c>
      <c r="G16" s="16"/>
    </row>
    <row r="17" spans="2:7" ht="27" customHeight="1" x14ac:dyDescent="0.25">
      <c r="B17" s="30" t="s">
        <v>230</v>
      </c>
      <c r="C17" s="49">
        <v>7.767487208546571E-2</v>
      </c>
      <c r="D17" s="50">
        <v>6928505.8122676015</v>
      </c>
      <c r="E17" s="49">
        <v>4.8800758113708584E-2</v>
      </c>
      <c r="F17" s="9">
        <v>3.7905926441560672E-3</v>
      </c>
      <c r="G17" s="16"/>
    </row>
    <row r="18" spans="2:7" ht="27" customHeight="1" x14ac:dyDescent="0.25">
      <c r="B18" s="30" t="s">
        <v>179</v>
      </c>
      <c r="C18" s="49">
        <v>3.8948121294257447E-2</v>
      </c>
      <c r="D18" s="50">
        <v>2542772.0025850045</v>
      </c>
      <c r="E18" s="49">
        <v>3.5718107249631939E-2</v>
      </c>
      <c r="F18" s="9">
        <v>1.3911531735599611E-3</v>
      </c>
      <c r="G18" s="16"/>
    </row>
    <row r="19" spans="2:7" ht="27" customHeight="1" x14ac:dyDescent="0.25">
      <c r="B19" s="30" t="s">
        <v>218</v>
      </c>
      <c r="C19" s="49">
        <v>1.7661177085442625E-2</v>
      </c>
      <c r="D19" s="50">
        <v>3376125.8094025268</v>
      </c>
      <c r="E19" s="49">
        <v>0.10458430307507496</v>
      </c>
      <c r="F19" s="9">
        <v>1.8470818969665006E-3</v>
      </c>
      <c r="G19" s="16"/>
    </row>
    <row r="20" spans="2:7" x14ac:dyDescent="0.25">
      <c r="B20" s="11" t="s">
        <v>13</v>
      </c>
      <c r="C20" s="77" t="s">
        <v>99</v>
      </c>
      <c r="D20" s="78">
        <f>SUM(D8:D19)</f>
        <v>93797393.069778934</v>
      </c>
      <c r="E20" s="207">
        <f>SUM(E8:E19)</f>
        <v>0.99999999999999978</v>
      </c>
      <c r="F20" s="206">
        <f>SUM(F8:F19)</f>
        <v>5.1316650060650462E-2</v>
      </c>
      <c r="G20" s="11"/>
    </row>
    <row r="21" spans="2:7" x14ac:dyDescent="0.25">
      <c r="B21" s="18" t="s">
        <v>210</v>
      </c>
      <c r="E21" t="s">
        <v>205</v>
      </c>
    </row>
    <row r="23" spans="2:7" x14ac:dyDescent="0.25">
      <c r="B23" s="306" t="s">
        <v>100</v>
      </c>
      <c r="C23" s="306"/>
      <c r="D23" s="306"/>
      <c r="E23" s="306"/>
      <c r="F23" s="173"/>
    </row>
    <row r="25" spans="2:7" ht="26.25" x14ac:dyDescent="0.4">
      <c r="B25" s="198" t="s">
        <v>204</v>
      </c>
    </row>
    <row r="43" spans="13:13" x14ac:dyDescent="0.25">
      <c r="M43" s="14"/>
    </row>
  </sheetData>
  <mergeCells count="6">
    <mergeCell ref="B23:E23"/>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F18"/>
  <sheetViews>
    <sheetView showGridLines="0" workbookViewId="0">
      <selection activeCell="D15" sqref="D15"/>
    </sheetView>
  </sheetViews>
  <sheetFormatPr defaultColWidth="8.85546875" defaultRowHeight="15" x14ac:dyDescent="0.25"/>
  <cols>
    <col min="1" max="1" width="8.85546875" style="1"/>
    <col min="2" max="2" width="32.28515625" style="40" customWidth="1"/>
    <col min="3" max="4" width="22.28515625" style="40" customWidth="1"/>
    <col min="5" max="5" width="17.5703125" style="40" customWidth="1"/>
    <col min="6" max="6" width="19.5703125" style="40" customWidth="1"/>
    <col min="7" max="16384" width="8.85546875" style="1"/>
  </cols>
  <sheetData>
    <row r="1" spans="2:6" s="106" customFormat="1" x14ac:dyDescent="0.25">
      <c r="B1" s="107"/>
      <c r="C1" s="107"/>
      <c r="D1" s="107"/>
      <c r="E1" s="107"/>
      <c r="F1" s="107"/>
    </row>
    <row r="2" spans="2:6" ht="15.75" x14ac:dyDescent="0.25">
      <c r="B2" s="317" t="s">
        <v>101</v>
      </c>
      <c r="C2" s="317"/>
      <c r="D2" s="317"/>
      <c r="E2" s="317"/>
      <c r="F2" s="317"/>
    </row>
    <row r="3" spans="2:6" ht="18.75" x14ac:dyDescent="0.3">
      <c r="B3" s="318" t="s">
        <v>2</v>
      </c>
      <c r="C3" s="319"/>
      <c r="D3" s="319"/>
      <c r="E3" s="319"/>
      <c r="F3" s="320"/>
    </row>
    <row r="4" spans="2:6" ht="18.75" x14ac:dyDescent="0.3">
      <c r="B4" s="301" t="s">
        <v>102</v>
      </c>
      <c r="C4" s="302"/>
      <c r="D4" s="302"/>
      <c r="E4" s="302"/>
      <c r="F4" s="303"/>
    </row>
    <row r="5" spans="2:6" ht="15.75" x14ac:dyDescent="0.25">
      <c r="B5" s="31"/>
      <c r="C5" s="31"/>
      <c r="D5" s="31"/>
      <c r="E5" s="31"/>
      <c r="F5" s="31"/>
    </row>
    <row r="6" spans="2:6" ht="67.5" customHeight="1" x14ac:dyDescent="0.25">
      <c r="B6" s="316" t="s">
        <v>198</v>
      </c>
      <c r="C6" s="316"/>
      <c r="D6" s="316"/>
      <c r="E6" s="316"/>
      <c r="F6" s="316"/>
    </row>
    <row r="7" spans="2:6" ht="15.75" x14ac:dyDescent="0.25">
      <c r="B7" s="31"/>
      <c r="C7" s="31"/>
      <c r="D7" s="31"/>
      <c r="E7" s="31"/>
      <c r="F7" s="31"/>
    </row>
    <row r="8" spans="2:6" ht="48" customHeight="1" x14ac:dyDescent="0.25">
      <c r="B8" s="32" t="s">
        <v>103</v>
      </c>
      <c r="C8" s="33" t="s">
        <v>171</v>
      </c>
      <c r="D8" s="33" t="s">
        <v>104</v>
      </c>
      <c r="E8" s="33" t="s">
        <v>105</v>
      </c>
      <c r="F8" s="34" t="s">
        <v>106</v>
      </c>
    </row>
    <row r="9" spans="2:6" ht="25.5" customHeight="1" x14ac:dyDescent="0.25">
      <c r="B9" s="35"/>
      <c r="C9" s="36" t="s">
        <v>107</v>
      </c>
      <c r="D9" s="36" t="s">
        <v>172</v>
      </c>
      <c r="E9" s="36" t="s">
        <v>172</v>
      </c>
      <c r="F9" s="37" t="s">
        <v>173</v>
      </c>
    </row>
    <row r="10" spans="2:6" ht="24" customHeight="1" x14ac:dyDescent="0.25">
      <c r="B10" s="38" t="s">
        <v>108</v>
      </c>
      <c r="C10" s="39" t="s">
        <v>231</v>
      </c>
      <c r="D10" s="214">
        <v>7697</v>
      </c>
      <c r="E10" s="214">
        <v>5905409.1534203552</v>
      </c>
      <c r="F10" s="215">
        <v>2302426.0078888163</v>
      </c>
    </row>
    <row r="11" spans="2:6" ht="15.75" x14ac:dyDescent="0.25">
      <c r="B11" s="38" t="s">
        <v>109</v>
      </c>
      <c r="C11" s="39" t="s">
        <v>231</v>
      </c>
      <c r="D11" s="214">
        <v>9861</v>
      </c>
      <c r="E11" s="214">
        <v>10821284.199380936</v>
      </c>
      <c r="F11" s="215">
        <v>1707269.722490042</v>
      </c>
    </row>
    <row r="12" spans="2:6" ht="15.75" x14ac:dyDescent="0.25">
      <c r="B12" s="38" t="s">
        <v>133</v>
      </c>
      <c r="C12" s="39" t="s">
        <v>231</v>
      </c>
      <c r="D12" s="214">
        <v>18066</v>
      </c>
      <c r="E12" s="214"/>
      <c r="F12" s="215">
        <v>4450053.4374759737</v>
      </c>
    </row>
    <row r="13" spans="2:6" ht="15.75" x14ac:dyDescent="0.25">
      <c r="B13" s="196" t="s">
        <v>196</v>
      </c>
      <c r="C13" s="187"/>
      <c r="D13" s="332">
        <v>16793</v>
      </c>
      <c r="E13" s="187"/>
      <c r="F13" s="333">
        <v>4186342.8295903187</v>
      </c>
    </row>
    <row r="14" spans="2:6" ht="15.75" x14ac:dyDescent="0.25">
      <c r="B14" s="197" t="s">
        <v>197</v>
      </c>
      <c r="C14" s="188"/>
      <c r="D14" s="334">
        <v>1273</v>
      </c>
      <c r="E14" s="188"/>
      <c r="F14" s="335">
        <v>263710.60788565496</v>
      </c>
    </row>
    <row r="15" spans="2:6" ht="16.5" thickBot="1" x14ac:dyDescent="0.3">
      <c r="B15" s="185" t="s">
        <v>110</v>
      </c>
      <c r="C15" s="183"/>
      <c r="D15" s="183"/>
      <c r="E15" s="183"/>
      <c r="F15" s="184"/>
    </row>
    <row r="16" spans="2:6" ht="15.75" x14ac:dyDescent="0.25">
      <c r="B16" s="35" t="s">
        <v>111</v>
      </c>
      <c r="C16" s="182"/>
      <c r="D16" s="216">
        <f>SUM(D10:D12)</f>
        <v>35624</v>
      </c>
      <c r="E16" s="216">
        <f>SUM(E10:E15)</f>
        <v>16726693.352801291</v>
      </c>
      <c r="F16" s="216">
        <f>SUM(F10:F12)</f>
        <v>8459749.1678548325</v>
      </c>
    </row>
    <row r="17" spans="2:5" ht="15.75" x14ac:dyDescent="0.25">
      <c r="B17" s="31"/>
    </row>
    <row r="18" spans="2:5" ht="15.75" x14ac:dyDescent="0.25">
      <c r="B18" s="41"/>
      <c r="E18" s="42"/>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L43"/>
  <sheetViews>
    <sheetView showGridLines="0" zoomScale="94" zoomScaleNormal="100" zoomScaleSheetLayoutView="55" workbookViewId="0">
      <selection activeCell="H12" sqref="H12"/>
    </sheetView>
  </sheetViews>
  <sheetFormatPr defaultColWidth="9.140625" defaultRowHeight="15" customHeight="1" x14ac:dyDescent="0.25"/>
  <cols>
    <col min="1" max="1" width="3.5703125" style="104" customWidth="1"/>
    <col min="2" max="2" width="39.7109375" style="104" customWidth="1"/>
    <col min="3" max="3" width="24" style="104" customWidth="1"/>
    <col min="4" max="11" width="22.7109375" style="104" customWidth="1"/>
    <col min="12" max="16384" width="9.140625" style="104"/>
  </cols>
  <sheetData>
    <row r="2" spans="2:11" s="1" customFormat="1" ht="15.75" x14ac:dyDescent="0.25">
      <c r="B2" s="317" t="s">
        <v>112</v>
      </c>
      <c r="C2" s="317"/>
      <c r="D2" s="317"/>
      <c r="E2" s="317"/>
      <c r="F2" s="317"/>
      <c r="G2" s="317"/>
      <c r="H2" s="317"/>
      <c r="I2" s="317"/>
      <c r="J2" s="317"/>
      <c r="K2" s="317"/>
    </row>
    <row r="3" spans="2:11" s="1" customFormat="1" ht="18.75" x14ac:dyDescent="0.3">
      <c r="B3" s="318" t="s">
        <v>113</v>
      </c>
      <c r="C3" s="319"/>
      <c r="D3" s="319"/>
      <c r="E3" s="319"/>
      <c r="F3" s="319"/>
      <c r="G3" s="319"/>
      <c r="H3" s="319"/>
      <c r="I3" s="319"/>
      <c r="J3" s="319"/>
      <c r="K3" s="320"/>
    </row>
    <row r="4" spans="2:11" s="1" customFormat="1" ht="18.75" x14ac:dyDescent="0.3">
      <c r="B4" s="301" t="s">
        <v>114</v>
      </c>
      <c r="C4" s="302"/>
      <c r="D4" s="302"/>
      <c r="E4" s="302"/>
      <c r="F4" s="302"/>
      <c r="G4" s="302"/>
      <c r="H4" s="302"/>
      <c r="I4" s="302"/>
      <c r="J4" s="302"/>
      <c r="K4" s="303"/>
    </row>
    <row r="5" spans="2:11" s="106" customFormat="1" ht="18.75" x14ac:dyDescent="0.3">
      <c r="B5" s="153"/>
      <c r="C5" s="153"/>
      <c r="D5" s="153"/>
      <c r="E5" s="153"/>
      <c r="F5" s="153"/>
      <c r="G5" s="153"/>
      <c r="H5" s="153"/>
      <c r="I5" s="153"/>
      <c r="J5" s="153"/>
      <c r="K5" s="153"/>
    </row>
    <row r="6" spans="2:11" s="106" customFormat="1" ht="18.75" customHeight="1" x14ac:dyDescent="0.25">
      <c r="B6" s="323" t="s">
        <v>203</v>
      </c>
      <c r="C6" s="323"/>
      <c r="D6" s="323"/>
      <c r="E6" s="323"/>
      <c r="F6" s="323"/>
      <c r="G6" s="323"/>
      <c r="H6" s="323"/>
      <c r="I6" s="323"/>
      <c r="J6" s="323"/>
      <c r="K6" s="323"/>
    </row>
    <row r="7" spans="2:11" s="106" customFormat="1" ht="18.75" customHeight="1" x14ac:dyDescent="0.25">
      <c r="B7" s="323"/>
      <c r="C7" s="323"/>
      <c r="D7" s="323"/>
      <c r="E7" s="323"/>
      <c r="F7" s="323"/>
      <c r="G7" s="323"/>
      <c r="H7" s="323"/>
      <c r="I7" s="323"/>
      <c r="J7" s="323"/>
      <c r="K7" s="323"/>
    </row>
    <row r="8" spans="2:11" s="106" customFormat="1" ht="18.75" x14ac:dyDescent="0.3">
      <c r="B8" s="105"/>
      <c r="C8" s="105"/>
      <c r="D8" s="105"/>
      <c r="E8" s="105"/>
      <c r="F8" s="105"/>
      <c r="G8" s="105"/>
      <c r="H8" s="105"/>
    </row>
    <row r="9" spans="2:11" s="154" customFormat="1" x14ac:dyDescent="0.25">
      <c r="B9" s="155"/>
      <c r="D9" s="155"/>
      <c r="E9" s="155"/>
      <c r="F9" s="155"/>
      <c r="G9" s="155"/>
      <c r="H9" s="155"/>
      <c r="I9" s="156"/>
      <c r="J9" s="156"/>
      <c r="K9" s="156"/>
    </row>
    <row r="10" spans="2:11" s="152" customFormat="1" ht="15" customHeight="1" x14ac:dyDescent="0.25">
      <c r="B10" s="321" t="s">
        <v>115</v>
      </c>
      <c r="C10" s="167" t="s">
        <v>116</v>
      </c>
      <c r="D10" s="189" t="s">
        <v>116</v>
      </c>
      <c r="E10" s="163" t="s">
        <v>117</v>
      </c>
      <c r="F10" s="164" t="s">
        <v>202</v>
      </c>
      <c r="G10" s="191" t="s">
        <v>116</v>
      </c>
      <c r="H10" s="163" t="s">
        <v>117</v>
      </c>
      <c r="I10" s="164" t="s">
        <v>202</v>
      </c>
      <c r="J10" s="199" t="s">
        <v>117</v>
      </c>
      <c r="K10" s="200" t="s">
        <v>202</v>
      </c>
    </row>
    <row r="11" spans="2:11" s="152" customFormat="1" x14ac:dyDescent="0.25">
      <c r="B11" s="322"/>
      <c r="C11" s="166" t="s">
        <v>118</v>
      </c>
      <c r="D11" s="328" t="s">
        <v>201</v>
      </c>
      <c r="E11" s="324"/>
      <c r="F11" s="325"/>
      <c r="G11" s="324" t="s">
        <v>119</v>
      </c>
      <c r="H11" s="324"/>
      <c r="I11" s="325"/>
      <c r="J11" s="326" t="s">
        <v>199</v>
      </c>
      <c r="K11" s="327"/>
    </row>
    <row r="12" spans="2:11" ht="15" customHeight="1" x14ac:dyDescent="0.25">
      <c r="B12" s="213" t="s">
        <v>232</v>
      </c>
      <c r="C12" s="217">
        <f>SUM(G12,J12,D12)</f>
        <v>65979090.68</v>
      </c>
      <c r="D12" s="218">
        <v>35648035.399999999</v>
      </c>
      <c r="E12" s="219">
        <v>35648035.399999999</v>
      </c>
      <c r="F12" s="220"/>
      <c r="G12" s="221">
        <v>30331055.280000001</v>
      </c>
      <c r="H12" s="221">
        <v>30331055.280000001</v>
      </c>
      <c r="I12" s="221"/>
      <c r="J12" s="218"/>
      <c r="K12" s="220"/>
    </row>
    <row r="13" spans="2:11" ht="15" customHeight="1" x14ac:dyDescent="0.25">
      <c r="B13" s="222" t="s">
        <v>233</v>
      </c>
      <c r="C13" s="217">
        <f t="shared" ref="C13:C25" si="0">SUM(G13,J13,D13)</f>
        <v>0</v>
      </c>
      <c r="D13" s="223"/>
      <c r="E13" s="224">
        <v>-46855.79</v>
      </c>
      <c r="F13" s="225"/>
      <c r="G13" s="223"/>
      <c r="H13" s="226"/>
      <c r="I13" s="225"/>
      <c r="J13" s="223"/>
      <c r="K13" s="225"/>
    </row>
    <row r="14" spans="2:11" ht="15" customHeight="1" x14ac:dyDescent="0.25">
      <c r="B14" s="222" t="s">
        <v>234</v>
      </c>
      <c r="C14" s="217">
        <f t="shared" si="0"/>
        <v>37365716.740000002</v>
      </c>
      <c r="D14" s="223">
        <v>37365716.740000002</v>
      </c>
      <c r="E14" s="224">
        <v>32383893.700000003</v>
      </c>
      <c r="F14" s="225"/>
      <c r="G14" s="223"/>
      <c r="H14" s="226"/>
      <c r="I14" s="225"/>
      <c r="J14" s="223"/>
      <c r="K14" s="225"/>
    </row>
    <row r="15" spans="2:11" ht="15" customHeight="1" x14ac:dyDescent="0.25">
      <c r="B15" s="222" t="s">
        <v>235</v>
      </c>
      <c r="C15" s="217">
        <f t="shared" si="0"/>
        <v>0</v>
      </c>
      <c r="D15" s="223"/>
      <c r="E15" s="224">
        <v>363061.62</v>
      </c>
      <c r="F15" s="225"/>
      <c r="G15" s="223"/>
      <c r="H15" s="226"/>
      <c r="I15" s="225"/>
      <c r="J15" s="223"/>
      <c r="K15" s="225"/>
    </row>
    <row r="16" spans="2:11" ht="15" customHeight="1" x14ac:dyDescent="0.25">
      <c r="B16" s="222" t="s">
        <v>236</v>
      </c>
      <c r="C16" s="217">
        <f t="shared" si="0"/>
        <v>348400</v>
      </c>
      <c r="D16" s="223">
        <v>348400</v>
      </c>
      <c r="E16" s="224">
        <v>370800</v>
      </c>
      <c r="F16" s="225"/>
      <c r="G16" s="223"/>
      <c r="H16" s="226"/>
      <c r="I16" s="225"/>
      <c r="J16" s="223"/>
      <c r="K16" s="225"/>
    </row>
    <row r="17" spans="2:11" ht="15" customHeight="1" x14ac:dyDescent="0.25">
      <c r="B17" s="222" t="s">
        <v>237</v>
      </c>
      <c r="C17" s="217">
        <f t="shared" si="0"/>
        <v>20636</v>
      </c>
      <c r="D17" s="223">
        <v>20636</v>
      </c>
      <c r="E17" s="224">
        <v>0</v>
      </c>
      <c r="F17" s="225"/>
      <c r="G17" s="223"/>
      <c r="H17" s="226"/>
      <c r="I17" s="225"/>
      <c r="J17" s="223"/>
      <c r="K17" s="225"/>
    </row>
    <row r="18" spans="2:11" ht="15" customHeight="1" x14ac:dyDescent="0.25">
      <c r="B18" s="222" t="s">
        <v>238</v>
      </c>
      <c r="C18" s="217">
        <f t="shared" si="0"/>
        <v>260190.07</v>
      </c>
      <c r="D18" s="223">
        <v>260190.07</v>
      </c>
      <c r="E18" s="224">
        <v>264030.12</v>
      </c>
      <c r="F18" s="225"/>
      <c r="G18" s="227"/>
      <c r="H18" s="224"/>
      <c r="I18" s="228"/>
      <c r="J18" s="223"/>
      <c r="K18" s="225"/>
    </row>
    <row r="19" spans="2:11" ht="15" customHeight="1" x14ac:dyDescent="0.25">
      <c r="B19" s="222" t="s">
        <v>239</v>
      </c>
      <c r="C19" s="217">
        <f t="shared" si="0"/>
        <v>726998</v>
      </c>
      <c r="D19" s="226">
        <v>726998</v>
      </c>
      <c r="E19" s="224">
        <v>96998</v>
      </c>
      <c r="F19" s="225"/>
      <c r="G19" s="227"/>
      <c r="H19" s="224"/>
      <c r="I19" s="228"/>
      <c r="J19" s="223"/>
      <c r="K19" s="225"/>
    </row>
    <row r="20" spans="2:11" ht="15" customHeight="1" x14ac:dyDescent="0.25">
      <c r="B20" s="229" t="s">
        <v>240</v>
      </c>
      <c r="C20" s="217">
        <f t="shared" si="0"/>
        <v>48547</v>
      </c>
      <c r="D20" s="224">
        <v>48547</v>
      </c>
      <c r="E20" s="224">
        <v>48547</v>
      </c>
      <c r="F20" s="228"/>
      <c r="G20" s="227"/>
      <c r="H20" s="224">
        <v>-18442.2</v>
      </c>
      <c r="I20" s="228"/>
      <c r="J20" s="227"/>
      <c r="K20" s="228"/>
    </row>
    <row r="21" spans="2:11" ht="15" customHeight="1" x14ac:dyDescent="0.25">
      <c r="B21" s="229" t="s">
        <v>241</v>
      </c>
      <c r="C21" s="217">
        <f t="shared" si="0"/>
        <v>4500</v>
      </c>
      <c r="D21" s="227">
        <v>4500</v>
      </c>
      <c r="E21" s="224">
        <v>4500</v>
      </c>
      <c r="F21" s="228"/>
      <c r="G21" s="227"/>
      <c r="H21" s="224"/>
      <c r="I21" s="228"/>
      <c r="J21" s="227"/>
      <c r="K21" s="228"/>
    </row>
    <row r="22" spans="2:11" ht="15" customHeight="1" x14ac:dyDescent="0.25">
      <c r="B22" s="229" t="s">
        <v>242</v>
      </c>
      <c r="C22" s="217">
        <f t="shared" si="0"/>
        <v>14609431</v>
      </c>
      <c r="D22" s="227">
        <v>9609431</v>
      </c>
      <c r="E22" s="224">
        <v>9609431</v>
      </c>
      <c r="F22" s="228"/>
      <c r="G22" s="227"/>
      <c r="H22" s="224"/>
      <c r="I22" s="228"/>
      <c r="J22" s="227">
        <v>5000000</v>
      </c>
      <c r="K22" s="228"/>
    </row>
    <row r="23" spans="2:11" ht="15" customHeight="1" x14ac:dyDescent="0.25">
      <c r="B23" s="222" t="s">
        <v>243</v>
      </c>
      <c r="C23" s="217">
        <f t="shared" si="0"/>
        <v>89890.86</v>
      </c>
      <c r="D23" s="226">
        <v>45027.66</v>
      </c>
      <c r="E23" s="224">
        <v>45027.66</v>
      </c>
      <c r="F23" s="225"/>
      <c r="G23" s="227">
        <v>44863.199999999997</v>
      </c>
      <c r="H23" s="226">
        <v>44863.199999999997</v>
      </c>
      <c r="I23" s="225"/>
      <c r="J23" s="223"/>
      <c r="K23" s="228"/>
    </row>
    <row r="24" spans="2:11" ht="15" customHeight="1" x14ac:dyDescent="0.25">
      <c r="B24" s="222" t="s">
        <v>244</v>
      </c>
      <c r="C24" s="217">
        <f t="shared" si="0"/>
        <v>1000000</v>
      </c>
      <c r="D24" s="226">
        <v>1000000</v>
      </c>
      <c r="E24" s="224">
        <v>619861.64</v>
      </c>
      <c r="F24" s="228"/>
      <c r="G24" s="227"/>
      <c r="H24" s="226"/>
      <c r="I24" s="225"/>
      <c r="J24" s="223"/>
      <c r="K24" s="225"/>
    </row>
    <row r="25" spans="2:11" ht="15" customHeight="1" x14ac:dyDescent="0.25">
      <c r="B25" s="222" t="s">
        <v>245</v>
      </c>
      <c r="C25" s="217">
        <f t="shared" si="0"/>
        <v>86109.989999999889</v>
      </c>
      <c r="D25" s="226">
        <v>5179.1299999998882</v>
      </c>
      <c r="E25" s="224">
        <v>2129374.0900000003</v>
      </c>
      <c r="F25" s="228"/>
      <c r="G25" s="227">
        <v>80930.86</v>
      </c>
      <c r="H25" s="226"/>
      <c r="I25" s="225"/>
      <c r="J25" s="223"/>
      <c r="K25" s="225"/>
    </row>
    <row r="26" spans="2:11" ht="15" customHeight="1" x14ac:dyDescent="0.25">
      <c r="B26" s="157" t="s">
        <v>200</v>
      </c>
      <c r="C26" s="195">
        <f t="shared" ref="C26" si="1">+D26+G26</f>
        <v>0</v>
      </c>
      <c r="D26" s="192"/>
      <c r="E26" s="190"/>
      <c r="F26" s="193"/>
      <c r="G26" s="158"/>
      <c r="H26" s="158"/>
      <c r="I26" s="159"/>
      <c r="J26" s="201"/>
      <c r="K26" s="202"/>
    </row>
    <row r="27" spans="2:11" ht="15" customHeight="1" thickBot="1" x14ac:dyDescent="0.3">
      <c r="B27" s="160" t="s">
        <v>120</v>
      </c>
      <c r="C27" s="194">
        <f t="shared" ref="C27:K27" si="2">SUM(C12:C26)</f>
        <v>120539510.33999999</v>
      </c>
      <c r="D27" s="165">
        <f t="shared" si="2"/>
        <v>85082660.999999985</v>
      </c>
      <c r="E27" s="161">
        <f t="shared" si="2"/>
        <v>81536704.440000013</v>
      </c>
      <c r="F27" s="162">
        <f t="shared" si="2"/>
        <v>0</v>
      </c>
      <c r="G27" s="161">
        <f t="shared" si="2"/>
        <v>30456849.34</v>
      </c>
      <c r="H27" s="161">
        <f t="shared" si="2"/>
        <v>30357476.280000001</v>
      </c>
      <c r="I27" s="162">
        <f t="shared" si="2"/>
        <v>0</v>
      </c>
      <c r="J27" s="203">
        <f t="shared" si="2"/>
        <v>5000000</v>
      </c>
      <c r="K27" s="204">
        <f t="shared" si="2"/>
        <v>0</v>
      </c>
    </row>
    <row r="28" spans="2:11" ht="15" customHeight="1" thickTop="1" x14ac:dyDescent="0.25"/>
    <row r="29" spans="2:11" ht="15" customHeight="1" x14ac:dyDescent="0.25">
      <c r="B29" s="230" t="s">
        <v>246</v>
      </c>
    </row>
    <row r="30" spans="2:11" ht="15" customHeight="1" x14ac:dyDescent="0.25">
      <c r="B30" s="231" t="s">
        <v>247</v>
      </c>
      <c r="C30" s="232">
        <f>+D30+G30</f>
        <v>0</v>
      </c>
      <c r="D30" s="233"/>
      <c r="E30" s="233"/>
      <c r="F30" s="234">
        <v>58085251</v>
      </c>
      <c r="G30" s="233">
        <v>0</v>
      </c>
      <c r="H30" s="233"/>
      <c r="I30" s="234">
        <v>0</v>
      </c>
      <c r="J30" s="233"/>
      <c r="K30" s="234">
        <v>0</v>
      </c>
    </row>
    <row r="33" spans="2:12" ht="15" customHeight="1" x14ac:dyDescent="0.25">
      <c r="B33" t="s">
        <v>248</v>
      </c>
      <c r="C33"/>
      <c r="D33"/>
      <c r="E33" s="235"/>
      <c r="F33"/>
      <c r="G33"/>
      <c r="H33" s="235"/>
      <c r="I33"/>
      <c r="J33"/>
      <c r="K33"/>
      <c r="L33"/>
    </row>
    <row r="34" spans="2:12" ht="15" customHeight="1" x14ac:dyDescent="0.25">
      <c r="B34" t="s">
        <v>249</v>
      </c>
      <c r="C34"/>
      <c r="D34" s="235"/>
      <c r="E34" s="235"/>
      <c r="F34"/>
      <c r="G34"/>
      <c r="H34" s="235"/>
      <c r="I34"/>
      <c r="J34"/>
      <c r="K34"/>
      <c r="L34"/>
    </row>
    <row r="35" spans="2:12" ht="15" customHeight="1" x14ac:dyDescent="0.25">
      <c r="B35" t="s">
        <v>250</v>
      </c>
      <c r="C35"/>
      <c r="D35" s="235"/>
      <c r="E35"/>
      <c r="F35"/>
      <c r="G35"/>
      <c r="H35"/>
      <c r="I35"/>
      <c r="J35"/>
      <c r="K35"/>
      <c r="L35"/>
    </row>
    <row r="36" spans="2:12" ht="15" customHeight="1" x14ac:dyDescent="0.25">
      <c r="B36" t="s">
        <v>251</v>
      </c>
      <c r="C36"/>
      <c r="D36" s="235"/>
      <c r="E36"/>
      <c r="F36"/>
      <c r="G36"/>
      <c r="H36"/>
      <c r="I36"/>
      <c r="J36"/>
      <c r="K36"/>
      <c r="L36"/>
    </row>
    <row r="37" spans="2:12" ht="15" customHeight="1" x14ac:dyDescent="0.25">
      <c r="B37" t="s">
        <v>252</v>
      </c>
      <c r="C37"/>
      <c r="D37" s="235"/>
      <c r="E37"/>
      <c r="F37"/>
      <c r="G37"/>
      <c r="H37"/>
      <c r="I37"/>
      <c r="J37"/>
      <c r="K37"/>
      <c r="L37"/>
    </row>
    <row r="38" spans="2:12" ht="15" customHeight="1" x14ac:dyDescent="0.25">
      <c r="B38" t="s">
        <v>253</v>
      </c>
      <c r="C38"/>
      <c r="D38"/>
      <c r="E38"/>
      <c r="F38"/>
      <c r="G38"/>
      <c r="H38"/>
      <c r="I38"/>
      <c r="J38"/>
      <c r="K38"/>
      <c r="L38"/>
    </row>
    <row r="39" spans="2:12" ht="15" customHeight="1" x14ac:dyDescent="0.25">
      <c r="B39" t="s">
        <v>254</v>
      </c>
      <c r="C39"/>
      <c r="D39"/>
      <c r="E39"/>
      <c r="F39"/>
      <c r="G39"/>
      <c r="H39"/>
      <c r="I39"/>
      <c r="J39"/>
      <c r="K39"/>
      <c r="L39"/>
    </row>
    <row r="40" spans="2:12" ht="15" customHeight="1" x14ac:dyDescent="0.25">
      <c r="B40" t="s">
        <v>255</v>
      </c>
      <c r="C40"/>
      <c r="D40"/>
      <c r="E40"/>
      <c r="F40"/>
      <c r="G40"/>
      <c r="H40"/>
      <c r="I40"/>
      <c r="J40"/>
      <c r="K40"/>
      <c r="L40"/>
    </row>
    <row r="41" spans="2:12" ht="15" customHeight="1" x14ac:dyDescent="0.25">
      <c r="B41" t="s">
        <v>256</v>
      </c>
      <c r="C41"/>
      <c r="D41"/>
      <c r="E41"/>
      <c r="F41"/>
      <c r="G41"/>
      <c r="H41"/>
      <c r="I41"/>
      <c r="J41"/>
      <c r="K41"/>
      <c r="L41"/>
    </row>
    <row r="42" spans="2:12" ht="15" customHeight="1" x14ac:dyDescent="0.25">
      <c r="B42" t="s">
        <v>257</v>
      </c>
      <c r="C42"/>
      <c r="D42"/>
      <c r="E42"/>
      <c r="F42"/>
      <c r="G42"/>
      <c r="H42"/>
      <c r="I42"/>
      <c r="J42"/>
      <c r="K42"/>
      <c r="L42"/>
    </row>
    <row r="43" spans="2:12" ht="15" customHeight="1" x14ac:dyDescent="0.25">
      <c r="B43" t="s">
        <v>258</v>
      </c>
      <c r="C43"/>
      <c r="D43"/>
      <c r="E43"/>
      <c r="F43"/>
      <c r="G43"/>
      <c r="H43"/>
      <c r="I43"/>
      <c r="J43"/>
      <c r="K43"/>
      <c r="L43"/>
    </row>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4" customWidth="1"/>
    <col min="2" max="2" width="13.85546875" style="64" customWidth="1"/>
  </cols>
  <sheetData>
    <row r="2" spans="1:2" x14ac:dyDescent="0.25">
      <c r="A2" s="329" t="s">
        <v>121</v>
      </c>
      <c r="B2" s="329"/>
    </row>
    <row r="3" spans="1:2" ht="15.75" x14ac:dyDescent="0.25">
      <c r="A3" s="330" t="s">
        <v>122</v>
      </c>
      <c r="B3" s="330"/>
    </row>
    <row r="4" spans="1:2" ht="24.6" customHeight="1" x14ac:dyDescent="0.25">
      <c r="A4" s="331" t="s">
        <v>123</v>
      </c>
      <c r="B4" s="331"/>
    </row>
    <row r="5" spans="1:2" x14ac:dyDescent="0.25">
      <c r="A5" s="65" t="s">
        <v>124</v>
      </c>
      <c r="B5" s="66">
        <f>'1. Reconciliation'!C32</f>
        <v>1658725627.4193161</v>
      </c>
    </row>
    <row r="6" spans="1:2" x14ac:dyDescent="0.25">
      <c r="A6" s="65" t="s">
        <v>125</v>
      </c>
      <c r="B6" s="67">
        <f>'1. Reconciliation'!C35</f>
        <v>9.958137674173026E-2</v>
      </c>
    </row>
    <row r="7" spans="1:2" x14ac:dyDescent="0.25">
      <c r="A7" s="65" t="s">
        <v>126</v>
      </c>
      <c r="B7" s="67">
        <f>'1. Reconciliation'!C92</f>
        <v>0.15728138407531395</v>
      </c>
    </row>
    <row r="8" spans="1:2" x14ac:dyDescent="0.25">
      <c r="A8" s="68"/>
      <c r="B8" s="69"/>
    </row>
    <row r="9" spans="1:2" x14ac:dyDescent="0.25">
      <c r="A9" s="70" t="s">
        <v>127</v>
      </c>
      <c r="B9" s="71"/>
    </row>
    <row r="10" spans="1:2" ht="39.6" customHeight="1" x14ac:dyDescent="0.25">
      <c r="A10" s="65" t="s">
        <v>128</v>
      </c>
      <c r="B10" s="72">
        <f>+'1. Reconciliation'!C12</f>
        <v>92524913.165014774</v>
      </c>
    </row>
    <row r="11" spans="1:2" x14ac:dyDescent="0.25">
      <c r="A11" s="65" t="s">
        <v>129</v>
      </c>
      <c r="B11" s="72">
        <f>+'1. Reconciliation'!C15</f>
        <v>-6398469.0736209601</v>
      </c>
    </row>
    <row r="12" spans="1:2" x14ac:dyDescent="0.25">
      <c r="A12" s="65" t="s">
        <v>21</v>
      </c>
      <c r="B12" s="72" t="e">
        <f>+'1. Reconciliation'!#REF!</f>
        <v>#REF!</v>
      </c>
    </row>
    <row r="13" spans="1:2" x14ac:dyDescent="0.25">
      <c r="A13" s="65" t="s">
        <v>22</v>
      </c>
      <c r="B13" s="72">
        <f>+'1. Reconciliation'!C17</f>
        <v>5518</v>
      </c>
    </row>
    <row r="14" spans="1:2" ht="44.45" customHeight="1" x14ac:dyDescent="0.25">
      <c r="A14" s="65" t="s">
        <v>23</v>
      </c>
      <c r="B14" s="72">
        <f>+'1. Reconciliation'!C18</f>
        <v>51340068.5189685</v>
      </c>
    </row>
    <row r="15" spans="1:2" x14ac:dyDescent="0.25">
      <c r="A15" s="73" t="s">
        <v>130</v>
      </c>
      <c r="B15" s="74" t="e">
        <f>SUM(B10:B14)</f>
        <v>#REF!</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131</v>
      </c>
    </row>
    <row r="3" spans="2:5" x14ac:dyDescent="0.25">
      <c r="B3" t="s">
        <v>132</v>
      </c>
      <c r="C3" t="s">
        <v>133</v>
      </c>
      <c r="D3" t="s">
        <v>109</v>
      </c>
      <c r="E3" t="s">
        <v>108</v>
      </c>
    </row>
    <row r="4" spans="2:5" x14ac:dyDescent="0.25">
      <c r="B4" s="16" t="s">
        <v>134</v>
      </c>
      <c r="C4" s="25">
        <v>180</v>
      </c>
      <c r="D4" s="25">
        <v>100</v>
      </c>
      <c r="E4" s="16" t="s">
        <v>135</v>
      </c>
    </row>
    <row r="5" spans="2:5" x14ac:dyDescent="0.25">
      <c r="B5" s="16" t="s">
        <v>136</v>
      </c>
      <c r="C5" s="25">
        <v>163</v>
      </c>
      <c r="D5" s="25">
        <v>100</v>
      </c>
      <c r="E5" s="25">
        <v>85</v>
      </c>
    </row>
    <row r="6" spans="2:5" x14ac:dyDescent="0.25">
      <c r="B6" s="16" t="s">
        <v>137</v>
      </c>
      <c r="C6" s="25">
        <v>186</v>
      </c>
      <c r="D6" s="25">
        <v>100</v>
      </c>
      <c r="E6" s="25">
        <v>58</v>
      </c>
    </row>
    <row r="7" spans="2:5" x14ac:dyDescent="0.25">
      <c r="B7" s="16" t="s">
        <v>138</v>
      </c>
      <c r="C7" s="25">
        <v>92</v>
      </c>
      <c r="D7" s="25">
        <v>100</v>
      </c>
      <c r="E7" s="25">
        <v>52</v>
      </c>
    </row>
    <row r="8" spans="2:5" x14ac:dyDescent="0.25">
      <c r="B8" s="16" t="s">
        <v>139</v>
      </c>
      <c r="C8" s="25">
        <v>166</v>
      </c>
      <c r="D8" s="25">
        <v>100</v>
      </c>
      <c r="E8" s="25">
        <v>76</v>
      </c>
    </row>
    <row r="9" spans="2:5" x14ac:dyDescent="0.25">
      <c r="B9" s="16" t="s">
        <v>140</v>
      </c>
      <c r="C9" s="25">
        <v>130</v>
      </c>
      <c r="D9" s="25">
        <v>100</v>
      </c>
      <c r="E9" s="25">
        <v>75</v>
      </c>
    </row>
    <row r="10" spans="2:5" x14ac:dyDescent="0.25">
      <c r="B10" s="16" t="s">
        <v>141</v>
      </c>
      <c r="C10" s="25">
        <v>160</v>
      </c>
      <c r="D10" s="25">
        <v>100</v>
      </c>
      <c r="E10" s="25">
        <v>79</v>
      </c>
    </row>
    <row r="11" spans="2:5" x14ac:dyDescent="0.25">
      <c r="B11" s="16" t="s">
        <v>142</v>
      </c>
      <c r="C11" s="25">
        <v>120</v>
      </c>
      <c r="D11" s="25">
        <v>100</v>
      </c>
      <c r="E11" s="25">
        <v>81</v>
      </c>
    </row>
    <row r="12" spans="2:5" x14ac:dyDescent="0.25">
      <c r="B12" s="16" t="s">
        <v>143</v>
      </c>
      <c r="C12" s="25">
        <v>160</v>
      </c>
      <c r="D12" s="25">
        <v>100</v>
      </c>
      <c r="E12" s="25">
        <v>72</v>
      </c>
    </row>
    <row r="13" spans="2:5" x14ac:dyDescent="0.25">
      <c r="B13" s="16" t="s">
        <v>144</v>
      </c>
      <c r="C13" s="25">
        <v>150</v>
      </c>
      <c r="D13" s="25">
        <v>100</v>
      </c>
      <c r="E13" s="16">
        <v>55</v>
      </c>
    </row>
    <row r="14" spans="2:5" x14ac:dyDescent="0.25">
      <c r="B14" s="16" t="s">
        <v>145</v>
      </c>
      <c r="C14" s="25">
        <v>264</v>
      </c>
      <c r="D14" s="25">
        <v>100</v>
      </c>
      <c r="E14" s="25">
        <v>44</v>
      </c>
    </row>
    <row r="15" spans="2:5" x14ac:dyDescent="0.25">
      <c r="B15" s="16" t="s">
        <v>146</v>
      </c>
      <c r="C15" s="25">
        <v>178</v>
      </c>
      <c r="D15" s="25">
        <v>100</v>
      </c>
      <c r="E15" s="25">
        <v>108</v>
      </c>
    </row>
    <row r="16" spans="2:5" x14ac:dyDescent="0.25">
      <c r="B16" s="16" t="s">
        <v>147</v>
      </c>
      <c r="C16" s="25">
        <v>185</v>
      </c>
      <c r="D16" s="25">
        <v>100</v>
      </c>
      <c r="E16" s="25">
        <v>89</v>
      </c>
    </row>
    <row r="17" spans="2:5" x14ac:dyDescent="0.25">
      <c r="B17" s="16" t="s">
        <v>148</v>
      </c>
      <c r="C17" s="25">
        <v>228</v>
      </c>
      <c r="D17" s="25">
        <v>100</v>
      </c>
      <c r="E17" s="25">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8dbc17e-cec9-4211-a89f-0bf74a616302"/>
    <ds:schemaRef ds:uri="2819d22d-c924-42b3-954a-d3b43813cc67"/>
    <ds:schemaRef ds:uri="http://www.w3.org/XML/1998/namespace"/>
    <ds:schemaRef ds:uri="http://purl.org/dc/dcmitype/"/>
  </ds:schemaRefs>
</ds:datastoreItem>
</file>

<file path=customXml/itemProps2.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Clark, William</cp:lastModifiedBy>
  <cp:revision/>
  <dcterms:created xsi:type="dcterms:W3CDTF">2020-01-09T18:52:12Z</dcterms:created>
  <dcterms:modified xsi:type="dcterms:W3CDTF">2022-06-30T18:55:12Z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