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3612" yWindow="840" windowWidth="14436" windowHeight="12552" activeTab="10"/>
  </bookViews>
  <sheets>
    <sheet name="Notes" sheetId="13" r:id="rId1"/>
    <sheet name="Assumptions" sheetId="4" r:id="rId2"/>
    <sheet name="Table 1" sheetId="5" r:id="rId3"/>
    <sheet name="Table 2" sheetId="6" r:id="rId4"/>
    <sheet name="PL" sheetId="3" r:id="rId5"/>
    <sheet name="BalSht" sheetId="7" r:id="rId6"/>
    <sheet name="Cashflow" sheetId="8" r:id="rId7"/>
    <sheet name="Payer" sheetId="9" r:id="rId8"/>
    <sheet name="Util_Statistics" sheetId="10" r:id="rId9"/>
    <sheet name="STAFF" sheetId="11" r:id="rId10"/>
    <sheet name="Stats" sheetId="12" r:id="rId11"/>
    <sheet name="Report Info" sheetId="2" r:id="rId12"/>
    <sheet name="MOR Ratios" sheetId="1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B" localSheetId="10">#REF!</definedName>
    <definedName name="\B">#REF!</definedName>
    <definedName name="\D" localSheetId="10">#REF!</definedName>
    <definedName name="\D">#REF!</definedName>
    <definedName name="\E" localSheetId="10">#REF!</definedName>
    <definedName name="\E">#REF!</definedName>
    <definedName name="\F" localSheetId="10">#REF!</definedName>
    <definedName name="\F">#REF!</definedName>
    <definedName name="\H" localSheetId="10">#REF!</definedName>
    <definedName name="\H">#REF!</definedName>
    <definedName name="\L" localSheetId="10">#REF!</definedName>
    <definedName name="\L">#REF!</definedName>
    <definedName name="\M" localSheetId="10">#REF!</definedName>
    <definedName name="\M">#REF!</definedName>
    <definedName name="\S" localSheetId="10">#REF!</definedName>
    <definedName name="\S">#REF!</definedName>
    <definedName name="_A66000" localSheetId="10">[1]opsumm!#REF!</definedName>
    <definedName name="_A66000">[1]opsumm!#REF!</definedName>
    <definedName name="_Order1" hidden="1">0</definedName>
    <definedName name="_Order2" hidden="1">0</definedName>
    <definedName name="_Parse_In" localSheetId="10" hidden="1">#REF!</definedName>
    <definedName name="_Parse_In" hidden="1">#REF!</definedName>
    <definedName name="Access_Load" localSheetId="10">#REF!</definedName>
    <definedName name="Access_Load">#REF!</definedName>
    <definedName name="ADC_IP" localSheetId="10">#REF!</definedName>
    <definedName name="ADC_IP">#REF!</definedName>
    <definedName name="Adjusted_Patient_Days" localSheetId="10">#REF!</definedName>
    <definedName name="Adjusted_Patient_Days">#REF!</definedName>
    <definedName name="Admissions_Adjusted" localSheetId="10">#REF!</definedName>
    <definedName name="Admissions_Adjusted">#REF!</definedName>
    <definedName name="Admissions_IP" localSheetId="10">#REF!</definedName>
    <definedName name="Admissions_IP">#REF!</definedName>
    <definedName name="AGE" localSheetId="10">#REF!</definedName>
    <definedName name="AGE">#REF!</definedName>
    <definedName name="ASEARCH" localSheetId="10">#REF!,#REF!,#REF!,#REF!,#REF!,#REF!,#REF!,#REF!</definedName>
    <definedName name="ASEARCH">#REF!,#REF!,#REF!,#REF!,#REF!,#REF!,#REF!,#REF!</definedName>
    <definedName name="CAP" localSheetId="10">[2]CAP!#REF!</definedName>
    <definedName name="CAP">[2]CAP!#REF!</definedName>
    <definedName name="CAP0" localSheetId="10">#REF!</definedName>
    <definedName name="CAP0">#REF!</definedName>
    <definedName name="CAPITAL6" localSheetId="10">#REF!</definedName>
    <definedName name="CAPITAL6">#REF!</definedName>
    <definedName name="CAPITAL8" localSheetId="10">#REF!</definedName>
    <definedName name="CAPITAL8">#REF!</definedName>
    <definedName name="CAPITAL9" localSheetId="10">#REF!</definedName>
    <definedName name="CAPITAL9">#REF!</definedName>
    <definedName name="CASH0" localSheetId="10">#REF!</definedName>
    <definedName name="CASH0">#REF!</definedName>
    <definedName name="CASH2" localSheetId="10">#REF!</definedName>
    <definedName name="CASH2">#REF!</definedName>
    <definedName name="CASH6" localSheetId="10">#REF!</definedName>
    <definedName name="CASH6">#REF!</definedName>
    <definedName name="CASH8" localSheetId="10">#REF!</definedName>
    <definedName name="CASH8">#REF!</definedName>
    <definedName name="CASH9" localSheetId="10">#REF!</definedName>
    <definedName name="CASH9">#REF!</definedName>
    <definedName name="COST0" localSheetId="10">#REF!</definedName>
    <definedName name="COST0">#REF!</definedName>
    <definedName name="COST1" localSheetId="10">#REF!</definedName>
    <definedName name="COST1">#REF!</definedName>
    <definedName name="COST2" localSheetId="10">#REF!</definedName>
    <definedName name="COST2">#REF!</definedName>
    <definedName name="COST6" localSheetId="10">#REF!</definedName>
    <definedName name="COST6">#REF!</definedName>
    <definedName name="COST8" localSheetId="10">#REF!</definedName>
    <definedName name="COST8">#REF!</definedName>
    <definedName name="COST9" localSheetId="10">#REF!</definedName>
    <definedName name="COST9">#REF!</definedName>
    <definedName name="DATA0" localSheetId="10">#REF!</definedName>
    <definedName name="DATA0">#REF!</definedName>
    <definedName name="DATA5" localSheetId="10">#REF!</definedName>
    <definedName name="DATA5">#REF!</definedName>
    <definedName name="DATA6" localSheetId="10">#REF!</definedName>
    <definedName name="DATA6">#REF!</definedName>
    <definedName name="DATA7" localSheetId="10">#REF!</definedName>
    <definedName name="DATA7">#REF!</definedName>
    <definedName name="DATA8" localSheetId="10">#REF!</definedName>
    <definedName name="DATA8">#REF!</definedName>
    <definedName name="DATA9" localSheetId="10">#REF!</definedName>
    <definedName name="DATA9">#REF!</definedName>
    <definedName name="DESIRABLE" localSheetId="10">#REF!</definedName>
    <definedName name="DESIRABLE">#REF!</definedName>
    <definedName name="End" localSheetId="10">#REF!</definedName>
    <definedName name="End">#REF!</definedName>
    <definedName name="FORMAT" localSheetId="10">#REF!,#REF!,#REF!,#REF!,#REF!,#REF!,#REF!,#REF!,#REF!,#REF!,#REF!,#REF!,#REF!,#REF!,#REF!,#REF!,#REF!,#REF!,#REF!,#REF!,#REF!,#REF!,#REF!</definedName>
    <definedName name="FORMAT">#REF!,#REF!,#REF!,#REF!,#REF!,#REF!,#REF!,#REF!,#REF!,#REF!,#REF!,#REF!,#REF!,#REF!,#REF!,#REF!,#REF!,#REF!,#REF!,#REF!,#REF!,#REF!,#REF!</definedName>
    <definedName name="FORMATS" localSheetId="10">#REF!,#REF!,#REF!,#REF!,#REF!,#REF!,#REF!,#REF!,#REF!,#REF!,#REF!,#REF!,#REF!,#REF!,#REF!,#REF!,#REF!,#REF!,#REF!,#REF!,#REF!,#REF!,#REF!</definedName>
    <definedName name="FORMATS">#REF!,#REF!,#REF!,#REF!,#REF!,#REF!,#REF!,#REF!,#REF!,#REF!,#REF!,#REF!,#REF!,#REF!,#REF!,#REF!,#REF!,#REF!,#REF!,#REF!,#REF!,#REF!,#REF!</definedName>
    <definedName name="fy2000_budget">'[3]FY Budget Items'!$B$15:$AA$26</definedName>
    <definedName name="FY2001_budget">'[3]FY Budget Items'!$B$2:$AF$13</definedName>
    <definedName name="FY2004_budget">'[3]FY Budget Items'!$B$2:$AS$13</definedName>
    <definedName name="FY2005_budget">'[3]FY Budget Items'!$B$2:$BB$13</definedName>
    <definedName name="GENERAL">#REF!</definedName>
    <definedName name="hide1">[4]Cover!$A$18:$B$29</definedName>
    <definedName name="InSumm" localSheetId="10">#REF!</definedName>
    <definedName name="InSumm">#REF!</definedName>
    <definedName name="IPsumm" localSheetId="10">#REF!</definedName>
    <definedName name="IPsumm">#REF!</definedName>
    <definedName name="janeen" localSheetId="10">[5]RPT7!#REF!,[5]RPT7!#REF!,[5]RPT7!#REF!</definedName>
    <definedName name="janeen">[5]RPT7!#REF!,[5]RPT7!#REF!,[5]RPT7!#REF!</definedName>
    <definedName name="MAJTEACH" localSheetId="10">#REF!</definedName>
    <definedName name="MAJTEACH">#REF!</definedName>
    <definedName name="monroe" localSheetId="10">#REF!</definedName>
    <definedName name="monroe">#REF!</definedName>
    <definedName name="NEWENG" localSheetId="10">#REF!</definedName>
    <definedName name="NEWENG">#REF!</definedName>
    <definedName name="opsumm" localSheetId="10">#REF!</definedName>
    <definedName name="opsumm">#REF!</definedName>
    <definedName name="OutSum" localSheetId="10">#REF!</definedName>
    <definedName name="OutSum">#REF!</definedName>
    <definedName name="Patient_Days_IP" localSheetId="10">#REF!</definedName>
    <definedName name="Patient_Days_IP">#REF!</definedName>
    <definedName name="PAYER">#REF!</definedName>
    <definedName name="PL">#REF!</definedName>
    <definedName name="PPSSummary" localSheetId="10">#REF!</definedName>
    <definedName name="PPSSummary">#REF!</definedName>
    <definedName name="_xlnm.Print_Area" localSheetId="5">BalSht!$D$2:$S$222</definedName>
    <definedName name="_xlnm.Print_Area" localSheetId="6">Cashflow!$D$1:$L$49</definedName>
    <definedName name="_xlnm.Print_Area" localSheetId="7">Payer!$A$5:$Q$222</definedName>
    <definedName name="_xlnm.Print_Area" localSheetId="4">PL!$D$2:$T$175</definedName>
    <definedName name="_xlnm.Print_Area" localSheetId="9">STAFF!$D$5:$S$61</definedName>
    <definedName name="_xlnm.Print_Area" localSheetId="10">Stats!$C$2:$AJ$34</definedName>
    <definedName name="_xlnm.Print_Area" localSheetId="2">'Table 1'!$A$1:$F$53</definedName>
    <definedName name="_xlnm.Print_Area" localSheetId="3">'Table 2'!$A$1:$G$46</definedName>
    <definedName name="_xlnm.Print_Area" localSheetId="8">Util_Statistics!$C$5:$R$100</definedName>
    <definedName name="_xlnm.Print_Titles" localSheetId="5">BalSht!$1:$1</definedName>
    <definedName name="_xlnm.Print_Titles" localSheetId="7">Payer!$2:$4</definedName>
    <definedName name="_xlnm.Print_Titles" localSheetId="4">PL!$1:$1</definedName>
    <definedName name="_xlnm.Print_Titles" localSheetId="9">STAFF!$1:$4</definedName>
    <definedName name="_xlnm.Print_Titles" localSheetId="10">Stats!$C:$C</definedName>
    <definedName name="_xlnm.Print_Titles" localSheetId="8">Util_Statistics!$1:$4</definedName>
    <definedName name="_xlnm.Print_Titles">#REF!</definedName>
    <definedName name="PROD0" localSheetId="10">#REF!</definedName>
    <definedName name="PROD0">#REF!</definedName>
    <definedName name="PROD1" localSheetId="10">#REF!</definedName>
    <definedName name="PROD1">#REF!</definedName>
    <definedName name="PROD2" localSheetId="10">#REF!</definedName>
    <definedName name="PROD2">#REF!</definedName>
    <definedName name="PROD6" localSheetId="10">#REF!</definedName>
    <definedName name="PROD6">#REF!</definedName>
    <definedName name="PROD8" localSheetId="10">#REF!</definedName>
    <definedName name="PROD8">#REF!</definedName>
    <definedName name="PROD9" localSheetId="10">#REF!</definedName>
    <definedName name="PROD9">#REF!</definedName>
    <definedName name="PRODUCTIVITY6" localSheetId="10">#REF!</definedName>
    <definedName name="PRODUCTIVITY6">#REF!</definedName>
    <definedName name="PRODUCTIVITY8" localSheetId="10">#REF!</definedName>
    <definedName name="PRODUCTIVITY8">#REF!</definedName>
    <definedName name="prof" localSheetId="10">#REF!</definedName>
    <definedName name="prof">#REF!</definedName>
    <definedName name="REPORT1" localSheetId="10">#REF!</definedName>
    <definedName name="REPORT1">#REF!</definedName>
    <definedName name="REPORT11" localSheetId="10">#REF!</definedName>
    <definedName name="REPORT11">#REF!</definedName>
    <definedName name="REPORT3" localSheetId="10">#REF!</definedName>
    <definedName name="REPORT3">#REF!</definedName>
    <definedName name="REPORT4" localSheetId="10">#REF!</definedName>
    <definedName name="REPORT4">#REF!</definedName>
    <definedName name="REPORT5" localSheetId="10">#REF!</definedName>
    <definedName name="REPORT5">#REF!</definedName>
    <definedName name="REPORT6" localSheetId="10">#REF!</definedName>
    <definedName name="REPORT6">#REF!</definedName>
    <definedName name="REPORT7" localSheetId="10">[5]RPT7!#REF!</definedName>
    <definedName name="REPORT7">[5]RPT7!#REF!</definedName>
    <definedName name="REPORT8" localSheetId="10">#REF!</definedName>
    <definedName name="REPORT8">#REF!</definedName>
    <definedName name="Revenue" localSheetId="10">#REF!</definedName>
    <definedName name="Revenue">#REF!</definedName>
    <definedName name="REVENUE0" localSheetId="10">#REF!</definedName>
    <definedName name="REVENUE0">#REF!</definedName>
    <definedName name="REVENUE5" localSheetId="10">#REF!</definedName>
    <definedName name="REVENUE5">#REF!</definedName>
    <definedName name="REVENUE6" localSheetId="10">#REF!</definedName>
    <definedName name="REVENUE6">#REF!</definedName>
    <definedName name="REVENUE7" localSheetId="10">#REF!</definedName>
    <definedName name="REVENUE7">#REF!</definedName>
    <definedName name="REVENUE8" localSheetId="10">#REF!</definedName>
    <definedName name="REVENUE8">#REF!</definedName>
    <definedName name="REVENUE9" localSheetId="10">#REF!</definedName>
    <definedName name="REVENUE9">#REF!</definedName>
    <definedName name="RNFP100249" localSheetId="10">#REF!</definedName>
    <definedName name="RNFP100249">#REF!</definedName>
    <definedName name="RNFP2599" localSheetId="10">#REF!</definedName>
    <definedName name="RNFP2599">#REF!</definedName>
    <definedName name="SEARCH" localSheetId="10">#REF!,#REF!,#REF!,#REF!,#REF!,#REF!,#REF!,#REF!,#REF!,#REF!,#REF!,#REF!,#REF!,#REF!,#REF!,#REF!,#REF!,#REF!,#REF!,#REF!,#REF!,#REF!,#REF!</definedName>
    <definedName name="SEARCH">#REF!,#REF!,#REF!,#REF!,#REF!,#REF!,#REF!,#REF!,#REF!,#REF!,#REF!,#REF!,#REF!,#REF!,#REF!,#REF!,#REF!,#REF!,#REF!,#REF!,#REF!,#REF!,#REF!</definedName>
    <definedName name="SOURCEBOOK" localSheetId="10">#REF!</definedName>
    <definedName name="SOURCEBOOK">#REF!</definedName>
    <definedName name="START" localSheetId="10">#REF!</definedName>
    <definedName name="START">#REF!</definedName>
    <definedName name="STAT" localSheetId="10">#REF!</definedName>
    <definedName name="STAT">#REF!</definedName>
    <definedName name="SYSTEM" localSheetId="10">#REF!</definedName>
    <definedName name="SYSTEM">#REF!</definedName>
    <definedName name="UTIL" localSheetId="10">#REF!</definedName>
    <definedName name="UTIL">#REF!</definedName>
    <definedName name="UTIL0" localSheetId="10">#REF!</definedName>
    <definedName name="UTIL0">#REF!</definedName>
    <definedName name="UTIL2" localSheetId="10">#REF!</definedName>
    <definedName name="UTIL2">#REF!</definedName>
    <definedName name="UTIL6" localSheetId="10">#REF!</definedName>
    <definedName name="UTIL6">#REF!</definedName>
    <definedName name="UTIL8" localSheetId="10">#REF!</definedName>
    <definedName name="UTIL8">#REF!</definedName>
    <definedName name="UTIL9" localSheetId="10">#REF!</definedName>
    <definedName name="UTIL9">#REF!</definedName>
    <definedName name="UTILIZATION6">'[6]24:34'!$A$1:$H$27</definedName>
    <definedName name="UTILIZATION8" localSheetId="10">#REF!</definedName>
    <definedName name="UTILIZATION8">#REF!</definedName>
    <definedName name="wrn.rep1." hidden="1">{"add",#N/A,FALSE,"code"}</definedName>
    <definedName name="x" localSheetId="10" hidden="1">#REF!</definedName>
    <definedName name="x" hidden="1">#REF!</definedName>
  </definedNames>
  <calcPr calcId="145621"/>
</workbook>
</file>

<file path=xl/calcChain.xml><?xml version="1.0" encoding="utf-8"?>
<calcChain xmlns="http://schemas.openxmlformats.org/spreadsheetml/2006/main">
  <c r="E39" i="5" l="1"/>
  <c r="K24" i="14"/>
  <c r="I24" i="14"/>
  <c r="G24" i="14"/>
  <c r="G22" i="14"/>
  <c r="G21" i="14"/>
  <c r="G18" i="14"/>
  <c r="G17" i="14"/>
  <c r="G16" i="14"/>
  <c r="G13" i="14"/>
  <c r="G12" i="14"/>
  <c r="G11" i="14"/>
  <c r="E24" i="14"/>
  <c r="G99" i="10"/>
  <c r="G98" i="10"/>
  <c r="G96" i="10"/>
  <c r="G95" i="10"/>
  <c r="G94" i="10"/>
  <c r="G93" i="10"/>
  <c r="H93" i="10" s="1"/>
  <c r="G92" i="10"/>
  <c r="H92" i="10" s="1"/>
  <c r="G91" i="10"/>
  <c r="G90" i="10"/>
  <c r="G89" i="10"/>
  <c r="G88" i="10"/>
  <c r="G87" i="10"/>
  <c r="H87" i="10" s="1"/>
  <c r="G85" i="10"/>
  <c r="G84" i="10"/>
  <c r="H84" i="10" s="1"/>
  <c r="G82" i="10"/>
  <c r="H82" i="10" s="1"/>
  <c r="G81" i="10"/>
  <c r="G80" i="10"/>
  <c r="G79" i="10"/>
  <c r="H99" i="10"/>
  <c r="H98" i="10"/>
  <c r="H96" i="10"/>
  <c r="H95" i="10"/>
  <c r="H94" i="10"/>
  <c r="H91" i="10"/>
  <c r="H90" i="10"/>
  <c r="H89" i="10"/>
  <c r="H88" i="10"/>
  <c r="H85" i="10"/>
  <c r="H81" i="10"/>
  <c r="H80" i="10"/>
  <c r="H79" i="10"/>
  <c r="H66" i="10"/>
  <c r="H65" i="10"/>
  <c r="H63" i="10"/>
  <c r="H62" i="10"/>
  <c r="H61" i="10"/>
  <c r="H60" i="10"/>
  <c r="H59" i="10"/>
  <c r="H58" i="10"/>
  <c r="H57" i="10"/>
  <c r="H56" i="10"/>
  <c r="H55" i="10"/>
  <c r="H54" i="10"/>
  <c r="H52" i="10"/>
  <c r="H51" i="10"/>
  <c r="H49" i="10"/>
  <c r="H48" i="10"/>
  <c r="H47" i="10"/>
  <c r="H46" i="10"/>
  <c r="H33" i="10"/>
  <c r="H32" i="10"/>
  <c r="H30" i="10"/>
  <c r="H29" i="10"/>
  <c r="H28" i="10"/>
  <c r="H27" i="10"/>
  <c r="H26" i="10"/>
  <c r="H25" i="10"/>
  <c r="H24" i="10"/>
  <c r="H23" i="10"/>
  <c r="H22" i="10"/>
  <c r="H21" i="10"/>
  <c r="H19" i="10"/>
  <c r="H18" i="10"/>
  <c r="H16" i="10"/>
  <c r="H15" i="10"/>
  <c r="H14" i="10"/>
  <c r="H13" i="10"/>
  <c r="G10" i="8"/>
  <c r="G16" i="8"/>
  <c r="G15" i="8"/>
  <c r="G45" i="8"/>
  <c r="G30" i="8"/>
  <c r="G14" i="8"/>
  <c r="G13" i="8"/>
  <c r="Q83" i="7"/>
  <c r="G83" i="7"/>
  <c r="G157" i="7"/>
  <c r="H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I166" i="3"/>
  <c r="I162" i="3"/>
  <c r="I161" i="3"/>
  <c r="I159" i="3"/>
  <c r="I157" i="3"/>
  <c r="I156" i="3"/>
  <c r="I155" i="3"/>
  <c r="I154" i="3"/>
  <c r="I153" i="3"/>
  <c r="I152" i="3"/>
  <c r="I151" i="3"/>
  <c r="I146" i="3"/>
  <c r="I142" i="3"/>
  <c r="I141" i="3"/>
  <c r="I140" i="3"/>
  <c r="I138" i="3"/>
  <c r="I136" i="3"/>
  <c r="I135" i="3"/>
  <c r="I134" i="3"/>
  <c r="I133" i="3"/>
  <c r="I132" i="3"/>
  <c r="I118" i="3"/>
  <c r="I116" i="3"/>
  <c r="I114" i="3"/>
  <c r="I112" i="3"/>
  <c r="I111" i="3"/>
  <c r="I109" i="3"/>
  <c r="I107" i="3"/>
  <c r="I106" i="3"/>
  <c r="I105" i="3"/>
  <c r="I104" i="3"/>
  <c r="I103" i="3"/>
  <c r="I102" i="3"/>
  <c r="I101" i="3"/>
  <c r="I98" i="3"/>
  <c r="I96" i="3"/>
  <c r="I94" i="3"/>
  <c r="I93" i="3"/>
  <c r="I92" i="3"/>
  <c r="I91" i="3"/>
  <c r="I90" i="3"/>
  <c r="I88" i="3"/>
  <c r="I86" i="3"/>
  <c r="I85" i="3"/>
  <c r="I84" i="3"/>
  <c r="I83" i="3"/>
  <c r="I82" i="3"/>
  <c r="G166" i="3"/>
  <c r="G162" i="3"/>
  <c r="G161" i="3"/>
  <c r="G160" i="3"/>
  <c r="G159" i="3"/>
  <c r="G158" i="3"/>
  <c r="G157" i="3"/>
  <c r="G156" i="3"/>
  <c r="G155" i="3"/>
  <c r="G154" i="3"/>
  <c r="G153" i="3"/>
  <c r="G152" i="3"/>
  <c r="G151" i="3"/>
  <c r="G146" i="3"/>
  <c r="G142" i="3"/>
  <c r="G141" i="3"/>
  <c r="G140" i="3"/>
  <c r="G138" i="3"/>
  <c r="G137" i="3"/>
  <c r="G136" i="3"/>
  <c r="G135" i="3"/>
  <c r="G134" i="3"/>
  <c r="G133" i="3"/>
  <c r="G132" i="3"/>
  <c r="G118" i="3"/>
  <c r="G116" i="3"/>
  <c r="G114" i="3"/>
  <c r="G112" i="3"/>
  <c r="G111" i="3"/>
  <c r="G110" i="3"/>
  <c r="G109" i="3"/>
  <c r="G108" i="3"/>
  <c r="G107" i="3"/>
  <c r="G106" i="3"/>
  <c r="G105" i="3"/>
  <c r="G104" i="3"/>
  <c r="G103" i="3"/>
  <c r="G102" i="3"/>
  <c r="G101" i="3"/>
  <c r="G98" i="3"/>
  <c r="G96" i="3"/>
  <c r="G94" i="3"/>
  <c r="G93" i="3"/>
  <c r="G92" i="3"/>
  <c r="G91" i="3"/>
  <c r="G90" i="3"/>
  <c r="G88" i="3"/>
  <c r="G87" i="3"/>
  <c r="G86" i="3"/>
  <c r="G85" i="3"/>
  <c r="G84" i="3"/>
  <c r="G83" i="3"/>
  <c r="G82" i="3"/>
  <c r="G50" i="3"/>
  <c r="G48" i="3"/>
  <c r="G46" i="3"/>
  <c r="G44" i="3"/>
  <c r="G43" i="3"/>
  <c r="G42" i="3"/>
  <c r="G41" i="3"/>
  <c r="G40" i="3"/>
  <c r="G39" i="3"/>
  <c r="G38" i="3"/>
  <c r="G37" i="3"/>
  <c r="G36" i="3"/>
  <c r="G35" i="3"/>
  <c r="G34" i="3"/>
  <c r="G33" i="3"/>
  <c r="G30" i="3"/>
  <c r="G28" i="3"/>
  <c r="G26" i="3"/>
  <c r="G25" i="3"/>
  <c r="G24" i="3"/>
  <c r="G23" i="3"/>
  <c r="G22" i="3"/>
  <c r="G20" i="3"/>
  <c r="G19" i="3"/>
  <c r="G18" i="3"/>
  <c r="G17" i="3"/>
  <c r="G16" i="3"/>
  <c r="G15" i="3"/>
  <c r="G14" i="3"/>
  <c r="I50" i="3"/>
  <c r="I48" i="3"/>
  <c r="I46" i="3"/>
  <c r="I44" i="3"/>
  <c r="I43" i="3"/>
  <c r="I41" i="3"/>
  <c r="I39" i="3"/>
  <c r="I38" i="3"/>
  <c r="I37" i="3"/>
  <c r="I36" i="3"/>
  <c r="I35" i="3"/>
  <c r="I34" i="3"/>
  <c r="I33" i="3"/>
  <c r="I30" i="3"/>
  <c r="I28" i="3"/>
  <c r="I26" i="3"/>
  <c r="I25" i="3"/>
  <c r="I24" i="3"/>
  <c r="I23" i="3"/>
  <c r="I22" i="3"/>
  <c r="I20" i="3"/>
  <c r="I18" i="3"/>
  <c r="I17" i="3"/>
  <c r="I16" i="3"/>
  <c r="I15" i="3"/>
  <c r="I14" i="3"/>
  <c r="M222" i="7"/>
  <c r="M220" i="7"/>
  <c r="M218" i="7"/>
  <c r="M216" i="7"/>
  <c r="M214" i="7"/>
  <c r="M213" i="7"/>
  <c r="M212" i="7"/>
  <c r="M211" i="7"/>
  <c r="M210" i="7"/>
  <c r="M207" i="7"/>
  <c r="M206" i="7"/>
  <c r="M205" i="7"/>
  <c r="M204" i="7"/>
  <c r="M203" i="7"/>
  <c r="M202" i="7"/>
  <c r="M201" i="7"/>
  <c r="M195" i="7"/>
  <c r="M193" i="7"/>
  <c r="M191" i="7"/>
  <c r="M189" i="7"/>
  <c r="M188" i="7"/>
  <c r="M187" i="7"/>
  <c r="M186" i="7"/>
  <c r="M185" i="7"/>
  <c r="M182" i="7"/>
  <c r="M181" i="7"/>
  <c r="M180" i="7"/>
  <c r="M179" i="7"/>
  <c r="M178" i="7"/>
  <c r="M177" i="7"/>
  <c r="M174" i="7"/>
  <c r="M173" i="7"/>
  <c r="M172" i="7"/>
  <c r="M171" i="7"/>
  <c r="M170" i="7"/>
  <c r="M169" i="7"/>
  <c r="M167" i="7"/>
  <c r="M166" i="7"/>
  <c r="M165" i="7"/>
  <c r="M164" i="7"/>
  <c r="M163" i="7"/>
  <c r="M162" i="7"/>
  <c r="M161" i="7"/>
  <c r="M148" i="7"/>
  <c r="M146" i="7"/>
  <c r="M144" i="7"/>
  <c r="M142" i="7"/>
  <c r="M140" i="7"/>
  <c r="M139" i="7"/>
  <c r="M138" i="7"/>
  <c r="M137" i="7"/>
  <c r="M136" i="7"/>
  <c r="M133" i="7"/>
  <c r="M132" i="7"/>
  <c r="M131" i="7"/>
  <c r="M130" i="7"/>
  <c r="M129" i="7"/>
  <c r="M128" i="7"/>
  <c r="M127" i="7"/>
  <c r="M121" i="7"/>
  <c r="M119" i="7"/>
  <c r="M117" i="7"/>
  <c r="M115" i="7"/>
  <c r="M114" i="7"/>
  <c r="M113" i="7"/>
  <c r="M112" i="7"/>
  <c r="M111" i="7"/>
  <c r="M108" i="7"/>
  <c r="M107" i="7"/>
  <c r="M106" i="7"/>
  <c r="M105" i="7"/>
  <c r="M104" i="7"/>
  <c r="M103" i="7"/>
  <c r="M100" i="7"/>
  <c r="M99" i="7"/>
  <c r="M98" i="7"/>
  <c r="M97" i="7"/>
  <c r="M96" i="7"/>
  <c r="M95" i="7"/>
  <c r="M93" i="7"/>
  <c r="M92" i="7"/>
  <c r="M91" i="7"/>
  <c r="M90" i="7"/>
  <c r="M89" i="7"/>
  <c r="M88" i="7"/>
  <c r="M87" i="7"/>
  <c r="M74" i="7"/>
  <c r="M72" i="7"/>
  <c r="M70" i="7"/>
  <c r="M68" i="7"/>
  <c r="M66" i="7"/>
  <c r="M65" i="7"/>
  <c r="M64" i="7"/>
  <c r="M63" i="7"/>
  <c r="M62" i="7"/>
  <c r="M59" i="7"/>
  <c r="M58" i="7"/>
  <c r="M57" i="7"/>
  <c r="M56" i="7"/>
  <c r="M55" i="7"/>
  <c r="M54" i="7"/>
  <c r="M53" i="7"/>
  <c r="M47" i="7"/>
  <c r="M45" i="7"/>
  <c r="M43" i="7"/>
  <c r="M41" i="7"/>
  <c r="M40" i="7"/>
  <c r="M39" i="7"/>
  <c r="M38" i="7"/>
  <c r="M37" i="7"/>
  <c r="M34" i="7"/>
  <c r="M33" i="7"/>
  <c r="M32" i="7"/>
  <c r="M31" i="7"/>
  <c r="M30" i="7"/>
  <c r="M29" i="7"/>
  <c r="M26" i="7"/>
  <c r="M25" i="7"/>
  <c r="M24" i="7"/>
  <c r="M23" i="7"/>
  <c r="M22" i="7"/>
  <c r="M21" i="7"/>
  <c r="M19" i="7"/>
  <c r="M18" i="7"/>
  <c r="M17" i="7"/>
  <c r="M16" i="7"/>
  <c r="M15" i="7"/>
  <c r="M14" i="7"/>
  <c r="M13" i="7"/>
  <c r="K74" i="7"/>
  <c r="K72" i="7"/>
  <c r="K70" i="7"/>
  <c r="K68" i="7"/>
  <c r="K66" i="7"/>
  <c r="K65" i="7"/>
  <c r="K64" i="7"/>
  <c r="K63" i="7"/>
  <c r="K62" i="7"/>
  <c r="K59" i="7"/>
  <c r="K58" i="7"/>
  <c r="K57" i="7"/>
  <c r="K56" i="7"/>
  <c r="K55" i="7"/>
  <c r="K54" i="7"/>
  <c r="K53" i="7"/>
  <c r="K47" i="7"/>
  <c r="K45" i="7"/>
  <c r="K43" i="7"/>
  <c r="K41" i="7"/>
  <c r="K40" i="7"/>
  <c r="K39" i="7"/>
  <c r="K38" i="7"/>
  <c r="K37" i="7"/>
  <c r="K34" i="7"/>
  <c r="K33" i="7"/>
  <c r="K32" i="7"/>
  <c r="K31" i="7"/>
  <c r="K30" i="7"/>
  <c r="K29" i="7"/>
  <c r="K26" i="7"/>
  <c r="K25" i="7"/>
  <c r="K24" i="7"/>
  <c r="K23" i="7"/>
  <c r="K22" i="7"/>
  <c r="K21" i="7"/>
  <c r="K19" i="7"/>
  <c r="K17" i="7"/>
  <c r="K16" i="7"/>
  <c r="K15" i="7"/>
  <c r="K14" i="7"/>
  <c r="K13" i="7"/>
  <c r="I222" i="7"/>
  <c r="I220" i="7"/>
  <c r="I218" i="7"/>
  <c r="I216" i="7"/>
  <c r="I214" i="7"/>
  <c r="I213" i="7"/>
  <c r="I212" i="7"/>
  <c r="I211" i="7"/>
  <c r="I210" i="7"/>
  <c r="I207" i="7"/>
  <c r="I206" i="7"/>
  <c r="I205" i="7"/>
  <c r="I204" i="7"/>
  <c r="I203" i="7"/>
  <c r="I202" i="7"/>
  <c r="I201" i="7"/>
  <c r="I195" i="7"/>
  <c r="I193" i="7"/>
  <c r="I191" i="7"/>
  <c r="I189" i="7"/>
  <c r="I188" i="7"/>
  <c r="I187" i="7"/>
  <c r="I186" i="7"/>
  <c r="I185" i="7"/>
  <c r="I182" i="7"/>
  <c r="I181" i="7"/>
  <c r="I180" i="7"/>
  <c r="I179" i="7"/>
  <c r="I178" i="7"/>
  <c r="I177" i="7"/>
  <c r="I174" i="7"/>
  <c r="I173" i="7"/>
  <c r="I172" i="7"/>
  <c r="I171" i="7"/>
  <c r="I170" i="7"/>
  <c r="I169" i="7"/>
  <c r="I167" i="7"/>
  <c r="I165" i="7"/>
  <c r="I164" i="7"/>
  <c r="I163" i="7"/>
  <c r="I162" i="7"/>
  <c r="I161" i="7"/>
  <c r="I148" i="7"/>
  <c r="I146" i="7"/>
  <c r="I144" i="7"/>
  <c r="I142" i="7"/>
  <c r="I140" i="7"/>
  <c r="I139" i="7"/>
  <c r="I138" i="7"/>
  <c r="I137" i="7"/>
  <c r="I136" i="7"/>
  <c r="I133" i="7"/>
  <c r="I132" i="7"/>
  <c r="I131" i="7"/>
  <c r="I130" i="7"/>
  <c r="I129" i="7"/>
  <c r="I128" i="7"/>
  <c r="I127" i="7"/>
  <c r="I121" i="7"/>
  <c r="I119" i="7"/>
  <c r="I117" i="7"/>
  <c r="I115" i="7"/>
  <c r="I114" i="7"/>
  <c r="I113" i="7"/>
  <c r="I112" i="7"/>
  <c r="I111" i="7"/>
  <c r="I108" i="7"/>
  <c r="I107" i="7"/>
  <c r="I106" i="7"/>
  <c r="I105" i="7"/>
  <c r="I104" i="7"/>
  <c r="I103" i="7"/>
  <c r="I100" i="7"/>
  <c r="I99" i="7"/>
  <c r="I98" i="7"/>
  <c r="I97" i="7"/>
  <c r="I96" i="7"/>
  <c r="I95" i="7"/>
  <c r="I93" i="7"/>
  <c r="I91" i="7"/>
  <c r="I90" i="7"/>
  <c r="I89" i="7"/>
  <c r="I88" i="7"/>
  <c r="I87" i="7"/>
  <c r="I74" i="7"/>
  <c r="I72" i="7"/>
  <c r="I70" i="7"/>
  <c r="I68" i="7"/>
  <c r="I66" i="7"/>
  <c r="I65" i="7"/>
  <c r="I64" i="7"/>
  <c r="I63" i="7"/>
  <c r="I62" i="7"/>
  <c r="I59" i="7"/>
  <c r="I58" i="7"/>
  <c r="I57" i="7"/>
  <c r="I56" i="7"/>
  <c r="I55" i="7"/>
  <c r="I54" i="7"/>
  <c r="I53" i="7"/>
  <c r="I47" i="7"/>
  <c r="I45" i="7"/>
  <c r="I43" i="7"/>
  <c r="I41" i="7"/>
  <c r="I40" i="7"/>
  <c r="I39" i="7"/>
  <c r="I38" i="7"/>
  <c r="I37" i="7"/>
  <c r="I34" i="7"/>
  <c r="I33" i="7"/>
  <c r="I32" i="7"/>
  <c r="I31" i="7"/>
  <c r="I30" i="7"/>
  <c r="I29" i="7"/>
  <c r="I26" i="7"/>
  <c r="I25" i="7"/>
  <c r="I24" i="7"/>
  <c r="I23" i="7"/>
  <c r="I22" i="7"/>
  <c r="I21" i="7"/>
  <c r="I19" i="7"/>
  <c r="I17" i="7"/>
  <c r="I16" i="7"/>
  <c r="I15" i="7"/>
  <c r="I14" i="7"/>
  <c r="I13" i="7"/>
  <c r="G222" i="7"/>
  <c r="G220" i="7"/>
  <c r="G218" i="7"/>
  <c r="G216" i="7"/>
  <c r="G214" i="7"/>
  <c r="G213" i="7"/>
  <c r="G212" i="7"/>
  <c r="G211" i="7"/>
  <c r="G210" i="7"/>
  <c r="G207" i="7"/>
  <c r="G206" i="7"/>
  <c r="G205" i="7"/>
  <c r="G204" i="7"/>
  <c r="G203" i="7"/>
  <c r="G202" i="7"/>
  <c r="G201" i="7"/>
  <c r="G195" i="7"/>
  <c r="G193" i="7"/>
  <c r="G191" i="7"/>
  <c r="G189" i="7"/>
  <c r="G188" i="7"/>
  <c r="G187" i="7"/>
  <c r="G186" i="7"/>
  <c r="G185" i="7"/>
  <c r="G182" i="7"/>
  <c r="G181" i="7"/>
  <c r="G180" i="7"/>
  <c r="G179" i="7"/>
  <c r="G178" i="7"/>
  <c r="G177" i="7"/>
  <c r="G174" i="7"/>
  <c r="G173" i="7"/>
  <c r="G172" i="7"/>
  <c r="G171" i="7"/>
  <c r="G170" i="7"/>
  <c r="G167" i="7"/>
  <c r="G166" i="7"/>
  <c r="G165" i="7"/>
  <c r="G164" i="7"/>
  <c r="G163" i="7"/>
  <c r="G162" i="7"/>
  <c r="G161" i="7"/>
  <c r="G148" i="7"/>
  <c r="G146" i="7"/>
  <c r="G144" i="7"/>
  <c r="G142" i="7"/>
  <c r="G140" i="7"/>
  <c r="G139" i="7"/>
  <c r="G138" i="7"/>
  <c r="G137" i="7"/>
  <c r="G136" i="7"/>
  <c r="G133" i="7"/>
  <c r="G132" i="7"/>
  <c r="G131" i="7"/>
  <c r="G130" i="7"/>
  <c r="G129" i="7"/>
  <c r="G128" i="7"/>
  <c r="G127" i="7"/>
  <c r="G121" i="7"/>
  <c r="G119" i="7"/>
  <c r="G117" i="7"/>
  <c r="G115" i="7"/>
  <c r="G114" i="7"/>
  <c r="G113" i="7"/>
  <c r="G112" i="7"/>
  <c r="G111" i="7"/>
  <c r="G108" i="7"/>
  <c r="G107" i="7"/>
  <c r="G106" i="7"/>
  <c r="G105" i="7"/>
  <c r="G104" i="7"/>
  <c r="G103" i="7"/>
  <c r="G100" i="7"/>
  <c r="G99" i="7"/>
  <c r="G98" i="7"/>
  <c r="G97" i="7"/>
  <c r="G96" i="7"/>
  <c r="G93" i="7"/>
  <c r="G92" i="7"/>
  <c r="G91" i="7"/>
  <c r="G90" i="7"/>
  <c r="G89" i="7"/>
  <c r="G88" i="7"/>
  <c r="G87" i="7"/>
  <c r="G74" i="7"/>
  <c r="G72" i="7"/>
  <c r="G70" i="7"/>
  <c r="G68" i="7"/>
  <c r="G66" i="7"/>
  <c r="G65" i="7"/>
  <c r="G64" i="7"/>
  <c r="G63" i="7"/>
  <c r="G62" i="7"/>
  <c r="G59" i="7"/>
  <c r="G58" i="7"/>
  <c r="G57" i="7"/>
  <c r="G56" i="7"/>
  <c r="G55" i="7"/>
  <c r="G54" i="7"/>
  <c r="G53" i="7"/>
  <c r="G47" i="7"/>
  <c r="G45" i="7"/>
  <c r="G43" i="7"/>
  <c r="G41" i="7"/>
  <c r="G40" i="7"/>
  <c r="G39" i="7"/>
  <c r="G38" i="7"/>
  <c r="G37" i="7"/>
  <c r="G34" i="7"/>
  <c r="G33" i="7"/>
  <c r="G32" i="7"/>
  <c r="G31" i="7"/>
  <c r="G30" i="7"/>
  <c r="G29" i="7"/>
  <c r="G26" i="7"/>
  <c r="G25" i="7"/>
  <c r="G24" i="7"/>
  <c r="G23" i="7"/>
  <c r="G22" i="7"/>
  <c r="G19" i="7"/>
  <c r="G18" i="7"/>
  <c r="G17" i="7"/>
  <c r="G16" i="7"/>
  <c r="G15" i="7"/>
  <c r="G14" i="7"/>
  <c r="G13" i="7"/>
  <c r="I21" i="14"/>
  <c r="I17" i="14"/>
  <c r="I16" i="14"/>
  <c r="R34" i="12"/>
  <c r="R33" i="12"/>
  <c r="R26" i="12"/>
  <c r="R25" i="12"/>
  <c r="R21" i="12"/>
  <c r="R18" i="12"/>
  <c r="R17" i="12"/>
  <c r="R22" i="12" s="1"/>
  <c r="R23" i="12" s="1"/>
  <c r="R15" i="12"/>
  <c r="R14" i="12"/>
  <c r="R11" i="12"/>
  <c r="R10" i="12"/>
  <c r="R8" i="12"/>
  <c r="R7" i="12"/>
  <c r="K49" i="11"/>
  <c r="J49" i="11"/>
  <c r="J48" i="11"/>
  <c r="K29" i="11"/>
  <c r="J29" i="11"/>
  <c r="J28" i="11"/>
  <c r="J19" i="11"/>
  <c r="P93" i="9"/>
  <c r="P92" i="9"/>
  <c r="P91" i="9"/>
  <c r="P90" i="9"/>
  <c r="P87" i="9"/>
  <c r="P86" i="9"/>
  <c r="P85" i="9"/>
  <c r="P84" i="9"/>
  <c r="P83" i="9"/>
  <c r="P82" i="9"/>
  <c r="N93" i="9"/>
  <c r="N92" i="9"/>
  <c r="N91" i="9"/>
  <c r="N90" i="9"/>
  <c r="N87" i="9"/>
  <c r="N86" i="9"/>
  <c r="N85" i="9"/>
  <c r="N84" i="9"/>
  <c r="N83" i="9"/>
  <c r="N82" i="9"/>
  <c r="L93" i="9"/>
  <c r="L92" i="9"/>
  <c r="L91" i="9"/>
  <c r="L90" i="9"/>
  <c r="L87" i="9"/>
  <c r="L86" i="9"/>
  <c r="L85" i="9"/>
  <c r="L84" i="9"/>
  <c r="L83" i="9"/>
  <c r="L82" i="9"/>
  <c r="J93" i="9"/>
  <c r="J92" i="9"/>
  <c r="J91" i="9"/>
  <c r="J90" i="9"/>
  <c r="J87" i="9"/>
  <c r="J86" i="9"/>
  <c r="J85" i="9"/>
  <c r="J84" i="9"/>
  <c r="J83" i="9"/>
  <c r="J82" i="9"/>
  <c r="G221" i="9"/>
  <c r="G220" i="9"/>
  <c r="G219" i="9"/>
  <c r="G218" i="9"/>
  <c r="G217" i="9"/>
  <c r="G216" i="9"/>
  <c r="G215" i="9"/>
  <c r="G214" i="9"/>
  <c r="G212" i="9"/>
  <c r="G211" i="9"/>
  <c r="G210" i="9"/>
  <c r="G207" i="9"/>
  <c r="G204" i="9"/>
  <c r="G203" i="9"/>
  <c r="G202" i="9"/>
  <c r="G201" i="9"/>
  <c r="G200" i="9"/>
  <c r="G198" i="9"/>
  <c r="G197" i="9"/>
  <c r="G196" i="9"/>
  <c r="G194" i="9"/>
  <c r="G193" i="9"/>
  <c r="G192" i="9"/>
  <c r="G191" i="9"/>
  <c r="G190" i="9"/>
  <c r="G189" i="9"/>
  <c r="G188" i="9"/>
  <c r="G187" i="9"/>
  <c r="G185" i="9"/>
  <c r="G184" i="9"/>
  <c r="G183" i="9"/>
  <c r="G181" i="9"/>
  <c r="G180" i="9"/>
  <c r="G179" i="9"/>
  <c r="G178" i="9"/>
  <c r="G177" i="9"/>
  <c r="G176" i="9"/>
  <c r="G174" i="9"/>
  <c r="G173" i="9"/>
  <c r="G172" i="9"/>
  <c r="G159" i="9"/>
  <c r="G158" i="9"/>
  <c r="G157" i="9"/>
  <c r="G156" i="9"/>
  <c r="G155" i="9"/>
  <c r="G154" i="9"/>
  <c r="G153" i="9"/>
  <c r="G152" i="9"/>
  <c r="G150" i="9"/>
  <c r="G149" i="9"/>
  <c r="G148" i="9"/>
  <c r="G145" i="9"/>
  <c r="G142" i="9"/>
  <c r="G141" i="9"/>
  <c r="G140" i="9"/>
  <c r="G139" i="9"/>
  <c r="G138" i="9"/>
  <c r="G136" i="9"/>
  <c r="G135" i="9"/>
  <c r="G134" i="9"/>
  <c r="G132" i="9"/>
  <c r="G131" i="9"/>
  <c r="G130" i="9"/>
  <c r="G129" i="9"/>
  <c r="G128" i="9"/>
  <c r="G127" i="9"/>
  <c r="G126" i="9"/>
  <c r="G125" i="9"/>
  <c r="G123" i="9"/>
  <c r="G122" i="9"/>
  <c r="G121" i="9"/>
  <c r="G119" i="9"/>
  <c r="G118" i="9"/>
  <c r="G117" i="9"/>
  <c r="G116" i="9"/>
  <c r="G115" i="9"/>
  <c r="G114" i="9"/>
  <c r="G112" i="9"/>
  <c r="G111" i="9"/>
  <c r="G110" i="9"/>
  <c r="E221" i="9"/>
  <c r="E220" i="9"/>
  <c r="E219" i="9"/>
  <c r="E218" i="9"/>
  <c r="E217" i="9"/>
  <c r="E216" i="9"/>
  <c r="E215" i="9"/>
  <c r="E214" i="9"/>
  <c r="E212" i="9"/>
  <c r="E211" i="9"/>
  <c r="E210" i="9"/>
  <c r="E209" i="9"/>
  <c r="E208" i="9"/>
  <c r="E207" i="9"/>
  <c r="E205" i="9"/>
  <c r="E204" i="9"/>
  <c r="E203" i="9"/>
  <c r="E202" i="9"/>
  <c r="E201" i="9"/>
  <c r="E200" i="9"/>
  <c r="E198" i="9"/>
  <c r="E197" i="9"/>
  <c r="E196" i="9"/>
  <c r="E194" i="9"/>
  <c r="E193" i="9"/>
  <c r="E192" i="9"/>
  <c r="E191" i="9"/>
  <c r="E190" i="9"/>
  <c r="E189" i="9"/>
  <c r="E188" i="9"/>
  <c r="E187" i="9"/>
  <c r="E185" i="9"/>
  <c r="E184" i="9"/>
  <c r="E183" i="9"/>
  <c r="E181" i="9"/>
  <c r="E180" i="9"/>
  <c r="E179" i="9"/>
  <c r="E178" i="9"/>
  <c r="E177" i="9"/>
  <c r="E176" i="9"/>
  <c r="E174" i="9"/>
  <c r="E173" i="9"/>
  <c r="E172" i="9"/>
  <c r="E159" i="9"/>
  <c r="E158" i="9"/>
  <c r="E157" i="9"/>
  <c r="E156" i="9"/>
  <c r="E155" i="9"/>
  <c r="E154" i="9"/>
  <c r="E153" i="9"/>
  <c r="E152" i="9"/>
  <c r="E150" i="9"/>
  <c r="E149" i="9"/>
  <c r="E148" i="9"/>
  <c r="E147" i="9"/>
  <c r="E146" i="9"/>
  <c r="E145" i="9"/>
  <c r="E143" i="9"/>
  <c r="E142" i="9"/>
  <c r="E141" i="9"/>
  <c r="E140" i="9"/>
  <c r="E139" i="9"/>
  <c r="E138" i="9"/>
  <c r="E136" i="9"/>
  <c r="E135" i="9"/>
  <c r="E134" i="9"/>
  <c r="E132" i="9"/>
  <c r="E131" i="9"/>
  <c r="E130" i="9"/>
  <c r="E129" i="9"/>
  <c r="E128" i="9"/>
  <c r="E127" i="9"/>
  <c r="E126" i="9"/>
  <c r="E125" i="9"/>
  <c r="E123" i="9"/>
  <c r="E122" i="9"/>
  <c r="E121" i="9"/>
  <c r="E119" i="9"/>
  <c r="E118" i="9"/>
  <c r="E117" i="9"/>
  <c r="E116" i="9"/>
  <c r="E115" i="9"/>
  <c r="E114" i="9"/>
  <c r="E112" i="9"/>
  <c r="E111" i="9"/>
  <c r="E110" i="9"/>
  <c r="E63" i="9"/>
  <c r="E62" i="9"/>
  <c r="E61" i="9"/>
  <c r="E60" i="9"/>
  <c r="E59" i="9"/>
  <c r="E58" i="9"/>
  <c r="E57" i="9"/>
  <c r="E56" i="9"/>
  <c r="E54" i="9"/>
  <c r="E53" i="9"/>
  <c r="E52" i="9"/>
  <c r="E51" i="9"/>
  <c r="E50" i="9"/>
  <c r="E49" i="9"/>
  <c r="E47" i="9"/>
  <c r="E46" i="9"/>
  <c r="E45" i="9"/>
  <c r="E44" i="9"/>
  <c r="E43" i="9"/>
  <c r="E42" i="9"/>
  <c r="E40" i="9"/>
  <c r="E39" i="9"/>
  <c r="E38" i="9"/>
  <c r="E36" i="9"/>
  <c r="E35" i="9"/>
  <c r="E34" i="9"/>
  <c r="E33" i="9"/>
  <c r="E32" i="9"/>
  <c r="E31" i="9"/>
  <c r="E30" i="9"/>
  <c r="E29" i="9"/>
  <c r="E27" i="9"/>
  <c r="E26" i="9"/>
  <c r="E25" i="9"/>
  <c r="E23" i="9"/>
  <c r="E22" i="9"/>
  <c r="E21" i="9"/>
  <c r="E20" i="9"/>
  <c r="E19" i="9"/>
  <c r="E18" i="9"/>
  <c r="E16" i="9"/>
  <c r="E15" i="9"/>
  <c r="E14" i="9"/>
  <c r="G63" i="9"/>
  <c r="G62" i="9"/>
  <c r="G61" i="9"/>
  <c r="G60" i="9"/>
  <c r="G59" i="9"/>
  <c r="G58" i="9"/>
  <c r="G57" i="9"/>
  <c r="G56" i="9"/>
  <c r="G54" i="9"/>
  <c r="G53" i="9"/>
  <c r="G52" i="9"/>
  <c r="G49" i="9"/>
  <c r="G46" i="9"/>
  <c r="G45" i="9"/>
  <c r="G44" i="9"/>
  <c r="G43" i="9"/>
  <c r="G42" i="9"/>
  <c r="G40" i="9"/>
  <c r="G39" i="9"/>
  <c r="G38" i="9"/>
  <c r="G36" i="9"/>
  <c r="G35" i="9"/>
  <c r="G34" i="9"/>
  <c r="G33" i="9"/>
  <c r="G32" i="9"/>
  <c r="G31" i="9"/>
  <c r="G30" i="9"/>
  <c r="G29" i="9"/>
  <c r="G27" i="9"/>
  <c r="G26" i="9"/>
  <c r="G25" i="9"/>
  <c r="G23" i="9"/>
  <c r="G22" i="9"/>
  <c r="G21" i="9"/>
  <c r="G20" i="9"/>
  <c r="G19" i="9"/>
  <c r="G18" i="9"/>
  <c r="G16" i="9"/>
  <c r="G15" i="9"/>
  <c r="G14" i="9"/>
  <c r="F221" i="9"/>
  <c r="F222" i="9" s="1"/>
  <c r="F218" i="9"/>
  <c r="F217" i="9"/>
  <c r="F216" i="9"/>
  <c r="F215" i="9"/>
  <c r="F214" i="9"/>
  <c r="F211" i="9"/>
  <c r="F210" i="9"/>
  <c r="F212" i="9" s="1"/>
  <c r="F198" i="9"/>
  <c r="F204" i="9" s="1"/>
  <c r="F205" i="9" s="1"/>
  <c r="F185" i="9"/>
  <c r="F174" i="9"/>
  <c r="G107" i="9"/>
  <c r="F107" i="9"/>
  <c r="F106" i="9"/>
  <c r="F97" i="9"/>
  <c r="F92" i="9"/>
  <c r="F91" i="9"/>
  <c r="F85" i="9"/>
  <c r="F83" i="9"/>
  <c r="F82" i="9"/>
  <c r="F78" i="9"/>
  <c r="F93" i="9" s="1"/>
  <c r="F77" i="9"/>
  <c r="F76" i="9"/>
  <c r="F75" i="9"/>
  <c r="F90" i="9" s="1"/>
  <c r="F74" i="9"/>
  <c r="F73" i="9"/>
  <c r="F72" i="9"/>
  <c r="F87" i="9" s="1"/>
  <c r="F71" i="9"/>
  <c r="F86" i="9" s="1"/>
  <c r="F69" i="9"/>
  <c r="F84" i="9" s="1"/>
  <c r="F68" i="9"/>
  <c r="F67" i="9"/>
  <c r="F60" i="9"/>
  <c r="F59" i="9"/>
  <c r="F58" i="9"/>
  <c r="F57" i="9"/>
  <c r="F56" i="9"/>
  <c r="F53" i="9"/>
  <c r="F54" i="9" s="1"/>
  <c r="F63" i="9" s="1"/>
  <c r="F64" i="9" s="1"/>
  <c r="F52" i="9"/>
  <c r="F23" i="9"/>
  <c r="F16" i="9"/>
  <c r="P78" i="9"/>
  <c r="P77" i="9"/>
  <c r="P76" i="9"/>
  <c r="P75" i="9"/>
  <c r="P74" i="9"/>
  <c r="P73" i="9"/>
  <c r="P72" i="9"/>
  <c r="P71" i="9"/>
  <c r="P69" i="9"/>
  <c r="P68" i="9"/>
  <c r="P67" i="9"/>
  <c r="N78" i="9"/>
  <c r="N77" i="9"/>
  <c r="N76" i="9"/>
  <c r="N75" i="9"/>
  <c r="N74" i="9"/>
  <c r="N73" i="9"/>
  <c r="N72" i="9"/>
  <c r="N71" i="9"/>
  <c r="N69" i="9"/>
  <c r="N68" i="9"/>
  <c r="N67" i="9"/>
  <c r="L78" i="9"/>
  <c r="L77" i="9"/>
  <c r="L76" i="9"/>
  <c r="L75" i="9"/>
  <c r="L74" i="9"/>
  <c r="L73" i="9"/>
  <c r="L72" i="9"/>
  <c r="L71" i="9"/>
  <c r="L69" i="9"/>
  <c r="L68" i="9"/>
  <c r="L67" i="9"/>
  <c r="J78" i="9"/>
  <c r="J77" i="9"/>
  <c r="J76" i="9"/>
  <c r="J75" i="9"/>
  <c r="J74" i="9"/>
  <c r="J73" i="9"/>
  <c r="J72" i="9"/>
  <c r="J71" i="9"/>
  <c r="J69" i="9"/>
  <c r="J68" i="9"/>
  <c r="J67" i="9"/>
  <c r="F40" i="9"/>
  <c r="F46" i="9" s="1"/>
  <c r="F47" i="9" s="1"/>
  <c r="F27" i="9"/>
  <c r="F35" i="9" s="1"/>
  <c r="F22" i="9"/>
  <c r="K130" i="3"/>
  <c r="S130" i="3"/>
  <c r="Q130" i="3"/>
  <c r="O130" i="3"/>
  <c r="M130" i="3"/>
  <c r="R80" i="3"/>
  <c r="P80" i="3"/>
  <c r="N80" i="3"/>
  <c r="L80" i="3"/>
  <c r="S80" i="3"/>
  <c r="Q80" i="3"/>
  <c r="O80" i="3"/>
  <c r="M80" i="3"/>
  <c r="K80" i="3"/>
  <c r="H83" i="7"/>
  <c r="H82" i="7"/>
  <c r="H157" i="7"/>
  <c r="H156" i="7"/>
  <c r="H220" i="7"/>
  <c r="H216" i="7"/>
  <c r="H212" i="7"/>
  <c r="H210" i="7"/>
  <c r="H214" i="7" s="1"/>
  <c r="H205" i="7"/>
  <c r="H204" i="7"/>
  <c r="H203" i="7"/>
  <c r="H202" i="7"/>
  <c r="H207" i="7" s="1"/>
  <c r="H201" i="7"/>
  <c r="H193" i="7"/>
  <c r="H187" i="7"/>
  <c r="H186" i="7"/>
  <c r="H185" i="7"/>
  <c r="H189" i="7" s="1"/>
  <c r="H191" i="7" s="1"/>
  <c r="H180" i="7"/>
  <c r="H179" i="7"/>
  <c r="H178" i="7"/>
  <c r="H177" i="7"/>
  <c r="H182" i="7" s="1"/>
  <c r="H172" i="7"/>
  <c r="H171" i="7"/>
  <c r="H174" i="7" s="1"/>
  <c r="H170" i="7"/>
  <c r="H165" i="7"/>
  <c r="H164" i="7"/>
  <c r="H163" i="7"/>
  <c r="H162" i="7"/>
  <c r="H161" i="7"/>
  <c r="H167" i="7" s="1"/>
  <c r="H70" i="7"/>
  <c r="H74" i="7"/>
  <c r="H75" i="7" s="1"/>
  <c r="H66" i="7"/>
  <c r="H59" i="7"/>
  <c r="H47" i="7"/>
  <c r="H43" i="7"/>
  <c r="H41" i="7"/>
  <c r="H34" i="7"/>
  <c r="H26" i="7"/>
  <c r="H19" i="7"/>
  <c r="R214" i="7"/>
  <c r="P214" i="7"/>
  <c r="N214" i="7"/>
  <c r="R207" i="7"/>
  <c r="P207" i="7"/>
  <c r="N207" i="7"/>
  <c r="R189" i="7"/>
  <c r="R191" i="7" s="1"/>
  <c r="P189" i="7"/>
  <c r="P191" i="7" s="1"/>
  <c r="N189" i="7"/>
  <c r="N191" i="7" s="1"/>
  <c r="R182" i="7"/>
  <c r="P182" i="7"/>
  <c r="N182" i="7"/>
  <c r="R174" i="7"/>
  <c r="P174" i="7"/>
  <c r="N174" i="7"/>
  <c r="R167" i="7"/>
  <c r="P167" i="7"/>
  <c r="N167" i="7"/>
  <c r="J140" i="7"/>
  <c r="L140" i="7"/>
  <c r="O140" i="7" s="1"/>
  <c r="N140" i="7"/>
  <c r="Q140" i="7" s="1"/>
  <c r="P140" i="7"/>
  <c r="R140" i="7"/>
  <c r="S140" i="7"/>
  <c r="J133" i="7"/>
  <c r="L133" i="7"/>
  <c r="O133" i="7" s="1"/>
  <c r="N133" i="7"/>
  <c r="P133" i="7"/>
  <c r="Q133" i="7" s="1"/>
  <c r="R133" i="7"/>
  <c r="S133" i="7"/>
  <c r="J115" i="7"/>
  <c r="L115" i="7"/>
  <c r="O115" i="7" s="1"/>
  <c r="N115" i="7"/>
  <c r="Q115" i="7" s="1"/>
  <c r="P115" i="7"/>
  <c r="R115" i="7"/>
  <c r="S115" i="7"/>
  <c r="J41" i="7"/>
  <c r="L41" i="7"/>
  <c r="N41" i="7"/>
  <c r="P41" i="7"/>
  <c r="Q41" i="7"/>
  <c r="R41" i="7"/>
  <c r="S41" i="7"/>
  <c r="H51" i="3"/>
  <c r="R31" i="12" l="1"/>
  <c r="G17" i="8"/>
  <c r="G25" i="8"/>
  <c r="G39" i="8"/>
  <c r="G32" i="8"/>
  <c r="F199" i="9"/>
  <c r="F175" i="9"/>
  <c r="F180" i="9" s="1"/>
  <c r="F181" i="9" s="1"/>
  <c r="F186" i="9"/>
  <c r="F193" i="9" s="1"/>
  <c r="F194" i="9" s="1"/>
  <c r="H195" i="7"/>
  <c r="H218" i="7"/>
  <c r="H222" i="7" s="1"/>
  <c r="O41" i="7"/>
  <c r="G47" i="8" l="1"/>
  <c r="H223" i="7"/>
  <c r="H48" i="3" l="1"/>
  <c r="H166" i="3"/>
  <c r="H160" i="3"/>
  <c r="H159" i="3"/>
  <c r="H158" i="3"/>
  <c r="H157" i="3"/>
  <c r="H156" i="3"/>
  <c r="H155" i="3"/>
  <c r="H154" i="3"/>
  <c r="H153" i="3"/>
  <c r="H152" i="3"/>
  <c r="H151" i="3"/>
  <c r="H146" i="3"/>
  <c r="H142" i="3"/>
  <c r="H141" i="3"/>
  <c r="H140" i="3"/>
  <c r="H136" i="3"/>
  <c r="H135" i="3"/>
  <c r="H134" i="3"/>
  <c r="H133" i="3"/>
  <c r="H132" i="3"/>
  <c r="H130" i="3"/>
  <c r="H129" i="3"/>
  <c r="H80" i="3"/>
  <c r="H79" i="3"/>
  <c r="H69" i="3"/>
  <c r="H67" i="3"/>
  <c r="H65" i="3"/>
  <c r="H63" i="3"/>
  <c r="H61" i="3"/>
  <c r="H62" i="3" s="1"/>
  <c r="H59" i="3"/>
  <c r="H44" i="3"/>
  <c r="H20" i="3"/>
  <c r="H54" i="3" s="1"/>
  <c r="N23" i="3"/>
  <c r="N48" i="3"/>
  <c r="R48" i="3"/>
  <c r="R23" i="3"/>
  <c r="P21" i="9"/>
  <c r="P20" i="9"/>
  <c r="N20" i="9"/>
  <c r="N21" i="9"/>
  <c r="P51" i="3"/>
  <c r="P48" i="3"/>
  <c r="O179" i="9"/>
  <c r="M179" i="9"/>
  <c r="O178" i="9"/>
  <c r="M178" i="9"/>
  <c r="R220" i="7"/>
  <c r="P220" i="7"/>
  <c r="N220" i="7"/>
  <c r="H162" i="3" l="1"/>
  <c r="H174" i="3" s="1"/>
  <c r="H138" i="3"/>
  <c r="H144" i="3" s="1"/>
  <c r="H172" i="3"/>
  <c r="H55" i="3"/>
  <c r="H56" i="3"/>
  <c r="H26" i="3"/>
  <c r="H30" i="3" s="1"/>
  <c r="H46" i="3" s="1"/>
  <c r="H68" i="3" s="1"/>
  <c r="H148" i="3" l="1"/>
  <c r="H164" i="3" s="1"/>
  <c r="H168" i="3" s="1"/>
  <c r="F223" i="9"/>
  <c r="F224" i="9" s="1"/>
  <c r="H173" i="3"/>
  <c r="H171" i="3"/>
  <c r="H64" i="3"/>
  <c r="H53" i="3"/>
  <c r="H50" i="3"/>
  <c r="H60" i="3"/>
  <c r="W32" i="10"/>
  <c r="AJ26" i="12"/>
  <c r="AJ25" i="12"/>
  <c r="AH26" i="12"/>
  <c r="AH25" i="12"/>
  <c r="AF26" i="12"/>
  <c r="AF25" i="12"/>
  <c r="AD26" i="12"/>
  <c r="AD25" i="12"/>
  <c r="R37" i="11"/>
  <c r="R36" i="11"/>
  <c r="R35" i="11"/>
  <c r="R38" i="11" s="1"/>
  <c r="R33" i="11"/>
  <c r="R31" i="11"/>
  <c r="P37" i="11"/>
  <c r="P36" i="11"/>
  <c r="P35" i="11"/>
  <c r="P38" i="11" s="1"/>
  <c r="P33" i="11"/>
  <c r="P31" i="11"/>
  <c r="N37" i="11"/>
  <c r="N36" i="11"/>
  <c r="N35" i="11"/>
  <c r="N38" i="11" s="1"/>
  <c r="N33" i="11"/>
  <c r="N31" i="11"/>
  <c r="Q53" i="11"/>
  <c r="O53" i="11"/>
  <c r="L37" i="11"/>
  <c r="L38" i="11" s="1"/>
  <c r="L36" i="11"/>
  <c r="L35" i="11"/>
  <c r="L31" i="11"/>
  <c r="P57" i="11"/>
  <c r="R57" i="11"/>
  <c r="S57" i="11" s="1"/>
  <c r="Q57" i="11"/>
  <c r="O57" i="11"/>
  <c r="S56" i="11"/>
  <c r="Q56" i="11"/>
  <c r="O56" i="11"/>
  <c r="S55" i="11"/>
  <c r="Q55" i="11"/>
  <c r="O55" i="11"/>
  <c r="Q51" i="11"/>
  <c r="O51" i="11"/>
  <c r="P18" i="11"/>
  <c r="AB26" i="12"/>
  <c r="AB25" i="12"/>
  <c r="Z26" i="12"/>
  <c r="Z25" i="12"/>
  <c r="X26" i="12"/>
  <c r="X25" i="12"/>
  <c r="V26" i="12"/>
  <c r="V25" i="12"/>
  <c r="P26" i="12"/>
  <c r="P25" i="12"/>
  <c r="O26" i="12"/>
  <c r="O25" i="12"/>
  <c r="AF21" i="12"/>
  <c r="AD21" i="12"/>
  <c r="X21" i="12"/>
  <c r="V21" i="12"/>
  <c r="T21" i="12"/>
  <c r="P21" i="12"/>
  <c r="O21" i="12"/>
  <c r="AJ10" i="12"/>
  <c r="AH10" i="12"/>
  <c r="AF10" i="12"/>
  <c r="AD10" i="12"/>
  <c r="AB10" i="12"/>
  <c r="Z10" i="12"/>
  <c r="X10" i="12"/>
  <c r="V8" i="12"/>
  <c r="T8" i="12"/>
  <c r="P8" i="12"/>
  <c r="O8" i="12"/>
  <c r="P34" i="12"/>
  <c r="P33" i="12"/>
  <c r="O34" i="12"/>
  <c r="O33" i="12"/>
  <c r="AJ18" i="12"/>
  <c r="AH18" i="12"/>
  <c r="AF18" i="12"/>
  <c r="AD18" i="12"/>
  <c r="AB18" i="12"/>
  <c r="Z18" i="12"/>
  <c r="X18" i="12"/>
  <c r="V18" i="12"/>
  <c r="T18" i="12"/>
  <c r="P18" i="12"/>
  <c r="O18" i="12"/>
  <c r="P17" i="12"/>
  <c r="P22" i="12" s="1"/>
  <c r="O17" i="12"/>
  <c r="O22" i="12" s="1"/>
  <c r="AJ15" i="12"/>
  <c r="AH15" i="12"/>
  <c r="AF15" i="12"/>
  <c r="AD15" i="12"/>
  <c r="AB15" i="12"/>
  <c r="Z15" i="12"/>
  <c r="X15" i="12"/>
  <c r="V15" i="12"/>
  <c r="T15" i="12"/>
  <c r="P15" i="12"/>
  <c r="O15" i="12"/>
  <c r="AJ14" i="12"/>
  <c r="AH14" i="12"/>
  <c r="AF14" i="12"/>
  <c r="AD14" i="12"/>
  <c r="AB14" i="12"/>
  <c r="Z14" i="12"/>
  <c r="X14" i="12"/>
  <c r="V14" i="12"/>
  <c r="T14" i="12"/>
  <c r="P14" i="12"/>
  <c r="O14" i="12"/>
  <c r="X7" i="12"/>
  <c r="V7" i="12"/>
  <c r="T7" i="12"/>
  <c r="P7" i="12"/>
  <c r="O7" i="12"/>
  <c r="AJ11" i="12"/>
  <c r="AH11" i="12"/>
  <c r="AF11" i="12"/>
  <c r="AD11" i="12"/>
  <c r="AB11" i="12"/>
  <c r="Z11" i="12"/>
  <c r="X11" i="12"/>
  <c r="V11" i="12"/>
  <c r="T11" i="12"/>
  <c r="P11" i="12"/>
  <c r="O11" i="12"/>
  <c r="AD7" i="12"/>
  <c r="AF7" i="12"/>
  <c r="V10" i="12"/>
  <c r="T10" i="12"/>
  <c r="P10" i="12"/>
  <c r="O10" i="12"/>
  <c r="R18" i="11"/>
  <c r="Q84" i="10"/>
  <c r="O84" i="10"/>
  <c r="M187" i="9"/>
  <c r="N166" i="3"/>
  <c r="R165" i="7"/>
  <c r="P165" i="7"/>
  <c r="R159" i="3"/>
  <c r="P159" i="3"/>
  <c r="R72" i="7"/>
  <c r="N72" i="7"/>
  <c r="O33" i="3"/>
  <c r="P31" i="12" l="1"/>
  <c r="O31" i="12"/>
  <c r="P23" i="12"/>
  <c r="H70" i="3"/>
  <c r="K22" i="14"/>
  <c r="J56" i="9"/>
  <c r="J57" i="9"/>
  <c r="J58" i="9"/>
  <c r="J59" i="9"/>
  <c r="J60" i="9"/>
  <c r="R17" i="7"/>
  <c r="P17" i="7"/>
  <c r="N17" i="7"/>
  <c r="R41" i="3" l="1"/>
  <c r="P41" i="3"/>
  <c r="N41" i="3"/>
  <c r="C158" i="9"/>
  <c r="C157" i="9"/>
  <c r="C156" i="9"/>
  <c r="C155" i="9"/>
  <c r="C154" i="9"/>
  <c r="C153" i="9"/>
  <c r="C152" i="9"/>
  <c r="C149" i="9"/>
  <c r="C148" i="9"/>
  <c r="C150" i="9" s="1"/>
  <c r="D158" i="9"/>
  <c r="D157" i="9"/>
  <c r="D156" i="9"/>
  <c r="D155" i="9"/>
  <c r="D154" i="9"/>
  <c r="D153" i="9"/>
  <c r="D152" i="9"/>
  <c r="D149" i="9"/>
  <c r="D148" i="9"/>
  <c r="H158" i="9"/>
  <c r="H157" i="9"/>
  <c r="J158" i="9"/>
  <c r="J157" i="9"/>
  <c r="C141" i="9"/>
  <c r="C140" i="9"/>
  <c r="C139" i="9"/>
  <c r="C138" i="9"/>
  <c r="C135" i="9"/>
  <c r="C134" i="9"/>
  <c r="C130" i="9"/>
  <c r="C129" i="9"/>
  <c r="C128" i="9"/>
  <c r="C127" i="9"/>
  <c r="C126" i="9"/>
  <c r="C125" i="9"/>
  <c r="C122" i="9"/>
  <c r="C121" i="9"/>
  <c r="C123" i="9" s="1"/>
  <c r="C117" i="9"/>
  <c r="C116" i="9"/>
  <c r="C115" i="9"/>
  <c r="C114" i="9"/>
  <c r="C111" i="9"/>
  <c r="C110" i="9"/>
  <c r="C112" i="9" s="1"/>
  <c r="D141" i="9"/>
  <c r="D140" i="9"/>
  <c r="D139" i="9"/>
  <c r="D138" i="9"/>
  <c r="D135" i="9"/>
  <c r="D134" i="9"/>
  <c r="D130" i="9"/>
  <c r="D129" i="9"/>
  <c r="D128" i="9"/>
  <c r="D127" i="9"/>
  <c r="D126" i="9"/>
  <c r="D125" i="9"/>
  <c r="D122" i="9"/>
  <c r="D121" i="9"/>
  <c r="D117" i="9"/>
  <c r="D116" i="9"/>
  <c r="D115" i="9"/>
  <c r="D114" i="9"/>
  <c r="D111" i="9"/>
  <c r="D110" i="9"/>
  <c r="H141" i="9"/>
  <c r="H140" i="9"/>
  <c r="H139" i="9"/>
  <c r="H138" i="9"/>
  <c r="H135" i="9"/>
  <c r="H134" i="9"/>
  <c r="H136" i="9" s="1"/>
  <c r="H142" i="9" s="1"/>
  <c r="H143" i="9" s="1"/>
  <c r="H130" i="9"/>
  <c r="H129" i="9"/>
  <c r="H128" i="9"/>
  <c r="H127" i="9"/>
  <c r="H126" i="9"/>
  <c r="H125" i="9"/>
  <c r="H122" i="9"/>
  <c r="H121" i="9"/>
  <c r="H123" i="9" s="1"/>
  <c r="H117" i="9"/>
  <c r="H116" i="9"/>
  <c r="H115" i="9"/>
  <c r="H114" i="9"/>
  <c r="H111" i="9"/>
  <c r="H110" i="9"/>
  <c r="H112" i="9" s="1"/>
  <c r="J141" i="9"/>
  <c r="J140" i="9"/>
  <c r="J139" i="9"/>
  <c r="J138" i="9"/>
  <c r="J135" i="9"/>
  <c r="J134" i="9"/>
  <c r="J130" i="9"/>
  <c r="J129" i="9"/>
  <c r="J128" i="9"/>
  <c r="J127" i="9"/>
  <c r="J126" i="9"/>
  <c r="J125" i="9"/>
  <c r="J122" i="9"/>
  <c r="J121" i="9"/>
  <c r="J117" i="9"/>
  <c r="J116" i="9"/>
  <c r="J115" i="9"/>
  <c r="J114" i="9"/>
  <c r="J111" i="9"/>
  <c r="J110" i="9"/>
  <c r="P141" i="9"/>
  <c r="P140" i="9"/>
  <c r="P139" i="9"/>
  <c r="P138" i="9"/>
  <c r="P135" i="9"/>
  <c r="P134" i="9"/>
  <c r="P136" i="9" s="1"/>
  <c r="P130" i="9"/>
  <c r="P129" i="9"/>
  <c r="P128" i="9"/>
  <c r="P127" i="9"/>
  <c r="P126" i="9"/>
  <c r="P125" i="9"/>
  <c r="P122" i="9"/>
  <c r="P121" i="9"/>
  <c r="P123" i="9" s="1"/>
  <c r="P117" i="9"/>
  <c r="P116" i="9"/>
  <c r="P115" i="9"/>
  <c r="P114" i="9"/>
  <c r="P111" i="9"/>
  <c r="P110" i="9"/>
  <c r="N141" i="9"/>
  <c r="N140" i="9"/>
  <c r="N139" i="9"/>
  <c r="N138" i="9"/>
  <c r="N135" i="9"/>
  <c r="N134" i="9"/>
  <c r="N130" i="9"/>
  <c r="N129" i="9"/>
  <c r="N128" i="9"/>
  <c r="N127" i="9"/>
  <c r="N126" i="9"/>
  <c r="N125" i="9"/>
  <c r="N122" i="9"/>
  <c r="N121" i="9"/>
  <c r="N117" i="9"/>
  <c r="N116" i="9"/>
  <c r="N115" i="9"/>
  <c r="N114" i="9"/>
  <c r="N111" i="9"/>
  <c r="N110" i="9"/>
  <c r="D199" i="9"/>
  <c r="C199" i="9"/>
  <c r="D186" i="9"/>
  <c r="C186" i="9"/>
  <c r="C175" i="9"/>
  <c r="D175" i="9"/>
  <c r="D182" i="9" s="1"/>
  <c r="H218" i="9"/>
  <c r="H217" i="9"/>
  <c r="H216" i="9"/>
  <c r="H215" i="9"/>
  <c r="H214" i="9"/>
  <c r="H211" i="9"/>
  <c r="H210" i="9"/>
  <c r="H212" i="9" s="1"/>
  <c r="H198" i="9"/>
  <c r="H204" i="9" s="1"/>
  <c r="H205" i="9" s="1"/>
  <c r="H185" i="9"/>
  <c r="H174" i="9"/>
  <c r="P158" i="9"/>
  <c r="P157" i="9"/>
  <c r="N158" i="9"/>
  <c r="N157" i="9"/>
  <c r="L158" i="9"/>
  <c r="L157" i="9"/>
  <c r="L141" i="9"/>
  <c r="L140" i="9"/>
  <c r="L139" i="9"/>
  <c r="L138" i="9"/>
  <c r="L135" i="9"/>
  <c r="L134" i="9"/>
  <c r="L130" i="9"/>
  <c r="L129" i="9"/>
  <c r="L128" i="9"/>
  <c r="L127" i="9"/>
  <c r="L126" i="9"/>
  <c r="L125" i="9"/>
  <c r="L122" i="9"/>
  <c r="L121" i="9"/>
  <c r="L117" i="9"/>
  <c r="L116" i="9"/>
  <c r="L115" i="9"/>
  <c r="L114" i="9"/>
  <c r="L111" i="9"/>
  <c r="L110" i="9"/>
  <c r="J218" i="9"/>
  <c r="J156" i="9" s="1"/>
  <c r="J217" i="9"/>
  <c r="J216" i="9"/>
  <c r="J215" i="9"/>
  <c r="J214" i="9"/>
  <c r="J211" i="9"/>
  <c r="J210" i="9"/>
  <c r="J212" i="9" s="1"/>
  <c r="L218" i="9"/>
  <c r="L217" i="9"/>
  <c r="L216" i="9"/>
  <c r="L215" i="9"/>
  <c r="L214" i="9"/>
  <c r="L211" i="9"/>
  <c r="L210" i="9"/>
  <c r="P218" i="9"/>
  <c r="P217" i="9"/>
  <c r="P216" i="9"/>
  <c r="P215" i="9"/>
  <c r="P214" i="9"/>
  <c r="P211" i="9"/>
  <c r="P210" i="9"/>
  <c r="N218" i="9"/>
  <c r="N217" i="9"/>
  <c r="N216" i="9"/>
  <c r="N215" i="9"/>
  <c r="N214" i="9"/>
  <c r="N211" i="9"/>
  <c r="N210" i="9"/>
  <c r="P212" i="9" l="1"/>
  <c r="AD34" i="12"/>
  <c r="H175" i="9"/>
  <c r="H180" i="9" s="1"/>
  <c r="H181" i="9" s="1"/>
  <c r="AJ33" i="12"/>
  <c r="AF34" i="12"/>
  <c r="AD33" i="12"/>
  <c r="H186" i="9"/>
  <c r="H193" i="9" s="1"/>
  <c r="H194" i="9" s="1"/>
  <c r="AJ34" i="12"/>
  <c r="L212" i="9"/>
  <c r="AF33" i="12" s="1"/>
  <c r="H118" i="9"/>
  <c r="H119" i="9" s="1"/>
  <c r="C118" i="9"/>
  <c r="C119" i="9" s="1"/>
  <c r="N212" i="9"/>
  <c r="AH33" i="12" s="1"/>
  <c r="N136" i="9"/>
  <c r="N142" i="9" s="1"/>
  <c r="N143" i="9" s="1"/>
  <c r="J123" i="9"/>
  <c r="J131" i="9" s="1"/>
  <c r="J132" i="9" s="1"/>
  <c r="J136" i="9"/>
  <c r="J142" i="9" s="1"/>
  <c r="J143" i="9" s="1"/>
  <c r="D123" i="9"/>
  <c r="D131" i="9" s="1"/>
  <c r="D132" i="9" s="1"/>
  <c r="D136" i="9"/>
  <c r="D142" i="9" s="1"/>
  <c r="D143" i="9" s="1"/>
  <c r="D150" i="9"/>
  <c r="D159" i="9" s="1"/>
  <c r="N112" i="9"/>
  <c r="N118" i="9" s="1"/>
  <c r="N119" i="9" s="1"/>
  <c r="J112" i="9"/>
  <c r="J118" i="9" s="1"/>
  <c r="J119" i="9" s="1"/>
  <c r="D112" i="9"/>
  <c r="D118" i="9" s="1"/>
  <c r="D119" i="9" s="1"/>
  <c r="P131" i="9"/>
  <c r="P132" i="9" s="1"/>
  <c r="H131" i="9"/>
  <c r="H132" i="9" s="1"/>
  <c r="C131" i="9"/>
  <c r="C132" i="9" s="1"/>
  <c r="C136" i="9"/>
  <c r="C142" i="9" s="1"/>
  <c r="C143" i="9" s="1"/>
  <c r="H199" i="9"/>
  <c r="C159" i="9"/>
  <c r="P142" i="9"/>
  <c r="P143" i="9" s="1"/>
  <c r="P112" i="9"/>
  <c r="P118" i="9" s="1"/>
  <c r="P119" i="9" s="1"/>
  <c r="N123" i="9"/>
  <c r="N131" i="9" s="1"/>
  <c r="N132" i="9" s="1"/>
  <c r="Q21" i="14"/>
  <c r="O21" i="14"/>
  <c r="M21" i="14"/>
  <c r="K21" i="14"/>
  <c r="Y21" i="14"/>
  <c r="W21" i="14"/>
  <c r="U21" i="14"/>
  <c r="S21" i="14"/>
  <c r="K18" i="14"/>
  <c r="Q17" i="14"/>
  <c r="O17" i="14"/>
  <c r="M17" i="14"/>
  <c r="K17" i="14"/>
  <c r="Y17" i="14"/>
  <c r="W17" i="14"/>
  <c r="U17" i="14"/>
  <c r="S17" i="14"/>
  <c r="K16" i="14"/>
  <c r="S16" i="14"/>
  <c r="K13" i="14"/>
  <c r="K11" i="14"/>
  <c r="E9" i="5"/>
  <c r="D11" i="6"/>
  <c r="AH34" i="12" l="1"/>
  <c r="L28" i="8"/>
  <c r="K28" i="8"/>
  <c r="R215" i="7"/>
  <c r="P215" i="7"/>
  <c r="N215" i="7"/>
  <c r="L29" i="8"/>
  <c r="K29" i="8"/>
  <c r="J17" i="7"/>
  <c r="J72" i="7"/>
  <c r="J41" i="3"/>
  <c r="K38" i="8"/>
  <c r="L38" i="8"/>
  <c r="L36" i="8"/>
  <c r="K36" i="8"/>
  <c r="L24" i="8"/>
  <c r="K24" i="8" l="1"/>
  <c r="L15" i="8"/>
  <c r="K15" i="8"/>
  <c r="K99" i="10" l="1"/>
  <c r="K98" i="10"/>
  <c r="AD17" i="12" s="1"/>
  <c r="M99" i="10"/>
  <c r="M98" i="10"/>
  <c r="AF17" i="12" s="1"/>
  <c r="O99" i="10"/>
  <c r="O98" i="10"/>
  <c r="AH17" i="12" s="1"/>
  <c r="AH31" i="12" s="1"/>
  <c r="Q98" i="10"/>
  <c r="AJ17" i="12" s="1"/>
  <c r="AJ31" i="12" s="1"/>
  <c r="Q99" i="10"/>
  <c r="I33" i="10"/>
  <c r="I32" i="10"/>
  <c r="T17" i="12" s="1"/>
  <c r="AD22" i="12" l="1"/>
  <c r="AD23" i="12" s="1"/>
  <c r="AD31" i="12"/>
  <c r="AF31" i="12"/>
  <c r="AF22" i="12"/>
  <c r="T22" i="12"/>
  <c r="T31" i="12"/>
  <c r="T23" i="12"/>
  <c r="Q61" i="10"/>
  <c r="Q60" i="10"/>
  <c r="Q59" i="10"/>
  <c r="Q58" i="10"/>
  <c r="Q57" i="10"/>
  <c r="Q56" i="10"/>
  <c r="Q55" i="10"/>
  <c r="Q54" i="10"/>
  <c r="Q52" i="10"/>
  <c r="Q51" i="10"/>
  <c r="Q48" i="10"/>
  <c r="Q49" i="10" s="1"/>
  <c r="Q47" i="10"/>
  <c r="Q46" i="10"/>
  <c r="O61" i="10"/>
  <c r="O60" i="10"/>
  <c r="O59" i="10"/>
  <c r="O58" i="10"/>
  <c r="O57" i="10"/>
  <c r="O56" i="10"/>
  <c r="O55" i="10"/>
  <c r="O54" i="10"/>
  <c r="O52" i="10"/>
  <c r="O51" i="10"/>
  <c r="O48" i="10"/>
  <c r="O49" i="10" s="1"/>
  <c r="O47" i="10"/>
  <c r="O46" i="10"/>
  <c r="M61" i="10"/>
  <c r="M60" i="10"/>
  <c r="M59" i="10"/>
  <c r="M58" i="10"/>
  <c r="M57" i="10"/>
  <c r="M56" i="10"/>
  <c r="M55" i="10"/>
  <c r="M54" i="10"/>
  <c r="M52" i="10"/>
  <c r="M51" i="10"/>
  <c r="M48" i="10"/>
  <c r="M49" i="10" s="1"/>
  <c r="M47" i="10"/>
  <c r="M46" i="10"/>
  <c r="Q82" i="10"/>
  <c r="O82" i="10"/>
  <c r="M82" i="10"/>
  <c r="K61" i="10"/>
  <c r="K60" i="10"/>
  <c r="K59" i="10"/>
  <c r="K58" i="10"/>
  <c r="K57" i="10"/>
  <c r="K56" i="10"/>
  <c r="K55" i="10"/>
  <c r="K54" i="10"/>
  <c r="K52" i="10"/>
  <c r="K51" i="10"/>
  <c r="K48" i="10"/>
  <c r="K47" i="10"/>
  <c r="K46" i="10"/>
  <c r="I99" i="10"/>
  <c r="I98" i="10"/>
  <c r="K82" i="10"/>
  <c r="I82" i="10"/>
  <c r="AF23" i="12" l="1"/>
  <c r="K49" i="10"/>
  <c r="Q16" i="10"/>
  <c r="O16" i="10"/>
  <c r="M16" i="10"/>
  <c r="K16" i="10"/>
  <c r="I16" i="10"/>
  <c r="J38" i="8" l="1"/>
  <c r="J29" i="8"/>
  <c r="J28" i="8"/>
  <c r="J15" i="8"/>
  <c r="J36" i="8"/>
  <c r="N165" i="7" l="1"/>
  <c r="N159" i="3"/>
  <c r="I38" i="8"/>
  <c r="E45" i="8"/>
  <c r="E39" i="8"/>
  <c r="E30" i="8"/>
  <c r="E17" i="8"/>
  <c r="E25" i="8"/>
  <c r="E32" i="8" l="1"/>
  <c r="E47" i="8"/>
  <c r="E49" i="8" s="1"/>
  <c r="F10" i="8" s="1"/>
  <c r="H38" i="8"/>
  <c r="F38" i="8"/>
  <c r="H14" i="8"/>
  <c r="H60" i="9" l="1"/>
  <c r="H156" i="9" s="1"/>
  <c r="H59" i="9"/>
  <c r="H58" i="9"/>
  <c r="H57" i="9"/>
  <c r="H153" i="9" s="1"/>
  <c r="H56" i="9"/>
  <c r="H152" i="9" s="1"/>
  <c r="H53" i="9"/>
  <c r="H149" i="9" s="1"/>
  <c r="H52" i="9"/>
  <c r="J19" i="7"/>
  <c r="J66" i="7"/>
  <c r="J59" i="7"/>
  <c r="J70" i="7" s="1"/>
  <c r="J34" i="7"/>
  <c r="J26" i="7"/>
  <c r="H54" i="9" l="1"/>
  <c r="H63" i="9" s="1"/>
  <c r="H64" i="9" s="1"/>
  <c r="H148" i="9"/>
  <c r="H150" i="9" s="1"/>
  <c r="H159" i="9" s="1"/>
  <c r="T33" i="12"/>
  <c r="H155" i="9"/>
  <c r="T34" i="12"/>
  <c r="H154" i="9"/>
  <c r="J74" i="7"/>
  <c r="J43" i="7"/>
  <c r="J47" i="7" s="1"/>
  <c r="J44" i="3"/>
  <c r="J20" i="3"/>
  <c r="J54" i="3" s="1"/>
  <c r="H40" i="9"/>
  <c r="H46" i="9" s="1"/>
  <c r="H47" i="9" s="1"/>
  <c r="H27" i="9"/>
  <c r="H35" i="9" s="1"/>
  <c r="H36" i="9" s="1"/>
  <c r="H16" i="9"/>
  <c r="H22" i="9" s="1"/>
  <c r="H23" i="9" s="1"/>
  <c r="J66" i="10"/>
  <c r="J65" i="10"/>
  <c r="J63" i="10"/>
  <c r="J62" i="10"/>
  <c r="J61" i="10"/>
  <c r="J60" i="10"/>
  <c r="J59" i="10"/>
  <c r="J58" i="10"/>
  <c r="J57" i="10"/>
  <c r="J56" i="10"/>
  <c r="J55" i="10"/>
  <c r="J54" i="10"/>
  <c r="J52" i="10"/>
  <c r="J51" i="10"/>
  <c r="J49" i="10"/>
  <c r="J48" i="10"/>
  <c r="J47" i="10"/>
  <c r="J46" i="10"/>
  <c r="L66" i="10"/>
  <c r="L65" i="10"/>
  <c r="L63" i="10"/>
  <c r="L62" i="10"/>
  <c r="L61" i="10"/>
  <c r="L60" i="10"/>
  <c r="L59" i="10"/>
  <c r="L58" i="10"/>
  <c r="L57" i="10"/>
  <c r="L56" i="10"/>
  <c r="L55" i="10"/>
  <c r="L54" i="10"/>
  <c r="L52" i="10"/>
  <c r="L51" i="10"/>
  <c r="L49" i="10"/>
  <c r="L48" i="10"/>
  <c r="L47" i="10"/>
  <c r="L46" i="10"/>
  <c r="N63" i="10"/>
  <c r="N62" i="10"/>
  <c r="N61" i="10"/>
  <c r="N60" i="10"/>
  <c r="N59" i="10"/>
  <c r="N58" i="10"/>
  <c r="N57" i="10"/>
  <c r="N56" i="10"/>
  <c r="N55" i="10"/>
  <c r="N54" i="10"/>
  <c r="N52" i="10"/>
  <c r="N51" i="10"/>
  <c r="N49" i="10"/>
  <c r="N48" i="10"/>
  <c r="N47" i="10"/>
  <c r="N46" i="10"/>
  <c r="F33" i="10"/>
  <c r="F32" i="10"/>
  <c r="F30" i="10"/>
  <c r="F29" i="10"/>
  <c r="F28" i="10"/>
  <c r="F27" i="10"/>
  <c r="F26" i="10"/>
  <c r="F25" i="10"/>
  <c r="F24" i="10"/>
  <c r="F23" i="10"/>
  <c r="F22" i="10"/>
  <c r="F21" i="10"/>
  <c r="F19" i="10"/>
  <c r="F18" i="10"/>
  <c r="F16" i="10"/>
  <c r="F15" i="10"/>
  <c r="F14" i="10"/>
  <c r="F13" i="10"/>
  <c r="F66" i="10"/>
  <c r="F65" i="10"/>
  <c r="F63" i="10"/>
  <c r="F62" i="10"/>
  <c r="F61" i="10"/>
  <c r="F60" i="10"/>
  <c r="F59" i="10"/>
  <c r="F58" i="10"/>
  <c r="F57" i="10"/>
  <c r="F56" i="10"/>
  <c r="F55" i="10"/>
  <c r="F54" i="10"/>
  <c r="F52" i="10"/>
  <c r="F51" i="10"/>
  <c r="F49" i="10"/>
  <c r="F48" i="10"/>
  <c r="F47" i="10"/>
  <c r="F46" i="10"/>
  <c r="N96" i="10"/>
  <c r="N95" i="10"/>
  <c r="N94" i="10"/>
  <c r="N93" i="10"/>
  <c r="N92" i="10"/>
  <c r="N91" i="10"/>
  <c r="N90" i="10"/>
  <c r="N89" i="10"/>
  <c r="N88" i="10"/>
  <c r="N87" i="10"/>
  <c r="N85" i="10"/>
  <c r="N84" i="10"/>
  <c r="N81" i="10"/>
  <c r="N80" i="10"/>
  <c r="N79" i="10"/>
  <c r="P96" i="10"/>
  <c r="P95" i="10"/>
  <c r="P94" i="10"/>
  <c r="P93" i="10"/>
  <c r="P92" i="10"/>
  <c r="P91" i="10"/>
  <c r="P90" i="10"/>
  <c r="P89" i="10"/>
  <c r="P88" i="10"/>
  <c r="P87" i="10"/>
  <c r="P85" i="10"/>
  <c r="P84" i="10"/>
  <c r="P81" i="10"/>
  <c r="P80" i="10"/>
  <c r="P79" i="10"/>
  <c r="P63" i="10"/>
  <c r="P62" i="10"/>
  <c r="P61" i="10"/>
  <c r="P60" i="10"/>
  <c r="P59" i="10"/>
  <c r="P58" i="10"/>
  <c r="P57" i="10"/>
  <c r="P56" i="10"/>
  <c r="P55" i="10"/>
  <c r="P54" i="10"/>
  <c r="P52" i="10"/>
  <c r="P51" i="10"/>
  <c r="P49" i="10"/>
  <c r="P48" i="10"/>
  <c r="P47" i="10"/>
  <c r="P46" i="10"/>
  <c r="R96" i="10"/>
  <c r="R95" i="10"/>
  <c r="R94" i="10"/>
  <c r="R93" i="10"/>
  <c r="R92" i="10"/>
  <c r="R91" i="10"/>
  <c r="R90" i="10"/>
  <c r="R89" i="10"/>
  <c r="R88" i="10"/>
  <c r="R87" i="10"/>
  <c r="R85" i="10"/>
  <c r="R84" i="10"/>
  <c r="R81" i="10"/>
  <c r="R80" i="10"/>
  <c r="R79" i="10"/>
  <c r="R63" i="10"/>
  <c r="R62" i="10"/>
  <c r="R61" i="10"/>
  <c r="R60" i="10"/>
  <c r="R59" i="10"/>
  <c r="R58" i="10"/>
  <c r="R57" i="10"/>
  <c r="R56" i="10"/>
  <c r="R55" i="10"/>
  <c r="R54" i="10"/>
  <c r="R52" i="10"/>
  <c r="R51" i="10"/>
  <c r="R49" i="10"/>
  <c r="R48" i="10"/>
  <c r="R47" i="10"/>
  <c r="R46" i="10"/>
  <c r="R30" i="10"/>
  <c r="R29" i="10"/>
  <c r="R28" i="10"/>
  <c r="R27" i="10"/>
  <c r="R26" i="10"/>
  <c r="R25" i="10"/>
  <c r="R24" i="10"/>
  <c r="R23" i="10"/>
  <c r="R22" i="10"/>
  <c r="R21" i="10"/>
  <c r="R19" i="10"/>
  <c r="R18" i="10"/>
  <c r="R15" i="10"/>
  <c r="R14" i="10"/>
  <c r="R13" i="10"/>
  <c r="P30" i="10"/>
  <c r="P29" i="10"/>
  <c r="P28" i="10"/>
  <c r="P27" i="10"/>
  <c r="P26" i="10"/>
  <c r="P25" i="10"/>
  <c r="P24" i="10"/>
  <c r="P23" i="10"/>
  <c r="P22" i="10"/>
  <c r="P21" i="10"/>
  <c r="P19" i="10"/>
  <c r="P18" i="10"/>
  <c r="P15" i="10"/>
  <c r="P14" i="10"/>
  <c r="P13" i="10"/>
  <c r="N30" i="10"/>
  <c r="N29" i="10"/>
  <c r="N28" i="10"/>
  <c r="N27" i="10"/>
  <c r="N26" i="10"/>
  <c r="N25" i="10"/>
  <c r="N24" i="10"/>
  <c r="N23" i="10"/>
  <c r="N22" i="10"/>
  <c r="N21" i="10"/>
  <c r="N19" i="10"/>
  <c r="N18" i="10"/>
  <c r="N15" i="10"/>
  <c r="N14" i="10"/>
  <c r="N13" i="10"/>
  <c r="L13" i="10"/>
  <c r="L14" i="10"/>
  <c r="L15" i="10"/>
  <c r="L18" i="10"/>
  <c r="L19" i="10"/>
  <c r="L21" i="10"/>
  <c r="L22" i="10"/>
  <c r="L23" i="10"/>
  <c r="L24" i="10"/>
  <c r="L25" i="10"/>
  <c r="L26" i="10"/>
  <c r="L27" i="10"/>
  <c r="L28" i="10"/>
  <c r="L29" i="10"/>
  <c r="L30" i="10"/>
  <c r="Q43" i="10"/>
  <c r="O43" i="10"/>
  <c r="M43" i="10"/>
  <c r="K43" i="10"/>
  <c r="Q76" i="10"/>
  <c r="O76" i="10"/>
  <c r="M76" i="10"/>
  <c r="K76" i="10"/>
  <c r="R82" i="10"/>
  <c r="N82" i="10"/>
  <c r="P82" i="10"/>
  <c r="J55" i="3" l="1"/>
  <c r="J56" i="3"/>
  <c r="J26" i="3"/>
  <c r="J30" i="3" s="1"/>
  <c r="J46" i="3" s="1"/>
  <c r="Q207" i="9"/>
  <c r="Q203" i="9"/>
  <c r="Q202" i="9"/>
  <c r="Q201" i="9"/>
  <c r="Q200" i="9"/>
  <c r="Q197" i="9"/>
  <c r="Q196" i="9"/>
  <c r="Q192" i="9"/>
  <c r="Q191" i="9"/>
  <c r="Q190" i="9"/>
  <c r="Q189" i="9"/>
  <c r="Q188" i="9"/>
  <c r="Q187" i="9"/>
  <c r="Q184" i="9"/>
  <c r="Q183" i="9"/>
  <c r="Q179" i="9"/>
  <c r="Q178" i="9"/>
  <c r="Q177" i="9"/>
  <c r="Q176" i="9"/>
  <c r="Q173" i="9"/>
  <c r="Q172" i="9"/>
  <c r="O207" i="9"/>
  <c r="O203" i="9"/>
  <c r="O202" i="9"/>
  <c r="O201" i="9"/>
  <c r="O200" i="9"/>
  <c r="O197" i="9"/>
  <c r="O196" i="9"/>
  <c r="O192" i="9"/>
  <c r="O191" i="9"/>
  <c r="O190" i="9"/>
  <c r="O189" i="9"/>
  <c r="O188" i="9"/>
  <c r="O187" i="9"/>
  <c r="O184" i="9"/>
  <c r="O183" i="9"/>
  <c r="O177" i="9"/>
  <c r="O176" i="9"/>
  <c r="O173" i="9"/>
  <c r="O172" i="9"/>
  <c r="M207" i="9"/>
  <c r="M203" i="9"/>
  <c r="M202" i="9"/>
  <c r="M201" i="9"/>
  <c r="M200" i="9"/>
  <c r="M197" i="9"/>
  <c r="M196" i="9"/>
  <c r="M192" i="9"/>
  <c r="M191" i="9"/>
  <c r="M190" i="9"/>
  <c r="M189" i="9"/>
  <c r="M188" i="9"/>
  <c r="M184" i="9"/>
  <c r="M183" i="9"/>
  <c r="M177" i="9"/>
  <c r="M176" i="9"/>
  <c r="M173" i="9"/>
  <c r="M172" i="9"/>
  <c r="I159" i="9"/>
  <c r="I158" i="9"/>
  <c r="I157" i="9"/>
  <c r="I156" i="9"/>
  <c r="I155" i="9"/>
  <c r="I154" i="9"/>
  <c r="I153" i="9"/>
  <c r="I152" i="9"/>
  <c r="I150" i="9"/>
  <c r="I149" i="9"/>
  <c r="I148" i="9"/>
  <c r="I145" i="9"/>
  <c r="I142" i="9"/>
  <c r="I141" i="9"/>
  <c r="I140" i="9"/>
  <c r="I139" i="9"/>
  <c r="I138" i="9"/>
  <c r="I136" i="9"/>
  <c r="I135" i="9"/>
  <c r="I134" i="9"/>
  <c r="I131" i="9"/>
  <c r="I130" i="9"/>
  <c r="I129" i="9"/>
  <c r="I128" i="9"/>
  <c r="I127" i="9"/>
  <c r="I126" i="9"/>
  <c r="I125" i="9"/>
  <c r="I123" i="9"/>
  <c r="I122" i="9"/>
  <c r="I121" i="9"/>
  <c r="I118" i="9"/>
  <c r="I117" i="9"/>
  <c r="I116" i="9"/>
  <c r="I115" i="9"/>
  <c r="I114" i="9"/>
  <c r="I112" i="9"/>
  <c r="I111" i="9"/>
  <c r="I110" i="9"/>
  <c r="I63" i="9"/>
  <c r="I62" i="9"/>
  <c r="I61" i="9"/>
  <c r="I60" i="9"/>
  <c r="I59" i="9"/>
  <c r="I58" i="9"/>
  <c r="I57" i="9"/>
  <c r="I56" i="9"/>
  <c r="I54" i="9"/>
  <c r="I53" i="9"/>
  <c r="I52" i="9"/>
  <c r="I49" i="9"/>
  <c r="I46" i="9"/>
  <c r="I45" i="9"/>
  <c r="I44" i="9"/>
  <c r="I43" i="9"/>
  <c r="I42" i="9"/>
  <c r="I40" i="9"/>
  <c r="I39" i="9"/>
  <c r="I38" i="9"/>
  <c r="I36" i="9"/>
  <c r="I35" i="9"/>
  <c r="I34" i="9"/>
  <c r="I33" i="9"/>
  <c r="I32" i="9"/>
  <c r="I31" i="9"/>
  <c r="I30" i="9"/>
  <c r="I29" i="9"/>
  <c r="I27" i="9"/>
  <c r="I26" i="9"/>
  <c r="I25" i="9"/>
  <c r="I23" i="9"/>
  <c r="I22" i="9"/>
  <c r="I21" i="9"/>
  <c r="I20" i="9"/>
  <c r="I19" i="9"/>
  <c r="I18" i="9"/>
  <c r="I16" i="9"/>
  <c r="I15" i="9"/>
  <c r="I14" i="9"/>
  <c r="P198" i="9"/>
  <c r="P185" i="9"/>
  <c r="P174" i="9"/>
  <c r="N198" i="9"/>
  <c r="N185" i="9"/>
  <c r="N174" i="9"/>
  <c r="L198" i="9"/>
  <c r="L185" i="9"/>
  <c r="L174" i="9"/>
  <c r="P168" i="9"/>
  <c r="N168" i="9"/>
  <c r="L168" i="9"/>
  <c r="J168" i="9"/>
  <c r="P186" i="9" l="1"/>
  <c r="P193" i="9" s="1"/>
  <c r="P194" i="9" s="1"/>
  <c r="L186" i="9"/>
  <c r="L193" i="9" s="1"/>
  <c r="L194" i="9" s="1"/>
  <c r="L204" i="9"/>
  <c r="L205" i="9" s="1"/>
  <c r="L199" i="9"/>
  <c r="N175" i="9"/>
  <c r="N180" i="9" s="1"/>
  <c r="P204" i="9"/>
  <c r="P205" i="9" s="1"/>
  <c r="P199" i="9"/>
  <c r="N204" i="9"/>
  <c r="N205" i="9" s="1"/>
  <c r="N199" i="9"/>
  <c r="L175" i="9"/>
  <c r="L180" i="9" s="1"/>
  <c r="L181" i="9" s="1"/>
  <c r="N186" i="9"/>
  <c r="N193" i="9" s="1"/>
  <c r="P175" i="9"/>
  <c r="P180" i="9" s="1"/>
  <c r="P181" i="9" s="1"/>
  <c r="J53" i="3"/>
  <c r="J50" i="3"/>
  <c r="J51" i="3" s="1"/>
  <c r="O174" i="9"/>
  <c r="Q185" i="9"/>
  <c r="O185" i="9"/>
  <c r="Q198" i="9"/>
  <c r="O198" i="9"/>
  <c r="Q174" i="9"/>
  <c r="M30" i="9"/>
  <c r="L51" i="3"/>
  <c r="M145" i="9"/>
  <c r="M141" i="9"/>
  <c r="M140" i="9"/>
  <c r="M139" i="9"/>
  <c r="M138" i="9"/>
  <c r="M135" i="9"/>
  <c r="M128" i="9"/>
  <c r="M127" i="9"/>
  <c r="M126" i="9"/>
  <c r="M125" i="9"/>
  <c r="M122" i="9"/>
  <c r="M117" i="9"/>
  <c r="M115" i="9"/>
  <c r="M114" i="9"/>
  <c r="M111" i="9"/>
  <c r="M110" i="9"/>
  <c r="M220" i="9"/>
  <c r="M219" i="9"/>
  <c r="J198" i="9"/>
  <c r="J199" i="9" s="1"/>
  <c r="J185" i="9"/>
  <c r="J186" i="9" s="1"/>
  <c r="J174" i="9"/>
  <c r="J175" i="9" s="1"/>
  <c r="L136" i="9"/>
  <c r="O136" i="9" s="1"/>
  <c r="L123" i="9"/>
  <c r="L131" i="9" s="1"/>
  <c r="L132" i="9" s="1"/>
  <c r="O132" i="9" s="1"/>
  <c r="L112" i="9"/>
  <c r="L118" i="9" s="1"/>
  <c r="O118" i="9" s="1"/>
  <c r="Q158" i="9"/>
  <c r="Q157" i="9"/>
  <c r="Q145" i="9"/>
  <c r="Q141" i="9"/>
  <c r="Q140" i="9"/>
  <c r="Q139" i="9"/>
  <c r="Q138" i="9"/>
  <c r="Q136" i="9"/>
  <c r="Q135" i="9"/>
  <c r="Q134" i="9"/>
  <c r="Q130" i="9"/>
  <c r="Q129" i="9"/>
  <c r="Q128" i="9"/>
  <c r="Q127" i="9"/>
  <c r="Q126" i="9"/>
  <c r="Q125" i="9"/>
  <c r="Q123" i="9"/>
  <c r="Q122" i="9"/>
  <c r="Q121" i="9"/>
  <c r="Q117" i="9"/>
  <c r="Q116" i="9"/>
  <c r="Q115" i="9"/>
  <c r="Q114" i="9"/>
  <c r="Q111" i="9"/>
  <c r="Q110" i="9"/>
  <c r="O158" i="9"/>
  <c r="O157" i="9"/>
  <c r="O145" i="9"/>
  <c r="O141" i="9"/>
  <c r="O140" i="9"/>
  <c r="O139" i="9"/>
  <c r="O138" i="9"/>
  <c r="O135" i="9"/>
  <c r="O134" i="9"/>
  <c r="O130" i="9"/>
  <c r="O129" i="9"/>
  <c r="O128" i="9"/>
  <c r="O127" i="9"/>
  <c r="O126" i="9"/>
  <c r="O125" i="9"/>
  <c r="O122" i="9"/>
  <c r="O121" i="9"/>
  <c r="O117" i="9"/>
  <c r="O116" i="9"/>
  <c r="O115" i="9"/>
  <c r="O114" i="9"/>
  <c r="O111" i="9"/>
  <c r="O110" i="9"/>
  <c r="M158" i="9"/>
  <c r="M157" i="9"/>
  <c r="M156" i="9"/>
  <c r="M130" i="9"/>
  <c r="M129" i="9"/>
  <c r="M116" i="9"/>
  <c r="K159" i="9"/>
  <c r="K158" i="9"/>
  <c r="K157" i="9"/>
  <c r="K145" i="9"/>
  <c r="Q49" i="9"/>
  <c r="O49" i="9"/>
  <c r="M49" i="9"/>
  <c r="Q62" i="9"/>
  <c r="Q61" i="9"/>
  <c r="O62" i="9"/>
  <c r="O61" i="9"/>
  <c r="M62" i="9"/>
  <c r="M61" i="9"/>
  <c r="K62" i="9"/>
  <c r="K61" i="9"/>
  <c r="K49" i="9"/>
  <c r="Q45" i="9"/>
  <c r="Q44" i="9"/>
  <c r="Q43" i="9"/>
  <c r="Q42" i="9"/>
  <c r="Q39" i="9"/>
  <c r="Q38" i="9"/>
  <c r="Q34" i="9"/>
  <c r="Q33" i="9"/>
  <c r="Q32" i="9"/>
  <c r="Q31" i="9"/>
  <c r="Q30" i="9"/>
  <c r="Q29" i="9"/>
  <c r="Q26" i="9"/>
  <c r="Q25" i="9"/>
  <c r="Q21" i="9"/>
  <c r="Q20" i="9"/>
  <c r="Q19" i="9"/>
  <c r="Q18" i="9"/>
  <c r="Q15" i="9"/>
  <c r="Q14" i="9"/>
  <c r="O45" i="9"/>
  <c r="O44" i="9"/>
  <c r="O43" i="9"/>
  <c r="O42" i="9"/>
  <c r="O39" i="9"/>
  <c r="O38" i="9"/>
  <c r="O34" i="9"/>
  <c r="O33" i="9"/>
  <c r="O32" i="9"/>
  <c r="O31" i="9"/>
  <c r="O30" i="9"/>
  <c r="O29" i="9"/>
  <c r="O26" i="9"/>
  <c r="O25" i="9"/>
  <c r="O21" i="9"/>
  <c r="O20" i="9"/>
  <c r="O19" i="9"/>
  <c r="O18" i="9"/>
  <c r="O15" i="9"/>
  <c r="O14" i="9"/>
  <c r="M45" i="9"/>
  <c r="M44" i="9"/>
  <c r="M43" i="9"/>
  <c r="M42" i="9"/>
  <c r="M39" i="9"/>
  <c r="M38" i="9"/>
  <c r="M34" i="9"/>
  <c r="M33" i="9"/>
  <c r="M32" i="9"/>
  <c r="M31" i="9"/>
  <c r="M29" i="9"/>
  <c r="M26" i="9"/>
  <c r="M25" i="9"/>
  <c r="M21" i="9"/>
  <c r="M20" i="9"/>
  <c r="M19" i="9"/>
  <c r="M18" i="9"/>
  <c r="M15" i="9"/>
  <c r="M14" i="9"/>
  <c r="K45" i="9"/>
  <c r="K44" i="9"/>
  <c r="K43" i="9"/>
  <c r="K42" i="9"/>
  <c r="K39" i="9"/>
  <c r="K38" i="9"/>
  <c r="K34" i="9"/>
  <c r="K33" i="9"/>
  <c r="K32" i="9"/>
  <c r="K31" i="9"/>
  <c r="K30" i="9"/>
  <c r="K29" i="9"/>
  <c r="K26" i="9"/>
  <c r="K25" i="9"/>
  <c r="K21" i="9"/>
  <c r="K20" i="9"/>
  <c r="K19" i="9"/>
  <c r="K18" i="9"/>
  <c r="K15" i="9"/>
  <c r="K14" i="9"/>
  <c r="P156" i="7"/>
  <c r="S220" i="7"/>
  <c r="S216" i="7"/>
  <c r="S214" i="7"/>
  <c r="S213" i="7"/>
  <c r="S212" i="7"/>
  <c r="S211" i="7"/>
  <c r="S210" i="7"/>
  <c r="S206" i="7"/>
  <c r="S205" i="7"/>
  <c r="S204" i="7"/>
  <c r="S203" i="7"/>
  <c r="S202" i="7"/>
  <c r="S201" i="7"/>
  <c r="S193" i="7"/>
  <c r="S188" i="7"/>
  <c r="S187" i="7"/>
  <c r="S186" i="7"/>
  <c r="S185" i="7"/>
  <c r="S181" i="7"/>
  <c r="S180" i="7"/>
  <c r="S179" i="7"/>
  <c r="S178" i="7"/>
  <c r="S177" i="7"/>
  <c r="S173" i="7"/>
  <c r="S172" i="7"/>
  <c r="S171" i="7"/>
  <c r="S170" i="7"/>
  <c r="S165" i="7"/>
  <c r="S164" i="7"/>
  <c r="S163" i="7"/>
  <c r="S162" i="7"/>
  <c r="S161" i="7"/>
  <c r="Q220" i="7"/>
  <c r="Q216" i="7"/>
  <c r="Q213" i="7"/>
  <c r="Q212" i="7"/>
  <c r="Q211" i="7"/>
  <c r="Q210" i="7"/>
  <c r="Q206" i="7"/>
  <c r="Q205" i="7"/>
  <c r="Q204" i="7"/>
  <c r="Q203" i="7"/>
  <c r="Q202" i="7"/>
  <c r="Q201" i="7"/>
  <c r="Q193" i="7"/>
  <c r="Q188" i="7"/>
  <c r="Q187" i="7"/>
  <c r="Q186" i="7"/>
  <c r="Q185" i="7"/>
  <c r="Q181" i="7"/>
  <c r="Q180" i="7"/>
  <c r="Q179" i="7"/>
  <c r="Q178" i="7"/>
  <c r="Q177" i="7"/>
  <c r="Q173" i="7"/>
  <c r="Q172" i="7"/>
  <c r="Q171" i="7"/>
  <c r="Q170" i="7"/>
  <c r="Q165" i="7"/>
  <c r="Q164" i="7"/>
  <c r="Q163" i="7"/>
  <c r="Q162" i="7"/>
  <c r="Q161" i="7"/>
  <c r="O220" i="7"/>
  <c r="O216" i="7"/>
  <c r="O213" i="7"/>
  <c r="O212" i="7"/>
  <c r="O211" i="7"/>
  <c r="O210" i="7"/>
  <c r="O206" i="7"/>
  <c r="O205" i="7"/>
  <c r="O204" i="7"/>
  <c r="O203" i="7"/>
  <c r="O202" i="7"/>
  <c r="O201" i="7"/>
  <c r="O193" i="7"/>
  <c r="O188" i="7"/>
  <c r="O187" i="7"/>
  <c r="O186" i="7"/>
  <c r="O185" i="7"/>
  <c r="O181" i="7"/>
  <c r="O180" i="7"/>
  <c r="O179" i="7"/>
  <c r="O178" i="7"/>
  <c r="O177" i="7"/>
  <c r="O173" i="7"/>
  <c r="O172" i="7"/>
  <c r="O171" i="7"/>
  <c r="O170" i="7"/>
  <c r="O165" i="7"/>
  <c r="O164" i="7"/>
  <c r="O163" i="7"/>
  <c r="O162" i="7"/>
  <c r="O161" i="7"/>
  <c r="S142" i="7"/>
  <c r="S139" i="7"/>
  <c r="S138" i="7"/>
  <c r="S137" i="7"/>
  <c r="S136" i="7"/>
  <c r="S132" i="7"/>
  <c r="S130" i="7"/>
  <c r="S129" i="7"/>
  <c r="S114" i="7"/>
  <c r="S107" i="7"/>
  <c r="S99" i="7"/>
  <c r="S95" i="7"/>
  <c r="Q142" i="7"/>
  <c r="Q139" i="7"/>
  <c r="Q138" i="7"/>
  <c r="Q137" i="7"/>
  <c r="Q136" i="7"/>
  <c r="Q132" i="7"/>
  <c r="Q131" i="7"/>
  <c r="Q130" i="7"/>
  <c r="Q129" i="7"/>
  <c r="Q114" i="7"/>
  <c r="Q107" i="7"/>
  <c r="Q99" i="7"/>
  <c r="Q95" i="7"/>
  <c r="O146" i="7"/>
  <c r="O142" i="7"/>
  <c r="O139" i="7"/>
  <c r="O138" i="7"/>
  <c r="O137" i="7"/>
  <c r="O136" i="7"/>
  <c r="O132" i="7"/>
  <c r="O131" i="7"/>
  <c r="O130" i="7"/>
  <c r="O129" i="7"/>
  <c r="O128" i="7"/>
  <c r="O127" i="7"/>
  <c r="O119" i="7"/>
  <c r="O114" i="7"/>
  <c r="O111" i="7"/>
  <c r="O107" i="7"/>
  <c r="O106" i="7"/>
  <c r="O105" i="7"/>
  <c r="O103" i="7"/>
  <c r="O99" i="7"/>
  <c r="O98" i="7"/>
  <c r="O97" i="7"/>
  <c r="O95" i="7"/>
  <c r="O91" i="7"/>
  <c r="O90" i="7"/>
  <c r="O89" i="7"/>
  <c r="O88" i="7"/>
  <c r="N194" i="9" l="1"/>
  <c r="O193" i="9"/>
  <c r="Q193" i="9"/>
  <c r="N181" i="9"/>
  <c r="Q181" i="9" s="1"/>
  <c r="Q180" i="9"/>
  <c r="O204" i="9"/>
  <c r="Q204" i="9"/>
  <c r="O180" i="9"/>
  <c r="O123" i="9"/>
  <c r="O112" i="9"/>
  <c r="J180" i="9"/>
  <c r="M174" i="9"/>
  <c r="J193" i="9"/>
  <c r="M185" i="9"/>
  <c r="J204" i="9"/>
  <c r="M198" i="9"/>
  <c r="M134" i="9"/>
  <c r="M121" i="9"/>
  <c r="M132" i="9"/>
  <c r="M112" i="9"/>
  <c r="M136" i="9"/>
  <c r="M123" i="9"/>
  <c r="Q118" i="9"/>
  <c r="Q119" i="9"/>
  <c r="Q132" i="9"/>
  <c r="Q131" i="9"/>
  <c r="Q142" i="9"/>
  <c r="Q112" i="9"/>
  <c r="O131" i="9"/>
  <c r="L119" i="9"/>
  <c r="O119" i="9" s="1"/>
  <c r="L142" i="9"/>
  <c r="S72" i="7"/>
  <c r="S68" i="7"/>
  <c r="S66" i="7"/>
  <c r="S65" i="7"/>
  <c r="S64" i="7"/>
  <c r="S63" i="7"/>
  <c r="S62" i="7"/>
  <c r="S58" i="7"/>
  <c r="S57" i="7"/>
  <c r="S56" i="7"/>
  <c r="S55" i="7"/>
  <c r="S54" i="7"/>
  <c r="S53" i="7"/>
  <c r="S45" i="7"/>
  <c r="S40" i="7"/>
  <c r="S39" i="7"/>
  <c r="S38" i="7"/>
  <c r="S37" i="7"/>
  <c r="S33" i="7"/>
  <c r="S32" i="7"/>
  <c r="S31" i="7"/>
  <c r="S30" i="7"/>
  <c r="S29" i="7"/>
  <c r="S25" i="7"/>
  <c r="S24" i="7"/>
  <c r="S23" i="7"/>
  <c r="S22" i="7"/>
  <c r="S21" i="7"/>
  <c r="S17" i="7"/>
  <c r="S16" i="7"/>
  <c r="S15" i="7"/>
  <c r="S14" i="7"/>
  <c r="S13" i="7"/>
  <c r="Q72" i="7"/>
  <c r="Q68" i="7"/>
  <c r="Q66" i="7"/>
  <c r="Q65" i="7"/>
  <c r="Q64" i="7"/>
  <c r="Q63" i="7"/>
  <c r="Q62" i="7"/>
  <c r="Q58" i="7"/>
  <c r="Q57" i="7"/>
  <c r="Q56" i="7"/>
  <c r="Q55" i="7"/>
  <c r="Q54" i="7"/>
  <c r="Q53" i="7"/>
  <c r="Q45" i="7"/>
  <c r="Q40" i="7"/>
  <c r="Q39" i="7"/>
  <c r="Q38" i="7"/>
  <c r="Q37" i="7"/>
  <c r="Q34" i="7"/>
  <c r="Q33" i="7"/>
  <c r="Q32" i="7"/>
  <c r="Q31" i="7"/>
  <c r="Q30" i="7"/>
  <c r="Q29" i="7"/>
  <c r="Q25" i="7"/>
  <c r="Q24" i="7"/>
  <c r="Q23" i="7"/>
  <c r="Q22" i="7"/>
  <c r="Q21" i="7"/>
  <c r="Q17" i="7"/>
  <c r="Q16" i="7"/>
  <c r="Q15" i="7"/>
  <c r="Q14" i="7"/>
  <c r="Q13" i="7"/>
  <c r="O72" i="7"/>
  <c r="O68" i="7"/>
  <c r="O66" i="7"/>
  <c r="O65" i="7"/>
  <c r="O64" i="7"/>
  <c r="O63" i="7"/>
  <c r="O62" i="7"/>
  <c r="O58" i="7"/>
  <c r="O57" i="7"/>
  <c r="O56" i="7"/>
  <c r="O55" i="7"/>
  <c r="O54" i="7"/>
  <c r="O53" i="7"/>
  <c r="O45" i="7"/>
  <c r="O40" i="7"/>
  <c r="O39" i="7"/>
  <c r="O38" i="7"/>
  <c r="O37" i="7"/>
  <c r="O34" i="7"/>
  <c r="O33" i="7"/>
  <c r="O32" i="7"/>
  <c r="O31" i="7"/>
  <c r="O30" i="7"/>
  <c r="O29" i="7"/>
  <c r="O25" i="7"/>
  <c r="O24" i="7"/>
  <c r="O23" i="7"/>
  <c r="O22" i="7"/>
  <c r="O21" i="7"/>
  <c r="O17" i="7"/>
  <c r="O16" i="7"/>
  <c r="O15" i="7"/>
  <c r="O14" i="7"/>
  <c r="O13" i="7"/>
  <c r="O181" i="9" l="1"/>
  <c r="J194" i="9"/>
  <c r="M193" i="9"/>
  <c r="J181" i="9"/>
  <c r="M181" i="9" s="1"/>
  <c r="M180" i="9"/>
  <c r="J205" i="9"/>
  <c r="M204" i="9"/>
  <c r="M142" i="9"/>
  <c r="M131" i="9"/>
  <c r="M119" i="9"/>
  <c r="M118" i="9"/>
  <c r="L143" i="9"/>
  <c r="O142" i="9"/>
  <c r="S166" i="3"/>
  <c r="S161" i="3"/>
  <c r="S159" i="3"/>
  <c r="S157" i="3"/>
  <c r="S156" i="3"/>
  <c r="S155" i="3"/>
  <c r="S154" i="3"/>
  <c r="S153" i="3"/>
  <c r="S152" i="3"/>
  <c r="S151" i="3"/>
  <c r="S146" i="3"/>
  <c r="S142" i="3"/>
  <c r="S141" i="3"/>
  <c r="S140" i="3"/>
  <c r="S136" i="3"/>
  <c r="S135" i="3"/>
  <c r="S134" i="3"/>
  <c r="S133" i="3"/>
  <c r="S132" i="3"/>
  <c r="Q166" i="3"/>
  <c r="Q161" i="3"/>
  <c r="Q159" i="3"/>
  <c r="Q157" i="3"/>
  <c r="Q156" i="3"/>
  <c r="Q155" i="3"/>
  <c r="Q154" i="3"/>
  <c r="Q153" i="3"/>
  <c r="Q152" i="3"/>
  <c r="Q151" i="3"/>
  <c r="Q146" i="3"/>
  <c r="Q142" i="3"/>
  <c r="Q141" i="3"/>
  <c r="Q140" i="3"/>
  <c r="Q136" i="3"/>
  <c r="Q135" i="3"/>
  <c r="Q134" i="3"/>
  <c r="Q133" i="3"/>
  <c r="Q132" i="3"/>
  <c r="O166" i="3"/>
  <c r="O161" i="3"/>
  <c r="O159" i="3"/>
  <c r="O157" i="3"/>
  <c r="O156" i="3"/>
  <c r="O155" i="3"/>
  <c r="O154" i="3"/>
  <c r="O153" i="3"/>
  <c r="O152" i="3"/>
  <c r="O151" i="3"/>
  <c r="O146" i="3"/>
  <c r="O142" i="3"/>
  <c r="O141" i="3"/>
  <c r="O140" i="3"/>
  <c r="O136" i="3"/>
  <c r="O135" i="3"/>
  <c r="O134" i="3"/>
  <c r="O133" i="3"/>
  <c r="O132" i="3"/>
  <c r="M161" i="3"/>
  <c r="S111" i="3"/>
  <c r="S104" i="3"/>
  <c r="S103" i="3"/>
  <c r="S93" i="3"/>
  <c r="S86" i="3"/>
  <c r="S85" i="3"/>
  <c r="Q111" i="3"/>
  <c r="Q107" i="3"/>
  <c r="Q105" i="3"/>
  <c r="Q104" i="3"/>
  <c r="Q103" i="3"/>
  <c r="Q93" i="3"/>
  <c r="Q90" i="3"/>
  <c r="Q86" i="3"/>
  <c r="Q85" i="3"/>
  <c r="O116" i="3"/>
  <c r="O112" i="3"/>
  <c r="O111" i="3"/>
  <c r="O109" i="3"/>
  <c r="O107" i="3"/>
  <c r="O106" i="3"/>
  <c r="O105" i="3"/>
  <c r="O104" i="3"/>
  <c r="O103" i="3"/>
  <c r="O102" i="3"/>
  <c r="O101" i="3"/>
  <c r="O96" i="3"/>
  <c r="O93" i="3"/>
  <c r="O92" i="3"/>
  <c r="O91" i="3"/>
  <c r="O90" i="3"/>
  <c r="O88" i="3"/>
  <c r="O86" i="3"/>
  <c r="O85" i="3"/>
  <c r="O84" i="3"/>
  <c r="O83" i="3"/>
  <c r="O82" i="3"/>
  <c r="M116" i="3"/>
  <c r="M111" i="3"/>
  <c r="M109" i="3"/>
  <c r="M107" i="3"/>
  <c r="M106" i="3"/>
  <c r="M105" i="3"/>
  <c r="M104" i="3"/>
  <c r="M103" i="3"/>
  <c r="M102" i="3"/>
  <c r="M101" i="3"/>
  <c r="M96" i="3"/>
  <c r="M94" i="3"/>
  <c r="M93" i="3"/>
  <c r="M92" i="3"/>
  <c r="M91" i="3"/>
  <c r="M90" i="3"/>
  <c r="M88" i="3"/>
  <c r="M86" i="3"/>
  <c r="M85" i="3"/>
  <c r="M84" i="3"/>
  <c r="M83" i="3"/>
  <c r="M82" i="3"/>
  <c r="S48" i="3"/>
  <c r="S43" i="3"/>
  <c r="S41" i="3"/>
  <c r="S39" i="3"/>
  <c r="S38" i="3"/>
  <c r="S37" i="3"/>
  <c r="S36" i="3"/>
  <c r="S35" i="3"/>
  <c r="S34" i="3"/>
  <c r="S33" i="3"/>
  <c r="S28" i="3"/>
  <c r="S25" i="3"/>
  <c r="S24" i="3"/>
  <c r="S23" i="3"/>
  <c r="S22" i="3"/>
  <c r="S18" i="3"/>
  <c r="S17" i="3"/>
  <c r="S16" i="3"/>
  <c r="S15" i="3"/>
  <c r="S14" i="3"/>
  <c r="Q48" i="3"/>
  <c r="Q43" i="3"/>
  <c r="Q41" i="3"/>
  <c r="Q39" i="3"/>
  <c r="Q38" i="3"/>
  <c r="Q37" i="3"/>
  <c r="Q36" i="3"/>
  <c r="Q35" i="3"/>
  <c r="Q34" i="3"/>
  <c r="Q33" i="3"/>
  <c r="Q28" i="3"/>
  <c r="Q25" i="3"/>
  <c r="Q24" i="3"/>
  <c r="Q23" i="3"/>
  <c r="Q22" i="3"/>
  <c r="Q18" i="3"/>
  <c r="Q17" i="3"/>
  <c r="Q16" i="3"/>
  <c r="Q15" i="3"/>
  <c r="Q14" i="3"/>
  <c r="O48" i="3"/>
  <c r="O43" i="3"/>
  <c r="O41" i="3"/>
  <c r="O39" i="3"/>
  <c r="O38" i="3"/>
  <c r="O37" i="3"/>
  <c r="O36" i="3"/>
  <c r="O35" i="3"/>
  <c r="O34" i="3"/>
  <c r="O28" i="3"/>
  <c r="O25" i="3"/>
  <c r="O24" i="3"/>
  <c r="O23" i="3"/>
  <c r="O22" i="3"/>
  <c r="O18" i="3"/>
  <c r="O17" i="3"/>
  <c r="O16" i="3"/>
  <c r="O15" i="3"/>
  <c r="O14" i="3"/>
  <c r="M48" i="3"/>
  <c r="M46" i="3"/>
  <c r="M44" i="3"/>
  <c r="M43" i="3"/>
  <c r="M41" i="3"/>
  <c r="M39" i="3"/>
  <c r="M38" i="3"/>
  <c r="M37" i="3"/>
  <c r="M36" i="3"/>
  <c r="M35" i="3"/>
  <c r="M34" i="3"/>
  <c r="M33" i="3"/>
  <c r="M30" i="3"/>
  <c r="M28" i="3"/>
  <c r="M26" i="3"/>
  <c r="M24" i="3"/>
  <c r="M23" i="3"/>
  <c r="M22" i="3"/>
  <c r="M20" i="3"/>
  <c r="M18" i="3"/>
  <c r="M16" i="3"/>
  <c r="M15" i="3"/>
  <c r="M14" i="3"/>
  <c r="M17" i="3"/>
  <c r="R116" i="3"/>
  <c r="P116" i="3"/>
  <c r="N116" i="3"/>
  <c r="L116" i="3"/>
  <c r="R109" i="3"/>
  <c r="P109" i="3"/>
  <c r="S109" i="3" s="1"/>
  <c r="N109" i="3"/>
  <c r="L109" i="3"/>
  <c r="R108" i="3"/>
  <c r="P108" i="3"/>
  <c r="N108" i="3"/>
  <c r="L108" i="3"/>
  <c r="R107" i="3"/>
  <c r="P107" i="3"/>
  <c r="S107" i="3" s="1"/>
  <c r="N107" i="3"/>
  <c r="L107" i="3"/>
  <c r="R106" i="3"/>
  <c r="P106" i="3"/>
  <c r="S106" i="3" s="1"/>
  <c r="N106" i="3"/>
  <c r="Q106" i="3" s="1"/>
  <c r="L106" i="3"/>
  <c r="R105" i="3"/>
  <c r="P105" i="3"/>
  <c r="N105" i="3"/>
  <c r="L105" i="3"/>
  <c r="R104" i="3"/>
  <c r="P104" i="3"/>
  <c r="N104" i="3"/>
  <c r="L104" i="3"/>
  <c r="R103" i="3"/>
  <c r="P103" i="3"/>
  <c r="N103" i="3"/>
  <c r="L103" i="3"/>
  <c r="R102" i="3"/>
  <c r="P102" i="3"/>
  <c r="S102" i="3" s="1"/>
  <c r="N102" i="3"/>
  <c r="L102" i="3"/>
  <c r="R101" i="3"/>
  <c r="P101" i="3"/>
  <c r="N101" i="3"/>
  <c r="L101" i="3"/>
  <c r="L88" i="3"/>
  <c r="R96" i="3"/>
  <c r="P96" i="3"/>
  <c r="N96" i="3"/>
  <c r="Q96" i="3" s="1"/>
  <c r="L96" i="3"/>
  <c r="R92" i="3"/>
  <c r="P92" i="3"/>
  <c r="N92" i="3"/>
  <c r="L92" i="3"/>
  <c r="R91" i="3"/>
  <c r="P91" i="3"/>
  <c r="N91" i="3"/>
  <c r="Q91" i="3" s="1"/>
  <c r="L91" i="3"/>
  <c r="R90" i="3"/>
  <c r="P90" i="3"/>
  <c r="N90" i="3"/>
  <c r="L90" i="3"/>
  <c r="R86" i="3"/>
  <c r="R85" i="3"/>
  <c r="R84" i="3"/>
  <c r="R83" i="3"/>
  <c r="R82" i="3"/>
  <c r="P86" i="3"/>
  <c r="P85" i="3"/>
  <c r="P84" i="3"/>
  <c r="Q84" i="3" s="1"/>
  <c r="P83" i="3"/>
  <c r="P82" i="3"/>
  <c r="N86" i="3"/>
  <c r="N85" i="3"/>
  <c r="N84" i="3"/>
  <c r="N83" i="3"/>
  <c r="N82" i="3"/>
  <c r="L86" i="3"/>
  <c r="L85" i="3"/>
  <c r="L84" i="3"/>
  <c r="L83" i="3"/>
  <c r="L82" i="3"/>
  <c r="R162" i="3"/>
  <c r="L159" i="3"/>
  <c r="R138" i="3"/>
  <c r="P162" i="3"/>
  <c r="P138" i="3"/>
  <c r="P144" i="3" s="1"/>
  <c r="N162" i="3"/>
  <c r="U16" i="14" s="1"/>
  <c r="N138" i="3"/>
  <c r="O138" i="3" s="1"/>
  <c r="Y16" i="14" l="1"/>
  <c r="AJ22" i="12"/>
  <c r="AJ7" i="12"/>
  <c r="AJ21" i="12"/>
  <c r="W16" i="14"/>
  <c r="AH22" i="12"/>
  <c r="AH21" i="12"/>
  <c r="AH7" i="12"/>
  <c r="S105" i="3"/>
  <c r="Q102" i="3"/>
  <c r="S101" i="3"/>
  <c r="Q101" i="3"/>
  <c r="Q92" i="3"/>
  <c r="Q162" i="3"/>
  <c r="P148" i="3"/>
  <c r="P164" i="3" s="1"/>
  <c r="AH8" i="12" s="1"/>
  <c r="N223" i="9"/>
  <c r="W18" i="14"/>
  <c r="S116" i="3"/>
  <c r="S162" i="3"/>
  <c r="O162" i="3"/>
  <c r="S96" i="3"/>
  <c r="S90" i="3"/>
  <c r="S138" i="3"/>
  <c r="Q138" i="3"/>
  <c r="Q82" i="3"/>
  <c r="Q116" i="3"/>
  <c r="S91" i="3"/>
  <c r="Q109" i="3"/>
  <c r="S92" i="3"/>
  <c r="S84" i="3"/>
  <c r="S83" i="3"/>
  <c r="Q83" i="3"/>
  <c r="S82" i="3"/>
  <c r="R144" i="3"/>
  <c r="Y24" i="14" s="1"/>
  <c r="N144" i="3"/>
  <c r="P96" i="7"/>
  <c r="R113" i="7"/>
  <c r="R112" i="7"/>
  <c r="R111" i="7"/>
  <c r="R106" i="7"/>
  <c r="R105" i="7"/>
  <c r="S105" i="7" s="1"/>
  <c r="R104" i="7"/>
  <c r="R103" i="7"/>
  <c r="R108" i="7" s="1"/>
  <c r="R98" i="7"/>
  <c r="R97" i="7"/>
  <c r="R96" i="7"/>
  <c r="R91" i="7"/>
  <c r="R90" i="7"/>
  <c r="R89" i="7"/>
  <c r="R88" i="7"/>
  <c r="R87" i="7"/>
  <c r="P113" i="7"/>
  <c r="P112" i="7"/>
  <c r="P111" i="7"/>
  <c r="P106" i="7"/>
  <c r="P105" i="7"/>
  <c r="P104" i="7"/>
  <c r="S104" i="7" s="1"/>
  <c r="P103" i="7"/>
  <c r="P98" i="7"/>
  <c r="S98" i="7" s="1"/>
  <c r="P97" i="7"/>
  <c r="S97" i="7" s="1"/>
  <c r="P91" i="7"/>
  <c r="P90" i="7"/>
  <c r="S90" i="7" s="1"/>
  <c r="P89" i="7"/>
  <c r="P88" i="7"/>
  <c r="P87" i="7"/>
  <c r="N113" i="7"/>
  <c r="N112" i="7"/>
  <c r="N111" i="7"/>
  <c r="Q111" i="7" s="1"/>
  <c r="N106" i="7"/>
  <c r="N105" i="7"/>
  <c r="Q105" i="7" s="1"/>
  <c r="N104" i="7"/>
  <c r="N103" i="7"/>
  <c r="N98" i="7"/>
  <c r="Q98" i="7" s="1"/>
  <c r="N97" i="7"/>
  <c r="Q97" i="7" s="1"/>
  <c r="N96" i="7"/>
  <c r="O96" i="7" s="1"/>
  <c r="N91" i="7"/>
  <c r="N90" i="7"/>
  <c r="Q90" i="7" s="1"/>
  <c r="N89" i="7"/>
  <c r="N88" i="7"/>
  <c r="N87" i="7"/>
  <c r="R146" i="7"/>
  <c r="R142" i="7"/>
  <c r="R144" i="7"/>
  <c r="R138" i="7"/>
  <c r="R137" i="7"/>
  <c r="R136" i="7"/>
  <c r="R131" i="7"/>
  <c r="S131" i="7" s="1"/>
  <c r="R130" i="7"/>
  <c r="R129" i="7"/>
  <c r="R128" i="7"/>
  <c r="R127" i="7"/>
  <c r="P146" i="7"/>
  <c r="P142" i="7"/>
  <c r="P144" i="7"/>
  <c r="S144" i="7" s="1"/>
  <c r="P138" i="7"/>
  <c r="P137" i="7"/>
  <c r="P136" i="7"/>
  <c r="P131" i="7"/>
  <c r="P130" i="7"/>
  <c r="P129" i="7"/>
  <c r="P128" i="7"/>
  <c r="P127" i="7"/>
  <c r="N146" i="7"/>
  <c r="N142" i="7"/>
  <c r="N138" i="7"/>
  <c r="N144" i="7" s="1"/>
  <c r="N137" i="7"/>
  <c r="N136" i="7"/>
  <c r="N131" i="7"/>
  <c r="N130" i="7"/>
  <c r="N129" i="7"/>
  <c r="N128" i="7"/>
  <c r="Q128" i="7" s="1"/>
  <c r="N127" i="7"/>
  <c r="Q144" i="7" l="1"/>
  <c r="AH23" i="12"/>
  <c r="AJ23" i="12"/>
  <c r="W24" i="14"/>
  <c r="S128" i="7"/>
  <c r="R148" i="3"/>
  <c r="R164" i="3" s="1"/>
  <c r="P223" i="9"/>
  <c r="Y18" i="14"/>
  <c r="W11" i="14"/>
  <c r="W12" i="14"/>
  <c r="L223" i="9"/>
  <c r="U18" i="14"/>
  <c r="S106" i="7"/>
  <c r="Q106" i="7"/>
  <c r="P108" i="7"/>
  <c r="S108" i="7" s="1"/>
  <c r="S103" i="7"/>
  <c r="N108" i="7"/>
  <c r="Q103" i="7"/>
  <c r="Q104" i="7"/>
  <c r="O104" i="7"/>
  <c r="S127" i="7"/>
  <c r="Q112" i="7"/>
  <c r="Q91" i="7"/>
  <c r="Q89" i="7"/>
  <c r="Q88" i="7"/>
  <c r="S144" i="3"/>
  <c r="P168" i="3"/>
  <c r="P169" i="3" s="1"/>
  <c r="N148" i="3"/>
  <c r="Q144" i="3"/>
  <c r="S146" i="7"/>
  <c r="R148" i="7"/>
  <c r="Q113" i="7"/>
  <c r="Q96" i="7"/>
  <c r="N100" i="7"/>
  <c r="O100" i="7" s="1"/>
  <c r="R117" i="7"/>
  <c r="S113" i="7"/>
  <c r="S111" i="7"/>
  <c r="P117" i="7"/>
  <c r="S112" i="7"/>
  <c r="Q146" i="7"/>
  <c r="P148" i="7"/>
  <c r="N148" i="7"/>
  <c r="Q127" i="7"/>
  <c r="S88" i="7"/>
  <c r="S89" i="7"/>
  <c r="S91" i="7"/>
  <c r="R100" i="7"/>
  <c r="S96" i="7"/>
  <c r="P93" i="7"/>
  <c r="S87" i="7"/>
  <c r="Q87" i="7"/>
  <c r="N93" i="7"/>
  <c r="R93" i="7"/>
  <c r="P100" i="7"/>
  <c r="L108" i="7"/>
  <c r="L146" i="7"/>
  <c r="L142" i="7"/>
  <c r="L138" i="7"/>
  <c r="L137" i="7"/>
  <c r="L136" i="7"/>
  <c r="L131" i="7"/>
  <c r="L130" i="7"/>
  <c r="L129" i="7"/>
  <c r="L128" i="7"/>
  <c r="L127" i="7"/>
  <c r="L113" i="7"/>
  <c r="O113" i="7" s="1"/>
  <c r="L112" i="7"/>
  <c r="O112" i="7" s="1"/>
  <c r="L111" i="7"/>
  <c r="L106" i="7"/>
  <c r="L105" i="7"/>
  <c r="L104" i="7"/>
  <c r="L103" i="7"/>
  <c r="L98" i="7"/>
  <c r="L97" i="7"/>
  <c r="L96" i="7"/>
  <c r="L91" i="7"/>
  <c r="L90" i="7"/>
  <c r="L89" i="7"/>
  <c r="L88" i="7"/>
  <c r="L87" i="7"/>
  <c r="O87" i="7" s="1"/>
  <c r="L207" i="7"/>
  <c r="L218" i="7" s="1"/>
  <c r="L222" i="7" s="1"/>
  <c r="L174" i="7"/>
  <c r="S182" i="7"/>
  <c r="J23" i="8"/>
  <c r="L189" i="7"/>
  <c r="L182" i="7"/>
  <c r="L165" i="7"/>
  <c r="L167" i="7" s="1"/>
  <c r="R218" i="7"/>
  <c r="R222" i="7" s="1"/>
  <c r="J16" i="8"/>
  <c r="L214" i="7"/>
  <c r="S164" i="3" l="1"/>
  <c r="AJ8" i="12"/>
  <c r="S148" i="3"/>
  <c r="L16" i="8"/>
  <c r="K16" i="8"/>
  <c r="W22" i="14"/>
  <c r="R168" i="3"/>
  <c r="R169" i="3" s="1"/>
  <c r="Y12" i="14"/>
  <c r="Y11" i="14"/>
  <c r="W13" i="14"/>
  <c r="K44" i="8"/>
  <c r="Q100" i="7"/>
  <c r="K23" i="8"/>
  <c r="L23" i="8"/>
  <c r="S189" i="7"/>
  <c r="Q174" i="7"/>
  <c r="Q108" i="7"/>
  <c r="O108" i="7"/>
  <c r="J24" i="8"/>
  <c r="Q182" i="7"/>
  <c r="O182" i="7"/>
  <c r="S174" i="7"/>
  <c r="O174" i="7"/>
  <c r="S167" i="7"/>
  <c r="Q214" i="7"/>
  <c r="O214" i="7"/>
  <c r="L191" i="7"/>
  <c r="P218" i="7"/>
  <c r="S207" i="7"/>
  <c r="N218" i="7"/>
  <c r="O207" i="7"/>
  <c r="Q207" i="7"/>
  <c r="Q189" i="7"/>
  <c r="O189" i="7"/>
  <c r="Q167" i="7"/>
  <c r="O167" i="7"/>
  <c r="N164" i="3"/>
  <c r="AF8" i="12" s="1"/>
  <c r="Q148" i="3"/>
  <c r="S148" i="7"/>
  <c r="S117" i="7"/>
  <c r="N117" i="7"/>
  <c r="L93" i="7"/>
  <c r="Q148" i="7"/>
  <c r="S100" i="7"/>
  <c r="S93" i="7"/>
  <c r="Q93" i="7"/>
  <c r="E50" i="8"/>
  <c r="K33" i="10"/>
  <c r="K66" i="10" s="1"/>
  <c r="N66" i="10" s="1"/>
  <c r="K32" i="10"/>
  <c r="R16" i="10"/>
  <c r="P16" i="10"/>
  <c r="Q38" i="11"/>
  <c r="Q37" i="11"/>
  <c r="Q36" i="11"/>
  <c r="Q35" i="11"/>
  <c r="Q33" i="11"/>
  <c r="Q31" i="11"/>
  <c r="P29" i="11"/>
  <c r="P49" i="11" s="1"/>
  <c r="P19" i="11"/>
  <c r="Q18" i="11"/>
  <c r="Q17" i="11"/>
  <c r="Q16" i="11"/>
  <c r="Q14" i="11"/>
  <c r="Q12" i="11"/>
  <c r="V17" i="12" l="1"/>
  <c r="K65" i="10"/>
  <c r="N65" i="10" s="1"/>
  <c r="P58" i="11"/>
  <c r="Y22" i="14"/>
  <c r="S168" i="3"/>
  <c r="Y13" i="14"/>
  <c r="L44" i="8"/>
  <c r="U12" i="14"/>
  <c r="U11" i="14"/>
  <c r="P222" i="7"/>
  <c r="S222" i="7" s="1"/>
  <c r="S218" i="7"/>
  <c r="N222" i="7"/>
  <c r="O218" i="7"/>
  <c r="Q218" i="7"/>
  <c r="S191" i="7"/>
  <c r="O191" i="7"/>
  <c r="Q191" i="7"/>
  <c r="N168" i="3"/>
  <c r="N169" i="3" s="1"/>
  <c r="Q164" i="3"/>
  <c r="O93" i="7"/>
  <c r="Q117" i="7"/>
  <c r="N16" i="10"/>
  <c r="L16" i="10"/>
  <c r="L32" i="10"/>
  <c r="L33" i="10"/>
  <c r="H98" i="9"/>
  <c r="H99" i="9" s="1"/>
  <c r="J98" i="9"/>
  <c r="L60" i="9"/>
  <c r="L156" i="9" s="1"/>
  <c r="O156" i="9" s="1"/>
  <c r="L59" i="9"/>
  <c r="L58" i="9"/>
  <c r="L57" i="9"/>
  <c r="L153" i="9" s="1"/>
  <c r="O153" i="9" s="1"/>
  <c r="L56" i="9"/>
  <c r="L152" i="9" s="1"/>
  <c r="N60" i="9"/>
  <c r="N156" i="9" s="1"/>
  <c r="N59" i="9"/>
  <c r="N58" i="9"/>
  <c r="N57" i="9"/>
  <c r="N153" i="9" s="1"/>
  <c r="N56" i="9"/>
  <c r="N152" i="9" s="1"/>
  <c r="P60" i="9"/>
  <c r="P156" i="9" s="1"/>
  <c r="P59" i="9"/>
  <c r="P58" i="9"/>
  <c r="P57" i="9"/>
  <c r="P153" i="9" s="1"/>
  <c r="P56" i="9"/>
  <c r="P152" i="9" s="1"/>
  <c r="V31" i="12" l="1"/>
  <c r="V22" i="12"/>
  <c r="V23" i="12" s="1"/>
  <c r="P155" i="9"/>
  <c r="N155" i="9"/>
  <c r="Q155" i="9" s="1"/>
  <c r="L155" i="9"/>
  <c r="O155" i="9" s="1"/>
  <c r="P154" i="9"/>
  <c r="N154" i="9"/>
  <c r="L154" i="9"/>
  <c r="O154" i="9" s="1"/>
  <c r="U13" i="14"/>
  <c r="U22" i="14"/>
  <c r="Q156" i="9"/>
  <c r="K59" i="9"/>
  <c r="J155" i="9"/>
  <c r="M155" i="9" s="1"/>
  <c r="K57" i="9"/>
  <c r="J153" i="9"/>
  <c r="M153" i="9" s="1"/>
  <c r="K58" i="9"/>
  <c r="J154" i="9"/>
  <c r="M154" i="9" s="1"/>
  <c r="K56" i="9"/>
  <c r="J152" i="9"/>
  <c r="Q152" i="9"/>
  <c r="Q153" i="9"/>
  <c r="O152" i="9"/>
  <c r="J44" i="8"/>
  <c r="J45" i="8" s="1"/>
  <c r="Q57" i="9"/>
  <c r="Q58" i="9"/>
  <c r="O222" i="7"/>
  <c r="Q222" i="7"/>
  <c r="Q168" i="3"/>
  <c r="K60" i="9"/>
  <c r="M60" i="9"/>
  <c r="Q59" i="9"/>
  <c r="Q56" i="9"/>
  <c r="O57" i="9"/>
  <c r="M57" i="9"/>
  <c r="M56" i="9"/>
  <c r="O56" i="9"/>
  <c r="M59" i="9"/>
  <c r="O59" i="9"/>
  <c r="O58" i="9"/>
  <c r="M58" i="9"/>
  <c r="O60" i="9"/>
  <c r="Q60" i="9"/>
  <c r="P53" i="9"/>
  <c r="P149" i="9" s="1"/>
  <c r="P52" i="9"/>
  <c r="P148" i="9" s="1"/>
  <c r="N53" i="9"/>
  <c r="N149" i="9" s="1"/>
  <c r="N52" i="9"/>
  <c r="N148" i="9" s="1"/>
  <c r="L53" i="9"/>
  <c r="L149" i="9" s="1"/>
  <c r="O149" i="9" s="1"/>
  <c r="L52" i="9"/>
  <c r="L148" i="9" s="1"/>
  <c r="J53" i="9"/>
  <c r="J52" i="9"/>
  <c r="N16" i="9"/>
  <c r="N27" i="9"/>
  <c r="Q220" i="9"/>
  <c r="Q219" i="9"/>
  <c r="N106" i="9"/>
  <c r="N40" i="9"/>
  <c r="N46" i="9" s="1"/>
  <c r="L14" i="8"/>
  <c r="K14" i="8"/>
  <c r="J14" i="8"/>
  <c r="I14" i="8"/>
  <c r="J39" i="8"/>
  <c r="J30" i="8"/>
  <c r="J25" i="8"/>
  <c r="K52" i="9" l="1"/>
  <c r="J148" i="9"/>
  <c r="K53" i="9"/>
  <c r="J149" i="9"/>
  <c r="M149" i="9" s="1"/>
  <c r="Q154" i="9"/>
  <c r="Q149" i="9"/>
  <c r="P150" i="9"/>
  <c r="M152" i="9"/>
  <c r="N150" i="9"/>
  <c r="Q148" i="9"/>
  <c r="L150" i="9"/>
  <c r="O150" i="9" s="1"/>
  <c r="O148" i="9"/>
  <c r="M53" i="9"/>
  <c r="Q52" i="9"/>
  <c r="N22" i="9"/>
  <c r="Q53" i="9"/>
  <c r="O53" i="9"/>
  <c r="N47" i="9"/>
  <c r="N54" i="9"/>
  <c r="M52" i="9"/>
  <c r="O52" i="9"/>
  <c r="N35" i="9"/>
  <c r="J32" i="8"/>
  <c r="E75" i="7"/>
  <c r="F75" i="7"/>
  <c r="J75" i="7"/>
  <c r="R66" i="7"/>
  <c r="P66" i="7"/>
  <c r="N66" i="7"/>
  <c r="L66" i="7"/>
  <c r="R59" i="7"/>
  <c r="R70" i="7" s="1"/>
  <c r="P59" i="7"/>
  <c r="N59" i="7"/>
  <c r="L59" i="7"/>
  <c r="R34" i="7"/>
  <c r="P34" i="7"/>
  <c r="N34" i="7"/>
  <c r="L34" i="7"/>
  <c r="L17" i="7"/>
  <c r="N221" i="9" l="1"/>
  <c r="Z34" i="12"/>
  <c r="Z33" i="12"/>
  <c r="J150" i="9"/>
  <c r="M148" i="9"/>
  <c r="Q150" i="9"/>
  <c r="N159" i="9"/>
  <c r="N160" i="9" s="1"/>
  <c r="S34" i="7"/>
  <c r="N36" i="9"/>
  <c r="N63" i="9"/>
  <c r="N64" i="9" s="1"/>
  <c r="P70" i="7"/>
  <c r="S70" i="7" s="1"/>
  <c r="S59" i="7"/>
  <c r="N70" i="7"/>
  <c r="O59" i="7"/>
  <c r="Q59" i="7"/>
  <c r="N23" i="9"/>
  <c r="M150" i="9" l="1"/>
  <c r="J159" i="9"/>
  <c r="N222" i="9"/>
  <c r="Q70" i="7"/>
  <c r="P26" i="7"/>
  <c r="P19" i="7"/>
  <c r="R130" i="3"/>
  <c r="L41" i="3"/>
  <c r="P43" i="7" l="1"/>
  <c r="P74" i="7"/>
  <c r="R112" i="3"/>
  <c r="R174" i="3"/>
  <c r="E9" i="14"/>
  <c r="I9" i="14" s="1"/>
  <c r="K9" i="14" s="1"/>
  <c r="S9" i="14" s="1"/>
  <c r="U9" i="14" s="1"/>
  <c r="W9" i="14" s="1"/>
  <c r="Y9" i="14" s="1"/>
  <c r="R44" i="3"/>
  <c r="R20" i="3"/>
  <c r="AB21" i="12" l="1"/>
  <c r="AB7" i="12"/>
  <c r="R56" i="3"/>
  <c r="Q16" i="14"/>
  <c r="P47" i="7"/>
  <c r="P75" i="7" s="1"/>
  <c r="R26" i="3"/>
  <c r="Q18" i="14" s="1"/>
  <c r="R88" i="3"/>
  <c r="Q32" i="10"/>
  <c r="Q33" i="10"/>
  <c r="Q66" i="10" s="1"/>
  <c r="R173" i="3"/>
  <c r="R172" i="3"/>
  <c r="M9" i="14"/>
  <c r="O9" i="14" s="1"/>
  <c r="Q9" i="14" s="1"/>
  <c r="R54" i="3"/>
  <c r="R55" i="3"/>
  <c r="D74" i="3"/>
  <c r="Q65" i="10" l="1"/>
  <c r="AB17" i="12"/>
  <c r="R94" i="3"/>
  <c r="P98" i="9"/>
  <c r="R30" i="3"/>
  <c r="R98" i="3" s="1"/>
  <c r="R114" i="3" s="1"/>
  <c r="R118" i="3" s="1"/>
  <c r="R171" i="3"/>
  <c r="AB31" i="12" l="1"/>
  <c r="AB22" i="12"/>
  <c r="R46" i="3"/>
  <c r="AB8" i="12" s="1"/>
  <c r="D3" i="11"/>
  <c r="C3" i="10"/>
  <c r="B4" i="9"/>
  <c r="D3" i="8"/>
  <c r="D3" i="7"/>
  <c r="D77" i="7" s="1"/>
  <c r="D151" i="7" s="1"/>
  <c r="A2" i="6"/>
  <c r="A2" i="5"/>
  <c r="E41" i="5"/>
  <c r="F11" i="6"/>
  <c r="R50" i="3" l="1"/>
  <c r="R51" i="3" s="1"/>
  <c r="Q11" i="14"/>
  <c r="R53" i="3"/>
  <c r="L13" i="8"/>
  <c r="L17" i="8" s="1"/>
  <c r="A2" i="4"/>
  <c r="B2" i="9"/>
  <c r="D1" i="7"/>
  <c r="D1" i="11"/>
  <c r="D1" i="3"/>
  <c r="D14" i="3"/>
  <c r="D15" i="3"/>
  <c r="D16" i="3"/>
  <c r="D17" i="3"/>
  <c r="E54" i="3"/>
  <c r="D18" i="3"/>
  <c r="L20" i="3"/>
  <c r="L26" i="3" s="1"/>
  <c r="L30" i="3" s="1"/>
  <c r="N20" i="3"/>
  <c r="N5" i="3" s="1"/>
  <c r="P20" i="3"/>
  <c r="D22" i="3"/>
  <c r="D23" i="3"/>
  <c r="D24" i="3"/>
  <c r="M25" i="3"/>
  <c r="D33" i="3"/>
  <c r="D34" i="3"/>
  <c r="D35" i="3"/>
  <c r="D36" i="3"/>
  <c r="D37" i="3"/>
  <c r="D38" i="3"/>
  <c r="D41" i="3"/>
  <c r="D42" i="3"/>
  <c r="L44" i="3"/>
  <c r="L56" i="3" s="1"/>
  <c r="N44" i="3"/>
  <c r="P44" i="3"/>
  <c r="D48" i="3"/>
  <c r="E59" i="3"/>
  <c r="F59" i="3"/>
  <c r="J59" i="3"/>
  <c r="E61" i="3"/>
  <c r="E62" i="3" s="1"/>
  <c r="F61" i="3"/>
  <c r="J61" i="3"/>
  <c r="J62" i="3" s="1"/>
  <c r="E63" i="3"/>
  <c r="F63" i="3"/>
  <c r="J63" i="3"/>
  <c r="E65" i="3"/>
  <c r="F65" i="3"/>
  <c r="J65" i="3"/>
  <c r="E67" i="3"/>
  <c r="F67" i="3"/>
  <c r="J67" i="3"/>
  <c r="E69" i="3"/>
  <c r="F69" i="3"/>
  <c r="J69" i="3"/>
  <c r="D76" i="3"/>
  <c r="E79" i="3"/>
  <c r="E129" i="3" s="1"/>
  <c r="F79" i="3"/>
  <c r="F129" i="3" s="1"/>
  <c r="J79" i="3"/>
  <c r="J129" i="3" s="1"/>
  <c r="E80" i="3"/>
  <c r="E130" i="3" s="1"/>
  <c r="F80" i="3"/>
  <c r="F130" i="3" s="1"/>
  <c r="J80" i="3"/>
  <c r="J130" i="3" s="1"/>
  <c r="D82" i="3"/>
  <c r="D83" i="3"/>
  <c r="D84" i="3"/>
  <c r="D85" i="3"/>
  <c r="D86" i="3"/>
  <c r="E88" i="3"/>
  <c r="F88" i="3"/>
  <c r="F94" i="3" s="1"/>
  <c r="F98" i="3" s="1"/>
  <c r="J88" i="3"/>
  <c r="D90" i="3"/>
  <c r="D91" i="3"/>
  <c r="D92" i="3"/>
  <c r="D101" i="3"/>
  <c r="D102" i="3"/>
  <c r="D103" i="3"/>
  <c r="D104" i="3"/>
  <c r="D105" i="3"/>
  <c r="D106" i="3"/>
  <c r="D109" i="3"/>
  <c r="D110" i="3"/>
  <c r="E112" i="3"/>
  <c r="F112" i="3"/>
  <c r="J112" i="3"/>
  <c r="M112" i="3" s="1"/>
  <c r="L112" i="3"/>
  <c r="N112" i="3"/>
  <c r="P112" i="3"/>
  <c r="D116" i="3"/>
  <c r="D124" i="3"/>
  <c r="D126" i="3"/>
  <c r="L130" i="3"/>
  <c r="N130" i="3"/>
  <c r="P130" i="3"/>
  <c r="D132" i="3"/>
  <c r="E132" i="3"/>
  <c r="F132" i="3"/>
  <c r="D133" i="3"/>
  <c r="E133" i="3"/>
  <c r="F133" i="3"/>
  <c r="J133" i="3"/>
  <c r="M133" i="3" s="1"/>
  <c r="D134" i="3"/>
  <c r="E134" i="3"/>
  <c r="F134" i="3"/>
  <c r="J134" i="3"/>
  <c r="M134" i="3" s="1"/>
  <c r="D135" i="3"/>
  <c r="E135" i="3"/>
  <c r="F135" i="3"/>
  <c r="J135" i="3"/>
  <c r="M135" i="3" s="1"/>
  <c r="D136" i="3"/>
  <c r="E136" i="3"/>
  <c r="F136" i="3"/>
  <c r="D140" i="3"/>
  <c r="E140" i="3"/>
  <c r="F140" i="3"/>
  <c r="D141" i="3"/>
  <c r="E141" i="3"/>
  <c r="F141" i="3"/>
  <c r="J141" i="3"/>
  <c r="M141" i="3" s="1"/>
  <c r="D142" i="3"/>
  <c r="E142" i="3"/>
  <c r="F142" i="3"/>
  <c r="J142" i="3"/>
  <c r="M142" i="3" s="1"/>
  <c r="E146" i="3"/>
  <c r="J146" i="3"/>
  <c r="M146" i="3" s="1"/>
  <c r="D151" i="3"/>
  <c r="E151" i="3"/>
  <c r="F151" i="3"/>
  <c r="J151" i="3"/>
  <c r="M151" i="3" s="1"/>
  <c r="D152" i="3"/>
  <c r="E152" i="3"/>
  <c r="F152" i="3"/>
  <c r="J152" i="3"/>
  <c r="M152" i="3" s="1"/>
  <c r="D153" i="3"/>
  <c r="E153" i="3"/>
  <c r="F153" i="3"/>
  <c r="D154" i="3"/>
  <c r="E154" i="3"/>
  <c r="F154" i="3"/>
  <c r="J154" i="3"/>
  <c r="M154" i="3" s="1"/>
  <c r="D155" i="3"/>
  <c r="E155" i="3"/>
  <c r="F155" i="3"/>
  <c r="J155" i="3"/>
  <c r="M155" i="3" s="1"/>
  <c r="D156" i="3"/>
  <c r="E156" i="3"/>
  <c r="F156" i="3"/>
  <c r="J156" i="3"/>
  <c r="M156" i="3" s="1"/>
  <c r="F157" i="3"/>
  <c r="J157" i="3"/>
  <c r="M157" i="3" s="1"/>
  <c r="E158" i="3"/>
  <c r="F158" i="3"/>
  <c r="J158" i="3"/>
  <c r="D159" i="3"/>
  <c r="E159" i="3"/>
  <c r="F159" i="3"/>
  <c r="D160" i="3"/>
  <c r="E160" i="3"/>
  <c r="F160" i="3"/>
  <c r="J160" i="3"/>
  <c r="D166" i="3"/>
  <c r="E166" i="3"/>
  <c r="F166" i="3"/>
  <c r="J166" i="3"/>
  <c r="M166" i="3" s="1"/>
  <c r="A49" i="4"/>
  <c r="A44" i="4"/>
  <c r="A34" i="4"/>
  <c r="A29" i="4"/>
  <c r="A23" i="4"/>
  <c r="F375" i="11"/>
  <c r="E375" i="11"/>
  <c r="F363" i="11"/>
  <c r="F373" i="11" s="1"/>
  <c r="E363" i="11"/>
  <c r="E373" i="11" s="1"/>
  <c r="F362" i="11"/>
  <c r="F372" i="11" s="1"/>
  <c r="E362" i="11"/>
  <c r="E372" i="11" s="1"/>
  <c r="F361" i="11"/>
  <c r="F371" i="11" s="1"/>
  <c r="E361" i="11"/>
  <c r="E371" i="11" s="1"/>
  <c r="F360" i="11"/>
  <c r="F370" i="11" s="1"/>
  <c r="E360" i="11"/>
  <c r="E370" i="11" s="1"/>
  <c r="F359" i="11"/>
  <c r="F369" i="11" s="1"/>
  <c r="E359" i="11"/>
  <c r="E369" i="11" s="1"/>
  <c r="F358" i="11"/>
  <c r="F368" i="11" s="1"/>
  <c r="E358" i="11"/>
  <c r="E368" i="11" s="1"/>
  <c r="F357" i="11"/>
  <c r="F367" i="11" s="1"/>
  <c r="E357" i="11"/>
  <c r="E367" i="11" s="1"/>
  <c r="F356" i="11"/>
  <c r="F366" i="11" s="1"/>
  <c r="E356" i="11"/>
  <c r="E366" i="11" s="1"/>
  <c r="F355" i="11"/>
  <c r="F365" i="11" s="1"/>
  <c r="E355" i="11"/>
  <c r="E365" i="11" s="1"/>
  <c r="L58" i="11"/>
  <c r="F55" i="11"/>
  <c r="F53" i="11"/>
  <c r="E53" i="11"/>
  <c r="E51" i="11"/>
  <c r="E49" i="11"/>
  <c r="H48" i="11"/>
  <c r="D44" i="11"/>
  <c r="S38" i="11"/>
  <c r="H38" i="11"/>
  <c r="M38" i="11" s="1"/>
  <c r="G38" i="11"/>
  <c r="F38" i="11"/>
  <c r="E38" i="11"/>
  <c r="S37" i="11"/>
  <c r="O37" i="11"/>
  <c r="M37" i="11"/>
  <c r="I37" i="11"/>
  <c r="G37" i="11"/>
  <c r="S36" i="11"/>
  <c r="O36" i="11"/>
  <c r="M36" i="11"/>
  <c r="I36" i="11"/>
  <c r="G36" i="11"/>
  <c r="S35" i="11"/>
  <c r="O35" i="11"/>
  <c r="M35" i="11"/>
  <c r="I35" i="11"/>
  <c r="G35" i="11"/>
  <c r="S33" i="11"/>
  <c r="I33" i="11"/>
  <c r="G33" i="11"/>
  <c r="S31" i="11"/>
  <c r="O31" i="11"/>
  <c r="M31" i="11"/>
  <c r="I31" i="11"/>
  <c r="G31" i="11"/>
  <c r="R29" i="11"/>
  <c r="R49" i="11" s="1"/>
  <c r="N29" i="11"/>
  <c r="N49" i="11" s="1"/>
  <c r="L29" i="11"/>
  <c r="L49" i="11" s="1"/>
  <c r="I29" i="11"/>
  <c r="I49" i="11" s="1"/>
  <c r="G29" i="11"/>
  <c r="G49" i="11" s="1"/>
  <c r="E29" i="11"/>
  <c r="H28" i="11"/>
  <c r="D24" i="11"/>
  <c r="R19" i="11"/>
  <c r="N19" i="11"/>
  <c r="Q19" i="11" s="1"/>
  <c r="L19" i="11"/>
  <c r="S18" i="11"/>
  <c r="O18" i="11"/>
  <c r="S17" i="11"/>
  <c r="O17" i="11"/>
  <c r="M17" i="11"/>
  <c r="F56" i="11"/>
  <c r="E56" i="11"/>
  <c r="S16" i="11"/>
  <c r="O16" i="11"/>
  <c r="M16" i="11"/>
  <c r="E55" i="11"/>
  <c r="S14" i="11"/>
  <c r="O14" i="11"/>
  <c r="H53" i="11"/>
  <c r="M53" i="11" s="1"/>
  <c r="S12" i="11"/>
  <c r="O12" i="11"/>
  <c r="H51" i="11"/>
  <c r="M51" i="11" s="1"/>
  <c r="F51" i="11"/>
  <c r="G51" i="11" s="1"/>
  <c r="H49" i="11"/>
  <c r="F49" i="11"/>
  <c r="F48" i="11"/>
  <c r="E48" i="11"/>
  <c r="L96" i="10"/>
  <c r="E96" i="10"/>
  <c r="J96" i="10" s="1"/>
  <c r="D96" i="10"/>
  <c r="L95" i="10"/>
  <c r="E95" i="10"/>
  <c r="J95" i="10" s="1"/>
  <c r="D95" i="10"/>
  <c r="F95" i="10" s="1"/>
  <c r="K75" i="10"/>
  <c r="C36" i="10"/>
  <c r="C69" i="10" s="1"/>
  <c r="D99" i="10"/>
  <c r="E98" i="10"/>
  <c r="D98" i="10"/>
  <c r="F98" i="10" s="1"/>
  <c r="E94" i="10"/>
  <c r="D94" i="10"/>
  <c r="E93" i="10"/>
  <c r="D93" i="10"/>
  <c r="E92" i="10"/>
  <c r="D92" i="10"/>
  <c r="E91" i="10"/>
  <c r="D91" i="10"/>
  <c r="F91" i="10" s="1"/>
  <c r="E90" i="10"/>
  <c r="D90" i="10"/>
  <c r="F90" i="10" s="1"/>
  <c r="E89" i="10"/>
  <c r="D89" i="10"/>
  <c r="F89" i="10" s="1"/>
  <c r="L88" i="10"/>
  <c r="E88" i="10"/>
  <c r="J88" i="10" s="1"/>
  <c r="D88" i="10"/>
  <c r="F88" i="10" s="1"/>
  <c r="E87" i="10"/>
  <c r="D87" i="10"/>
  <c r="F87" i="10" s="1"/>
  <c r="E85" i="10"/>
  <c r="D85" i="10"/>
  <c r="F85" i="10" s="1"/>
  <c r="E84" i="10"/>
  <c r="D84" i="10"/>
  <c r="F84" i="10" s="1"/>
  <c r="L82" i="10"/>
  <c r="E82" i="10"/>
  <c r="D82" i="10"/>
  <c r="F82" i="10" s="1"/>
  <c r="E81" i="10"/>
  <c r="D81" i="10"/>
  <c r="F81" i="10" s="1"/>
  <c r="L80" i="10"/>
  <c r="E80" i="10"/>
  <c r="D80" i="10"/>
  <c r="F80" i="10" s="1"/>
  <c r="L79" i="10"/>
  <c r="E79" i="10"/>
  <c r="D79" i="10"/>
  <c r="F79" i="10" s="1"/>
  <c r="I43" i="10"/>
  <c r="I76" i="10" s="1"/>
  <c r="E76" i="10"/>
  <c r="D76" i="10"/>
  <c r="I42" i="10"/>
  <c r="I75" i="10" s="1"/>
  <c r="E75" i="10"/>
  <c r="D75" i="10"/>
  <c r="O220" i="9"/>
  <c r="O219" i="9"/>
  <c r="Q218" i="9"/>
  <c r="Q217" i="9"/>
  <c r="Q216" i="9"/>
  <c r="Q215" i="9"/>
  <c r="Q214" i="9"/>
  <c r="Q211" i="9"/>
  <c r="Q210" i="9"/>
  <c r="I192" i="9"/>
  <c r="I189" i="9"/>
  <c r="D160" i="9"/>
  <c r="C160" i="9"/>
  <c r="L159" i="9"/>
  <c r="O159" i="9" s="1"/>
  <c r="P159" i="9"/>
  <c r="Q159" i="9" s="1"/>
  <c r="I132" i="9"/>
  <c r="I119" i="9"/>
  <c r="H107" i="9"/>
  <c r="P106" i="9"/>
  <c r="J106" i="9"/>
  <c r="B100" i="9"/>
  <c r="B162" i="9" s="1"/>
  <c r="H97" i="9"/>
  <c r="D97" i="9"/>
  <c r="C97" i="9"/>
  <c r="H85" i="9"/>
  <c r="D85" i="9"/>
  <c r="C85" i="9"/>
  <c r="C78" i="9"/>
  <c r="D77" i="9"/>
  <c r="D75" i="9"/>
  <c r="D74" i="9"/>
  <c r="C73" i="9"/>
  <c r="C69" i="9"/>
  <c r="C84" i="9" s="1"/>
  <c r="C68" i="9"/>
  <c r="C67" i="9"/>
  <c r="D64" i="9"/>
  <c r="C64" i="9"/>
  <c r="I220" i="9"/>
  <c r="I219" i="9"/>
  <c r="P54" i="9"/>
  <c r="L54" i="9"/>
  <c r="J54" i="9"/>
  <c r="P40" i="9"/>
  <c r="L40" i="9"/>
  <c r="J40" i="9"/>
  <c r="K40" i="9" s="1"/>
  <c r="I191" i="9"/>
  <c r="I190" i="9"/>
  <c r="P27" i="9"/>
  <c r="L27" i="9"/>
  <c r="J27" i="9"/>
  <c r="K27" i="9" s="1"/>
  <c r="D72" i="9"/>
  <c r="P16" i="9"/>
  <c r="L16" i="9"/>
  <c r="J16" i="9"/>
  <c r="H169" i="9"/>
  <c r="C169" i="9"/>
  <c r="D168" i="9"/>
  <c r="H87" i="8"/>
  <c r="F87" i="8"/>
  <c r="H86" i="8"/>
  <c r="F86" i="8"/>
  <c r="H85" i="8"/>
  <c r="F85" i="8"/>
  <c r="H84" i="8"/>
  <c r="F84" i="8"/>
  <c r="H83" i="8"/>
  <c r="F83" i="8"/>
  <c r="H82" i="8"/>
  <c r="F82" i="8"/>
  <c r="H81" i="8"/>
  <c r="F81" i="8"/>
  <c r="H80" i="8"/>
  <c r="F80" i="8"/>
  <c r="H79" i="8"/>
  <c r="F79" i="8"/>
  <c r="H78" i="8"/>
  <c r="F78" i="8"/>
  <c r="H77" i="8"/>
  <c r="F77" i="8"/>
  <c r="H76" i="8"/>
  <c r="F76" i="8"/>
  <c r="H75" i="8"/>
  <c r="F75" i="8"/>
  <c r="H74" i="8"/>
  <c r="F74" i="8"/>
  <c r="H73" i="8"/>
  <c r="F73" i="8"/>
  <c r="H72" i="8"/>
  <c r="F72" i="8"/>
  <c r="H71" i="8"/>
  <c r="F71" i="8"/>
  <c r="H70" i="8"/>
  <c r="F70" i="8"/>
  <c r="H69" i="8"/>
  <c r="F69" i="8"/>
  <c r="F65" i="8"/>
  <c r="E65" i="8"/>
  <c r="F64" i="8"/>
  <c r="E64" i="8"/>
  <c r="F59" i="8"/>
  <c r="E59" i="8"/>
  <c r="H55" i="8"/>
  <c r="F55" i="8"/>
  <c r="E55" i="8"/>
  <c r="H51" i="8"/>
  <c r="F51" i="8"/>
  <c r="E51" i="8"/>
  <c r="L45" i="8"/>
  <c r="K45" i="8"/>
  <c r="D44" i="8"/>
  <c r="D43" i="8"/>
  <c r="D42" i="8"/>
  <c r="L39" i="8"/>
  <c r="K39" i="8"/>
  <c r="D38" i="8"/>
  <c r="D37" i="8"/>
  <c r="D36" i="8"/>
  <c r="L30" i="8"/>
  <c r="K30" i="8"/>
  <c r="D29" i="8"/>
  <c r="D28" i="8"/>
  <c r="L25" i="8"/>
  <c r="K25" i="8"/>
  <c r="D24" i="8"/>
  <c r="D23" i="8"/>
  <c r="D22" i="8"/>
  <c r="D21" i="8"/>
  <c r="D16" i="8"/>
  <c r="D15" i="8"/>
  <c r="D14" i="8"/>
  <c r="D13" i="8"/>
  <c r="D10" i="8"/>
  <c r="F216" i="7"/>
  <c r="F212" i="7"/>
  <c r="K211" i="7"/>
  <c r="J205" i="7"/>
  <c r="E203" i="7"/>
  <c r="J201" i="7"/>
  <c r="K181" i="7"/>
  <c r="E180" i="7"/>
  <c r="F161" i="7"/>
  <c r="S157" i="7"/>
  <c r="O157" i="7"/>
  <c r="N157" i="7"/>
  <c r="M157" i="7"/>
  <c r="K157" i="7"/>
  <c r="I157" i="7"/>
  <c r="R156" i="7"/>
  <c r="N156" i="7"/>
  <c r="L156" i="7"/>
  <c r="L144" i="7"/>
  <c r="F140" i="7"/>
  <c r="E140" i="7"/>
  <c r="F133" i="7"/>
  <c r="E133" i="7"/>
  <c r="E144" i="7" s="1"/>
  <c r="E148" i="7" s="1"/>
  <c r="F115" i="7"/>
  <c r="E115" i="7"/>
  <c r="J108" i="7"/>
  <c r="F108" i="7"/>
  <c r="E108" i="7"/>
  <c r="L100" i="7"/>
  <c r="J100" i="7"/>
  <c r="F100" i="7"/>
  <c r="E100" i="7"/>
  <c r="J93" i="7"/>
  <c r="F93" i="7"/>
  <c r="E93" i="7"/>
  <c r="S83" i="7"/>
  <c r="O83" i="7"/>
  <c r="M83" i="7"/>
  <c r="K83" i="7"/>
  <c r="I83" i="7"/>
  <c r="E83" i="7"/>
  <c r="R82" i="7"/>
  <c r="N82" i="7"/>
  <c r="L82" i="7"/>
  <c r="F220" i="7"/>
  <c r="E220" i="7"/>
  <c r="D72" i="7"/>
  <c r="E216" i="7"/>
  <c r="D68" i="7"/>
  <c r="E212" i="7"/>
  <c r="D64" i="7"/>
  <c r="D63" i="7"/>
  <c r="J210" i="7"/>
  <c r="J214" i="7" s="1"/>
  <c r="D62" i="7"/>
  <c r="E205" i="7"/>
  <c r="D57" i="7"/>
  <c r="J204" i="7"/>
  <c r="E204" i="7"/>
  <c r="D56" i="7"/>
  <c r="F203" i="7"/>
  <c r="D55" i="7"/>
  <c r="F202" i="7"/>
  <c r="D54" i="7"/>
  <c r="E201" i="7"/>
  <c r="D53" i="7"/>
  <c r="J193" i="7"/>
  <c r="E193" i="7"/>
  <c r="D45" i="7"/>
  <c r="F187" i="7"/>
  <c r="D39" i="7"/>
  <c r="J186" i="7"/>
  <c r="E186" i="7"/>
  <c r="D38" i="7"/>
  <c r="J185" i="7"/>
  <c r="E185" i="7"/>
  <c r="D37" i="7"/>
  <c r="F180" i="7"/>
  <c r="D32" i="7"/>
  <c r="F179" i="7"/>
  <c r="E179" i="7"/>
  <c r="D31" i="7"/>
  <c r="J178" i="7"/>
  <c r="E178" i="7"/>
  <c r="D30" i="7"/>
  <c r="J177" i="7"/>
  <c r="F177" i="7"/>
  <c r="D29" i="7"/>
  <c r="R26" i="7"/>
  <c r="S26" i="7" s="1"/>
  <c r="N26" i="7"/>
  <c r="L26" i="7"/>
  <c r="J172" i="7"/>
  <c r="F172" i="7"/>
  <c r="E172" i="7"/>
  <c r="D24" i="7"/>
  <c r="J171" i="7"/>
  <c r="F171" i="7"/>
  <c r="E171" i="7"/>
  <c r="D23" i="7"/>
  <c r="J170" i="7"/>
  <c r="J174" i="7" s="1"/>
  <c r="F170" i="7"/>
  <c r="E170" i="7"/>
  <c r="D22" i="7"/>
  <c r="R19" i="7"/>
  <c r="S19" i="7" s="1"/>
  <c r="N19" i="7"/>
  <c r="L19" i="7"/>
  <c r="J165" i="7"/>
  <c r="F165" i="7"/>
  <c r="E165" i="7"/>
  <c r="D17" i="7"/>
  <c r="J164" i="7"/>
  <c r="F164" i="7"/>
  <c r="E164" i="7"/>
  <c r="D16" i="7"/>
  <c r="J163" i="7"/>
  <c r="F163" i="7"/>
  <c r="E163" i="7"/>
  <c r="D15" i="7"/>
  <c r="J162" i="7"/>
  <c r="F162" i="7"/>
  <c r="E162" i="7"/>
  <c r="D14" i="7"/>
  <c r="J161" i="7"/>
  <c r="E161" i="7"/>
  <c r="D13" i="7"/>
  <c r="F157" i="7"/>
  <c r="E157" i="7"/>
  <c r="J82" i="7"/>
  <c r="F82" i="7"/>
  <c r="D153" i="7"/>
  <c r="J207" i="7" l="1"/>
  <c r="J218" i="7" s="1"/>
  <c r="E167" i="7"/>
  <c r="E174" i="7"/>
  <c r="J167" i="7"/>
  <c r="F174" i="7"/>
  <c r="E207" i="7"/>
  <c r="F167" i="7"/>
  <c r="AB34" i="12"/>
  <c r="AB33" i="12"/>
  <c r="X33" i="12"/>
  <c r="X34" i="12"/>
  <c r="K54" i="9"/>
  <c r="V33" i="12"/>
  <c r="V34" i="12"/>
  <c r="L148" i="7"/>
  <c r="O148" i="7" s="1"/>
  <c r="O144" i="7"/>
  <c r="F28" i="8"/>
  <c r="F15" i="8"/>
  <c r="F29" i="8"/>
  <c r="I29" i="8"/>
  <c r="H29" i="8"/>
  <c r="I15" i="8"/>
  <c r="H15" i="8"/>
  <c r="I28" i="8"/>
  <c r="H28" i="8"/>
  <c r="I36" i="8"/>
  <c r="I39" i="8" s="1"/>
  <c r="F14" i="8"/>
  <c r="O16" i="14"/>
  <c r="Z7" i="12"/>
  <c r="Z21" i="12"/>
  <c r="R58" i="11"/>
  <c r="Q22" i="14"/>
  <c r="F96" i="10"/>
  <c r="M159" i="9"/>
  <c r="O44" i="3"/>
  <c r="M16" i="14"/>
  <c r="Q13" i="14"/>
  <c r="L43" i="7"/>
  <c r="L117" i="7"/>
  <c r="O26" i="7"/>
  <c r="Q26" i="7"/>
  <c r="R43" i="7"/>
  <c r="S43" i="7" s="1"/>
  <c r="R99" i="10"/>
  <c r="R98" i="10"/>
  <c r="O216" i="9"/>
  <c r="M216" i="9"/>
  <c r="O210" i="9"/>
  <c r="M210" i="9"/>
  <c r="O211" i="9"/>
  <c r="M211" i="9"/>
  <c r="O215" i="9"/>
  <c r="M215" i="9"/>
  <c r="O217" i="9"/>
  <c r="M217" i="9"/>
  <c r="K16" i="9"/>
  <c r="J22" i="9"/>
  <c r="K22" i="9" s="1"/>
  <c r="O214" i="9"/>
  <c r="M214" i="9"/>
  <c r="O218" i="9"/>
  <c r="M218" i="9"/>
  <c r="J80" i="10"/>
  <c r="F92" i="10"/>
  <c r="F93" i="10"/>
  <c r="F94" i="10"/>
  <c r="J84" i="10"/>
  <c r="L84" i="10"/>
  <c r="J98" i="10"/>
  <c r="L98" i="10"/>
  <c r="J89" i="10"/>
  <c r="L89" i="10"/>
  <c r="L99" i="10"/>
  <c r="J93" i="10"/>
  <c r="L93" i="10"/>
  <c r="J79" i="10"/>
  <c r="J82" i="10"/>
  <c r="P22" i="9"/>
  <c r="Q22" i="9" s="1"/>
  <c r="Q16" i="9"/>
  <c r="O16" i="9"/>
  <c r="M16" i="9"/>
  <c r="L22" i="9"/>
  <c r="P35" i="9"/>
  <c r="Q27" i="9"/>
  <c r="L35" i="9"/>
  <c r="M27" i="9"/>
  <c r="O27" i="9"/>
  <c r="P63" i="9"/>
  <c r="P64" i="9" s="1"/>
  <c r="Q54" i="9"/>
  <c r="Q40" i="9"/>
  <c r="O54" i="9"/>
  <c r="M54" i="9"/>
  <c r="L46" i="9"/>
  <c r="L47" i="9" s="1"/>
  <c r="O40" i="9"/>
  <c r="M40" i="9"/>
  <c r="Q19" i="7"/>
  <c r="O19" i="7"/>
  <c r="Q44" i="3"/>
  <c r="S44" i="3"/>
  <c r="Q112" i="3"/>
  <c r="S112" i="3"/>
  <c r="P88" i="3"/>
  <c r="S88" i="3" s="1"/>
  <c r="S20" i="3"/>
  <c r="O33" i="10"/>
  <c r="O32" i="10"/>
  <c r="Z17" i="12" s="1"/>
  <c r="Z31" i="12" s="1"/>
  <c r="O20" i="3"/>
  <c r="N88" i="3"/>
  <c r="Q20" i="3"/>
  <c r="M33" i="10"/>
  <c r="M66" i="10" s="1"/>
  <c r="P66" i="10" s="1"/>
  <c r="M32" i="10"/>
  <c r="N43" i="7"/>
  <c r="S51" i="11"/>
  <c r="S53" i="11"/>
  <c r="S19" i="11"/>
  <c r="G53" i="11"/>
  <c r="J63" i="9"/>
  <c r="J46" i="9"/>
  <c r="Q212" i="9"/>
  <c r="E66" i="8"/>
  <c r="K32" i="8"/>
  <c r="L32" i="8"/>
  <c r="L47" i="8" s="1"/>
  <c r="K161" i="7"/>
  <c r="K162" i="7"/>
  <c r="P56" i="3"/>
  <c r="P54" i="3"/>
  <c r="P26" i="3"/>
  <c r="Q24" i="14" s="1"/>
  <c r="L138" i="3"/>
  <c r="L172" i="3" s="1"/>
  <c r="P55" i="3"/>
  <c r="F114" i="3"/>
  <c r="F118" i="3" s="1"/>
  <c r="E94" i="3"/>
  <c r="E98" i="3" s="1"/>
  <c r="E114" i="3" s="1"/>
  <c r="E118" i="3" s="1"/>
  <c r="E138" i="3"/>
  <c r="J94" i="3"/>
  <c r="L54" i="3"/>
  <c r="N174" i="3"/>
  <c r="L55" i="3"/>
  <c r="F66" i="8"/>
  <c r="I53" i="11"/>
  <c r="K165" i="7"/>
  <c r="F162" i="3"/>
  <c r="L162" i="3"/>
  <c r="J159" i="3"/>
  <c r="M159" i="3" s="1"/>
  <c r="E157" i="3"/>
  <c r="L46" i="3"/>
  <c r="J136" i="3"/>
  <c r="J132" i="3"/>
  <c r="M132" i="3" s="1"/>
  <c r="N54" i="3"/>
  <c r="N26" i="3"/>
  <c r="J153" i="3"/>
  <c r="M153" i="3" s="1"/>
  <c r="F138" i="3"/>
  <c r="U32" i="10" s="1"/>
  <c r="E64" i="3"/>
  <c r="E60" i="3"/>
  <c r="N56" i="3"/>
  <c r="N55" i="3"/>
  <c r="E56" i="3"/>
  <c r="E66" i="3"/>
  <c r="E55" i="3"/>
  <c r="F62" i="3"/>
  <c r="F146" i="3"/>
  <c r="J140" i="3"/>
  <c r="I51" i="11"/>
  <c r="G56" i="11"/>
  <c r="G55" i="11"/>
  <c r="E57" i="11"/>
  <c r="E58" i="11" s="1"/>
  <c r="O19" i="11"/>
  <c r="E28" i="11"/>
  <c r="F29" i="11"/>
  <c r="I38" i="11"/>
  <c r="O38" i="11"/>
  <c r="H55" i="11"/>
  <c r="M55" i="11" s="1"/>
  <c r="H56" i="11"/>
  <c r="M56" i="11" s="1"/>
  <c r="M12" i="11"/>
  <c r="M14" i="11"/>
  <c r="F28" i="11"/>
  <c r="N58" i="11"/>
  <c r="H29" i="11"/>
  <c r="D43" i="10"/>
  <c r="E99" i="10"/>
  <c r="J99" i="10" s="1"/>
  <c r="D42" i="10"/>
  <c r="E43" i="10"/>
  <c r="L81" i="10"/>
  <c r="E42" i="10"/>
  <c r="D169" i="9"/>
  <c r="D107" i="9"/>
  <c r="H71" i="9"/>
  <c r="H86" i="9" s="1"/>
  <c r="C72" i="9"/>
  <c r="C87" i="9" s="1"/>
  <c r="H78" i="9"/>
  <c r="H93" i="9" s="1"/>
  <c r="C77" i="9"/>
  <c r="C92" i="9" s="1"/>
  <c r="D71" i="9"/>
  <c r="D86" i="9" s="1"/>
  <c r="D78" i="9"/>
  <c r="D73" i="9"/>
  <c r="C74" i="9"/>
  <c r="J160" i="9"/>
  <c r="C168" i="9"/>
  <c r="C106" i="9"/>
  <c r="H73" i="9"/>
  <c r="D106" i="9"/>
  <c r="L160" i="9"/>
  <c r="H67" i="9"/>
  <c r="H82" i="9" s="1"/>
  <c r="H76" i="9"/>
  <c r="H91" i="9" s="1"/>
  <c r="C82" i="9"/>
  <c r="H68" i="9"/>
  <c r="H83" i="9" s="1"/>
  <c r="C71" i="9"/>
  <c r="C86" i="9" s="1"/>
  <c r="J35" i="9"/>
  <c r="K35" i="9" s="1"/>
  <c r="H77" i="9"/>
  <c r="H92" i="9" s="1"/>
  <c r="D87" i="9"/>
  <c r="C221" i="9"/>
  <c r="C93" i="9"/>
  <c r="D69" i="9"/>
  <c r="D84" i="9" s="1"/>
  <c r="C75" i="9"/>
  <c r="C90" i="9" s="1"/>
  <c r="O212" i="9"/>
  <c r="L63" i="9"/>
  <c r="K220" i="9"/>
  <c r="H72" i="9"/>
  <c r="H87" i="9" s="1"/>
  <c r="H75" i="9"/>
  <c r="H90" i="9" s="1"/>
  <c r="D68" i="9"/>
  <c r="D83" i="9" s="1"/>
  <c r="C76" i="9"/>
  <c r="C91" i="9" s="1"/>
  <c r="I203" i="9"/>
  <c r="D67" i="9"/>
  <c r="D82" i="9" s="1"/>
  <c r="H69" i="9"/>
  <c r="H84" i="9" s="1"/>
  <c r="I202" i="9"/>
  <c r="P46" i="9"/>
  <c r="C83" i="9"/>
  <c r="H74" i="9"/>
  <c r="K219" i="9"/>
  <c r="H221" i="9"/>
  <c r="C107" i="9"/>
  <c r="D221" i="9"/>
  <c r="D93" i="9"/>
  <c r="D90" i="9"/>
  <c r="D92" i="9"/>
  <c r="P160" i="9"/>
  <c r="H168" i="9"/>
  <c r="H106" i="9"/>
  <c r="D76" i="9"/>
  <c r="D91" i="9" s="1"/>
  <c r="K171" i="7"/>
  <c r="K172" i="7"/>
  <c r="K164" i="7"/>
  <c r="J203" i="7"/>
  <c r="E156" i="7"/>
  <c r="E82" i="7"/>
  <c r="K163" i="7"/>
  <c r="K177" i="7"/>
  <c r="J157" i="7"/>
  <c r="J83" i="7"/>
  <c r="E177" i="7"/>
  <c r="E182" i="7" s="1"/>
  <c r="J179" i="7"/>
  <c r="J180" i="7"/>
  <c r="J182" i="7" s="1"/>
  <c r="F201" i="7"/>
  <c r="E210" i="7"/>
  <c r="E214" i="7" s="1"/>
  <c r="D21" i="14"/>
  <c r="J216" i="7"/>
  <c r="D79" i="7"/>
  <c r="J117" i="7"/>
  <c r="J156" i="7"/>
  <c r="E187" i="7"/>
  <c r="E189" i="7" s="1"/>
  <c r="E191" i="7" s="1"/>
  <c r="E195" i="7" s="1"/>
  <c r="K170" i="7"/>
  <c r="F178" i="7"/>
  <c r="F185" i="7"/>
  <c r="F186" i="7"/>
  <c r="F193" i="7"/>
  <c r="F205" i="7"/>
  <c r="J212" i="7"/>
  <c r="F83" i="7"/>
  <c r="E117" i="7"/>
  <c r="E121" i="7" s="1"/>
  <c r="J144" i="7"/>
  <c r="J220" i="7"/>
  <c r="J202" i="7"/>
  <c r="F144" i="7"/>
  <c r="J187" i="7"/>
  <c r="E202" i="7"/>
  <c r="F117" i="7"/>
  <c r="F156" i="7"/>
  <c r="F204" i="7"/>
  <c r="F210" i="7"/>
  <c r="F207" i="7" l="1"/>
  <c r="F189" i="7"/>
  <c r="I30" i="8"/>
  <c r="J189" i="7"/>
  <c r="J191" i="7" s="1"/>
  <c r="J195" i="7" s="1"/>
  <c r="F36" i="8"/>
  <c r="F39" i="8" s="1"/>
  <c r="F214" i="7"/>
  <c r="F182" i="7"/>
  <c r="E218" i="7"/>
  <c r="E222" i="7" s="1"/>
  <c r="J222" i="7"/>
  <c r="F30" i="8"/>
  <c r="L47" i="7"/>
  <c r="H23" i="8"/>
  <c r="J121" i="7"/>
  <c r="D17" i="14"/>
  <c r="H30" i="8"/>
  <c r="H36" i="8"/>
  <c r="H39" i="8" s="1"/>
  <c r="M65" i="10"/>
  <c r="P65" i="10" s="1"/>
  <c r="X17" i="12"/>
  <c r="Z22" i="12"/>
  <c r="AB23" i="12" s="1"/>
  <c r="E162" i="3"/>
  <c r="D16" i="14" s="1"/>
  <c r="E144" i="3"/>
  <c r="T32" i="10"/>
  <c r="F174" i="3"/>
  <c r="E16" i="14"/>
  <c r="M18" i="14"/>
  <c r="O24" i="14"/>
  <c r="M24" i="14"/>
  <c r="N224" i="9"/>
  <c r="O18" i="14"/>
  <c r="R32" i="10"/>
  <c r="O65" i="10"/>
  <c r="R65" i="10" s="1"/>
  <c r="R33" i="10"/>
  <c r="O66" i="10"/>
  <c r="R66" i="10" s="1"/>
  <c r="K207" i="9"/>
  <c r="R47" i="7"/>
  <c r="S47" i="7" s="1"/>
  <c r="L121" i="7"/>
  <c r="O117" i="7"/>
  <c r="K203" i="7"/>
  <c r="K216" i="7"/>
  <c r="K180" i="7"/>
  <c r="O43" i="7"/>
  <c r="Q43" i="7"/>
  <c r="Q88" i="3"/>
  <c r="P98" i="10"/>
  <c r="N98" i="10"/>
  <c r="P99" i="10"/>
  <c r="N99" i="10"/>
  <c r="M140" i="3"/>
  <c r="M136" i="3"/>
  <c r="I207" i="9"/>
  <c r="K63" i="9"/>
  <c r="J99" i="9"/>
  <c r="J47" i="9"/>
  <c r="K46" i="9"/>
  <c r="M212" i="9"/>
  <c r="J221" i="9"/>
  <c r="K221" i="9" s="1"/>
  <c r="P221" i="9"/>
  <c r="I221" i="9"/>
  <c r="C222" i="9"/>
  <c r="L221" i="9"/>
  <c r="I218" i="9"/>
  <c r="F99" i="10"/>
  <c r="L91" i="10"/>
  <c r="J91" i="10"/>
  <c r="J92" i="10"/>
  <c r="L92" i="10"/>
  <c r="P33" i="10"/>
  <c r="N33" i="10"/>
  <c r="J85" i="10"/>
  <c r="L85" i="10"/>
  <c r="P32" i="10"/>
  <c r="N32" i="10"/>
  <c r="J94" i="10"/>
  <c r="L94" i="10"/>
  <c r="L90" i="10"/>
  <c r="J90" i="10"/>
  <c r="J81" i="10"/>
  <c r="J87" i="10"/>
  <c r="L87" i="10"/>
  <c r="L36" i="9"/>
  <c r="O36" i="9" s="1"/>
  <c r="P23" i="9"/>
  <c r="Q23" i="9" s="1"/>
  <c r="M22" i="9"/>
  <c r="O22" i="9"/>
  <c r="P36" i="9"/>
  <c r="Q36" i="9" s="1"/>
  <c r="Q35" i="9"/>
  <c r="O35" i="9"/>
  <c r="M35" i="9"/>
  <c r="Q46" i="9"/>
  <c r="Q63" i="9"/>
  <c r="P99" i="9"/>
  <c r="O46" i="9"/>
  <c r="M46" i="9"/>
  <c r="M63" i="9"/>
  <c r="O63" i="9"/>
  <c r="S26" i="3"/>
  <c r="P94" i="3"/>
  <c r="S94" i="3" s="1"/>
  <c r="N98" i="9"/>
  <c r="N99" i="9" s="1"/>
  <c r="Q26" i="3"/>
  <c r="O26" i="3"/>
  <c r="N94" i="3"/>
  <c r="L98" i="9"/>
  <c r="L99" i="9" s="1"/>
  <c r="O58" i="11"/>
  <c r="Q58" i="11"/>
  <c r="J64" i="9"/>
  <c r="K185" i="7"/>
  <c r="N47" i="7"/>
  <c r="P172" i="3"/>
  <c r="P30" i="3"/>
  <c r="N173" i="3"/>
  <c r="L144" i="3"/>
  <c r="F173" i="3"/>
  <c r="E172" i="3"/>
  <c r="N172" i="3"/>
  <c r="J98" i="3"/>
  <c r="M98" i="3" s="1"/>
  <c r="L173" i="3"/>
  <c r="K178" i="7"/>
  <c r="E173" i="3"/>
  <c r="F144" i="3"/>
  <c r="I144" i="3" s="1"/>
  <c r="J138" i="3"/>
  <c r="M138" i="3" s="1"/>
  <c r="F56" i="3"/>
  <c r="F55" i="3"/>
  <c r="N30" i="3"/>
  <c r="L50" i="3"/>
  <c r="L53" i="3"/>
  <c r="L174" i="3"/>
  <c r="F172" i="3"/>
  <c r="J162" i="3"/>
  <c r="M162" i="3" s="1"/>
  <c r="F54" i="3"/>
  <c r="P173" i="3"/>
  <c r="P174" i="3"/>
  <c r="S58" i="11"/>
  <c r="I56" i="11"/>
  <c r="I55" i="11"/>
  <c r="H57" i="11"/>
  <c r="M57" i="11" s="1"/>
  <c r="M18" i="11"/>
  <c r="F57" i="11"/>
  <c r="D222" i="9"/>
  <c r="P47" i="9"/>
  <c r="L64" i="9"/>
  <c r="J36" i="9"/>
  <c r="K36" i="9" s="1"/>
  <c r="J23" i="9"/>
  <c r="K23" i="9" s="1"/>
  <c r="L23" i="9"/>
  <c r="E61" i="8"/>
  <c r="F121" i="7"/>
  <c r="R74" i="7"/>
  <c r="K204" i="7"/>
  <c r="K210" i="7"/>
  <c r="F148" i="7"/>
  <c r="J148" i="7"/>
  <c r="N74" i="7"/>
  <c r="K212" i="7"/>
  <c r="K201" i="7"/>
  <c r="K205" i="7"/>
  <c r="K179" i="7"/>
  <c r="K202" i="7"/>
  <c r="K187" i="7"/>
  <c r="K220" i="7"/>
  <c r="K193" i="7"/>
  <c r="K186" i="7"/>
  <c r="G144" i="3" l="1"/>
  <c r="L148" i="3"/>
  <c r="S24" i="14"/>
  <c r="J223" i="9"/>
  <c r="J224" i="9" s="1"/>
  <c r="S18" i="14"/>
  <c r="L94" i="3"/>
  <c r="O94" i="3" s="1"/>
  <c r="O144" i="3"/>
  <c r="U24" i="14"/>
  <c r="H58" i="11"/>
  <c r="F218" i="7"/>
  <c r="F191" i="7"/>
  <c r="I23" i="8"/>
  <c r="E174" i="3"/>
  <c r="I16" i="8"/>
  <c r="H16" i="8"/>
  <c r="F23" i="8"/>
  <c r="E21" i="14"/>
  <c r="E17" i="14"/>
  <c r="L215" i="7"/>
  <c r="H24" i="8"/>
  <c r="H25" i="8" s="1"/>
  <c r="H32" i="8" s="1"/>
  <c r="I24" i="8"/>
  <c r="I25" i="8" s="1"/>
  <c r="I32" i="8" s="1"/>
  <c r="F24" i="8"/>
  <c r="F16" i="8"/>
  <c r="E148" i="3"/>
  <c r="C223" i="9"/>
  <c r="C224" i="9" s="1"/>
  <c r="D18" i="14"/>
  <c r="D223" i="9"/>
  <c r="D224" i="9" s="1"/>
  <c r="E18" i="14"/>
  <c r="X31" i="12"/>
  <c r="X22" i="12"/>
  <c r="K156" i="9"/>
  <c r="K218" i="9"/>
  <c r="K207" i="7"/>
  <c r="M36" i="9"/>
  <c r="L224" i="9"/>
  <c r="O221" i="9"/>
  <c r="M221" i="9"/>
  <c r="P224" i="9"/>
  <c r="Q221" i="9"/>
  <c r="P222" i="9"/>
  <c r="O23" i="9"/>
  <c r="M23" i="9"/>
  <c r="R75" i="7"/>
  <c r="S74" i="7"/>
  <c r="Q74" i="7"/>
  <c r="O47" i="7"/>
  <c r="Q47" i="7"/>
  <c r="S30" i="3"/>
  <c r="P98" i="3"/>
  <c r="S98" i="3" s="1"/>
  <c r="Q94" i="3"/>
  <c r="Q30" i="3"/>
  <c r="N98" i="3"/>
  <c r="O30" i="3"/>
  <c r="J222" i="9"/>
  <c r="N75" i="7"/>
  <c r="P46" i="3"/>
  <c r="Z8" i="12" s="1"/>
  <c r="J114" i="3"/>
  <c r="M114" i="3" s="1"/>
  <c r="J174" i="3"/>
  <c r="F148" i="3"/>
  <c r="I148" i="3" s="1"/>
  <c r="N46" i="3"/>
  <c r="X8" i="12" s="1"/>
  <c r="N171" i="3"/>
  <c r="J60" i="3"/>
  <c r="J144" i="3"/>
  <c r="J172" i="3"/>
  <c r="F60" i="3"/>
  <c r="J173" i="3"/>
  <c r="E53" i="3"/>
  <c r="E70" i="3"/>
  <c r="E68" i="3"/>
  <c r="M19" i="11"/>
  <c r="M58" i="11"/>
  <c r="G57" i="11"/>
  <c r="F58" i="11"/>
  <c r="G58" i="11" s="1"/>
  <c r="I57" i="11"/>
  <c r="L222" i="9"/>
  <c r="E57" i="8"/>
  <c r="E53" i="8"/>
  <c r="K174" i="7"/>
  <c r="K182" i="7"/>
  <c r="K214" i="7"/>
  <c r="K167" i="7"/>
  <c r="K189" i="7"/>
  <c r="E223" i="7"/>
  <c r="M144" i="3" l="1"/>
  <c r="I18" i="14"/>
  <c r="H223" i="9"/>
  <c r="H224" i="9" s="1"/>
  <c r="E164" i="3"/>
  <c r="G148" i="3"/>
  <c r="L164" i="3"/>
  <c r="L98" i="3"/>
  <c r="O148" i="3"/>
  <c r="F195" i="7"/>
  <c r="F222" i="7"/>
  <c r="F25" i="8"/>
  <c r="F32" i="8" s="1"/>
  <c r="X23" i="12"/>
  <c r="Z23" i="12"/>
  <c r="D11" i="14"/>
  <c r="D12" i="14"/>
  <c r="S46" i="3"/>
  <c r="O11" i="14"/>
  <c r="M11" i="14"/>
  <c r="P114" i="3"/>
  <c r="S114" i="3" s="1"/>
  <c r="Q98" i="3"/>
  <c r="N114" i="3"/>
  <c r="O46" i="3"/>
  <c r="Q46" i="3"/>
  <c r="J13" i="8"/>
  <c r="J17" i="8" s="1"/>
  <c r="J47" i="8" s="1"/>
  <c r="I58" i="11"/>
  <c r="K218" i="7"/>
  <c r="P50" i="3"/>
  <c r="P53" i="3"/>
  <c r="J118" i="3"/>
  <c r="M118" i="3" s="1"/>
  <c r="L168" i="3"/>
  <c r="L171" i="3"/>
  <c r="F164" i="3"/>
  <c r="I164" i="3" s="1"/>
  <c r="J64" i="3"/>
  <c r="F64" i="3"/>
  <c r="J148" i="3"/>
  <c r="M148" i="3" s="1"/>
  <c r="N50" i="3"/>
  <c r="N51" i="3" s="1"/>
  <c r="N53" i="3"/>
  <c r="K191" i="7"/>
  <c r="G164" i="3" l="1"/>
  <c r="E171" i="3"/>
  <c r="E168" i="3"/>
  <c r="O98" i="3"/>
  <c r="L114" i="3"/>
  <c r="S22" i="14"/>
  <c r="S13" i="14"/>
  <c r="L169" i="3"/>
  <c r="O168" i="3"/>
  <c r="I44" i="8"/>
  <c r="I45" i="8" s="1"/>
  <c r="AD8" i="12"/>
  <c r="S12" i="14"/>
  <c r="Q12" i="14" s="1"/>
  <c r="O12" i="14" s="1"/>
  <c r="M12" i="14" s="1"/>
  <c r="K12" i="14" s="1"/>
  <c r="S11" i="14"/>
  <c r="O164" i="3"/>
  <c r="F223" i="7"/>
  <c r="E12" i="14"/>
  <c r="E11" i="14"/>
  <c r="O22" i="14"/>
  <c r="M22" i="14"/>
  <c r="M13" i="14"/>
  <c r="O13" i="14"/>
  <c r="P118" i="3"/>
  <c r="S118" i="3" s="1"/>
  <c r="J223" i="7"/>
  <c r="K222" i="7"/>
  <c r="S50" i="3"/>
  <c r="Q114" i="3"/>
  <c r="N118" i="3"/>
  <c r="Q50" i="3"/>
  <c r="O50" i="3"/>
  <c r="I13" i="8"/>
  <c r="I17" i="8" s="1"/>
  <c r="I47" i="8" s="1"/>
  <c r="P171" i="3"/>
  <c r="F68" i="3"/>
  <c r="F53" i="3"/>
  <c r="J68" i="3"/>
  <c r="J164" i="3"/>
  <c r="F168" i="3"/>
  <c r="I168" i="3" s="1"/>
  <c r="F171" i="3"/>
  <c r="K195" i="7"/>
  <c r="M164" i="3" l="1"/>
  <c r="I12" i="14"/>
  <c r="I11" i="14"/>
  <c r="G168" i="3"/>
  <c r="D13" i="14"/>
  <c r="E169" i="3"/>
  <c r="D22" i="14"/>
  <c r="L118" i="3"/>
  <c r="O118" i="3" s="1"/>
  <c r="O114" i="3"/>
  <c r="E13" i="14"/>
  <c r="F169" i="3"/>
  <c r="F44" i="8"/>
  <c r="F45" i="8" s="1"/>
  <c r="F13" i="8"/>
  <c r="F17" i="8" s="1"/>
  <c r="E22" i="14"/>
  <c r="Q118" i="3"/>
  <c r="K13" i="8"/>
  <c r="K17" i="8" s="1"/>
  <c r="K47" i="8" s="1"/>
  <c r="J171" i="3"/>
  <c r="J168" i="3"/>
  <c r="J70" i="3"/>
  <c r="M50" i="3"/>
  <c r="F70" i="3"/>
  <c r="I13" i="14" l="1"/>
  <c r="I22" i="14"/>
  <c r="F47" i="8"/>
  <c r="F61" i="8" s="1"/>
  <c r="M168" i="3"/>
  <c r="J169" i="3"/>
  <c r="H44" i="8"/>
  <c r="H45" i="8" s="1"/>
  <c r="H13" i="8"/>
  <c r="H17" i="8" s="1"/>
  <c r="F49" i="8" l="1"/>
  <c r="G49" i="8" s="1"/>
  <c r="G50" i="8" s="1"/>
  <c r="H10" i="8"/>
  <c r="F50" i="8"/>
  <c r="F53" i="8"/>
  <c r="F57" i="8"/>
  <c r="H47" i="8"/>
  <c r="A1" i="6"/>
  <c r="G26" i="6"/>
  <c r="I26" i="6" s="1"/>
  <c r="G27" i="6"/>
  <c r="I27" i="6" s="1"/>
  <c r="G28" i="6"/>
  <c r="I28" i="6" s="1"/>
  <c r="G29" i="6"/>
  <c r="I29" i="6" s="1"/>
  <c r="G30" i="6"/>
  <c r="I30" i="6" s="1"/>
  <c r="G31" i="6"/>
  <c r="I31" i="6" s="1"/>
  <c r="G32" i="6"/>
  <c r="I32" i="6" s="1"/>
  <c r="G33" i="6"/>
  <c r="I33" i="6" s="1"/>
  <c r="G34" i="6"/>
  <c r="I34" i="6" s="1"/>
  <c r="G35" i="6"/>
  <c r="I35" i="6" s="1"/>
  <c r="G36" i="6"/>
  <c r="I36" i="6" s="1"/>
  <c r="G37" i="6"/>
  <c r="I37" i="6" s="1"/>
  <c r="G38" i="6"/>
  <c r="I38" i="6" s="1"/>
  <c r="G40" i="6"/>
  <c r="I40" i="6" s="1"/>
  <c r="G41" i="6"/>
  <c r="I41" i="6" s="1"/>
  <c r="G42" i="6"/>
  <c r="I42" i="6" s="1"/>
  <c r="E50" i="5"/>
  <c r="E17" i="5"/>
  <c r="G22" i="5" s="1"/>
  <c r="H49" i="8" l="1"/>
  <c r="I10" i="8" s="1"/>
  <c r="I49" i="8" s="1"/>
  <c r="I50" i="8" s="1"/>
  <c r="H50" i="8"/>
  <c r="A1" i="5"/>
  <c r="J10" i="8" l="1"/>
  <c r="J49" i="8" s="1"/>
  <c r="J50" i="8" s="1"/>
  <c r="A3" i="4"/>
  <c r="K10" i="8" l="1"/>
  <c r="K49" i="8" s="1"/>
  <c r="K50" i="8" s="1"/>
  <c r="A16" i="4"/>
  <c r="L10" i="8" l="1"/>
  <c r="L49" i="8" s="1"/>
  <c r="L50" i="8" s="1"/>
  <c r="E43" i="5"/>
  <c r="E52" i="5" s="1"/>
  <c r="E26" i="5" s="1"/>
  <c r="E32" i="5" l="1"/>
  <c r="E34" i="5" s="1"/>
  <c r="J34" i="5" s="1"/>
  <c r="G39" i="6"/>
  <c r="I39" i="6" s="1"/>
  <c r="G13" i="6" l="1"/>
  <c r="G20" i="6" s="1"/>
  <c r="G44" i="6"/>
  <c r="I44" i="6" s="1"/>
  <c r="L70" i="7" l="1"/>
  <c r="O70" i="7" l="1"/>
  <c r="L74" i="7"/>
  <c r="L75" i="7" l="1"/>
  <c r="O74" i="7"/>
  <c r="L195" i="7"/>
  <c r="L119" i="7"/>
  <c r="L223" i="7" l="1"/>
  <c r="N195" i="7"/>
  <c r="N119" i="7"/>
  <c r="Q119" i="7" s="1"/>
  <c r="N121" i="7" l="1"/>
  <c r="O121" i="7" s="1"/>
  <c r="O195" i="7"/>
  <c r="N223" i="7"/>
  <c r="R195" i="7"/>
  <c r="R223" i="7" s="1"/>
  <c r="R119" i="7"/>
  <c r="R121" i="7" s="1"/>
  <c r="P195" i="7"/>
  <c r="Q195" i="7" s="1"/>
  <c r="P119" i="7"/>
  <c r="S119" i="7" s="1"/>
  <c r="S195" i="7" l="1"/>
  <c r="P121" i="7"/>
  <c r="P223" i="7"/>
  <c r="S121" i="7" l="1"/>
  <c r="Q121" i="7"/>
  <c r="K131" i="9" l="1"/>
  <c r="I184" i="9"/>
  <c r="I172" i="9"/>
  <c r="K183" i="9"/>
  <c r="K148" i="9"/>
  <c r="K179" i="9"/>
  <c r="K111" i="9"/>
  <c r="K141" i="9"/>
  <c r="K177" i="9"/>
  <c r="I177" i="9"/>
  <c r="K129" i="9"/>
  <c r="K128" i="9"/>
  <c r="K116" i="9"/>
  <c r="K118" i="9"/>
  <c r="K136" i="9"/>
  <c r="K112" i="9"/>
  <c r="K142" i="9"/>
  <c r="K178" i="9"/>
  <c r="I178" i="9"/>
  <c r="K121" i="9"/>
  <c r="I200" i="9"/>
  <c r="K173" i="9"/>
  <c r="K203" i="9"/>
  <c r="K126" i="9"/>
  <c r="I188" i="9"/>
  <c r="K114" i="9"/>
  <c r="K190" i="9"/>
  <c r="H160" i="9"/>
  <c r="K150" i="9"/>
  <c r="K119" i="9"/>
  <c r="I198" i="9"/>
  <c r="K185" i="9"/>
  <c r="I185" i="9"/>
  <c r="I174" i="9"/>
  <c r="K174" i="9"/>
  <c r="I180" i="9"/>
  <c r="K110" i="9"/>
  <c r="K125" i="9"/>
  <c r="K197" i="9"/>
  <c r="K135" i="9"/>
  <c r="K189" i="9"/>
  <c r="K196" i="9"/>
  <c r="K127" i="9"/>
  <c r="K134" i="9"/>
  <c r="K155" i="9"/>
  <c r="K153" i="9"/>
  <c r="K138" i="9"/>
  <c r="K200" i="9"/>
  <c r="I196" i="9"/>
  <c r="I204" i="9"/>
  <c r="K172" i="9"/>
  <c r="K193" i="9"/>
  <c r="I193" i="9"/>
  <c r="K122" i="9"/>
  <c r="K184" i="9"/>
  <c r="I173" i="9"/>
  <c r="K149" i="9"/>
  <c r="K130" i="9"/>
  <c r="K140" i="9"/>
  <c r="K202" i="9"/>
  <c r="K117" i="9"/>
  <c r="I179" i="9"/>
  <c r="K123" i="9"/>
  <c r="K191" i="9"/>
  <c r="I187" i="9"/>
  <c r="K187" i="9"/>
  <c r="K115" i="9"/>
  <c r="K192" i="9"/>
  <c r="I176" i="9"/>
  <c r="K214" i="9"/>
  <c r="K152" i="9"/>
  <c r="K139" i="9"/>
  <c r="K201" i="9"/>
  <c r="K216" i="9"/>
  <c r="K154" i="9"/>
  <c r="I183" i="9"/>
  <c r="K132" i="9"/>
  <c r="K215" i="9" l="1"/>
  <c r="I215" i="9"/>
  <c r="I214" i="9"/>
  <c r="K198" i="9"/>
  <c r="K204" i="9"/>
  <c r="I201" i="9"/>
  <c r="K180" i="9"/>
  <c r="I216" i="9"/>
  <c r="I197" i="9"/>
  <c r="K176" i="9"/>
  <c r="K188" i="9"/>
  <c r="I181" i="9" l="1"/>
  <c r="K181" i="9"/>
  <c r="I211" i="9"/>
  <c r="K211" i="9"/>
  <c r="K210" i="9"/>
  <c r="I210" i="9"/>
  <c r="K217" i="9"/>
  <c r="I217" i="9"/>
  <c r="I212" i="9" l="1"/>
  <c r="H222" i="9"/>
  <c r="K212" i="9"/>
  <c r="O33" i="11" l="1"/>
  <c r="M33" i="11"/>
  <c r="L33" i="11"/>
</calcChain>
</file>

<file path=xl/sharedStrings.xml><?xml version="1.0" encoding="utf-8"?>
<sst xmlns="http://schemas.openxmlformats.org/spreadsheetml/2006/main" count="1284" uniqueCount="530">
  <si>
    <t>Accounts</t>
  </si>
  <si>
    <t/>
  </si>
  <si>
    <t>Gross Patient Care Revenue</t>
  </si>
  <si>
    <t>Total Gross Patient Care Revenue</t>
  </si>
  <si>
    <t xml:space="preserve">  Disproportionate Share Payments</t>
  </si>
  <si>
    <t xml:space="preserve">  Bad Debt Free Care</t>
  </si>
  <si>
    <t xml:space="preserve">  Deductions from Revenue</t>
  </si>
  <si>
    <t>Net Patient Care Revenue</t>
  </si>
  <si>
    <t>Total Other Operating Revenue</t>
  </si>
  <si>
    <t>Total Operating Revenue</t>
  </si>
  <si>
    <t>Operating Expense</t>
  </si>
  <si>
    <t xml:space="preserve">  Salaries Non MD</t>
  </si>
  <si>
    <t xml:space="preserve">  Fringe Benefits Non MD</t>
  </si>
  <si>
    <t xml:space="preserve">  Fringe Benefits MD</t>
  </si>
  <si>
    <t xml:space="preserve">  Physician Fees Salaries Contracts &amp; Fringes</t>
  </si>
  <si>
    <t xml:space="preserve">  Health Care Provider Tax</t>
  </si>
  <si>
    <t xml:space="preserve">  Depreciation Amortization</t>
  </si>
  <si>
    <t xml:space="preserve">  Interest - Short Term</t>
  </si>
  <si>
    <t xml:space="preserve">  Interest - Long Term</t>
  </si>
  <si>
    <t xml:space="preserve">  Other Operating Expense</t>
  </si>
  <si>
    <t xml:space="preserve">  Bad Debt</t>
  </si>
  <si>
    <t>Total Operating Expense</t>
  </si>
  <si>
    <t>Net Operating Income (Loss)</t>
  </si>
  <si>
    <t>Non-Operating Revenue</t>
  </si>
  <si>
    <t>Excess (Deficit) of Revenue Over Expense</t>
  </si>
  <si>
    <t>Description:</t>
  </si>
  <si>
    <t>Levels:</t>
  </si>
  <si>
    <t>Currency:</t>
  </si>
  <si>
    <t>United States of America, Dollars</t>
  </si>
  <si>
    <t>LOOKUP COLUMN</t>
  </si>
  <si>
    <t>REVENUES</t>
  </si>
  <si>
    <t>GROSS PATIENT CARE REVENUE</t>
  </si>
  <si>
    <t>OTHER OPERATING REVENUE</t>
  </si>
  <si>
    <t>NET PATIENT CARE REVENUE</t>
  </si>
  <si>
    <t>TOTAL OPERATING REVENUE</t>
  </si>
  <si>
    <t>OPERATING EXPENSE</t>
  </si>
  <si>
    <t>TOTAL OPERATING EXPENSE</t>
  </si>
  <si>
    <t>NET OPERATING INCOME (LOSS)</t>
  </si>
  <si>
    <t>EXCESS (DEFICIT) OF REVENUE OVER EXPENSE</t>
  </si>
  <si>
    <t>2014</t>
  </si>
  <si>
    <t xml:space="preserve">    Inpatient Care Revenue</t>
  </si>
  <si>
    <t xml:space="preserve">    Outpatient Care Revenue</t>
  </si>
  <si>
    <t xml:space="preserve">    Chronic/SNF PT Care Revenue</t>
  </si>
  <si>
    <t xml:space="preserve">    Swing Beds PT Care Revenue</t>
  </si>
  <si>
    <t xml:space="preserve">    Outpatient Care Revenue - Physician</t>
  </si>
  <si>
    <t>Income Statement</t>
  </si>
  <si>
    <t>edit</t>
  </si>
  <si>
    <t>WITHOUT PROJECT</t>
  </si>
  <si>
    <t>WITH PROJECT</t>
  </si>
  <si>
    <t>PROJECT ONLY</t>
  </si>
  <si>
    <t>Proposed Yr 1</t>
  </si>
  <si>
    <t>Proposed Yr 2</t>
  </si>
  <si>
    <t>Proposed Yr 3</t>
  </si>
  <si>
    <t>YYYY</t>
  </si>
  <si>
    <t>Note: This table requires no "fill-in" as it is populated automatically</t>
  </si>
  <si>
    <t>2015</t>
  </si>
  <si>
    <t xml:space="preserve">  Graduate Medical Education</t>
  </si>
  <si>
    <t>% change</t>
  </si>
  <si>
    <t>Actuals</t>
  </si>
  <si>
    <t>Operating Margin %</t>
  </si>
  <si>
    <t>Bad Debt &amp; Free Care%</t>
  </si>
  <si>
    <t>Compensation Ratio</t>
  </si>
  <si>
    <t>Capital Cost % of Total Expenses</t>
  </si>
  <si>
    <t>Tables 3A, 3B and 3C</t>
  </si>
  <si>
    <t xml:space="preserve">  INTEREST - LONG/SHORT TERM</t>
  </si>
  <si>
    <t>2016</t>
  </si>
  <si>
    <t>TABLE 1</t>
  </si>
  <si>
    <t>PROJECT COSTS</t>
  </si>
  <si>
    <t>Construction Costs</t>
  </si>
  <si>
    <t xml:space="preserve">1. </t>
  </si>
  <si>
    <t>New Construction</t>
  </si>
  <si>
    <t xml:space="preserve">2. </t>
  </si>
  <si>
    <t>Renovation</t>
  </si>
  <si>
    <t xml:space="preserve">3. </t>
  </si>
  <si>
    <t>Site Work</t>
  </si>
  <si>
    <t xml:space="preserve">4. </t>
  </si>
  <si>
    <t>Fixed Equipment</t>
  </si>
  <si>
    <t xml:space="preserve">5. </t>
  </si>
  <si>
    <t>Design/Bidding Contingency</t>
  </si>
  <si>
    <t xml:space="preserve">6. </t>
  </si>
  <si>
    <t>Construction Contingency</t>
  </si>
  <si>
    <t xml:space="preserve">7. </t>
  </si>
  <si>
    <t>Construction Manager Fee</t>
  </si>
  <si>
    <t xml:space="preserve">8. </t>
  </si>
  <si>
    <t>Other  (please specify)</t>
  </si>
  <si>
    <t>Subtotal</t>
  </si>
  <si>
    <t>Related Project Costs</t>
  </si>
  <si>
    <t>Major Moveable Equipment</t>
  </si>
  <si>
    <t>Furnishings, Fixtures &amp; Other Equip.</t>
  </si>
  <si>
    <t>Architectural/Engineering Fees</t>
  </si>
  <si>
    <t>Land Acquisition</t>
  </si>
  <si>
    <t>Purchase of Buildings</t>
  </si>
  <si>
    <t>Administrative Expenses &amp; Permits</t>
  </si>
  <si>
    <t>Debt Financing Expenses (see below)</t>
  </si>
  <si>
    <t>Debt Service Reserve Fund</t>
  </si>
  <si>
    <t xml:space="preserve">9. </t>
  </si>
  <si>
    <t>Working Capital</t>
  </si>
  <si>
    <t xml:space="preserve">10. </t>
  </si>
  <si>
    <t>Total Project Costs</t>
  </si>
  <si>
    <t>Debt Financing Expenses</t>
  </si>
  <si>
    <t>Capital Interest</t>
  </si>
  <si>
    <t>Bond Discount or Placement Fee</t>
  </si>
  <si>
    <t>Misc. Financing Fees &amp; Exp. (issuance costs)</t>
  </si>
  <si>
    <t>Other</t>
  </si>
  <si>
    <t>Less Interest Earnings on Funds</t>
  </si>
  <si>
    <t>Debt Service Reserve Funds</t>
  </si>
  <si>
    <t>Capitalized Interest Account</t>
  </si>
  <si>
    <t>Construction Fund</t>
  </si>
  <si>
    <t>Total Debt Financing Expenses</t>
  </si>
  <si>
    <t>feeds to line 7 above</t>
  </si>
  <si>
    <t>Assumptions used for this table:</t>
  </si>
  <si>
    <t>TABLE 2</t>
  </si>
  <si>
    <t>DEBT FINANCING ARRANGEMENT, SOURCES &amp; USES OF FUNDS</t>
  </si>
  <si>
    <t>Sources of Funds</t>
  </si>
  <si>
    <t>Financing Instrument</t>
  </si>
  <si>
    <t>Bond</t>
  </si>
  <si>
    <t xml:space="preserve">a. </t>
  </si>
  <si>
    <t>Interest Rate</t>
  </si>
  <si>
    <t xml:space="preserve">b. </t>
  </si>
  <si>
    <t>Loan Period</t>
  </si>
  <si>
    <t>To:</t>
  </si>
  <si>
    <t xml:space="preserve">c. </t>
  </si>
  <si>
    <t>Amount Financed</t>
  </si>
  <si>
    <t>Equity Contribution</t>
  </si>
  <si>
    <t>Other Sources</t>
  </si>
  <si>
    <t>Fundraising</t>
  </si>
  <si>
    <t>Grants</t>
  </si>
  <si>
    <t xml:space="preserve">d. </t>
  </si>
  <si>
    <t>Total Required Funds</t>
  </si>
  <si>
    <t>Uses of Funds</t>
  </si>
  <si>
    <t>Project Costs  (feeds from Table 1)</t>
  </si>
  <si>
    <t>should be zero</t>
  </si>
  <si>
    <t xml:space="preserve">11. </t>
  </si>
  <si>
    <t xml:space="preserve">12. </t>
  </si>
  <si>
    <t xml:space="preserve">13. </t>
  </si>
  <si>
    <t xml:space="preserve">14. </t>
  </si>
  <si>
    <t xml:space="preserve">15. </t>
  </si>
  <si>
    <t xml:space="preserve">16. </t>
  </si>
  <si>
    <t xml:space="preserve">17. </t>
  </si>
  <si>
    <t>Total Uses of Funds</t>
  </si>
  <si>
    <t>Total sources should equal total uses of funds.</t>
  </si>
  <si>
    <t>Table 1</t>
  </si>
  <si>
    <t>Table 2</t>
  </si>
  <si>
    <t>Brattleboro Memorial Hospital</t>
  </si>
  <si>
    <t>Proposed Year 1</t>
  </si>
  <si>
    <t>Proposed Year 2</t>
  </si>
  <si>
    <t>Proposed Year 3</t>
  </si>
  <si>
    <t>ASSETS</t>
  </si>
  <si>
    <t>CURRENT ASSETS</t>
  </si>
  <si>
    <t xml:space="preserve">    [Cash_Investments] Cash &amp; Investments</t>
  </si>
  <si>
    <t xml:space="preserve">    [Patient_Accts_Rec_Gross] Patient Accounts Receivable, Gross</t>
  </si>
  <si>
    <t xml:space="preserve">    [Less_Allowance_For_Uncollectible_Accts] Less: Allowance For Uncollectible Accts</t>
  </si>
  <si>
    <t xml:space="preserve">    [Due_From_Third_Parties] Due From Third Parties</t>
  </si>
  <si>
    <t xml:space="preserve">    [Other_Current_Assets] Other Current Assets</t>
  </si>
  <si>
    <t>TOTAL CURRENT ASSETS</t>
  </si>
  <si>
    <t>BOARD DESIGNATED ASSETS</t>
  </si>
  <si>
    <t xml:space="preserve">    [Funded_Depr] Funded Depreciation</t>
  </si>
  <si>
    <t xml:space="preserve">    [Escrowed_Bond_Funds] Escrowed Bond Funds</t>
  </si>
  <si>
    <t xml:space="preserve">    [Other] Other</t>
  </si>
  <si>
    <t>TOTAL BOARD DESIGNATED ASSETS</t>
  </si>
  <si>
    <t>PROPERTY, PLANT, AND EQUIPMENT</t>
  </si>
  <si>
    <t xml:space="preserve">        [Land_Buildings_Improvements] Land, Buildings &amp; Improvements</t>
  </si>
  <si>
    <t xml:space="preserve">        [Construction_In_Progress] Construction In Progress</t>
  </si>
  <si>
    <t xml:space="preserve">        [Major_Movable_Equip] Major Movable Equipment</t>
  </si>
  <si>
    <t xml:space="preserve">        [Fixed_Equip] Fixed Equipment</t>
  </si>
  <si>
    <t>TOTAL PROPERTY, PLANT AND EQUIPMENT</t>
  </si>
  <si>
    <t>LESS: ACCUMULATED DEPRECIATION</t>
  </si>
  <si>
    <t xml:space="preserve">        [Depr_Land_Buildings_Improvements] Land, Buildings &amp; Improvements</t>
  </si>
  <si>
    <t xml:space="preserve">        [Equip_Fixed] Equipment - Fixed</t>
  </si>
  <si>
    <t xml:space="preserve">        [Equip_Major_Moveable] Equipment - Major Moveable</t>
  </si>
  <si>
    <t>TOTAL ACCUMULATED DEPRECIATION</t>
  </si>
  <si>
    <t>TOTAL PROPERTY, PLANT AND EQUIPMENT, NET</t>
  </si>
  <si>
    <t xml:space="preserve">  [Other_LT_Assets] Other Long-Term Assets</t>
  </si>
  <si>
    <t>TOTAL ASSETS</t>
  </si>
  <si>
    <t>LIABILITIES AND FUND BALANCE</t>
  </si>
  <si>
    <t>CURRENT LIABILITIES</t>
  </si>
  <si>
    <t xml:space="preserve">      [Accts_Payable] Accounts Payable</t>
  </si>
  <si>
    <t xml:space="preserve">      [Salaries_Wages_Payroll_Taxes_Payable] Salaries, Wages And Payroll Taxes Payable</t>
  </si>
  <si>
    <t xml:space="preserve">      [Est_3rd_Party_Settlements] Estimated Third-Party Settlements</t>
  </si>
  <si>
    <t xml:space="preserve">      [Other_Current_Liabilities] Other Current Liabilities</t>
  </si>
  <si>
    <t xml:space="preserve">      [Current_Portion_Of_LT_Debt] Current Portion Of Long-Term Debt</t>
  </si>
  <si>
    <t>TOTAL CURRENT LIABILITIES</t>
  </si>
  <si>
    <t>LONG-TERM DEBT</t>
  </si>
  <si>
    <t xml:space="preserve">        [Bonds_Mortgages_Payable] Bonds &amp; Mortgages Payable</t>
  </si>
  <si>
    <t xml:space="preserve">        [Capital_Lease_Obligations] Capital Lease Obligations</t>
  </si>
  <si>
    <t xml:space="preserve">        [Other_LT_Debt] Other Long-Term Debt</t>
  </si>
  <si>
    <t>TOTAL LONG-TERM DEBT</t>
  </si>
  <si>
    <t xml:space="preserve">    [Other_Noncurrent_Liabilities] Other Noncurrent Liabilities</t>
  </si>
  <si>
    <t>TOTAL LIABILITIES</t>
  </si>
  <si>
    <t xml:space="preserve">  [Fund_Balance] Fund Balance</t>
  </si>
  <si>
    <t>TOTAL LIABILITIES AND FUND BALANCE</t>
  </si>
  <si>
    <t xml:space="preserve">   CASH &amp; INVESTMENTS</t>
  </si>
  <si>
    <t xml:space="preserve">   PATIENT ACCOUNTS RECEIVABLE, GROSS</t>
  </si>
  <si>
    <t xml:space="preserve">   LESS: ALLOWANCE FOR UNCOLLECTIBLE ACCTS</t>
  </si>
  <si>
    <t xml:space="preserve">   DUE FROM THIRD PARTIES</t>
  </si>
  <si>
    <t xml:space="preserve">   OTHER CURRENT ASSETS</t>
  </si>
  <si>
    <t xml:space="preserve">   FUNDED DEPRECIATION</t>
  </si>
  <si>
    <t xml:space="preserve">   ESCROWED BOND FUNDS</t>
  </si>
  <si>
    <t xml:space="preserve">   OTHER</t>
  </si>
  <si>
    <t xml:space="preserve">   LAND, BUILDINGS &amp; IMPROVEMENTS</t>
  </si>
  <si>
    <t xml:space="preserve">   CONSTRUCTION IN PROGRESS</t>
  </si>
  <si>
    <t xml:space="preserve">   MAJOR MOVABLE EQUIPMENT</t>
  </si>
  <si>
    <t xml:space="preserve">   FIXED EQUIPMENT</t>
  </si>
  <si>
    <t xml:space="preserve">   EQUIPMENT - FIXED</t>
  </si>
  <si>
    <t xml:space="preserve">   EQUIPMENT - MAJOR MOVEABLE</t>
  </si>
  <si>
    <t xml:space="preserve">   OTHER LONG-TERM ASSETS</t>
  </si>
  <si>
    <t xml:space="preserve">   ACCOUNTS PAYABLE</t>
  </si>
  <si>
    <t xml:space="preserve">   SALARIES, WAGES AND PAYROLL TAXES PAYABLE</t>
  </si>
  <si>
    <t xml:space="preserve">   ESTIMATED THIRD-PARTY SETTLEMENTS</t>
  </si>
  <si>
    <t xml:space="preserve">   OTHER CURRENT LIABILITIES</t>
  </si>
  <si>
    <t xml:space="preserve">   CURRENT PORTION OF LONG-TERM DEBT</t>
  </si>
  <si>
    <t xml:space="preserve">   BONDS &amp; MORTGAGES PAYABLE</t>
  </si>
  <si>
    <t xml:space="preserve">   CAPITAL LEASE OBLIGATIONS</t>
  </si>
  <si>
    <t xml:space="preserve">   OTHER LONG-TERM DEBT</t>
  </si>
  <si>
    <t xml:space="preserve">   OTHER NONCURRENT LIABILITIES</t>
  </si>
  <si>
    <t xml:space="preserve">   FUND BALANCE</t>
  </si>
  <si>
    <t>TOTAL CASH FLOWS</t>
  </si>
  <si>
    <t xml:space="preserve">  [CF_Beginning_Cash] Beginning Cash</t>
  </si>
  <si>
    <t>OPERATIONS</t>
  </si>
  <si>
    <t xml:space="preserve">    [CF_Excess_Rev_Over_Exp] Excess Revenue Over Expense</t>
  </si>
  <si>
    <t xml:space="preserve">    [CF_Depr_Amort] Depreciation/Amortization</t>
  </si>
  <si>
    <t xml:space="preserve">    [CF_Patient_A_R] Patient A/R</t>
  </si>
  <si>
    <t xml:space="preserve">    [Other_Chgs_Ops] Other Changes</t>
  </si>
  <si>
    <t>TOTAL CASH FROM OPERATIONS</t>
  </si>
  <si>
    <t>INVESTING ACTIVITY</t>
  </si>
  <si>
    <t>CAPITAL SPENDING</t>
  </si>
  <si>
    <t xml:space="preserve">      [CF_Cap_] Capital</t>
  </si>
  <si>
    <t xml:space="preserve">      [CF_Capized_Interest] Capitalized Interest</t>
  </si>
  <si>
    <t xml:space="preserve">      [CF_Change_in_Accum_Depr_Less_Depr] Change in Accum Depr Less Depreciation</t>
  </si>
  <si>
    <t xml:space="preserve">      [CF_Change_in_Cap_Assets] Change in Capital  Assets</t>
  </si>
  <si>
    <t>TOTAL CAPITAL SPENDING</t>
  </si>
  <si>
    <t>(INCREASE)/DECREASE</t>
  </si>
  <si>
    <t xml:space="preserve">      [CF_Funded_Depr] Funded Depreciation</t>
  </si>
  <si>
    <t xml:space="preserve">      [CF_Other_LT_Assets_Escrowed_Bonds_Other] Other LT Assets &amp; Escrowed Bonds &amp; Other</t>
  </si>
  <si>
    <t>TOTAL (INCREASE)/DECREASE</t>
  </si>
  <si>
    <t>TOTAL INVESTING ACTIVITY</t>
  </si>
  <si>
    <t>FINANCING ACTIVITY</t>
  </si>
  <si>
    <t>DEBT INCREASE/(DECREASE)</t>
  </si>
  <si>
    <t xml:space="preserve">      [CF_Bonds_Mortgages] Bonds &amp; Mortgages</t>
  </si>
  <si>
    <t xml:space="preserve">      [CF_Repayment] Repayment</t>
  </si>
  <si>
    <t xml:space="preserve">      [CF_Cap_Lease_Other_LT_Debt] Capital Lease &amp; Other Long Term Debt</t>
  </si>
  <si>
    <t>TOTAL FINANCING ACTIVITY</t>
  </si>
  <si>
    <t>OTHER CHANGES</t>
  </si>
  <si>
    <t xml:space="preserve">    [CF_Manual_Adjustment] Manual Adjustment</t>
  </si>
  <si>
    <t xml:space="preserve">    [CF_Other] Other</t>
  </si>
  <si>
    <t xml:space="preserve">    [CF_Change_in_Fund_Bal_Less_Net_Income] Change in Fund Balance Less Net Income</t>
  </si>
  <si>
    <t>TOTAL OTHER CHANGES</t>
  </si>
  <si>
    <t>NET INCREASE/(DECREASE) IN CASH</t>
  </si>
  <si>
    <t>ENDING CASH</t>
  </si>
  <si>
    <t xml:space="preserve">  [CF_Ending_Cash] Ending Cash</t>
  </si>
  <si>
    <t>Ending Cash Per Adaptive Cash Flow</t>
  </si>
  <si>
    <t>Check</t>
  </si>
  <si>
    <t>[Cash_Investments] Cash &amp; Investments</t>
  </si>
  <si>
    <t>Ending Cash Per Adaptive Balance Sheet</t>
  </si>
  <si>
    <t xml:space="preserve">  [CF_Net_Increase_Decrease_in_Cash] Net Increase/(Decrease) in Cash</t>
  </si>
  <si>
    <t>Net Increase/(Decrease) in Cash Per Adaptive Cash Flow</t>
  </si>
  <si>
    <t>CASH &amp; INVESTMENTS FROM BAL SHT</t>
  </si>
  <si>
    <t>EDIT</t>
  </si>
  <si>
    <t>CALCULATION OF CURRENT YEAR BUDGET FOR CASH FLOW</t>
  </si>
  <si>
    <t>[Excess_Rev_Over_Exp] Excess (Deficit) of Revenue Over Expense</t>
  </si>
  <si>
    <t>[Exp_Depr_Amort] Depreciation Amortization</t>
  </si>
  <si>
    <t xml:space="preserve">    [Current_Liabilities] Total Current Liabilities</t>
  </si>
  <si>
    <t xml:space="preserve">      [Accumulated_Depr] Total Accumulated Depreciation</t>
  </si>
  <si>
    <t xml:space="preserve">      [Gross_Property_Plant_And_Equip] Total Gross, Property, Plant And Equipment</t>
  </si>
  <si>
    <t xml:space="preserve">  [Fund_Balance] Total Fund Balance</t>
  </si>
  <si>
    <t>PAYER REVENUE REPORT</t>
  </si>
  <si>
    <t xml:space="preserve">Commercial </t>
  </si>
  <si>
    <t>Hospital</t>
  </si>
  <si>
    <t>Physician</t>
  </si>
  <si>
    <t>Total Revenue</t>
  </si>
  <si>
    <t>Allowances - Hospital</t>
  </si>
  <si>
    <t>Allowances - Physicians</t>
  </si>
  <si>
    <t>Free Care</t>
  </si>
  <si>
    <t>Bad Debt</t>
  </si>
  <si>
    <t>Net Payer Revenue</t>
  </si>
  <si>
    <t>Medicaid</t>
  </si>
  <si>
    <t>Graduate Medical Education Payments_Phys.</t>
  </si>
  <si>
    <t>Graduate Medical Education Payments-Hosp</t>
  </si>
  <si>
    <t>Medicare</t>
  </si>
  <si>
    <t>Disproportionate Share Payments</t>
  </si>
  <si>
    <t>Total Payer Revenue</t>
  </si>
  <si>
    <t>Edit_Net Patient Care Revenue-Inc Statemt</t>
  </si>
  <si>
    <t xml:space="preserve"> PROJECT ONLY</t>
  </si>
  <si>
    <t xml:space="preserve">  Inpatient Utilization</t>
  </si>
  <si>
    <t xml:space="preserve">      [Util_Acute_Beds] Acute Beds (Staffed)</t>
  </si>
  <si>
    <t xml:space="preserve">    Acute Beds (Staffed)</t>
  </si>
  <si>
    <t xml:space="preserve">      [Util_Acute_Admissions] Acute Admissions</t>
  </si>
  <si>
    <t xml:space="preserve">    Acute  Admissions</t>
  </si>
  <si>
    <t xml:space="preserve">      [Util_Acute_Days] Acute Patient Days</t>
  </si>
  <si>
    <t xml:space="preserve">    Acute  Patient Days</t>
  </si>
  <si>
    <t xml:space="preserve">      [Util_Acute_AvgStay] Acute Average Length Of Stay</t>
  </si>
  <si>
    <t xml:space="preserve">    Acute Average Length Of Stay</t>
  </si>
  <si>
    <t xml:space="preserve">  Outpatient</t>
  </si>
  <si>
    <t xml:space="preserve">    [Util_Outpatient_OutpatientVisits] All Outpatient Visits</t>
  </si>
  <si>
    <t xml:space="preserve">    All Outpatient Visits</t>
  </si>
  <si>
    <t xml:space="preserve">    [Util_Outpatient_PhysOfficeVisits] Physician Office Visits</t>
  </si>
  <si>
    <t xml:space="preserve">    Physician Office Visits</t>
  </si>
  <si>
    <t xml:space="preserve">  Ancillary</t>
  </si>
  <si>
    <t xml:space="preserve">    [Util_Ancillary_OpRoomProcedure] All Operating Room Procedure</t>
  </si>
  <si>
    <t xml:space="preserve">    All Operating Room Procedure</t>
  </si>
  <si>
    <t xml:space="preserve">    [Util_Ancillary_OpRoomCases] All Operating Room Cases</t>
  </si>
  <si>
    <t xml:space="preserve">    All Operating Room Cases</t>
  </si>
  <si>
    <t xml:space="preserve">    [Util_Ancillary_ERVisits] Emergency Room Visits</t>
  </si>
  <si>
    <t xml:space="preserve">    Emergency Room Visits</t>
  </si>
  <si>
    <t>Cat Scan</t>
  </si>
  <si>
    <t>[UnitofMeasure.Procedures] Procedures</t>
  </si>
  <si>
    <t xml:space="preserve">    Cat Scan Procedures</t>
  </si>
  <si>
    <t>Magnetic Resonance Image</t>
  </si>
  <si>
    <t>[UnitofMeasure.Exams] Exams</t>
  </si>
  <si>
    <t xml:space="preserve">    Magnetic Resonance Image Exams</t>
  </si>
  <si>
    <t>Nuclear Medicine</t>
  </si>
  <si>
    <t xml:space="preserve">    Nuclear Medicine Procedures</t>
  </si>
  <si>
    <t>Radiology - Diagnostic</t>
  </si>
  <si>
    <t xml:space="preserve">    Radiology - Diagnostic Procedures</t>
  </si>
  <si>
    <t>Laboratory</t>
  </si>
  <si>
    <t>[UnitofMeasure.Tests] Tests</t>
  </si>
  <si>
    <t xml:space="preserve">    Laboratory Tests</t>
  </si>
  <si>
    <t xml:space="preserve">  Adjusted Statistics</t>
  </si>
  <si>
    <t xml:space="preserve">    [Util_AdjStat_AdjAdmissions_monthly] Adjusted Admissions-monthly only</t>
  </si>
  <si>
    <t xml:space="preserve">    Adjusted Admissions</t>
  </si>
  <si>
    <t xml:space="preserve">    [Util_AdjStat_AdjDays_monthly] Adjusted Days-monthly only</t>
  </si>
  <si>
    <t xml:space="preserve">    Adjusted Days</t>
  </si>
  <si>
    <t>UTILIZATION PROJECTIONS</t>
  </si>
  <si>
    <t>Department (Rollup)</t>
  </si>
  <si>
    <t>[StaffFTE.FT_Equiv] FT Equivalents (Heads)</t>
  </si>
  <si>
    <t>Physician FTEs</t>
  </si>
  <si>
    <t>PHYSICIAN FTEs</t>
  </si>
  <si>
    <t>Travelers</t>
  </si>
  <si>
    <t>TRAVELERS</t>
  </si>
  <si>
    <t>Residents &amp; Fellows</t>
  </si>
  <si>
    <t>MLPs</t>
  </si>
  <si>
    <t>Non-MD FTEs (Rollup)</t>
  </si>
  <si>
    <t>Non-MD FTEs</t>
  </si>
  <si>
    <t>TOTAL NON-MD FTEs</t>
  </si>
  <si>
    <t>Inpatient Routine Services</t>
  </si>
  <si>
    <t>Revenue ($)</t>
  </si>
  <si>
    <t>Total Inpatient Routine Services Per Adaptive</t>
  </si>
  <si>
    <t>Outpatient Routine Services</t>
  </si>
  <si>
    <t>Total Outpatient Routine Services Per Adaptive</t>
  </si>
  <si>
    <t>Physician Office Practice Services</t>
  </si>
  <si>
    <t>Total Physician Office Practice Services Per Adaptive</t>
  </si>
  <si>
    <t>Inpatient Ancillary Services</t>
  </si>
  <si>
    <t>Total Inpatient Ancillary Services Per Adaptive</t>
  </si>
  <si>
    <t>Outpatient Ancillary Services</t>
  </si>
  <si>
    <t>Total Outpatient Ancillary Services Per Adaptive</t>
  </si>
  <si>
    <t>SNF ECF Ancillary Services</t>
  </si>
  <si>
    <t>Total SNF ECF Ancillary Services Per Adaptive</t>
  </si>
  <si>
    <t>Chronic Rehab Ancillary Services</t>
  </si>
  <si>
    <t>Total Chronic Rehab Ancillary Services Per Adaptive</t>
  </si>
  <si>
    <t>Swing Ancillary Services</t>
  </si>
  <si>
    <t>Total Swing Ancillary Services Per Adaptive</t>
  </si>
  <si>
    <t>Service Areas (Rollup)</t>
  </si>
  <si>
    <t>Total Patient Care Revenue Per Adaptive</t>
  </si>
  <si>
    <t>Total Inpatient Routine Services - Difference</t>
  </si>
  <si>
    <t>Total Outpatient Routine Services - Difference</t>
  </si>
  <si>
    <t>Total Physician Office Practice Services - Difference</t>
  </si>
  <si>
    <t>Total Inpatient Ancillary Services - Difference</t>
  </si>
  <si>
    <t>Total Outpatient Ancillary Services - Difference</t>
  </si>
  <si>
    <t>Total SNF ECF Ancillary Services - Difference</t>
  </si>
  <si>
    <t>Total Chronic Rehab Ancillary Services - Difference</t>
  </si>
  <si>
    <t>Total Swing Ancillary Services - Difference</t>
  </si>
  <si>
    <t>Total Patient Care Revenue - Difference</t>
  </si>
  <si>
    <t>Total Ancillary Services vs Ancillary Services In File</t>
  </si>
  <si>
    <t>BENCHMARK LOOKUP COLUMN</t>
  </si>
  <si>
    <t>LEVEL LOOKUP COLUMN</t>
  </si>
  <si>
    <t>Key Indicators</t>
  </si>
  <si>
    <t>Ingenix/Optimum Almanac of Hospital Indicators (2013 data)</t>
  </si>
  <si>
    <t>Northeast CAH</t>
  </si>
  <si>
    <t>Other Non-Profit</t>
  </si>
  <si>
    <t>100 - 199 Beds</t>
  </si>
  <si>
    <t>All Teaching</t>
  </si>
  <si>
    <t>Greater than 400 Beds</t>
  </si>
  <si>
    <t>Liquidity</t>
  </si>
  <si>
    <t>[Days_Cash_on_Hand] Days Cash on Hand</t>
  </si>
  <si>
    <t>[Days_Cash_on_Hand_Metric] Days Cash on Hand</t>
  </si>
  <si>
    <t>Days Cash on Hand</t>
  </si>
  <si>
    <t>[Operating_Margin_pct] Operating Margin %</t>
  </si>
  <si>
    <t>[Operating_Margin_pct_Metric] Operating Margin %</t>
  </si>
  <si>
    <t>Debt</t>
  </si>
  <si>
    <t>[Long_Term_Debt_to_Capization] Long Term Debt to Capitalization</t>
  </si>
  <si>
    <t>[Long_Term_Debt_Cap_Metric] Long Term Debt to Capitalization</t>
  </si>
  <si>
    <t>Long Term Debt to Capitalization</t>
  </si>
  <si>
    <t>[Age_of_Plant] Age of Plant</t>
  </si>
  <si>
    <t>[Age_of_Plant_Metric] Age of Plant</t>
  </si>
  <si>
    <t>Age of Plant</t>
  </si>
  <si>
    <t>[Cap_Expenditures_to_Depreciation] Capital Expenditures to Depreciation</t>
  </si>
  <si>
    <t>[Cap_Expenditures_to_Depreciation_Metric] Capital Expenditures to Depreciation</t>
  </si>
  <si>
    <t>Capital Expenditures to Depreciation</t>
  </si>
  <si>
    <t>N/A</t>
  </si>
  <si>
    <t>Utilization</t>
  </si>
  <si>
    <t>[Util_Outpatient_OutpatientVisits] All Outpatient Visits</t>
  </si>
  <si>
    <t>All Outpatient Visits</t>
  </si>
  <si>
    <t>[Util_Outpatient_PhysOfficeVisits] Physician Office Visits</t>
  </si>
  <si>
    <t>Physician Office Visits</t>
  </si>
  <si>
    <t>Clinics</t>
  </si>
  <si>
    <t>Clinic Visits</t>
  </si>
  <si>
    <t>[Adj_Admits_Metric] Adjusted Admissions</t>
  </si>
  <si>
    <t>Adjusted Admissions</t>
  </si>
  <si>
    <t>Acute Admissions</t>
  </si>
  <si>
    <t>Total Admissions</t>
  </si>
  <si>
    <t>Cost</t>
  </si>
  <si>
    <t>[Cap_Cost_pct_of_Total_Expense] Capital Cost % of Total Expense</t>
  </si>
  <si>
    <t>[Cap_Cost_pct_of_Total_Expense_Metric] Capital Cost % of Total Expense</t>
  </si>
  <si>
    <t>Capital Cost % of Total Expense</t>
  </si>
  <si>
    <t>[Cost_per_Adj_Admits] Cost per Adjusted Admission</t>
  </si>
  <si>
    <t>[Cost_per_Adj_Admits_Metric] Cost per Adjusted Admission</t>
  </si>
  <si>
    <t>Cost per Adjusted Admission</t>
  </si>
  <si>
    <t>Cost Per Adjusted Admissions Increase</t>
  </si>
  <si>
    <t>Employed</t>
  </si>
  <si>
    <t>Productivity</t>
  </si>
  <si>
    <t>[FTEs_per_100_Adj_Discharges] FTEs per 100 Adj Discharges</t>
  </si>
  <si>
    <t>[FTEs_per_100_Adj_Discharges_Metric] FTEs per 100 Adj Discharges</t>
  </si>
  <si>
    <t>FTEs per 100 Adj Discharges</t>
  </si>
  <si>
    <t>[OH_Exp_w_fringe_pct_of_TTL_OPEX] Overhead Expense w/ fringe, as a % of Total Operating Exp</t>
  </si>
  <si>
    <t>[OH_Exp_w_fringe_pct_of_TTL_OPEX_Metric] Overhead Expense w/ fringe, as a % of Total Operating Exp</t>
  </si>
  <si>
    <t>Overhead Expense w/ fringe, as a % of Total Operating Exp</t>
  </si>
  <si>
    <t>[Bad_Debt_pct] Bad Debt %</t>
  </si>
  <si>
    <t>[Bad_Debt_pct_Metric] Bad Debt %</t>
  </si>
  <si>
    <t>Bad Debt % of Gross Revenue</t>
  </si>
  <si>
    <t>[Free_Care_pct] Free Care %</t>
  </si>
  <si>
    <t>[Free_Care_pct_Metric] Free Care %</t>
  </si>
  <si>
    <t>Free Care % of Gross Revenue</t>
  </si>
  <si>
    <t>PAYER REVENUE REPORT-Table 6</t>
  </si>
  <si>
    <t>UTILIZATION PROJECTIONS--TABLE 7</t>
  </si>
  <si>
    <t xml:space="preserve"> CASH FLOWS-Table 5</t>
  </si>
  <si>
    <t>Balance Sheet-Table 4</t>
  </si>
  <si>
    <t>INCOME STATEMENT- Table 3</t>
  </si>
  <si>
    <t xml:space="preserve"> STAFFING REPORT- Table 8</t>
  </si>
  <si>
    <t>BRATTLEBORO MEMORIAL HOSPITAL</t>
  </si>
  <si>
    <t>Actual</t>
  </si>
  <si>
    <t>Budget</t>
  </si>
  <si>
    <t>Actual 2013</t>
  </si>
  <si>
    <t>Actual 2014</t>
  </si>
  <si>
    <t>Budget 2015</t>
  </si>
  <si>
    <t>Actual 2015</t>
  </si>
  <si>
    <t>Budget 2016</t>
  </si>
  <si>
    <t>PL</t>
  </si>
  <si>
    <t>Cashflow</t>
  </si>
  <si>
    <t>BalSht</t>
  </si>
  <si>
    <t>Payer</t>
  </si>
  <si>
    <t>Util_Statistics</t>
  </si>
  <si>
    <t>Staff</t>
  </si>
  <si>
    <t>Stats</t>
  </si>
  <si>
    <t>Assumptions</t>
  </si>
  <si>
    <t>Table 3</t>
  </si>
  <si>
    <t>Table 4</t>
  </si>
  <si>
    <t>Table 5</t>
  </si>
  <si>
    <t>Table 6</t>
  </si>
  <si>
    <t>Table 7</t>
  </si>
  <si>
    <t>Table 8</t>
  </si>
  <si>
    <t>Table 9</t>
  </si>
  <si>
    <t>Debt financing arrangement, sources &amp; uses of funds</t>
  </si>
  <si>
    <t>Project costs</t>
  </si>
  <si>
    <t>Sheet name</t>
  </si>
  <si>
    <t>Description</t>
  </si>
  <si>
    <t>What are your assumptions for each financial table?</t>
  </si>
  <si>
    <t xml:space="preserve">This file replaces the old Certificate of Need Tables </t>
  </si>
  <si>
    <t>You will find a worksheet for each of the following:</t>
  </si>
  <si>
    <t>We have used the data submitted in the Adaptive Insights software.</t>
  </si>
  <si>
    <t>Lori L Perry, CMA</t>
  </si>
  <si>
    <t>Senior Financial Policy Analyst</t>
  </si>
  <si>
    <t>Green Mountain Care Board</t>
  </si>
  <si>
    <t>89 Main Street</t>
  </si>
  <si>
    <t>Montpelier, VT 05620 - 3101</t>
  </si>
  <si>
    <t>phone: 802 828-6971</t>
  </si>
  <si>
    <t>New e-mail: Lori.Perry@vermont.gov</t>
  </si>
  <si>
    <t>GMCB website: http://gmcboard.vermont.gov/</t>
  </si>
  <si>
    <t>Let me know of any issues or concerns.</t>
  </si>
  <si>
    <t>sections: without project, project only, and with project</t>
  </si>
  <si>
    <t>GMCB staff have filled out each table section labeled "without project" for your convenience.</t>
  </si>
  <si>
    <t>Modernization Project</t>
  </si>
  <si>
    <t>Proposed Yr 4</t>
  </si>
  <si>
    <t>without project</t>
  </si>
  <si>
    <t>with project</t>
  </si>
  <si>
    <t>Proposed</t>
  </si>
  <si>
    <t>Year 1</t>
  </si>
  <si>
    <t>Year 2</t>
  </si>
  <si>
    <t>Year 3</t>
  </si>
  <si>
    <t>Profitability</t>
  </si>
  <si>
    <t>Operating margin</t>
  </si>
  <si>
    <t>Operating cash flow margin</t>
  </si>
  <si>
    <t>Total margin</t>
  </si>
  <si>
    <t>Days cash &amp; unrestricted investments</t>
  </si>
  <si>
    <t>Net AR days</t>
  </si>
  <si>
    <t>Capital structure</t>
  </si>
  <si>
    <t>Long term debt to capitalization</t>
  </si>
  <si>
    <t>Current debt service coverage</t>
  </si>
  <si>
    <t>Year 4</t>
  </si>
  <si>
    <t>Proposed Year 4</t>
  </si>
  <si>
    <t>Commercial &amp; Other</t>
  </si>
  <si>
    <t>net to  gross</t>
  </si>
  <si>
    <t>net to gross</t>
  </si>
  <si>
    <t>cf verfied</t>
  </si>
  <si>
    <t>We have assumed financing with a term of 25 years and a 2.5% interest rate. We are pursuing new Market tax credits as an alternative financing mechanism. We will finance the remiander of the project with equity drawning our cash balances down.  The Ron Read bequest represents over $6 million of this equity contribution.</t>
  </si>
  <si>
    <t>from lotus model</t>
  </si>
  <si>
    <t>The starting point for all projections are he FY2017 budget.</t>
  </si>
  <si>
    <t>Baseline volume was projected to remain close the FY2017 budget with only minor  (1% annually)  increases in primary care volume.</t>
  </si>
  <si>
    <t>When the project is complete an onetime 1% increase in physician and surgical volume is factored into the volume statistics.</t>
  </si>
  <si>
    <t>Calculated - note that running cash flow reports on budget fields results in unreliable numbers as the budget was based on projections not in this model.</t>
  </si>
  <si>
    <t>Cash &amp;  unrestricted investments to Long Term debt</t>
  </si>
  <si>
    <t>Payor mix is assumed to remain stable at the ratios set in the FY2017 budget.</t>
  </si>
  <si>
    <t>Medicare reimbursement rate is projected to increase 3.5% each year during the FY2018 - 2020 period</t>
  </si>
  <si>
    <t>% total GPSR</t>
  </si>
  <si>
    <t>Construction costs are based on Construction Manager estimates.  BMH projectred to begin construction on 6/02/2017 and complete the project by 12/31/2018. Cost estimates include a 4% rate of inflation and a 5% construction contingency, a 10% owners contingency.</t>
  </si>
  <si>
    <t xml:space="preserve">    Physician Office Visits (RVUs Total)</t>
  </si>
  <si>
    <t>Budget 2017</t>
  </si>
  <si>
    <t>actual 2016</t>
  </si>
  <si>
    <t>projected 2018</t>
  </si>
  <si>
    <t>projected 2019</t>
  </si>
  <si>
    <t>projected 2020</t>
  </si>
  <si>
    <t>actual 2014</t>
  </si>
  <si>
    <t>actual 2015</t>
  </si>
  <si>
    <t>With Project</t>
  </si>
  <si>
    <t>Without Project</t>
  </si>
  <si>
    <t>projected 2017</t>
  </si>
  <si>
    <t>Note: Mid-Level Providers and Residents are still included in Non-MD Employees</t>
  </si>
  <si>
    <t>Other reimbursement is expect to remain at the same % of revenue as the FY2017 Budget.</t>
  </si>
  <si>
    <t>Stable staffing is assumed across all projected years. In 2019 we added 2.0 FTEs to Environmental services to manage the additional square footage.</t>
  </si>
  <si>
    <t>New debt in FY17</t>
  </si>
  <si>
    <t>% change from py budget</t>
  </si>
  <si>
    <t>% change from Budget</t>
  </si>
  <si>
    <t>% change from PY Projected</t>
  </si>
  <si>
    <t>% change from py Projection</t>
  </si>
  <si>
    <t>% change from py Actual</t>
  </si>
  <si>
    <t>Change in Net Patient Service Revenue</t>
  </si>
  <si>
    <t>checked</t>
  </si>
  <si>
    <t>Medicaid reimbursement rate is projected to increase 0.5% each year during the FY2018 - 2020 period</t>
  </si>
  <si>
    <t>Bad Debt &amp; Free Care are expected to moderate to 4.5% , down from the 5,1% in FY2017 Budget..</t>
  </si>
  <si>
    <t>ASSUMPTIONS</t>
  </si>
  <si>
    <t>MOR Ratios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</si>
</sst>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0.0%"/>
    <numFmt numFmtId="167" formatCode="_(&quot;$&quot;* #,##0_);_(&quot;$&quot;* \(#,##0\);_(&quot;$&quot;* &quot;-&quot;??_);_(@_)"/>
    <numFmt numFmtId="168" formatCode="mmm\ yyyy"/>
    <numFmt numFmtId="169" formatCode="[=0]#,##0.00;#,##0.00"/>
    <numFmt numFmtId="170" formatCode="_(* #,##0.0_);_(* \(#,##0.0\);_(* &quot;-&quot;??_);_(@_)"/>
    <numFmt numFmtId="171" formatCode="[=0]#,##0.0;#,##0.0"/>
    <numFmt numFmtId="172" formatCode="[=0]#,##0.0%;#,##0.0%"/>
    <numFmt numFmtId="173" formatCode="&quot;$&quot;#,##0"/>
    <numFmt numFmtId="174" formatCode="#,##0.0"/>
    <numFmt numFmtId="175" formatCode="_(* #,##0.0_);_(* \(#,##0.0\);_(* &quot;-&quot;?_);_(@_)"/>
  </numFmts>
  <fonts count="50" x14ac:knownFonts="1">
    <font>
      <sz val="10"/>
      <name val="Arial"/>
    </font>
    <font>
      <b/>
      <sz val="10"/>
      <name val="Arial"/>
      <family val="2"/>
    </font>
    <font>
      <sz val="10"/>
      <name val="Arial"/>
      <family val="2"/>
    </font>
    <font>
      <b/>
      <sz val="12"/>
      <name val="Arial"/>
      <family val="2"/>
    </font>
    <font>
      <b/>
      <sz val="11"/>
      <name val="Arial"/>
      <family val="2"/>
    </font>
    <font>
      <sz val="14"/>
      <name val="Arial"/>
      <family val="2"/>
    </font>
    <font>
      <b/>
      <sz val="18"/>
      <name val="Arial"/>
      <family val="2"/>
    </font>
    <font>
      <i/>
      <sz val="10"/>
      <name val="Arial"/>
      <family val="2"/>
    </font>
    <font>
      <b/>
      <i/>
      <sz val="14"/>
      <name val="Arial"/>
      <family val="2"/>
    </font>
    <font>
      <sz val="10"/>
      <name val="Arial"/>
      <family val="2"/>
    </font>
    <font>
      <b/>
      <sz val="14"/>
      <name val="Arial"/>
      <family val="2"/>
    </font>
    <font>
      <sz val="12"/>
      <name val="Arial"/>
      <family val="2"/>
    </font>
    <font>
      <sz val="11"/>
      <name val="Arial"/>
      <family val="2"/>
    </font>
    <font>
      <sz val="12"/>
      <color indexed="12"/>
      <name val="Arial"/>
      <family val="2"/>
    </font>
    <font>
      <sz val="10"/>
      <color indexed="12"/>
      <name val="Arial"/>
      <family val="2"/>
    </font>
    <font>
      <u/>
      <sz val="10"/>
      <name val="Arial"/>
      <family val="2"/>
    </font>
    <font>
      <sz val="9"/>
      <name val="Arial"/>
      <family val="2"/>
    </font>
    <font>
      <sz val="10"/>
      <name val="Arial"/>
      <family val="2"/>
    </font>
    <font>
      <sz val="20"/>
      <name val="Arial"/>
      <family val="2"/>
    </font>
    <font>
      <b/>
      <sz val="16"/>
      <name val="Arial"/>
      <family val="2"/>
    </font>
    <font>
      <b/>
      <u/>
      <sz val="10"/>
      <name val="Arial"/>
      <family val="2"/>
    </font>
    <font>
      <b/>
      <sz val="20"/>
      <name val="Arial"/>
      <family val="2"/>
    </font>
    <font>
      <b/>
      <i/>
      <sz val="18"/>
      <name val="Arial"/>
      <family val="2"/>
    </font>
    <font>
      <sz val="11"/>
      <color rgb="FFFF0000"/>
      <name val="Arial"/>
      <family val="2"/>
    </font>
    <font>
      <sz val="10"/>
      <color rgb="FFFF0000"/>
      <name val="Arial"/>
      <family val="2"/>
    </font>
    <font>
      <b/>
      <sz val="12"/>
      <color rgb="FFFF0000"/>
      <name val="Arial"/>
      <family val="2"/>
    </font>
    <font>
      <b/>
      <sz val="11"/>
      <color rgb="FFFF0000"/>
      <name val="Arial"/>
      <family val="2"/>
    </font>
    <font>
      <sz val="9"/>
      <color rgb="FFFF0000"/>
      <name val="Arial"/>
      <family val="2"/>
    </font>
    <font>
      <i/>
      <sz val="14"/>
      <name val="Arial"/>
      <family val="2"/>
    </font>
    <font>
      <b/>
      <sz val="11"/>
      <name val="Calibri"/>
      <family val="2"/>
    </font>
    <font>
      <b/>
      <i/>
      <sz val="12"/>
      <name val="Arial"/>
      <family val="2"/>
    </font>
    <font>
      <sz val="10"/>
      <name val="Calibri"/>
      <family val="2"/>
      <scheme val="minor"/>
    </font>
    <font>
      <sz val="18"/>
      <name val="Calibri"/>
      <family val="2"/>
      <scheme val="minor"/>
    </font>
    <font>
      <b/>
      <sz val="14"/>
      <name val="Calibri"/>
      <family val="2"/>
      <scheme val="minor"/>
    </font>
    <font>
      <sz val="12"/>
      <name val="Calibri"/>
      <family val="2"/>
      <scheme val="minor"/>
    </font>
    <font>
      <b/>
      <sz val="12"/>
      <name val="Calibri"/>
      <family val="2"/>
      <scheme val="minor"/>
    </font>
    <font>
      <sz val="8"/>
      <color indexed="8"/>
      <name val="Calibri"/>
      <family val="2"/>
    </font>
    <font>
      <sz val="14"/>
      <name val="Calibri"/>
      <family val="2"/>
      <scheme val="minor"/>
    </font>
    <font>
      <sz val="14"/>
      <color indexed="8"/>
      <name val="Calibri"/>
      <family val="2"/>
      <scheme val="minor"/>
    </font>
    <font>
      <sz val="11"/>
      <name val="Calibri"/>
      <family val="2"/>
    </font>
    <font>
      <sz val="9"/>
      <color rgb="FF000000"/>
      <name val="Times New Roman"/>
      <family val="1"/>
    </font>
    <font>
      <i/>
      <sz val="9"/>
      <color rgb="FF000000"/>
      <name val="Times New Roman"/>
      <family val="1"/>
    </font>
    <font>
      <b/>
      <sz val="9"/>
      <color rgb="FF000000"/>
      <name val="Times New Roman"/>
      <family val="1"/>
    </font>
    <font>
      <u/>
      <sz val="10"/>
      <color theme="10"/>
      <name val="Arial"/>
      <family val="2"/>
    </font>
    <font>
      <sz val="11"/>
      <color rgb="FF000000"/>
      <name val="Times New Roman"/>
      <family val="1"/>
    </font>
    <font>
      <sz val="10"/>
      <name val="Book Antiqua"/>
      <family val="1"/>
    </font>
    <font>
      <b/>
      <sz val="10"/>
      <name val="Calibri"/>
      <family val="2"/>
      <scheme val="minor"/>
    </font>
    <font>
      <sz val="12"/>
      <name val="Times New Roman"/>
      <family val="1"/>
    </font>
    <font>
      <sz val="12"/>
      <name val="Symbol"/>
      <family val="1"/>
      <charset val="2"/>
    </font>
    <font>
      <u/>
      <sz val="12"/>
      <name val="Times New Roman"/>
      <family val="1"/>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CC"/>
        <bgColor indexed="64"/>
      </patternFill>
    </fill>
  </fills>
  <borders count="50">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bottom style="double">
        <color indexed="64"/>
      </bottom>
      <diagonal/>
    </border>
    <border>
      <left/>
      <right/>
      <top style="double">
        <color indexed="64"/>
      </top>
      <bottom/>
      <diagonal/>
    </border>
    <border>
      <left/>
      <right style="medium">
        <color indexed="64"/>
      </right>
      <top style="thin">
        <color indexed="64"/>
      </top>
      <bottom/>
      <diagonal/>
    </border>
  </borders>
  <cellStyleXfs count="13">
    <xf numFmtId="0" fontId="0" fillId="0" borderId="0"/>
    <xf numFmtId="43" fontId="2" fillId="0" borderId="0" applyFont="0" applyFill="0" applyBorder="0" applyAlignment="0" applyProtection="0"/>
    <xf numFmtId="9" fontId="9" fillId="0" borderId="0" applyFont="0" applyFill="0" applyBorder="0" applyAlignment="0" applyProtection="0"/>
    <xf numFmtId="0" fontId="11" fillId="0" borderId="0"/>
    <xf numFmtId="44"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0" fontId="2" fillId="0" borderId="0"/>
    <xf numFmtId="43" fontId="17" fillId="0" borderId="0" applyFont="0" applyFill="0" applyBorder="0" applyAlignment="0" applyProtection="0"/>
    <xf numFmtId="0" fontId="2" fillId="0" borderId="0"/>
    <xf numFmtId="0" fontId="2" fillId="0" borderId="0"/>
    <xf numFmtId="0" fontId="2" fillId="0" borderId="0"/>
    <xf numFmtId="0" fontId="43" fillId="0" borderId="0" applyNumberFormat="0" applyFill="0" applyBorder="0" applyAlignment="0" applyProtection="0"/>
  </cellStyleXfs>
  <cellXfs count="737">
    <xf numFmtId="0" fontId="0" fillId="0" borderId="0" xfId="0"/>
    <xf numFmtId="164" fontId="0" fillId="0" borderId="0" xfId="0" applyNumberFormat="1" applyFont="1"/>
    <xf numFmtId="0" fontId="0" fillId="2" borderId="0" xfId="0" applyFill="1"/>
    <xf numFmtId="0" fontId="1" fillId="2" borderId="0" xfId="0" applyFont="1" applyFill="1"/>
    <xf numFmtId="165" fontId="0" fillId="2" borderId="0" xfId="1" applyNumberFormat="1"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xf numFmtId="165" fontId="0" fillId="2" borderId="0" xfId="1" applyNumberFormat="1" applyFont="1" applyFill="1" applyBorder="1"/>
    <xf numFmtId="0" fontId="0" fillId="0" borderId="0" xfId="0"/>
    <xf numFmtId="0" fontId="0" fillId="0" borderId="0" xfId="0" applyBorder="1"/>
    <xf numFmtId="0" fontId="0" fillId="3" borderId="0" xfId="0" applyFill="1"/>
    <xf numFmtId="165" fontId="0" fillId="3" borderId="0" xfId="1" applyNumberFormat="1" applyFont="1" applyFill="1"/>
    <xf numFmtId="0" fontId="0" fillId="3" borderId="0" xfId="0" applyFill="1" applyBorder="1"/>
    <xf numFmtId="0" fontId="1" fillId="2" borderId="0" xfId="0" applyFont="1" applyFill="1" applyBorder="1" applyAlignment="1">
      <alignment wrapText="1"/>
    </xf>
    <xf numFmtId="0" fontId="0" fillId="0" borderId="0" xfId="0" applyFill="1" applyBorder="1"/>
    <xf numFmtId="0" fontId="6" fillId="2" borderId="0" xfId="0" applyFont="1" applyFill="1" applyBorder="1" applyAlignment="1">
      <alignment horizontal="center"/>
    </xf>
    <xf numFmtId="0" fontId="0" fillId="2" borderId="13" xfId="0" applyFill="1" applyBorder="1"/>
    <xf numFmtId="165" fontId="0" fillId="2" borderId="14" xfId="1" applyNumberFormat="1" applyFont="1" applyFill="1" applyBorder="1"/>
    <xf numFmtId="0" fontId="0" fillId="2" borderId="14" xfId="0" applyFill="1" applyBorder="1"/>
    <xf numFmtId="0" fontId="0" fillId="2" borderId="5" xfId="0" applyFill="1" applyBorder="1"/>
    <xf numFmtId="165" fontId="0" fillId="2" borderId="6" xfId="1" applyNumberFormat="1" applyFont="1" applyFill="1" applyBorder="1"/>
    <xf numFmtId="0" fontId="0" fillId="2" borderId="6" xfId="0" applyFill="1" applyBorder="1"/>
    <xf numFmtId="0" fontId="0" fillId="2" borderId="7" xfId="0" applyFill="1" applyBorder="1"/>
    <xf numFmtId="0" fontId="7" fillId="2" borderId="0" xfId="0" applyFont="1" applyFill="1" applyBorder="1"/>
    <xf numFmtId="0" fontId="6" fillId="2" borderId="0" xfId="0" applyFont="1" applyFill="1" applyBorder="1" applyAlignment="1">
      <alignment horizontal="center"/>
    </xf>
    <xf numFmtId="0" fontId="0" fillId="0" borderId="0" xfId="0"/>
    <xf numFmtId="0" fontId="0" fillId="0" borderId="0" xfId="0" applyFill="1"/>
    <xf numFmtId="166" fontId="0" fillId="2" borderId="0" xfId="2" applyNumberFormat="1" applyFont="1" applyFill="1" applyBorder="1"/>
    <xf numFmtId="0" fontId="1" fillId="0" borderId="0" xfId="0" applyFont="1"/>
    <xf numFmtId="0" fontId="0" fillId="0" borderId="0" xfId="0"/>
    <xf numFmtId="0" fontId="1" fillId="0" borderId="0" xfId="0" applyFont="1" applyFill="1"/>
    <xf numFmtId="0" fontId="2" fillId="2" borderId="0" xfId="0" applyFont="1" applyFill="1"/>
    <xf numFmtId="0" fontId="2" fillId="2" borderId="0" xfId="0" applyFont="1" applyFill="1" applyBorder="1"/>
    <xf numFmtId="166" fontId="2" fillId="2" borderId="0" xfId="2" applyNumberFormat="1" applyFont="1" applyFill="1" applyBorder="1"/>
    <xf numFmtId="165" fontId="3" fillId="2" borderId="0" xfId="1" applyNumberFormat="1" applyFont="1" applyFill="1" applyBorder="1" applyAlignment="1">
      <alignment horizontal="center"/>
    </xf>
    <xf numFmtId="0" fontId="0" fillId="0" borderId="0" xfId="0"/>
    <xf numFmtId="0" fontId="11" fillId="2" borderId="4" xfId="0" applyFont="1" applyFill="1" applyBorder="1"/>
    <xf numFmtId="0" fontId="3" fillId="2" borderId="0" xfId="0" applyFont="1" applyFill="1" applyBorder="1" applyAlignment="1">
      <alignment horizontal="center"/>
    </xf>
    <xf numFmtId="0" fontId="3" fillId="2" borderId="0" xfId="0" applyFont="1" applyFill="1" applyBorder="1" applyAlignment="1">
      <alignment wrapText="1"/>
    </xf>
    <xf numFmtId="0" fontId="3" fillId="2" borderId="8" xfId="0" applyFont="1" applyFill="1" applyBorder="1" applyAlignment="1">
      <alignment wrapText="1"/>
    </xf>
    <xf numFmtId="165" fontId="3" fillId="2" borderId="0" xfId="1" quotePrefix="1" applyNumberFormat="1" applyFont="1" applyFill="1" applyBorder="1" applyAlignment="1">
      <alignment horizontal="center" wrapText="1"/>
    </xf>
    <xf numFmtId="0" fontId="3" fillId="4" borderId="0" xfId="0" applyFont="1" applyFill="1" applyBorder="1" applyAlignment="1">
      <alignment horizontal="center"/>
    </xf>
    <xf numFmtId="0" fontId="11" fillId="0" borderId="4" xfId="0" applyFont="1" applyFill="1" applyBorder="1"/>
    <xf numFmtId="165" fontId="3" fillId="0" borderId="0" xfId="1" applyNumberFormat="1" applyFont="1" applyFill="1" applyBorder="1" applyAlignment="1">
      <alignment horizontal="center"/>
    </xf>
    <xf numFmtId="165" fontId="3" fillId="0" borderId="0" xfId="1" quotePrefix="1"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quotePrefix="1" applyFont="1" applyFill="1" applyBorder="1" applyAlignment="1">
      <alignment horizontal="center" wrapText="1"/>
    </xf>
    <xf numFmtId="0" fontId="3" fillId="2" borderId="4" xfId="0" applyFont="1" applyFill="1" applyBorder="1"/>
    <xf numFmtId="165" fontId="11" fillId="2" borderId="0" xfId="1" applyNumberFormat="1" applyFont="1" applyFill="1" applyBorder="1"/>
    <xf numFmtId="0" fontId="11" fillId="2" borderId="0" xfId="0" applyFont="1" applyFill="1" applyBorder="1"/>
    <xf numFmtId="0" fontId="11" fillId="2" borderId="8" xfId="0" applyFont="1" applyFill="1" applyBorder="1"/>
    <xf numFmtId="166" fontId="11" fillId="2" borderId="0" xfId="2" applyNumberFormat="1" applyFont="1" applyFill="1" applyBorder="1"/>
    <xf numFmtId="0" fontId="11" fillId="4" borderId="0" xfId="0" applyFont="1" applyFill="1" applyBorder="1"/>
    <xf numFmtId="165" fontId="11" fillId="2" borderId="2" xfId="1" applyNumberFormat="1" applyFont="1" applyFill="1" applyBorder="1"/>
    <xf numFmtId="0" fontId="11" fillId="2" borderId="9" xfId="0" applyFont="1" applyFill="1" applyBorder="1"/>
    <xf numFmtId="165" fontId="11" fillId="2" borderId="1" xfId="1" applyNumberFormat="1" applyFont="1" applyFill="1" applyBorder="1"/>
    <xf numFmtId="166" fontId="11" fillId="2" borderId="1" xfId="2" applyNumberFormat="1" applyFont="1" applyFill="1" applyBorder="1"/>
    <xf numFmtId="0" fontId="3" fillId="2" borderId="9" xfId="0" applyFont="1" applyFill="1" applyBorder="1"/>
    <xf numFmtId="0" fontId="3" fillId="2" borderId="10" xfId="0" applyFont="1" applyFill="1" applyBorder="1"/>
    <xf numFmtId="166" fontId="11" fillId="2" borderId="2" xfId="2" applyNumberFormat="1" applyFont="1" applyFill="1" applyBorder="1"/>
    <xf numFmtId="0" fontId="3" fillId="3" borderId="12" xfId="0" applyFont="1" applyFill="1" applyBorder="1"/>
    <xf numFmtId="165" fontId="11" fillId="3" borderId="3" xfId="1" applyNumberFormat="1" applyFont="1" applyFill="1" applyBorder="1"/>
    <xf numFmtId="166" fontId="11" fillId="3" borderId="3" xfId="2" applyNumberFormat="1" applyFont="1" applyFill="1" applyBorder="1"/>
    <xf numFmtId="0" fontId="11" fillId="2" borderId="13" xfId="0" applyFont="1" applyFill="1" applyBorder="1"/>
    <xf numFmtId="165" fontId="11" fillId="2" borderId="14" xfId="1" applyNumberFormat="1" applyFont="1" applyFill="1" applyBorder="1"/>
    <xf numFmtId="0" fontId="11" fillId="2" borderId="14" xfId="0" applyFont="1" applyFill="1" applyBorder="1"/>
    <xf numFmtId="0" fontId="11" fillId="2" borderId="15" xfId="0" applyFont="1" applyFill="1" applyBorder="1"/>
    <xf numFmtId="0" fontId="11" fillId="2" borderId="0" xfId="0" applyFont="1" applyFill="1"/>
    <xf numFmtId="165" fontId="11" fillId="2" borderId="0" xfId="1" applyNumberFormat="1" applyFont="1" applyFill="1"/>
    <xf numFmtId="165" fontId="11" fillId="0" borderId="0" xfId="1" applyNumberFormat="1" applyFont="1" applyFill="1" applyBorder="1"/>
    <xf numFmtId="0" fontId="11" fillId="0" borderId="0" xfId="0" applyFont="1" applyFill="1" applyBorder="1"/>
    <xf numFmtId="165" fontId="11" fillId="0" borderId="1" xfId="1" applyNumberFormat="1" applyFont="1" applyFill="1" applyBorder="1"/>
    <xf numFmtId="165" fontId="11" fillId="0" borderId="2" xfId="1" applyNumberFormat="1" applyFont="1" applyFill="1" applyBorder="1"/>
    <xf numFmtId="0" fontId="6" fillId="2" borderId="0" xfId="0" applyFont="1" applyFill="1" applyBorder="1" applyAlignment="1">
      <alignment horizontal="center"/>
    </xf>
    <xf numFmtId="0" fontId="0" fillId="0" borderId="0" xfId="0"/>
    <xf numFmtId="0" fontId="0" fillId="0" borderId="0" xfId="0"/>
    <xf numFmtId="0" fontId="12" fillId="0" borderId="0" xfId="0" applyFont="1"/>
    <xf numFmtId="0" fontId="3" fillId="0" borderId="19" xfId="0" applyFont="1" applyBorder="1"/>
    <xf numFmtId="0" fontId="11" fillId="0" borderId="1" xfId="0" applyFont="1" applyBorder="1"/>
    <xf numFmtId="0" fontId="11" fillId="0" borderId="20" xfId="0" applyFont="1" applyBorder="1"/>
    <xf numFmtId="0" fontId="13" fillId="0" borderId="21" xfId="0" quotePrefix="1" applyFont="1" applyBorder="1" applyAlignment="1">
      <alignment horizontal="right"/>
    </xf>
    <xf numFmtId="0" fontId="13" fillId="0" borderId="0" xfId="0" applyFont="1" applyBorder="1"/>
    <xf numFmtId="0" fontId="11" fillId="0" borderId="0" xfId="0" applyFont="1" applyBorder="1"/>
    <xf numFmtId="167" fontId="13" fillId="5" borderId="22" xfId="4" applyNumberFormat="1" applyFont="1" applyFill="1" applyBorder="1" applyProtection="1">
      <protection locked="0"/>
    </xf>
    <xf numFmtId="6" fontId="13" fillId="5" borderId="22" xfId="4" applyNumberFormat="1" applyFont="1" applyFill="1" applyBorder="1" applyProtection="1">
      <protection locked="0"/>
    </xf>
    <xf numFmtId="41" fontId="13" fillId="5" borderId="22" xfId="4" applyNumberFormat="1" applyFont="1" applyFill="1" applyBorder="1" applyProtection="1">
      <protection locked="0"/>
    </xf>
    <xf numFmtId="41" fontId="13" fillId="5" borderId="23" xfId="4" applyNumberFormat="1" applyFont="1" applyFill="1" applyBorder="1" applyProtection="1">
      <protection locked="0"/>
    </xf>
    <xf numFmtId="0" fontId="11" fillId="0" borderId="21" xfId="0" applyFont="1" applyBorder="1"/>
    <xf numFmtId="0" fontId="11" fillId="0" borderId="0" xfId="0" applyFont="1" applyBorder="1" applyAlignment="1">
      <alignment horizontal="left"/>
    </xf>
    <xf numFmtId="167" fontId="11" fillId="0" borderId="24" xfId="4" applyNumberFormat="1" applyFont="1" applyBorder="1"/>
    <xf numFmtId="0" fontId="11" fillId="0" borderId="22" xfId="0" applyFont="1" applyBorder="1"/>
    <xf numFmtId="0" fontId="3" fillId="0" borderId="21" xfId="0" applyFont="1" applyBorder="1"/>
    <xf numFmtId="0" fontId="11" fillId="0" borderId="21" xfId="0" quotePrefix="1" applyFont="1" applyBorder="1" applyAlignment="1">
      <alignment horizontal="right"/>
    </xf>
    <xf numFmtId="41" fontId="11" fillId="0" borderId="22" xfId="4" applyNumberFormat="1" applyFont="1" applyBorder="1"/>
    <xf numFmtId="5" fontId="0" fillId="0" borderId="0" xfId="1" applyNumberFormat="1" applyFont="1" applyBorder="1" applyAlignment="1">
      <alignment horizontal="center"/>
    </xf>
    <xf numFmtId="167" fontId="3" fillId="0" borderId="25" xfId="0" applyNumberFormat="1" applyFont="1" applyBorder="1"/>
    <xf numFmtId="0" fontId="0" fillId="0" borderId="26" xfId="0" applyBorder="1"/>
    <xf numFmtId="0" fontId="0" fillId="0" borderId="2" xfId="0" applyBorder="1"/>
    <xf numFmtId="0" fontId="0" fillId="0" borderId="23" xfId="0" applyBorder="1"/>
    <xf numFmtId="0" fontId="0" fillId="0" borderId="14" xfId="0" applyBorder="1"/>
    <xf numFmtId="165" fontId="0" fillId="0" borderId="0" xfId="1" applyNumberFormat="1" applyFont="1"/>
    <xf numFmtId="167" fontId="11" fillId="0" borderId="22" xfId="0" applyNumberFormat="1" applyFont="1" applyBorder="1"/>
    <xf numFmtId="167" fontId="11" fillId="0" borderId="24" xfId="0" applyNumberFormat="1" applyFont="1" applyBorder="1"/>
    <xf numFmtId="0" fontId="12" fillId="0" borderId="0" xfId="0" applyFont="1" applyBorder="1"/>
    <xf numFmtId="0" fontId="0" fillId="0" borderId="1" xfId="0" applyBorder="1"/>
    <xf numFmtId="0" fontId="0" fillId="0" borderId="20" xfId="0" applyBorder="1"/>
    <xf numFmtId="0" fontId="1" fillId="0" borderId="21" xfId="0" applyFont="1" applyBorder="1"/>
    <xf numFmtId="0" fontId="0" fillId="0" borderId="22" xfId="0" applyBorder="1"/>
    <xf numFmtId="0" fontId="14" fillId="0" borderId="21" xfId="0" quotePrefix="1" applyFont="1" applyBorder="1" applyAlignment="1">
      <alignment horizontal="right"/>
    </xf>
    <xf numFmtId="0" fontId="14" fillId="0" borderId="0" xfId="0" applyFont="1" applyBorder="1"/>
    <xf numFmtId="0" fontId="14" fillId="5" borderId="0" xfId="0" applyFont="1" applyFill="1" applyBorder="1" applyAlignment="1" applyProtection="1">
      <alignment horizontal="right"/>
      <protection locked="0"/>
    </xf>
    <xf numFmtId="0" fontId="0" fillId="0" borderId="21" xfId="0" applyBorder="1"/>
    <xf numFmtId="0" fontId="14" fillId="0" borderId="0" xfId="0" quotePrefix="1" applyFont="1" applyBorder="1" applyAlignment="1">
      <alignment horizontal="right"/>
    </xf>
    <xf numFmtId="166" fontId="14" fillId="5" borderId="0" xfId="5" applyNumberFormat="1" applyFont="1" applyFill="1" applyBorder="1" applyAlignment="1" applyProtection="1">
      <alignment horizontal="right"/>
      <protection locked="0"/>
    </xf>
    <xf numFmtId="0" fontId="0" fillId="0" borderId="22" xfId="0" applyBorder="1" applyAlignment="1"/>
    <xf numFmtId="168" fontId="14" fillId="5" borderId="0" xfId="0" applyNumberFormat="1" applyFont="1" applyFill="1" applyBorder="1" applyAlignment="1" applyProtection="1">
      <alignment horizontal="right"/>
      <protection locked="0"/>
    </xf>
    <xf numFmtId="0" fontId="0" fillId="0" borderId="0" xfId="0" applyBorder="1" applyAlignment="1">
      <alignment horizontal="center"/>
    </xf>
    <xf numFmtId="168" fontId="14" fillId="5" borderId="0" xfId="0" applyNumberFormat="1" applyFont="1" applyFill="1" applyBorder="1" applyAlignment="1" applyProtection="1">
      <alignment horizontal="left"/>
      <protection locked="0"/>
    </xf>
    <xf numFmtId="42" fontId="14" fillId="5" borderId="22" xfId="4" applyNumberFormat="1" applyFont="1" applyFill="1" applyBorder="1" applyAlignment="1" applyProtection="1">
      <protection locked="0"/>
    </xf>
    <xf numFmtId="41" fontId="14" fillId="5" borderId="22" xfId="4" applyNumberFormat="1" applyFont="1" applyFill="1" applyBorder="1" applyAlignment="1" applyProtection="1">
      <protection locked="0"/>
    </xf>
    <xf numFmtId="41" fontId="14" fillId="0" borderId="22" xfId="4" applyNumberFormat="1" applyFont="1" applyBorder="1" applyAlignment="1"/>
    <xf numFmtId="0" fontId="14" fillId="0" borderId="21" xfId="0" applyFont="1" applyBorder="1" applyAlignment="1">
      <alignment horizontal="right"/>
    </xf>
    <xf numFmtId="0" fontId="14" fillId="0" borderId="0" xfId="0" applyFont="1" applyBorder="1" applyAlignment="1">
      <alignment horizontal="right"/>
    </xf>
    <xf numFmtId="0" fontId="2" fillId="0" borderId="0" xfId="0" applyFont="1" applyBorder="1" applyAlignment="1"/>
    <xf numFmtId="0" fontId="2" fillId="0" borderId="0" xfId="0" applyFont="1" applyBorder="1"/>
    <xf numFmtId="166" fontId="2" fillId="0" borderId="0" xfId="5"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horizontal="center"/>
    </xf>
    <xf numFmtId="41" fontId="14" fillId="5" borderId="23" xfId="4" applyNumberFormat="1" applyFont="1" applyFill="1" applyBorder="1" applyAlignment="1" applyProtection="1">
      <protection locked="0"/>
    </xf>
    <xf numFmtId="42" fontId="1" fillId="0" borderId="25" xfId="4" applyNumberFormat="1" applyFont="1" applyBorder="1" applyAlignment="1"/>
    <xf numFmtId="0" fontId="15" fillId="0" borderId="21" xfId="0" applyFont="1" applyBorder="1"/>
    <xf numFmtId="0" fontId="15" fillId="0" borderId="27" xfId="0" applyFont="1" applyBorder="1" applyAlignment="1">
      <alignment horizontal="center"/>
    </xf>
    <xf numFmtId="0" fontId="0" fillId="0" borderId="21" xfId="0" quotePrefix="1" applyBorder="1" applyAlignment="1">
      <alignment horizontal="right"/>
    </xf>
    <xf numFmtId="167" fontId="0" fillId="0" borderId="22" xfId="4" applyNumberFormat="1" applyFont="1" applyBorder="1" applyAlignment="1">
      <alignment horizontal="right"/>
    </xf>
    <xf numFmtId="5" fontId="0" fillId="0" borderId="28" xfId="0" applyNumberFormat="1" applyBorder="1" applyAlignment="1">
      <alignment horizontal="center"/>
    </xf>
    <xf numFmtId="41" fontId="0" fillId="0" borderId="22" xfId="4" applyNumberFormat="1" applyFont="1" applyBorder="1"/>
    <xf numFmtId="41" fontId="0" fillId="0" borderId="23" xfId="4" applyNumberFormat="1" applyFont="1" applyBorder="1"/>
    <xf numFmtId="0" fontId="0" fillId="0" borderId="28" xfId="0" applyBorder="1"/>
    <xf numFmtId="0" fontId="1" fillId="0" borderId="21" xfId="0" applyFont="1" applyBorder="1" applyAlignment="1"/>
    <xf numFmtId="167" fontId="1" fillId="0" borderId="25" xfId="0" applyNumberFormat="1" applyFont="1" applyBorder="1"/>
    <xf numFmtId="5" fontId="0" fillId="0" borderId="29" xfId="0" applyNumberFormat="1" applyBorder="1" applyAlignment="1">
      <alignment horizontal="center"/>
    </xf>
    <xf numFmtId="0" fontId="16" fillId="0" borderId="0" xfId="0" applyFont="1"/>
    <xf numFmtId="165" fontId="3" fillId="2" borderId="4" xfId="1" applyNumberFormat="1" applyFont="1" applyFill="1" applyBorder="1" applyAlignment="1">
      <alignment horizontal="center"/>
    </xf>
    <xf numFmtId="165" fontId="3" fillId="2" borderId="0" xfId="1" applyNumberFormat="1" applyFont="1" applyFill="1" applyBorder="1" applyAlignment="1">
      <alignment horizontal="center"/>
    </xf>
    <xf numFmtId="165" fontId="3" fillId="2" borderId="8" xfId="1" applyNumberFormat="1" applyFont="1" applyFill="1" applyBorder="1" applyAlignment="1">
      <alignment horizontal="center"/>
    </xf>
    <xf numFmtId="0" fontId="0" fillId="0" borderId="0" xfId="0"/>
    <xf numFmtId="0" fontId="18" fillId="2" borderId="0" xfId="0" applyFont="1" applyFill="1"/>
    <xf numFmtId="0" fontId="18" fillId="0" borderId="0" xfId="0" applyFont="1" applyFill="1" applyBorder="1"/>
    <xf numFmtId="0" fontId="6" fillId="0" borderId="0" xfId="0" applyFont="1" applyFill="1" applyBorder="1" applyAlignment="1">
      <alignment horizontal="center"/>
    </xf>
    <xf numFmtId="0" fontId="2" fillId="0" borderId="0" xfId="0" applyFont="1" applyFill="1" applyBorder="1"/>
    <xf numFmtId="0" fontId="2" fillId="2" borderId="4" xfId="0" applyFont="1" applyFill="1" applyBorder="1"/>
    <xf numFmtId="165" fontId="2" fillId="2" borderId="0" xfId="1" applyNumberFormat="1" applyFont="1" applyFill="1" applyBorder="1"/>
    <xf numFmtId="0" fontId="2" fillId="2" borderId="8" xfId="0" applyFont="1" applyFill="1" applyBorder="1"/>
    <xf numFmtId="165" fontId="3" fillId="2" borderId="0" xfId="1" applyNumberFormat="1" applyFont="1" applyFill="1" applyBorder="1" applyAlignment="1"/>
    <xf numFmtId="0" fontId="2" fillId="0" borderId="0" xfId="0" applyFont="1" applyFill="1"/>
    <xf numFmtId="0" fontId="2" fillId="0" borderId="4" xfId="0" applyFont="1" applyFill="1" applyBorder="1"/>
    <xf numFmtId="165" fontId="1" fillId="0" borderId="0" xfId="1" applyNumberFormat="1" applyFont="1" applyFill="1" applyBorder="1" applyAlignment="1">
      <alignment horizontal="center"/>
    </xf>
    <xf numFmtId="0" fontId="1" fillId="4" borderId="0" xfId="0" applyFont="1" applyFill="1" applyBorder="1" applyAlignment="1">
      <alignment horizontal="center"/>
    </xf>
    <xf numFmtId="0" fontId="2" fillId="0" borderId="0" xfId="0" applyFont="1" applyFill="1" applyAlignment="1">
      <alignment wrapText="1"/>
    </xf>
    <xf numFmtId="0" fontId="1" fillId="0" borderId="0" xfId="0" applyFont="1" applyFill="1" applyAlignment="1">
      <alignment wrapText="1"/>
    </xf>
    <xf numFmtId="0" fontId="2" fillId="0" borderId="4" xfId="0" applyFont="1" applyFill="1" applyBorder="1" applyAlignment="1">
      <alignment wrapText="1"/>
    </xf>
    <xf numFmtId="0" fontId="1" fillId="0" borderId="0" xfId="0" applyFont="1" applyFill="1" applyBorder="1" applyAlignment="1">
      <alignment horizontal="center" wrapText="1"/>
    </xf>
    <xf numFmtId="0" fontId="2" fillId="0" borderId="0" xfId="0" applyFont="1" applyFill="1" applyBorder="1" applyAlignment="1">
      <alignment wrapText="1"/>
    </xf>
    <xf numFmtId="0" fontId="19" fillId="2" borderId="8" xfId="0" applyFont="1" applyFill="1" applyBorder="1" applyAlignment="1">
      <alignment horizontal="center"/>
    </xf>
    <xf numFmtId="166" fontId="0" fillId="2" borderId="0" xfId="6" applyNumberFormat="1" applyFont="1" applyFill="1" applyBorder="1"/>
    <xf numFmtId="0" fontId="2" fillId="0" borderId="8" xfId="0" applyFont="1" applyFill="1" applyBorder="1"/>
    <xf numFmtId="0" fontId="2" fillId="2" borderId="30" xfId="0" applyFont="1" applyFill="1" applyBorder="1"/>
    <xf numFmtId="0" fontId="2" fillId="2" borderId="31" xfId="0" applyFont="1" applyFill="1" applyBorder="1"/>
    <xf numFmtId="165" fontId="2" fillId="2" borderId="30" xfId="1" applyNumberFormat="1" applyFont="1" applyFill="1" applyBorder="1"/>
    <xf numFmtId="166" fontId="0" fillId="2" borderId="30" xfId="6" applyNumberFormat="1" applyFont="1" applyFill="1" applyBorder="1"/>
    <xf numFmtId="0" fontId="1" fillId="3" borderId="33" xfId="0" applyFont="1" applyFill="1" applyBorder="1"/>
    <xf numFmtId="0" fontId="1" fillId="3" borderId="34" xfId="0" applyFont="1" applyFill="1" applyBorder="1"/>
    <xf numFmtId="165" fontId="1" fillId="3" borderId="33" xfId="1" applyNumberFormat="1" applyFont="1" applyFill="1" applyBorder="1"/>
    <xf numFmtId="166" fontId="0" fillId="3" borderId="33" xfId="6" applyNumberFormat="1" applyFont="1" applyFill="1" applyBorder="1"/>
    <xf numFmtId="165" fontId="2" fillId="3" borderId="33" xfId="1" applyNumberFormat="1" applyFont="1" applyFill="1" applyBorder="1"/>
    <xf numFmtId="0" fontId="1" fillId="0" borderId="0" xfId="0" applyFont="1" applyFill="1" applyBorder="1"/>
    <xf numFmtId="0" fontId="2" fillId="6" borderId="33" xfId="0" applyFont="1" applyFill="1" applyBorder="1"/>
    <xf numFmtId="0" fontId="1" fillId="3" borderId="36" xfId="0" applyFont="1" applyFill="1" applyBorder="1"/>
    <xf numFmtId="165" fontId="1" fillId="3" borderId="37" xfId="1" applyNumberFormat="1" applyFont="1" applyFill="1" applyBorder="1"/>
    <xf numFmtId="166" fontId="0" fillId="3" borderId="37" xfId="6" applyNumberFormat="1" applyFont="1" applyFill="1" applyBorder="1"/>
    <xf numFmtId="165" fontId="8" fillId="0" borderId="8" xfId="1" applyNumberFormat="1" applyFont="1" applyFill="1" applyBorder="1" applyAlignment="1">
      <alignment vertical="center"/>
    </xf>
    <xf numFmtId="165" fontId="1" fillId="0" borderId="0" xfId="1" applyNumberFormat="1" applyFont="1" applyFill="1" applyBorder="1" applyAlignment="1">
      <alignment horizontal="center" wrapText="1"/>
    </xf>
    <xf numFmtId="165" fontId="1" fillId="0" borderId="0" xfId="1" applyNumberFormat="1" applyFont="1" applyFill="1" applyBorder="1"/>
    <xf numFmtId="0" fontId="2" fillId="2" borderId="5" xfId="0" applyFont="1" applyFill="1" applyBorder="1"/>
    <xf numFmtId="0" fontId="2" fillId="2" borderId="6" xfId="0" applyFont="1" applyFill="1" applyBorder="1"/>
    <xf numFmtId="165" fontId="1" fillId="0" borderId="8" xfId="1" applyNumberFormat="1" applyFont="1" applyFill="1" applyBorder="1" applyAlignment="1">
      <alignment horizontal="center" wrapText="1"/>
    </xf>
    <xf numFmtId="0" fontId="1" fillId="0" borderId="4" xfId="0" applyFont="1" applyFill="1" applyBorder="1" applyAlignment="1">
      <alignment wrapText="1"/>
    </xf>
    <xf numFmtId="3" fontId="2" fillId="4" borderId="0" xfId="0" applyNumberFormat="1" applyFont="1" applyFill="1" applyBorder="1"/>
    <xf numFmtId="3" fontId="2" fillId="0" borderId="0" xfId="0" applyNumberFormat="1" applyFont="1" applyFill="1" applyBorder="1"/>
    <xf numFmtId="0" fontId="2" fillId="2" borderId="13" xfId="0" applyFont="1" applyFill="1" applyBorder="1"/>
    <xf numFmtId="0" fontId="2" fillId="2" borderId="14" xfId="0" applyFont="1" applyFill="1" applyBorder="1"/>
    <xf numFmtId="165" fontId="2" fillId="2" borderId="14" xfId="1" applyNumberFormat="1" applyFont="1" applyFill="1" applyBorder="1"/>
    <xf numFmtId="3" fontId="2" fillId="0" borderId="14" xfId="0" applyNumberFormat="1" applyFont="1" applyFill="1" applyBorder="1"/>
    <xf numFmtId="0" fontId="2" fillId="6" borderId="3" xfId="0" applyFont="1" applyFill="1" applyBorder="1"/>
    <xf numFmtId="0" fontId="1" fillId="3" borderId="13" xfId="0" applyFont="1" applyFill="1" applyBorder="1"/>
    <xf numFmtId="166" fontId="0" fillId="3" borderId="14" xfId="6" applyNumberFormat="1" applyFont="1" applyFill="1" applyBorder="1"/>
    <xf numFmtId="3" fontId="1" fillId="3" borderId="14" xfId="1" applyNumberFormat="1" applyFont="1" applyFill="1" applyBorder="1"/>
    <xf numFmtId="0" fontId="2" fillId="2" borderId="15" xfId="0" applyFont="1" applyFill="1" applyBorder="1"/>
    <xf numFmtId="165" fontId="2" fillId="2" borderId="0" xfId="1" applyNumberFormat="1" applyFont="1" applyFill="1"/>
    <xf numFmtId="0" fontId="1" fillId="2" borderId="0" xfId="0" applyFont="1" applyFill="1" applyBorder="1"/>
    <xf numFmtId="0" fontId="0" fillId="2" borderId="0" xfId="0" applyFill="1" applyAlignment="1">
      <alignment vertical="center"/>
    </xf>
    <xf numFmtId="0" fontId="0" fillId="2" borderId="0" xfId="0" applyFill="1" applyBorder="1" applyAlignment="1">
      <alignment vertical="center"/>
    </xf>
    <xf numFmtId="0" fontId="0" fillId="0" borderId="0" xfId="0" applyFill="1" applyBorder="1" applyAlignment="1">
      <alignment vertical="center"/>
    </xf>
    <xf numFmtId="0" fontId="3" fillId="4" borderId="21" xfId="0" applyFont="1" applyFill="1" applyBorder="1" applyAlignment="1">
      <alignment horizontal="center"/>
    </xf>
    <xf numFmtId="0" fontId="3" fillId="0" borderId="0" xfId="0" applyFont="1" applyFill="1" applyBorder="1" applyAlignment="1">
      <alignment horizontal="center" wrapText="1"/>
    </xf>
    <xf numFmtId="0" fontId="3" fillId="0" borderId="21" xfId="0" applyFont="1" applyFill="1" applyBorder="1" applyAlignment="1">
      <alignment horizontal="center" wrapText="1"/>
    </xf>
    <xf numFmtId="165" fontId="3" fillId="2" borderId="21" xfId="1" applyNumberFormat="1" applyFont="1" applyFill="1" applyBorder="1" applyAlignment="1">
      <alignment horizontal="center"/>
    </xf>
    <xf numFmtId="0" fontId="1" fillId="0" borderId="30" xfId="0" applyFont="1" applyBorder="1"/>
    <xf numFmtId="0" fontId="1" fillId="2" borderId="30" xfId="0" applyFont="1" applyFill="1" applyBorder="1"/>
    <xf numFmtId="0" fontId="3" fillId="7" borderId="30" xfId="0" applyFont="1" applyFill="1" applyBorder="1"/>
    <xf numFmtId="165" fontId="3" fillId="7" borderId="30" xfId="1" applyNumberFormat="1" applyFont="1" applyFill="1" applyBorder="1"/>
    <xf numFmtId="165" fontId="3" fillId="7" borderId="39" xfId="1" applyNumberFormat="1" applyFont="1" applyFill="1" applyBorder="1"/>
    <xf numFmtId="165" fontId="11" fillId="2" borderId="21" xfId="1" applyNumberFormat="1" applyFont="1" applyFill="1" applyBorder="1"/>
    <xf numFmtId="0" fontId="3" fillId="2" borderId="0" xfId="0" applyFont="1" applyFill="1" applyBorder="1"/>
    <xf numFmtId="0" fontId="0" fillId="2" borderId="30" xfId="0" applyFill="1" applyBorder="1"/>
    <xf numFmtId="165" fontId="11" fillId="7" borderId="39" xfId="1" applyNumberFormat="1" applyFont="1" applyFill="1" applyBorder="1"/>
    <xf numFmtId="165" fontId="11" fillId="7" borderId="30" xfId="1" applyNumberFormat="1" applyFont="1" applyFill="1" applyBorder="1"/>
    <xf numFmtId="165" fontId="3" fillId="2" borderId="0" xfId="1" applyNumberFormat="1" applyFont="1" applyFill="1" applyBorder="1"/>
    <xf numFmtId="165" fontId="3" fillId="2" borderId="21" xfId="1" applyNumberFormat="1" applyFont="1" applyFill="1" applyBorder="1"/>
    <xf numFmtId="0" fontId="1" fillId="2" borderId="33" xfId="0" applyFont="1" applyFill="1" applyBorder="1"/>
    <xf numFmtId="0" fontId="3" fillId="7" borderId="33" xfId="0" applyFont="1" applyFill="1" applyBorder="1"/>
    <xf numFmtId="165" fontId="3" fillId="7" borderId="33" xfId="1" applyNumberFormat="1" applyFont="1" applyFill="1" applyBorder="1"/>
    <xf numFmtId="165" fontId="3" fillId="7" borderId="40" xfId="1" applyNumberFormat="1" applyFont="1" applyFill="1" applyBorder="1"/>
    <xf numFmtId="0" fontId="0" fillId="8" borderId="0" xfId="0" applyFill="1" applyBorder="1"/>
    <xf numFmtId="0" fontId="1" fillId="8" borderId="0" xfId="0" applyFont="1" applyFill="1" applyBorder="1"/>
    <xf numFmtId="165" fontId="0" fillId="8" borderId="0" xfId="1" applyNumberFormat="1" applyFont="1" applyFill="1" applyBorder="1"/>
    <xf numFmtId="0" fontId="20" fillId="2" borderId="0" xfId="0" applyFont="1" applyFill="1" applyBorder="1"/>
    <xf numFmtId="0" fontId="2" fillId="0" borderId="0" xfId="7"/>
    <xf numFmtId="0" fontId="2" fillId="0" borderId="0" xfId="0" applyFont="1"/>
    <xf numFmtId="0" fontId="21"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2" fillId="0" borderId="4" xfId="0" applyFont="1" applyBorder="1"/>
    <xf numFmtId="0" fontId="2" fillId="0" borderId="8" xfId="0" applyFont="1" applyBorder="1"/>
    <xf numFmtId="0" fontId="4" fillId="0" borderId="0" xfId="0" applyNumberFormat="1" applyFont="1" applyBorder="1" applyAlignment="1">
      <alignment horizontal="center"/>
    </xf>
    <xf numFmtId="0" fontId="1" fillId="4" borderId="8" xfId="0" quotePrefix="1" applyFont="1" applyFill="1" applyBorder="1" applyAlignment="1">
      <alignment horizontal="center"/>
    </xf>
    <xf numFmtId="0" fontId="1" fillId="0" borderId="0" xfId="0" quotePrefix="1" applyFont="1" applyFill="1" applyBorder="1" applyAlignment="1">
      <alignment horizontal="center"/>
    </xf>
    <xf numFmtId="0" fontId="1" fillId="4" borderId="0" xfId="0" applyFont="1" applyFill="1" applyBorder="1" applyAlignment="1">
      <alignment wrapText="1"/>
    </xf>
    <xf numFmtId="0" fontId="1" fillId="4" borderId="0" xfId="0" quotePrefix="1" applyFont="1" applyFill="1" applyBorder="1" applyAlignment="1">
      <alignment horizontal="center"/>
    </xf>
    <xf numFmtId="0" fontId="12" fillId="0" borderId="4" xfId="0" applyNumberFormat="1" applyFont="1" applyBorder="1"/>
    <xf numFmtId="164" fontId="12" fillId="0" borderId="0" xfId="0" applyNumberFormat="1" applyFont="1" applyBorder="1"/>
    <xf numFmtId="0" fontId="3" fillId="0" borderId="4" xfId="0" applyNumberFormat="1" applyFont="1" applyBorder="1"/>
    <xf numFmtId="166" fontId="12" fillId="0" borderId="0" xfId="6" applyNumberFormat="1" applyFont="1" applyBorder="1"/>
    <xf numFmtId="41" fontId="12" fillId="4" borderId="0" xfId="0" applyNumberFormat="1" applyFont="1" applyFill="1" applyBorder="1"/>
    <xf numFmtId="164" fontId="12" fillId="0" borderId="2" xfId="0" applyNumberFormat="1" applyFont="1" applyBorder="1"/>
    <xf numFmtId="41" fontId="12" fillId="4" borderId="2" xfId="0" applyNumberFormat="1" applyFont="1" applyFill="1" applyBorder="1"/>
    <xf numFmtId="41" fontId="12" fillId="0" borderId="0" xfId="0" applyNumberFormat="1" applyFont="1" applyBorder="1"/>
    <xf numFmtId="166" fontId="12" fillId="0" borderId="8" xfId="6" applyNumberFormat="1" applyFont="1" applyBorder="1"/>
    <xf numFmtId="164" fontId="12" fillId="3" borderId="33" xfId="0" applyNumberFormat="1" applyFont="1" applyFill="1" applyBorder="1"/>
    <xf numFmtId="41" fontId="12" fillId="3" borderId="33" xfId="0" applyNumberFormat="1" applyFont="1" applyFill="1" applyBorder="1"/>
    <xf numFmtId="9" fontId="12" fillId="0" borderId="0" xfId="6" applyFont="1" applyBorder="1"/>
    <xf numFmtId="0" fontId="4" fillId="0" borderId="4" xfId="0" applyNumberFormat="1" applyFont="1" applyBorder="1"/>
    <xf numFmtId="41" fontId="12" fillId="0" borderId="2" xfId="0" applyNumberFormat="1" applyFont="1" applyBorder="1"/>
    <xf numFmtId="164" fontId="4" fillId="3" borderId="37" xfId="0" applyNumberFormat="1" applyFont="1" applyFill="1" applyBorder="1"/>
    <xf numFmtId="41" fontId="4" fillId="3" borderId="37" xfId="0" applyNumberFormat="1" applyFont="1" applyFill="1" applyBorder="1"/>
    <xf numFmtId="9" fontId="12" fillId="0" borderId="14" xfId="6" applyFont="1" applyBorder="1"/>
    <xf numFmtId="9" fontId="12" fillId="0" borderId="17" xfId="6" applyFont="1" applyBorder="1"/>
    <xf numFmtId="9" fontId="12" fillId="0" borderId="15" xfId="6" applyFont="1" applyBorder="1"/>
    <xf numFmtId="0" fontId="1" fillId="0" borderId="0" xfId="0" applyFont="1" applyFill="1" applyBorder="1" applyAlignment="1">
      <alignment horizontal="center"/>
    </xf>
    <xf numFmtId="0" fontId="1" fillId="0" borderId="0" xfId="0" applyNumberFormat="1" applyFont="1" applyFill="1" applyBorder="1" applyAlignment="1">
      <alignment horizontal="center" wrapText="1"/>
    </xf>
    <xf numFmtId="0" fontId="1" fillId="0" borderId="8" xfId="0" quotePrefix="1" applyFont="1" applyFill="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1" fillId="0" borderId="8" xfId="0" applyNumberFormat="1" applyFont="1" applyFill="1" applyBorder="1" applyAlignment="1">
      <alignment horizontal="center" wrapText="1"/>
    </xf>
    <xf numFmtId="165" fontId="2" fillId="2" borderId="0" xfId="0" applyNumberFormat="1" applyFont="1" applyFill="1" applyBorder="1"/>
    <xf numFmtId="0" fontId="4" fillId="0" borderId="4" xfId="0" applyNumberFormat="1" applyFont="1" applyFill="1" applyBorder="1" applyAlignment="1"/>
    <xf numFmtId="0" fontId="4" fillId="0" borderId="0" xfId="0" applyNumberFormat="1" applyFont="1" applyFill="1" applyBorder="1" applyAlignment="1"/>
    <xf numFmtId="0" fontId="4" fillId="0" borderId="8" xfId="0" applyNumberFormat="1" applyFont="1" applyFill="1" applyBorder="1" applyAlignment="1"/>
    <xf numFmtId="0" fontId="4" fillId="0" borderId="5" xfId="0" applyNumberFormat="1" applyFont="1" applyFill="1" applyBorder="1" applyAlignment="1"/>
    <xf numFmtId="0" fontId="4" fillId="0" borderId="6" xfId="0" applyNumberFormat="1" applyFont="1" applyFill="1" applyBorder="1" applyAlignment="1"/>
    <xf numFmtId="0" fontId="4" fillId="0" borderId="7" xfId="0" applyNumberFormat="1" applyFont="1" applyFill="1" applyBorder="1" applyAlignment="1"/>
    <xf numFmtId="0" fontId="12" fillId="0" borderId="0" xfId="0" applyNumberFormat="1" applyFont="1" applyFill="1" applyBorder="1" applyAlignment="1">
      <alignment horizontal="center"/>
    </xf>
    <xf numFmtId="0" fontId="1" fillId="0" borderId="0" xfId="0" applyFont="1" applyAlignment="1">
      <alignment wrapText="1"/>
    </xf>
    <xf numFmtId="0" fontId="1" fillId="0" borderId="0" xfId="0" applyNumberFormat="1" applyFont="1" applyFill="1" applyBorder="1" applyAlignment="1">
      <alignment horizontal="center"/>
    </xf>
    <xf numFmtId="0" fontId="1" fillId="2" borderId="8" xfId="0" applyFont="1" applyFill="1" applyBorder="1" applyAlignment="1">
      <alignment wrapText="1"/>
    </xf>
    <xf numFmtId="0" fontId="1" fillId="0" borderId="0" xfId="0" applyFont="1" applyBorder="1" applyAlignment="1">
      <alignment horizontal="center"/>
    </xf>
    <xf numFmtId="0" fontId="1" fillId="0" borderId="0" xfId="0" quotePrefix="1" applyFont="1" applyBorder="1" applyAlignment="1"/>
    <xf numFmtId="43" fontId="2" fillId="0" borderId="0" xfId="1" applyFont="1" applyBorder="1"/>
    <xf numFmtId="43" fontId="2" fillId="0" borderId="8" xfId="1" applyFont="1" applyBorder="1"/>
    <xf numFmtId="0" fontId="4" fillId="0" borderId="31" xfId="0" applyNumberFormat="1" applyFont="1" applyFill="1" applyBorder="1"/>
    <xf numFmtId="43" fontId="2" fillId="0" borderId="30" xfId="1" applyFont="1" applyFill="1" applyBorder="1"/>
    <xf numFmtId="166" fontId="2" fillId="0" borderId="30" xfId="5" applyNumberFormat="1" applyFont="1" applyFill="1" applyBorder="1"/>
    <xf numFmtId="43" fontId="2" fillId="0" borderId="32" xfId="1" applyFont="1" applyFill="1" applyBorder="1"/>
    <xf numFmtId="43" fontId="2" fillId="0" borderId="0" xfId="0" applyNumberFormat="1" applyFont="1"/>
    <xf numFmtId="164" fontId="29" fillId="0" borderId="0" xfId="0" applyNumberFormat="1" applyFont="1"/>
    <xf numFmtId="165" fontId="2" fillId="0" borderId="0" xfId="1" applyNumberFormat="1" applyFont="1" applyBorder="1"/>
    <xf numFmtId="166" fontId="2" fillId="0" borderId="0" xfId="5" applyNumberFormat="1" applyFont="1" applyBorder="1"/>
    <xf numFmtId="169" fontId="29" fillId="0" borderId="0" xfId="0" applyNumberFormat="1" applyFont="1"/>
    <xf numFmtId="0" fontId="4" fillId="0" borderId="4" xfId="0" applyNumberFormat="1" applyFont="1" applyFill="1" applyBorder="1"/>
    <xf numFmtId="43" fontId="2" fillId="0" borderId="0" xfId="1" applyFont="1" applyFill="1" applyBorder="1"/>
    <xf numFmtId="166" fontId="2" fillId="0" borderId="0" xfId="5" applyNumberFormat="1" applyFont="1" applyFill="1" applyBorder="1"/>
    <xf numFmtId="166" fontId="2" fillId="0" borderId="32" xfId="5" applyNumberFormat="1" applyFont="1" applyFill="1" applyBorder="1"/>
    <xf numFmtId="0" fontId="2" fillId="4" borderId="0" xfId="0" applyNumberFormat="1" applyFont="1" applyFill="1" applyBorder="1"/>
    <xf numFmtId="0" fontId="4" fillId="0" borderId="13" xfId="0" applyNumberFormat="1" applyFont="1" applyBorder="1"/>
    <xf numFmtId="165" fontId="2" fillId="0" borderId="14" xfId="1" applyNumberFormat="1" applyFont="1" applyBorder="1"/>
    <xf numFmtId="166" fontId="2" fillId="0" borderId="14" xfId="5" applyNumberFormat="1" applyFont="1" applyBorder="1"/>
    <xf numFmtId="0" fontId="4" fillId="0" borderId="16" xfId="0" applyNumberFormat="1" applyFont="1" applyFill="1" applyBorder="1"/>
    <xf numFmtId="43" fontId="2" fillId="0" borderId="17" xfId="1" applyFont="1" applyFill="1" applyBorder="1"/>
    <xf numFmtId="43" fontId="2" fillId="0" borderId="18" xfId="1" applyFont="1" applyFill="1" applyBorder="1"/>
    <xf numFmtId="0" fontId="2" fillId="0" borderId="5" xfId="0" applyFont="1" applyBorder="1"/>
    <xf numFmtId="0" fontId="2" fillId="0" borderId="6" xfId="0" applyFont="1" applyBorder="1"/>
    <xf numFmtId="0" fontId="2" fillId="0" borderId="7" xfId="0" applyFont="1" applyBorder="1"/>
    <xf numFmtId="0"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8" xfId="0" applyNumberFormat="1" applyFont="1" applyFill="1" applyBorder="1" applyAlignment="1">
      <alignment horizontal="center"/>
    </xf>
    <xf numFmtId="0" fontId="1" fillId="0" borderId="0" xfId="0" quotePrefix="1" applyFont="1" applyBorder="1"/>
    <xf numFmtId="166" fontId="1" fillId="0" borderId="0" xfId="5" quotePrefix="1" applyNumberFormat="1" applyFont="1" applyFill="1" applyBorder="1" applyAlignment="1">
      <alignment horizontal="center"/>
    </xf>
    <xf numFmtId="166" fontId="1" fillId="0" borderId="8" xfId="5" quotePrefix="1" applyNumberFormat="1" applyFont="1" applyFill="1" applyBorder="1" applyAlignment="1">
      <alignment horizontal="center"/>
    </xf>
    <xf numFmtId="166" fontId="2" fillId="0" borderId="8" xfId="5" applyNumberFormat="1" applyFont="1" applyBorder="1"/>
    <xf numFmtId="165" fontId="2" fillId="0" borderId="0" xfId="1" applyNumberFormat="1" applyFont="1" applyFill="1" applyBorder="1"/>
    <xf numFmtId="165" fontId="28" fillId="0" borderId="4" xfId="1" applyNumberFormat="1" applyFont="1" applyFill="1" applyBorder="1" applyAlignment="1">
      <alignment horizontal="center" vertical="center"/>
    </xf>
    <xf numFmtId="165" fontId="28" fillId="0" borderId="0" xfId="1" applyNumberFormat="1" applyFont="1" applyFill="1" applyBorder="1" applyAlignment="1">
      <alignment horizontal="center" vertical="center"/>
    </xf>
    <xf numFmtId="165" fontId="28" fillId="0" borderId="8" xfId="1" applyNumberFormat="1" applyFont="1" applyFill="1" applyBorder="1" applyAlignment="1">
      <alignment horizontal="center" vertical="center"/>
    </xf>
    <xf numFmtId="0" fontId="3" fillId="0" borderId="4" xfId="0" applyFont="1" applyFill="1" applyBorder="1"/>
    <xf numFmtId="0" fontId="3" fillId="0" borderId="0" xfId="0" applyNumberFormat="1" applyFont="1" applyBorder="1" applyAlignment="1">
      <alignment horizontal="center"/>
    </xf>
    <xf numFmtId="0" fontId="3" fillId="0" borderId="0" xfId="0" applyNumberFormat="1" applyFont="1" applyFill="1" applyBorder="1" applyAlignment="1">
      <alignment horizontal="center" wrapText="1"/>
    </xf>
    <xf numFmtId="165" fontId="3" fillId="0" borderId="0" xfId="1" quotePrefix="1" applyNumberFormat="1" applyFont="1" applyFill="1" applyBorder="1" applyAlignment="1">
      <alignment horizontal="center"/>
    </xf>
    <xf numFmtId="165" fontId="3" fillId="4" borderId="0" xfId="1" quotePrefix="1" applyNumberFormat="1" applyFont="1" applyFill="1" applyBorder="1" applyAlignment="1">
      <alignment horizontal="center"/>
    </xf>
    <xf numFmtId="165" fontId="3" fillId="4" borderId="8" xfId="1" quotePrefix="1" applyNumberFormat="1" applyFont="1" applyFill="1" applyBorder="1" applyAlignment="1">
      <alignment horizontal="center"/>
    </xf>
    <xf numFmtId="0" fontId="3" fillId="2" borderId="31" xfId="0" applyFont="1" applyFill="1" applyBorder="1"/>
    <xf numFmtId="170" fontId="3" fillId="0" borderId="30" xfId="1" applyNumberFormat="1" applyFont="1" applyFill="1" applyBorder="1"/>
    <xf numFmtId="166" fontId="11" fillId="0" borderId="30" xfId="6" applyNumberFormat="1" applyFont="1" applyFill="1" applyBorder="1"/>
    <xf numFmtId="170" fontId="3" fillId="4" borderId="30" xfId="1" applyNumberFormat="1" applyFont="1" applyFill="1" applyBorder="1"/>
    <xf numFmtId="166" fontId="11" fillId="4" borderId="30" xfId="6" applyNumberFormat="1" applyFont="1" applyFill="1" applyBorder="1"/>
    <xf numFmtId="166" fontId="11" fillId="4" borderId="32" xfId="6" applyNumberFormat="1" applyFont="1" applyFill="1" applyBorder="1"/>
    <xf numFmtId="170" fontId="11" fillId="0" borderId="0" xfId="1" applyNumberFormat="1" applyFont="1" applyFill="1" applyBorder="1"/>
    <xf numFmtId="170" fontId="11" fillId="0" borderId="8" xfId="1" applyNumberFormat="1" applyFont="1" applyFill="1" applyBorder="1"/>
    <xf numFmtId="164" fontId="3" fillId="0" borderId="31" xfId="0" applyNumberFormat="1" applyFont="1" applyBorder="1"/>
    <xf numFmtId="170" fontId="11" fillId="0" borderId="30" xfId="1" applyNumberFormat="1" applyFont="1" applyFill="1" applyBorder="1"/>
    <xf numFmtId="170" fontId="11" fillId="4" borderId="30" xfId="1" applyNumberFormat="1" applyFont="1" applyFill="1" applyBorder="1"/>
    <xf numFmtId="164" fontId="3" fillId="0" borderId="4" xfId="0" applyNumberFormat="1" applyFont="1" applyBorder="1"/>
    <xf numFmtId="0" fontId="3" fillId="0" borderId="4" xfId="0" applyFont="1" applyBorder="1"/>
    <xf numFmtId="166" fontId="11" fillId="0" borderId="0" xfId="6" applyNumberFormat="1" applyFont="1" applyFill="1" applyBorder="1"/>
    <xf numFmtId="170" fontId="11" fillId="4" borderId="0" xfId="1" applyNumberFormat="1" applyFont="1" applyFill="1" applyBorder="1"/>
    <xf numFmtId="166" fontId="11" fillId="4" borderId="0" xfId="6" applyNumberFormat="1" applyFont="1" applyFill="1" applyBorder="1"/>
    <xf numFmtId="166" fontId="11" fillId="4" borderId="8" xfId="6" applyNumberFormat="1" applyFont="1" applyFill="1" applyBorder="1"/>
    <xf numFmtId="0" fontId="3" fillId="0" borderId="10" xfId="0" applyFont="1" applyBorder="1"/>
    <xf numFmtId="170" fontId="11" fillId="0" borderId="2" xfId="1" applyNumberFormat="1" applyFont="1" applyFill="1" applyBorder="1"/>
    <xf numFmtId="166" fontId="11" fillId="0" borderId="2" xfId="6" applyNumberFormat="1" applyFont="1" applyFill="1" applyBorder="1"/>
    <xf numFmtId="170" fontId="11" fillId="4" borderId="2" xfId="1" applyNumberFormat="1" applyFont="1" applyFill="1" applyBorder="1"/>
    <xf numFmtId="166" fontId="11" fillId="4" borderId="2" xfId="6" applyNumberFormat="1" applyFont="1" applyFill="1" applyBorder="1"/>
    <xf numFmtId="166" fontId="11" fillId="4" borderId="11" xfId="6" applyNumberFormat="1" applyFont="1" applyFill="1" applyBorder="1"/>
    <xf numFmtId="0" fontId="3" fillId="0" borderId="36" xfId="0" applyFont="1" applyFill="1" applyBorder="1"/>
    <xf numFmtId="170" fontId="3" fillId="0" borderId="37" xfId="1" applyNumberFormat="1" applyFont="1" applyFill="1" applyBorder="1"/>
    <xf numFmtId="166" fontId="11" fillId="0" borderId="37" xfId="6" applyNumberFormat="1" applyFont="1" applyFill="1" applyBorder="1"/>
    <xf numFmtId="166" fontId="11" fillId="0" borderId="38" xfId="6" applyNumberFormat="1" applyFont="1" applyFill="1" applyBorder="1"/>
    <xf numFmtId="170" fontId="3" fillId="0" borderId="0" xfId="1" applyNumberFormat="1" applyFont="1" applyFill="1" applyBorder="1"/>
    <xf numFmtId="170" fontId="3" fillId="0" borderId="8" xfId="1" applyNumberFormat="1" applyFont="1" applyFill="1" applyBorder="1"/>
    <xf numFmtId="165" fontId="11" fillId="2" borderId="0" xfId="1" applyNumberFormat="1" applyFont="1" applyFill="1" applyBorder="1" applyAlignment="1">
      <alignment horizontal="center"/>
    </xf>
    <xf numFmtId="166" fontId="11" fillId="0" borderId="32" xfId="6" applyNumberFormat="1" applyFont="1" applyFill="1" applyBorder="1"/>
    <xf numFmtId="0" fontId="3" fillId="0" borderId="13" xfId="0" applyFont="1" applyBorder="1"/>
    <xf numFmtId="165" fontId="11" fillId="2" borderId="14" xfId="1" applyNumberFormat="1" applyFont="1" applyFill="1" applyBorder="1" applyAlignment="1">
      <alignment horizontal="center"/>
    </xf>
    <xf numFmtId="0" fontId="31" fillId="0" borderId="0" xfId="0" applyFont="1"/>
    <xf numFmtId="0" fontId="31" fillId="0" borderId="0" xfId="0" applyFont="1" applyFill="1"/>
    <xf numFmtId="0" fontId="1" fillId="10" borderId="2" xfId="9" applyFont="1" applyFill="1" applyBorder="1"/>
    <xf numFmtId="0" fontId="1" fillId="10" borderId="2" xfId="10" applyFont="1" applyFill="1" applyBorder="1"/>
    <xf numFmtId="0" fontId="33" fillId="11" borderId="21" xfId="0" applyFont="1" applyFill="1" applyBorder="1"/>
    <xf numFmtId="0" fontId="33" fillId="11" borderId="30" xfId="0" applyFont="1" applyFill="1" applyBorder="1"/>
    <xf numFmtId="0" fontId="33" fillId="11" borderId="0" xfId="0" applyFont="1" applyFill="1" applyBorder="1"/>
    <xf numFmtId="0" fontId="33" fillId="11" borderId="22" xfId="0" applyFont="1" applyFill="1" applyBorder="1"/>
    <xf numFmtId="0" fontId="34" fillId="0" borderId="0" xfId="0" applyFont="1" applyFill="1" applyBorder="1"/>
    <xf numFmtId="0" fontId="34" fillId="0" borderId="0" xfId="0" applyFont="1"/>
    <xf numFmtId="0" fontId="34" fillId="0" borderId="0" xfId="0" applyFont="1" applyFill="1"/>
    <xf numFmtId="0" fontId="33" fillId="0" borderId="39" xfId="0" applyFont="1" applyFill="1" applyBorder="1"/>
    <xf numFmtId="0" fontId="33" fillId="0" borderId="30" xfId="0" applyFont="1" applyFill="1" applyBorder="1"/>
    <xf numFmtId="0" fontId="33" fillId="0" borderId="24" xfId="0" applyFont="1" applyFill="1" applyBorder="1"/>
    <xf numFmtId="0" fontId="34" fillId="0" borderId="0" xfId="0" applyFont="1" applyFill="1" applyAlignment="1"/>
    <xf numFmtId="0" fontId="35" fillId="0" borderId="44" xfId="0" applyNumberFormat="1" applyFont="1" applyBorder="1" applyAlignment="1">
      <alignment horizontal="center"/>
    </xf>
    <xf numFmtId="0" fontId="1" fillId="0" borderId="37" xfId="11" applyFont="1" applyBorder="1" applyAlignment="1">
      <alignment horizontal="center" wrapText="1"/>
    </xf>
    <xf numFmtId="0" fontId="35" fillId="0" borderId="37" xfId="0" applyNumberFormat="1" applyFont="1" applyBorder="1" applyAlignment="1">
      <alignment horizontal="center"/>
    </xf>
    <xf numFmtId="0" fontId="35" fillId="0" borderId="45" xfId="0" applyNumberFormat="1" applyFont="1" applyBorder="1" applyAlignment="1">
      <alignment horizontal="center"/>
    </xf>
    <xf numFmtId="0" fontId="35" fillId="0" borderId="0" xfId="0" applyNumberFormat="1" applyFont="1" applyFill="1"/>
    <xf numFmtId="0" fontId="35" fillId="11" borderId="21" xfId="0" applyNumberFormat="1" applyFont="1" applyFill="1" applyBorder="1" applyAlignment="1">
      <alignment horizontal="center"/>
    </xf>
    <xf numFmtId="0" fontId="35" fillId="11" borderId="0" xfId="0" applyNumberFormat="1" applyFont="1" applyFill="1" applyBorder="1"/>
    <xf numFmtId="0" fontId="35" fillId="11" borderId="22" xfId="0" applyNumberFormat="1" applyFont="1" applyFill="1" applyBorder="1"/>
    <xf numFmtId="0" fontId="2" fillId="0" borderId="0" xfId="11"/>
    <xf numFmtId="171" fontId="36" fillId="0" borderId="0" xfId="11" applyNumberFormat="1" applyFont="1" applyFill="1"/>
    <xf numFmtId="0" fontId="37" fillId="0" borderId="46" xfId="0" applyNumberFormat="1" applyFont="1" applyBorder="1"/>
    <xf numFmtId="164" fontId="38" fillId="0" borderId="46" xfId="0" applyNumberFormat="1" applyFont="1" applyFill="1" applyBorder="1"/>
    <xf numFmtId="172" fontId="39" fillId="0" borderId="0" xfId="11" applyNumberFormat="1" applyFont="1"/>
    <xf numFmtId="166" fontId="38" fillId="0" borderId="46" xfId="5" applyNumberFormat="1" applyFont="1" applyFill="1" applyBorder="1"/>
    <xf numFmtId="0" fontId="33" fillId="11" borderId="21" xfId="0" applyNumberFormat="1" applyFont="1" applyFill="1" applyBorder="1" applyAlignment="1">
      <alignment horizontal="center"/>
    </xf>
    <xf numFmtId="0" fontId="33" fillId="11" borderId="0" xfId="0" applyNumberFormat="1" applyFont="1" applyFill="1" applyBorder="1"/>
    <xf numFmtId="0" fontId="33" fillId="11" borderId="22" xfId="0" applyNumberFormat="1" applyFont="1" applyFill="1" applyBorder="1"/>
    <xf numFmtId="172" fontId="36" fillId="0" borderId="0" xfId="11" applyNumberFormat="1" applyFont="1" applyFill="1"/>
    <xf numFmtId="171" fontId="39" fillId="0" borderId="0" xfId="11" applyNumberFormat="1" applyFont="1"/>
    <xf numFmtId="171" fontId="38" fillId="0" borderId="46" xfId="0" applyNumberFormat="1" applyFont="1" applyFill="1" applyBorder="1"/>
    <xf numFmtId="9" fontId="38" fillId="0" borderId="46" xfId="5" applyNumberFormat="1" applyFont="1" applyFill="1" applyBorder="1" applyAlignment="1">
      <alignment horizontal="center"/>
    </xf>
    <xf numFmtId="9" fontId="38" fillId="0" borderId="46" xfId="5" applyNumberFormat="1" applyFont="1" applyFill="1" applyBorder="1"/>
    <xf numFmtId="164" fontId="36" fillId="0" borderId="0" xfId="11" applyNumberFormat="1" applyFont="1" applyFill="1"/>
    <xf numFmtId="164" fontId="39" fillId="0" borderId="0" xfId="11" applyNumberFormat="1" applyFont="1"/>
    <xf numFmtId="164" fontId="2" fillId="0" borderId="0" xfId="11" applyNumberFormat="1" applyFont="1"/>
    <xf numFmtId="164" fontId="36" fillId="0" borderId="0" xfId="0" applyNumberFormat="1" applyFont="1" applyFill="1"/>
    <xf numFmtId="173" fontId="38" fillId="0" borderId="46" xfId="0" applyNumberFormat="1" applyFont="1" applyFill="1" applyBorder="1"/>
    <xf numFmtId="0" fontId="39" fillId="0" borderId="21" xfId="0" applyNumberFormat="1" applyFont="1" applyBorder="1"/>
    <xf numFmtId="172" fontId="2" fillId="0" borderId="0" xfId="11" applyNumberFormat="1" applyFont="1"/>
    <xf numFmtId="0" fontId="31" fillId="0" borderId="0" xfId="0" applyFont="1" applyFill="1" applyBorder="1"/>
    <xf numFmtId="0" fontId="12" fillId="0" borderId="0" xfId="3" applyFont="1" applyBorder="1" applyAlignment="1" applyProtection="1"/>
    <xf numFmtId="0" fontId="2" fillId="0" borderId="0" xfId="3" applyFont="1" applyBorder="1" applyAlignment="1" applyProtection="1"/>
    <xf numFmtId="0" fontId="1" fillId="0" borderId="0" xfId="3" applyFont="1" applyBorder="1" applyAlignment="1" applyProtection="1"/>
    <xf numFmtId="0" fontId="15" fillId="0" borderId="0" xfId="0" applyFont="1"/>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12" applyAlignment="1">
      <alignment vertical="center"/>
    </xf>
    <xf numFmtId="0" fontId="43" fillId="0" borderId="0" xfId="12"/>
    <xf numFmtId="0" fontId="44" fillId="0" borderId="0" xfId="0" applyFont="1" applyAlignment="1">
      <alignment vertical="center"/>
    </xf>
    <xf numFmtId="38" fontId="11" fillId="4" borderId="0" xfId="0" applyNumberFormat="1" applyFont="1" applyFill="1" applyBorder="1"/>
    <xf numFmtId="38" fontId="11" fillId="2" borderId="0" xfId="0" applyNumberFormat="1" applyFont="1" applyFill="1" applyBorder="1"/>
    <xf numFmtId="38" fontId="11" fillId="2" borderId="1" xfId="1" applyNumberFormat="1" applyFont="1" applyFill="1" applyBorder="1"/>
    <xf numFmtId="38" fontId="11" fillId="2" borderId="2" xfId="1" applyNumberFormat="1" applyFont="1" applyFill="1" applyBorder="1"/>
    <xf numFmtId="38" fontId="11" fillId="2" borderId="0" xfId="1" applyNumberFormat="1" applyFont="1" applyFill="1" applyBorder="1"/>
    <xf numFmtId="38" fontId="11" fillId="4" borderId="0" xfId="1" applyNumberFormat="1" applyFont="1" applyFill="1" applyBorder="1"/>
    <xf numFmtId="38" fontId="11" fillId="3" borderId="3" xfId="1" applyNumberFormat="1" applyFont="1" applyFill="1" applyBorder="1"/>
    <xf numFmtId="165" fontId="3" fillId="2" borderId="0" xfId="1" applyNumberFormat="1" applyFont="1" applyFill="1" applyBorder="1" applyAlignment="1">
      <alignment horizontal="center"/>
    </xf>
    <xf numFmtId="0" fontId="6" fillId="2" borderId="0" xfId="0" applyFont="1" applyFill="1" applyBorder="1" applyAlignment="1">
      <alignment horizontal="center"/>
    </xf>
    <xf numFmtId="165" fontId="3" fillId="2" borderId="0" xfId="1" applyNumberFormat="1" applyFont="1" applyFill="1" applyBorder="1" applyAlignment="1">
      <alignment horizontal="center"/>
    </xf>
    <xf numFmtId="0" fontId="2" fillId="0" borderId="0" xfId="0" applyFont="1" applyFill="1" applyBorder="1"/>
    <xf numFmtId="0" fontId="2" fillId="0" borderId="0" xfId="0" applyFont="1" applyAlignment="1">
      <alignment horizontal="center"/>
    </xf>
    <xf numFmtId="0" fontId="2" fillId="0" borderId="2" xfId="0" applyFont="1" applyBorder="1" applyAlignment="1">
      <alignment horizontal="center"/>
    </xf>
    <xf numFmtId="166" fontId="0" fillId="0" borderId="0" xfId="0" quotePrefix="1" applyNumberFormat="1" applyAlignment="1">
      <alignment horizontal="right"/>
    </xf>
    <xf numFmtId="0" fontId="0" fillId="0" borderId="0" xfId="0" applyAlignment="1">
      <alignment horizontal="right"/>
    </xf>
    <xf numFmtId="166" fontId="0" fillId="0" borderId="0" xfId="0" applyNumberFormat="1" applyAlignment="1">
      <alignment horizontal="right"/>
    </xf>
    <xf numFmtId="41" fontId="0" fillId="0" borderId="0" xfId="0" applyNumberFormat="1" applyAlignment="1">
      <alignment horizontal="right"/>
    </xf>
    <xf numFmtId="41" fontId="0" fillId="0" borderId="0" xfId="0" quotePrefix="1" applyNumberFormat="1" applyAlignment="1">
      <alignment horizontal="right"/>
    </xf>
    <xf numFmtId="9" fontId="0" fillId="0" borderId="0" xfId="0" applyNumberFormat="1" applyAlignment="1">
      <alignment horizontal="right"/>
    </xf>
    <xf numFmtId="9" fontId="0" fillId="0" borderId="0" xfId="0" quotePrefix="1" applyNumberFormat="1" applyAlignment="1">
      <alignment horizontal="right"/>
    </xf>
    <xf numFmtId="174" fontId="0" fillId="0" borderId="0" xfId="0" quotePrefix="1" applyNumberFormat="1" applyAlignment="1">
      <alignment horizontal="right"/>
    </xf>
    <xf numFmtId="175" fontId="0" fillId="0" borderId="0" xfId="0" applyNumberFormat="1" applyAlignment="1">
      <alignment horizontal="right"/>
    </xf>
    <xf numFmtId="175" fontId="0" fillId="0" borderId="0" xfId="0" quotePrefix="1" applyNumberFormat="1" applyAlignment="1">
      <alignment horizontal="right"/>
    </xf>
    <xf numFmtId="0" fontId="0" fillId="2" borderId="19" xfId="0" applyFill="1" applyBorder="1"/>
    <xf numFmtId="0" fontId="6" fillId="2" borderId="9" xfId="0" applyFont="1" applyFill="1" applyBorder="1" applyAlignment="1">
      <alignment horizontal="center"/>
    </xf>
    <xf numFmtId="0" fontId="6" fillId="2" borderId="1" xfId="0" applyFont="1" applyFill="1" applyBorder="1" applyAlignment="1">
      <alignment horizontal="center"/>
    </xf>
    <xf numFmtId="0" fontId="0" fillId="2" borderId="20" xfId="0" applyFill="1" applyBorder="1"/>
    <xf numFmtId="0" fontId="0" fillId="2" borderId="21" xfId="0" applyFill="1" applyBorder="1"/>
    <xf numFmtId="0" fontId="0" fillId="2" borderId="22" xfId="0" applyFill="1" applyBorder="1"/>
    <xf numFmtId="0" fontId="0" fillId="0" borderId="21" xfId="0" applyFill="1" applyBorder="1"/>
    <xf numFmtId="0" fontId="0" fillId="0" borderId="22" xfId="0" applyFill="1" applyBorder="1"/>
    <xf numFmtId="0" fontId="0" fillId="2" borderId="26" xfId="0" applyFill="1" applyBorder="1"/>
    <xf numFmtId="0" fontId="0" fillId="2" borderId="47" xfId="0" applyFill="1" applyBorder="1"/>
    <xf numFmtId="0" fontId="11" fillId="2" borderId="10" xfId="0" applyFont="1" applyFill="1" applyBorder="1"/>
    <xf numFmtId="0" fontId="11" fillId="2" borderId="2" xfId="0" applyFont="1" applyFill="1" applyBorder="1"/>
    <xf numFmtId="38" fontId="11" fillId="2" borderId="2" xfId="0" applyNumberFormat="1" applyFont="1" applyFill="1" applyBorder="1"/>
    <xf numFmtId="0" fontId="11" fillId="2" borderId="11" xfId="0" applyFont="1" applyFill="1" applyBorder="1"/>
    <xf numFmtId="0" fontId="0" fillId="2" borderId="23" xfId="0" applyFill="1" applyBorder="1"/>
    <xf numFmtId="0" fontId="14" fillId="0" borderId="2" xfId="0" applyFont="1" applyFill="1" applyBorder="1" applyAlignment="1" applyProtection="1">
      <alignment horizontal="center"/>
      <protection locked="0"/>
    </xf>
    <xf numFmtId="0" fontId="3" fillId="2" borderId="0" xfId="0" applyFont="1" applyFill="1" applyBorder="1" applyAlignment="1">
      <alignment horizontal="centerContinuous" wrapText="1"/>
    </xf>
    <xf numFmtId="38" fontId="2" fillId="4" borderId="0" xfId="0" applyNumberFormat="1" applyFont="1" applyFill="1" applyBorder="1"/>
    <xf numFmtId="38" fontId="2" fillId="0" borderId="0" xfId="0" applyNumberFormat="1" applyFont="1" applyFill="1" applyBorder="1"/>
    <xf numFmtId="38" fontId="2" fillId="3" borderId="33" xfId="1" applyNumberFormat="1" applyFont="1" applyFill="1" applyBorder="1"/>
    <xf numFmtId="38" fontId="1" fillId="3" borderId="37" xfId="1" applyNumberFormat="1" applyFont="1" applyFill="1" applyBorder="1"/>
    <xf numFmtId="165" fontId="3" fillId="2" borderId="0" xfId="1" applyNumberFormat="1" applyFont="1" applyFill="1" applyBorder="1" applyAlignment="1">
      <alignment horizontal="center"/>
    </xf>
    <xf numFmtId="0" fontId="6" fillId="0" borderId="0" xfId="0" applyNumberFormat="1" applyFont="1" applyFill="1" applyBorder="1" applyAlignment="1">
      <alignment horizontal="center"/>
    </xf>
    <xf numFmtId="0" fontId="3" fillId="0" borderId="0" xfId="0" applyFont="1" applyBorder="1" applyAlignment="1">
      <alignment horizontal="center"/>
    </xf>
    <xf numFmtId="38" fontId="24" fillId="2" borderId="0" xfId="0" applyNumberFormat="1" applyFont="1" applyFill="1" applyBorder="1"/>
    <xf numFmtId="38" fontId="24" fillId="2" borderId="14" xfId="0" applyNumberFormat="1" applyFont="1" applyFill="1" applyBorder="1"/>
    <xf numFmtId="0" fontId="12"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8" fontId="12" fillId="4" borderId="0" xfId="6" applyNumberFormat="1" applyFont="1" applyFill="1" applyBorder="1"/>
    <xf numFmtId="38" fontId="12" fillId="4" borderId="2" xfId="6" applyNumberFormat="1" applyFont="1" applyFill="1" applyBorder="1"/>
    <xf numFmtId="38" fontId="12" fillId="0" borderId="0" xfId="0" applyNumberFormat="1" applyFont="1" applyBorder="1"/>
    <xf numFmtId="38" fontId="12" fillId="4" borderId="0" xfId="0" applyNumberFormat="1" applyFont="1" applyFill="1" applyBorder="1"/>
    <xf numFmtId="38" fontId="12" fillId="3" borderId="33" xfId="0" applyNumberFormat="1" applyFont="1" applyFill="1" applyBorder="1"/>
    <xf numFmtId="41" fontId="2" fillId="0" borderId="0" xfId="0" applyNumberFormat="1" applyFont="1" applyBorder="1"/>
    <xf numFmtId="38" fontId="2" fillId="0" borderId="0" xfId="0" applyNumberFormat="1" applyFont="1" applyBorder="1"/>
    <xf numFmtId="0" fontId="2" fillId="0" borderId="0" xfId="0" applyFont="1" applyFill="1" applyBorder="1"/>
    <xf numFmtId="38" fontId="11" fillId="2" borderId="14" xfId="0" applyNumberFormat="1" applyFont="1" applyFill="1" applyBorder="1"/>
    <xf numFmtId="38" fontId="11" fillId="0" borderId="0" xfId="0" applyNumberFormat="1" applyFont="1" applyFill="1" applyBorder="1"/>
    <xf numFmtId="166" fontId="11" fillId="0" borderId="0" xfId="2" applyNumberFormat="1" applyFont="1" applyFill="1" applyBorder="1"/>
    <xf numFmtId="38" fontId="11" fillId="0" borderId="1" xfId="0" applyNumberFormat="1" applyFont="1" applyFill="1" applyBorder="1"/>
    <xf numFmtId="38" fontId="11" fillId="0" borderId="2" xfId="0" applyNumberFormat="1" applyFont="1" applyFill="1" applyBorder="1"/>
    <xf numFmtId="166" fontId="11" fillId="0" borderId="0" xfId="2" applyNumberFormat="1" applyFont="1" applyFill="1" applyBorder="1" applyAlignment="1">
      <alignment horizontal="right"/>
    </xf>
    <xf numFmtId="166" fontId="11" fillId="0" borderId="1" xfId="2" applyNumberFormat="1" applyFont="1" applyFill="1" applyBorder="1" applyAlignment="1">
      <alignment horizontal="right"/>
    </xf>
    <xf numFmtId="166" fontId="11" fillId="0" borderId="2" xfId="2" applyNumberFormat="1" applyFont="1" applyFill="1" applyBorder="1" applyAlignment="1">
      <alignment horizontal="right"/>
    </xf>
    <xf numFmtId="166" fontId="11" fillId="3" borderId="3" xfId="2" applyNumberFormat="1" applyFont="1" applyFill="1" applyBorder="1" applyAlignment="1">
      <alignment horizontal="right"/>
    </xf>
    <xf numFmtId="166" fontId="0" fillId="0" borderId="30" xfId="6" applyNumberFormat="1" applyFont="1" applyFill="1" applyBorder="1"/>
    <xf numFmtId="166" fontId="0" fillId="0" borderId="0" xfId="6" applyNumberFormat="1" applyFont="1" applyFill="1" applyBorder="1" applyAlignment="1">
      <alignment horizontal="right"/>
    </xf>
    <xf numFmtId="0" fontId="2" fillId="0" borderId="0" xfId="0" applyFont="1" applyFill="1" applyBorder="1" applyAlignment="1">
      <alignment horizontal="right"/>
    </xf>
    <xf numFmtId="166" fontId="0" fillId="0" borderId="30" xfId="6" applyNumberFormat="1" applyFont="1" applyFill="1" applyBorder="1" applyAlignment="1">
      <alignment horizontal="right"/>
    </xf>
    <xf numFmtId="166" fontId="0" fillId="3" borderId="33" xfId="6" applyNumberFormat="1" applyFont="1" applyFill="1" applyBorder="1" applyAlignment="1">
      <alignment horizontal="right"/>
    </xf>
    <xf numFmtId="166" fontId="0" fillId="4" borderId="30" xfId="6" applyNumberFormat="1" applyFont="1" applyFill="1" applyBorder="1" applyAlignment="1">
      <alignment horizontal="right"/>
    </xf>
    <xf numFmtId="166" fontId="0" fillId="3" borderId="37" xfId="6" applyNumberFormat="1" applyFont="1" applyFill="1" applyBorder="1" applyAlignment="1">
      <alignment horizontal="right"/>
    </xf>
    <xf numFmtId="166" fontId="0" fillId="0" borderId="8" xfId="6" applyNumberFormat="1" applyFont="1" applyFill="1" applyBorder="1" applyAlignment="1">
      <alignment horizontal="right"/>
    </xf>
    <xf numFmtId="166" fontId="0" fillId="0" borderId="32" xfId="6" applyNumberFormat="1" applyFont="1" applyFill="1" applyBorder="1"/>
    <xf numFmtId="0" fontId="2" fillId="0" borderId="8" xfId="0" applyFont="1" applyFill="1" applyBorder="1" applyAlignment="1">
      <alignment horizontal="right"/>
    </xf>
    <xf numFmtId="166" fontId="0" fillId="0" borderId="32" xfId="6" applyNumberFormat="1" applyFont="1" applyFill="1" applyBorder="1" applyAlignment="1">
      <alignment horizontal="right"/>
    </xf>
    <xf numFmtId="166" fontId="0" fillId="3" borderId="35" xfId="6" applyNumberFormat="1" applyFont="1" applyFill="1" applyBorder="1" applyAlignment="1">
      <alignment horizontal="right"/>
    </xf>
    <xf numFmtId="166" fontId="0" fillId="4" borderId="32" xfId="6" applyNumberFormat="1" applyFont="1" applyFill="1" applyBorder="1" applyAlignment="1">
      <alignment horizontal="right"/>
    </xf>
    <xf numFmtId="166" fontId="0" fillId="3" borderId="38" xfId="6" applyNumberFormat="1" applyFont="1" applyFill="1" applyBorder="1" applyAlignment="1">
      <alignment horizontal="right"/>
    </xf>
    <xf numFmtId="0" fontId="2" fillId="2" borderId="0" xfId="0" applyFont="1" applyFill="1" applyBorder="1" applyAlignment="1">
      <alignment horizontal="right"/>
    </xf>
    <xf numFmtId="165" fontId="2" fillId="0" borderId="0" xfId="0" applyNumberFormat="1" applyFont="1" applyFill="1" applyBorder="1"/>
    <xf numFmtId="0" fontId="1" fillId="0" borderId="8" xfId="0" applyFont="1" applyFill="1" applyBorder="1" applyAlignment="1">
      <alignment horizontal="center"/>
    </xf>
    <xf numFmtId="166" fontId="12" fillId="0" borderId="2" xfId="6" applyNumberFormat="1" applyFont="1" applyBorder="1" applyAlignment="1">
      <alignment horizontal="right"/>
    </xf>
    <xf numFmtId="166" fontId="12" fillId="0" borderId="0" xfId="6" applyNumberFormat="1" applyFont="1" applyBorder="1" applyAlignment="1">
      <alignment horizontal="right"/>
    </xf>
    <xf numFmtId="166" fontId="12" fillId="3" borderId="33" xfId="6" applyNumberFormat="1" applyFont="1" applyFill="1" applyBorder="1" applyAlignment="1">
      <alignment horizontal="right"/>
    </xf>
    <xf numFmtId="166" fontId="4" fillId="3" borderId="37" xfId="6" applyNumberFormat="1" applyFont="1" applyFill="1" applyBorder="1" applyAlignment="1">
      <alignment horizontal="right"/>
    </xf>
    <xf numFmtId="166" fontId="12" fillId="0" borderId="8" xfId="6" applyNumberFormat="1" applyFont="1" applyBorder="1" applyAlignment="1">
      <alignment horizontal="right"/>
    </xf>
    <xf numFmtId="166" fontId="12" fillId="0" borderId="11" xfId="6" applyNumberFormat="1" applyFont="1" applyBorder="1" applyAlignment="1">
      <alignment horizontal="right"/>
    </xf>
    <xf numFmtId="166" fontId="4" fillId="3" borderId="38" xfId="6" applyNumberFormat="1" applyFont="1" applyFill="1" applyBorder="1" applyAlignment="1">
      <alignment horizontal="right"/>
    </xf>
    <xf numFmtId="166" fontId="12" fillId="0" borderId="48" xfId="6" applyNumberFormat="1" applyFont="1" applyBorder="1"/>
    <xf numFmtId="166" fontId="12" fillId="3" borderId="35" xfId="6" applyNumberFormat="1" applyFont="1" applyFill="1" applyBorder="1" applyAlignment="1">
      <alignment horizontal="right"/>
    </xf>
    <xf numFmtId="38" fontId="12" fillId="0" borderId="0" xfId="0" applyNumberFormat="1" applyFont="1" applyFill="1" applyBorder="1"/>
    <xf numFmtId="0" fontId="12" fillId="0" borderId="4" xfId="0" applyNumberFormat="1" applyFont="1" applyBorder="1" applyAlignment="1">
      <alignment horizontal="right"/>
    </xf>
    <xf numFmtId="0" fontId="2" fillId="0" borderId="13" xfId="0" applyFont="1" applyBorder="1" applyAlignment="1">
      <alignment horizontal="right"/>
    </xf>
    <xf numFmtId="166" fontId="2" fillId="0" borderId="0" xfId="5" applyNumberFormat="1" applyFont="1" applyFill="1" applyBorder="1" applyAlignment="1">
      <alignment horizontal="right"/>
    </xf>
    <xf numFmtId="166" fontId="2" fillId="0" borderId="30" xfId="5" applyNumberFormat="1" applyFont="1" applyFill="1" applyBorder="1" applyAlignment="1">
      <alignment horizontal="right"/>
    </xf>
    <xf numFmtId="166" fontId="2" fillId="0" borderId="14" xfId="5" applyNumberFormat="1" applyFont="1" applyBorder="1" applyAlignment="1">
      <alignment horizontal="right"/>
    </xf>
    <xf numFmtId="166" fontId="2" fillId="0" borderId="49" xfId="5" applyNumberFormat="1" applyFont="1" applyBorder="1" applyAlignment="1">
      <alignment horizontal="right"/>
    </xf>
    <xf numFmtId="166" fontId="2" fillId="0" borderId="8" xfId="5" applyNumberFormat="1" applyFont="1" applyBorder="1" applyAlignment="1">
      <alignment horizontal="right"/>
    </xf>
    <xf numFmtId="166" fontId="2" fillId="0" borderId="8" xfId="5" applyNumberFormat="1" applyFont="1" applyFill="1" applyBorder="1" applyAlignment="1">
      <alignment horizontal="right"/>
    </xf>
    <xf numFmtId="166" fontId="2" fillId="0" borderId="32" xfId="5" applyNumberFormat="1" applyFont="1" applyFill="1" applyBorder="1" applyAlignment="1">
      <alignment horizontal="right"/>
    </xf>
    <xf numFmtId="166" fontId="2" fillId="0" borderId="15" xfId="5" applyNumberFormat="1" applyFont="1" applyBorder="1" applyAlignment="1">
      <alignment horizontal="right"/>
    </xf>
    <xf numFmtId="165" fontId="11" fillId="2" borderId="14" xfId="0" applyNumberFormat="1" applyFont="1" applyFill="1" applyBorder="1"/>
    <xf numFmtId="43" fontId="0" fillId="2" borderId="0" xfId="1" applyNumberFormat="1" applyFont="1" applyFill="1" applyBorder="1"/>
    <xf numFmtId="38" fontId="2" fillId="2" borderId="0" xfId="0" applyNumberFormat="1" applyFont="1" applyFill="1" applyBorder="1"/>
    <xf numFmtId="3" fontId="2" fillId="2" borderId="0" xfId="0" applyNumberFormat="1" applyFont="1" applyFill="1" applyBorder="1"/>
    <xf numFmtId="174" fontId="2" fillId="0" borderId="0" xfId="0" applyNumberFormat="1" applyFont="1" applyFill="1" applyBorder="1"/>
    <xf numFmtId="0" fontId="2" fillId="0" borderId="0" xfId="0" applyNumberFormat="1" applyFont="1" applyFill="1" applyBorder="1"/>
    <xf numFmtId="166" fontId="2" fillId="0" borderId="14" xfId="5" applyNumberFormat="1" applyFont="1" applyFill="1" applyBorder="1" applyAlignment="1">
      <alignment horizontal="right"/>
    </xf>
    <xf numFmtId="0" fontId="2" fillId="0" borderId="0" xfId="0" applyFont="1" applyFill="1" applyBorder="1"/>
    <xf numFmtId="165" fontId="11" fillId="2" borderId="0" xfId="1" quotePrefix="1" applyNumberFormat="1" applyFont="1" applyFill="1" applyBorder="1"/>
    <xf numFmtId="41" fontId="0" fillId="2" borderId="0" xfId="1" applyNumberFormat="1" applyFont="1" applyFill="1" applyBorder="1"/>
    <xf numFmtId="167" fontId="0" fillId="0" borderId="0" xfId="0" applyNumberFormat="1"/>
    <xf numFmtId="38" fontId="0" fillId="12" borderId="0" xfId="0" applyNumberFormat="1" applyFill="1"/>
    <xf numFmtId="38" fontId="0" fillId="0" borderId="0" xfId="0" applyNumberFormat="1"/>
    <xf numFmtId="0" fontId="0" fillId="0" borderId="0" xfId="0" applyAlignment="1">
      <alignment horizontal="left" wrapText="1"/>
    </xf>
    <xf numFmtId="0" fontId="1" fillId="0" borderId="0" xfId="0" applyFont="1" applyAlignment="1">
      <alignment horizontal="left" wrapText="1"/>
    </xf>
    <xf numFmtId="38" fontId="0" fillId="2" borderId="0" xfId="0" applyNumberFormat="1" applyFill="1" applyBorder="1"/>
    <xf numFmtId="164" fontId="23" fillId="0" borderId="0" xfId="0" applyNumberFormat="1" applyFont="1" applyFill="1"/>
    <xf numFmtId="0" fontId="24" fillId="0" borderId="0" xfId="0" applyFont="1" applyFill="1"/>
    <xf numFmtId="164" fontId="27" fillId="0" borderId="0" xfId="0" applyNumberFormat="1" applyFont="1" applyFill="1"/>
    <xf numFmtId="165" fontId="3" fillId="2" borderId="0" xfId="1" applyNumberFormat="1" applyFont="1" applyFill="1" applyBorder="1" applyAlignment="1">
      <alignment horizontal="center"/>
    </xf>
    <xf numFmtId="0" fontId="6" fillId="2" borderId="0" xfId="0" applyFont="1" applyFill="1" applyBorder="1" applyAlignment="1">
      <alignment horizontal="center"/>
    </xf>
    <xf numFmtId="0" fontId="3" fillId="0" borderId="0" xfId="0" applyFont="1" applyBorder="1" applyAlignment="1">
      <alignment horizontal="center"/>
    </xf>
    <xf numFmtId="0" fontId="6" fillId="0" borderId="0" xfId="0" applyNumberFormat="1" applyFont="1" applyFill="1" applyBorder="1" applyAlignment="1">
      <alignment horizontal="center"/>
    </xf>
    <xf numFmtId="0" fontId="2" fillId="0" borderId="0" xfId="0" applyFont="1" applyFill="1" applyBorder="1"/>
    <xf numFmtId="0" fontId="4" fillId="0" borderId="0" xfId="0" applyNumberFormat="1" applyFont="1" applyFill="1" applyBorder="1" applyAlignment="1">
      <alignment horizontal="center"/>
    </xf>
    <xf numFmtId="166" fontId="12" fillId="0" borderId="0" xfId="0" applyNumberFormat="1" applyFont="1" applyBorder="1"/>
    <xf numFmtId="0" fontId="35" fillId="0" borderId="0" xfId="0" applyNumberFormat="1" applyFont="1" applyFill="1" applyBorder="1" applyAlignment="1">
      <alignment horizontal="center" wrapText="1"/>
    </xf>
    <xf numFmtId="0" fontId="34" fillId="0" borderId="0" xfId="0" applyFont="1" applyAlignment="1">
      <alignment horizontal="center" wrapText="1"/>
    </xf>
    <xf numFmtId="0" fontId="34" fillId="0" borderId="0" xfId="0" applyNumberFormat="1" applyFont="1" applyFill="1" applyBorder="1" applyAlignment="1">
      <alignment horizontal="center" wrapText="1"/>
    </xf>
    <xf numFmtId="0" fontId="46" fillId="0" borderId="0" xfId="0" applyFont="1"/>
    <xf numFmtId="0" fontId="37" fillId="0" borderId="0" xfId="0" applyFont="1" applyAlignment="1">
      <alignment horizontal="right"/>
    </xf>
    <xf numFmtId="0" fontId="33" fillId="0" borderId="0" xfId="0" applyNumberFormat="1" applyFont="1" applyFill="1" applyBorder="1" applyAlignment="1">
      <alignment horizontal="right" wrapText="1"/>
    </xf>
    <xf numFmtId="0" fontId="37" fillId="0" borderId="0" xfId="0" applyFont="1" applyAlignment="1">
      <alignment horizontal="right" wrapText="1"/>
    </xf>
    <xf numFmtId="171" fontId="38" fillId="0" borderId="0" xfId="0" applyNumberFormat="1" applyFont="1" applyFill="1" applyBorder="1" applyAlignment="1">
      <alignment horizontal="right"/>
    </xf>
    <xf numFmtId="164" fontId="38" fillId="0" borderId="0" xfId="0" applyNumberFormat="1" applyFont="1" applyFill="1" applyBorder="1" applyAlignment="1">
      <alignment horizontal="right"/>
    </xf>
    <xf numFmtId="170" fontId="3" fillId="0" borderId="2" xfId="1" applyNumberFormat="1" applyFont="1" applyFill="1" applyBorder="1"/>
    <xf numFmtId="166" fontId="0" fillId="0" borderId="0" xfId="0" applyNumberFormat="1"/>
    <xf numFmtId="38" fontId="2" fillId="0" borderId="30" xfId="1" applyNumberFormat="1" applyFont="1" applyFill="1" applyBorder="1"/>
    <xf numFmtId="3" fontId="2" fillId="0" borderId="30" xfId="1" applyNumberFormat="1" applyFont="1" applyFill="1" applyBorder="1"/>
    <xf numFmtId="0" fontId="1" fillId="0" borderId="0" xfId="1" applyNumberFormat="1" applyFont="1" applyFill="1" applyBorder="1" applyAlignment="1">
      <alignment horizontal="center"/>
    </xf>
    <xf numFmtId="0" fontId="1" fillId="0" borderId="0" xfId="1" applyNumberFormat="1" applyFont="1" applyFill="1" applyBorder="1" applyAlignment="1">
      <alignment horizontal="center" wrapText="1"/>
    </xf>
    <xf numFmtId="38" fontId="11" fillId="0" borderId="1" xfId="1" applyNumberFormat="1" applyFont="1" applyFill="1" applyBorder="1"/>
    <xf numFmtId="38" fontId="11" fillId="0" borderId="2" xfId="1" applyNumberFormat="1" applyFont="1" applyFill="1" applyBorder="1"/>
    <xf numFmtId="38" fontId="11" fillId="0" borderId="0" xfId="1" applyNumberFormat="1" applyFont="1" applyFill="1" applyBorder="1"/>
    <xf numFmtId="0" fontId="23" fillId="0" borderId="0" xfId="0" applyNumberFormat="1" applyFont="1" applyFill="1"/>
    <xf numFmtId="0" fontId="25" fillId="0" borderId="0" xfId="0" applyNumberFormat="1" applyFont="1" applyFill="1"/>
    <xf numFmtId="0" fontId="26" fillId="0" borderId="0" xfId="0" applyNumberFormat="1" applyFont="1" applyFill="1"/>
    <xf numFmtId="164" fontId="26" fillId="0" borderId="37" xfId="0" applyNumberFormat="1" applyFont="1" applyFill="1" applyBorder="1"/>
    <xf numFmtId="0" fontId="27" fillId="0" borderId="0" xfId="0" applyNumberFormat="1" applyFont="1" applyFill="1"/>
    <xf numFmtId="0" fontId="2" fillId="0" borderId="8" xfId="0" applyFont="1" applyBorder="1" applyAlignment="1">
      <alignment horizontal="center" wrapText="1"/>
    </xf>
    <xf numFmtId="0" fontId="2" fillId="0" borderId="0" xfId="0" quotePrefix="1" applyFont="1" applyFill="1" applyBorder="1" applyAlignment="1">
      <alignment horizontal="center" wrapText="1"/>
    </xf>
    <xf numFmtId="0" fontId="2" fillId="0" borderId="0" xfId="0" quotePrefix="1" applyFont="1" applyFill="1" applyBorder="1" applyAlignment="1">
      <alignment horizontal="center"/>
    </xf>
    <xf numFmtId="0" fontId="12" fillId="0" borderId="0" xfId="0" quotePrefix="1" applyNumberFormat="1" applyFont="1" applyBorder="1" applyAlignment="1">
      <alignment horizontal="center"/>
    </xf>
    <xf numFmtId="166" fontId="0" fillId="2" borderId="0" xfId="6" applyNumberFormat="1" applyFont="1" applyFill="1" applyBorder="1" applyAlignment="1">
      <alignment horizontal="right"/>
    </xf>
    <xf numFmtId="165" fontId="2" fillId="2" borderId="0" xfId="1" applyNumberFormat="1" applyFont="1" applyFill="1" applyBorder="1" applyAlignment="1">
      <alignment horizontal="right"/>
    </xf>
    <xf numFmtId="165" fontId="11" fillId="0" borderId="2"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1" xfId="1" applyNumberFormat="1" applyFont="1" applyFill="1" applyBorder="1" applyAlignment="1">
      <alignment horizontal="right"/>
    </xf>
    <xf numFmtId="0" fontId="2" fillId="0" borderId="0" xfId="0" applyFont="1" applyFill="1" applyBorder="1" applyAlignment="1">
      <alignment horizontal="center" wrapText="1"/>
    </xf>
    <xf numFmtId="165" fontId="2" fillId="2" borderId="0" xfId="1" quotePrefix="1" applyNumberFormat="1" applyFont="1" applyFill="1" applyBorder="1" applyAlignment="1">
      <alignment horizontal="center" wrapText="1"/>
    </xf>
    <xf numFmtId="0" fontId="2" fillId="0" borderId="0" xfId="0" applyFont="1" applyFill="1" applyBorder="1" applyAlignment="1">
      <alignment horizontal="center"/>
    </xf>
    <xf numFmtId="165" fontId="2" fillId="0" borderId="0" xfId="1" applyNumberFormat="1" applyFont="1" applyFill="1" applyBorder="1" applyAlignment="1">
      <alignment horizontal="center" wrapText="1"/>
    </xf>
    <xf numFmtId="0" fontId="2" fillId="0" borderId="8" xfId="0" applyFont="1" applyFill="1" applyBorder="1" applyAlignment="1">
      <alignment horizontal="center" wrapText="1"/>
    </xf>
    <xf numFmtId="38" fontId="2" fillId="0" borderId="0" xfId="5" applyNumberFormat="1" applyFont="1" applyBorder="1" applyAlignment="1">
      <alignment horizontal="right"/>
    </xf>
    <xf numFmtId="166" fontId="2" fillId="0" borderId="0" xfId="0" applyNumberFormat="1" applyFont="1" applyBorder="1"/>
    <xf numFmtId="166" fontId="6" fillId="0" borderId="0" xfId="0" applyNumberFormat="1" applyFont="1" applyFill="1" applyBorder="1" applyAlignment="1">
      <alignment horizontal="center"/>
    </xf>
    <xf numFmtId="0" fontId="32" fillId="9" borderId="39" xfId="0" applyFont="1" applyFill="1" applyBorder="1" applyAlignment="1">
      <alignment horizontal="center"/>
    </xf>
    <xf numFmtId="0" fontId="32" fillId="9" borderId="30" xfId="0" applyFont="1" applyFill="1" applyBorder="1" applyAlignment="1">
      <alignment horizontal="center"/>
    </xf>
    <xf numFmtId="0" fontId="32" fillId="9" borderId="24" xfId="0" applyFont="1" applyFill="1" applyBorder="1" applyAlignment="1">
      <alignment horizontal="center"/>
    </xf>
    <xf numFmtId="0" fontId="1" fillId="0" borderId="0" xfId="0" applyFont="1" applyFill="1" applyAlignment="1">
      <alignment horizontal="center"/>
    </xf>
    <xf numFmtId="0" fontId="3" fillId="0" borderId="0" xfId="0" applyFont="1" applyAlignment="1">
      <alignment horizontal="center"/>
    </xf>
    <xf numFmtId="0" fontId="10" fillId="0" borderId="0" xfId="0" applyFont="1" applyAlignment="1">
      <alignment horizontal="center"/>
    </xf>
    <xf numFmtId="0" fontId="12" fillId="0" borderId="0" xfId="3" applyFont="1" applyBorder="1" applyAlignment="1" applyProtection="1">
      <alignment horizontal="center"/>
    </xf>
    <xf numFmtId="0" fontId="3" fillId="0" borderId="0" xfId="3" applyFont="1" applyBorder="1" applyAlignment="1" applyProtection="1">
      <alignment horizontal="center"/>
    </xf>
    <xf numFmtId="0" fontId="4" fillId="0" borderId="0" xfId="3" applyFont="1" applyBorder="1" applyAlignment="1" applyProtection="1">
      <alignment horizontal="center"/>
    </xf>
    <xf numFmtId="0" fontId="2" fillId="0" borderId="0" xfId="3" applyFont="1" applyBorder="1" applyAlignment="1" applyProtection="1">
      <alignment horizontal="center"/>
    </xf>
    <xf numFmtId="0" fontId="19" fillId="2" borderId="0" xfId="0" applyFont="1" applyFill="1" applyBorder="1" applyAlignment="1">
      <alignment horizontal="center"/>
    </xf>
    <xf numFmtId="0" fontId="0" fillId="0" borderId="0" xfId="0" applyBorder="1" applyAlignment="1">
      <alignment horizontal="center"/>
    </xf>
    <xf numFmtId="165" fontId="8" fillId="0" borderId="4" xfId="1" applyNumberFormat="1" applyFont="1" applyFill="1" applyBorder="1" applyAlignment="1">
      <alignment horizontal="center" vertical="center"/>
    </xf>
    <xf numFmtId="165" fontId="8" fillId="0" borderId="0" xfId="1" applyNumberFormat="1" applyFont="1" applyFill="1" applyBorder="1" applyAlignment="1">
      <alignment horizontal="center" vertical="center"/>
    </xf>
    <xf numFmtId="0" fontId="0" fillId="0" borderId="0" xfId="0" applyAlignment="1">
      <alignment horizontal="center" vertical="center"/>
    </xf>
    <xf numFmtId="165" fontId="3" fillId="2" borderId="4" xfId="1" applyNumberFormat="1" applyFont="1" applyFill="1" applyBorder="1" applyAlignment="1">
      <alignment horizontal="center"/>
    </xf>
    <xf numFmtId="165" fontId="3" fillId="2" borderId="0" xfId="1" applyNumberFormat="1" applyFont="1" applyFill="1" applyBorder="1" applyAlignment="1">
      <alignment horizontal="center"/>
    </xf>
    <xf numFmtId="0" fontId="0" fillId="0" borderId="0" xfId="0" applyAlignment="1">
      <alignment horizontal="center"/>
    </xf>
    <xf numFmtId="165" fontId="8" fillId="4" borderId="39" xfId="1" applyNumberFormat="1" applyFont="1" applyFill="1" applyBorder="1" applyAlignment="1">
      <alignment horizontal="center" vertical="center"/>
    </xf>
    <xf numFmtId="165" fontId="8" fillId="4" borderId="30" xfId="1" applyNumberFormat="1" applyFont="1" applyFill="1" applyBorder="1" applyAlignment="1">
      <alignment horizontal="center" vertical="center"/>
    </xf>
    <xf numFmtId="0" fontId="0" fillId="0" borderId="30" xfId="0" applyBorder="1" applyAlignment="1">
      <alignment horizontal="center" vertical="center"/>
    </xf>
    <xf numFmtId="0" fontId="0" fillId="0" borderId="24" xfId="0" applyBorder="1" applyAlignment="1"/>
    <xf numFmtId="0" fontId="6" fillId="2" borderId="39" xfId="0" applyFont="1" applyFill="1" applyBorder="1" applyAlignment="1">
      <alignment horizontal="center"/>
    </xf>
    <xf numFmtId="0" fontId="6" fillId="2" borderId="30" xfId="0" applyFont="1" applyFill="1"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165" fontId="3" fillId="2" borderId="16" xfId="1" applyNumberFormat="1" applyFont="1" applyFill="1" applyBorder="1" applyAlignment="1">
      <alignment horizontal="center"/>
    </xf>
    <xf numFmtId="165" fontId="3" fillId="2" borderId="17" xfId="1" applyNumberFormat="1"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9" fillId="2" borderId="4" xfId="0" applyFont="1" applyFill="1" applyBorder="1" applyAlignment="1">
      <alignment horizontal="center"/>
    </xf>
    <xf numFmtId="165" fontId="8" fillId="4" borderId="4" xfId="1" applyNumberFormat="1" applyFont="1" applyFill="1" applyBorder="1" applyAlignment="1">
      <alignment horizontal="center" vertical="center"/>
    </xf>
    <xf numFmtId="165" fontId="8" fillId="4" borderId="0" xfId="1" applyNumberFormat="1" applyFont="1" applyFill="1" applyBorder="1" applyAlignment="1">
      <alignment horizontal="center" vertical="center"/>
    </xf>
    <xf numFmtId="165" fontId="5" fillId="2" borderId="4" xfId="1" applyNumberFormat="1" applyFont="1" applyFill="1" applyBorder="1" applyAlignment="1">
      <alignment horizontal="center"/>
    </xf>
    <xf numFmtId="165" fontId="5" fillId="2" borderId="0" xfId="1" applyNumberFormat="1" applyFont="1" applyFill="1" applyBorder="1" applyAlignment="1">
      <alignment horizontal="center"/>
    </xf>
    <xf numFmtId="0" fontId="19" fillId="2" borderId="8" xfId="0" applyFont="1" applyFill="1" applyBorder="1" applyAlignment="1">
      <alignment horizontal="center"/>
    </xf>
    <xf numFmtId="0" fontId="6" fillId="2" borderId="0" xfId="0" applyFont="1" applyFill="1" applyBorder="1" applyAlignment="1">
      <alignment horizontal="center"/>
    </xf>
    <xf numFmtId="165" fontId="8" fillId="0" borderId="16" xfId="1" applyNumberFormat="1" applyFont="1" applyFill="1" applyBorder="1" applyAlignment="1">
      <alignment horizontal="center" vertical="center"/>
    </xf>
    <xf numFmtId="165" fontId="8" fillId="0" borderId="17" xfId="1" applyNumberFormat="1" applyFont="1" applyFill="1" applyBorder="1" applyAlignment="1">
      <alignment horizontal="center" vertical="center"/>
    </xf>
    <xf numFmtId="165" fontId="8" fillId="0" borderId="18" xfId="1" applyNumberFormat="1" applyFont="1" applyFill="1" applyBorder="1" applyAlignment="1">
      <alignment horizontal="center" vertical="center"/>
    </xf>
    <xf numFmtId="165" fontId="3" fillId="2" borderId="4" xfId="1" applyNumberFormat="1" applyFont="1" applyFill="1" applyBorder="1" applyAlignment="1">
      <alignment horizontal="center" vertical="center"/>
    </xf>
    <xf numFmtId="165" fontId="3" fillId="2" borderId="0" xfId="1" applyNumberFormat="1" applyFont="1" applyFill="1" applyBorder="1" applyAlignment="1">
      <alignment horizontal="center" vertical="center"/>
    </xf>
    <xf numFmtId="165" fontId="3" fillId="2" borderId="8" xfId="1" applyNumberFormat="1" applyFont="1" applyFill="1" applyBorder="1" applyAlignment="1">
      <alignment horizontal="center" vertical="center"/>
    </xf>
    <xf numFmtId="165" fontId="8" fillId="4" borderId="16" xfId="1" applyNumberFormat="1" applyFont="1" applyFill="1" applyBorder="1" applyAlignment="1">
      <alignment horizontal="center" vertical="center"/>
    </xf>
    <xf numFmtId="165" fontId="8" fillId="4" borderId="17" xfId="1" applyNumberFormat="1" applyFont="1" applyFill="1" applyBorder="1" applyAlignment="1">
      <alignment horizontal="center" vertical="center"/>
    </xf>
    <xf numFmtId="165" fontId="8" fillId="4" borderId="18" xfId="1" applyNumberFormat="1" applyFont="1" applyFill="1" applyBorder="1" applyAlignment="1">
      <alignment horizontal="center" vertical="center"/>
    </xf>
    <xf numFmtId="165" fontId="10" fillId="2" borderId="5" xfId="1" applyNumberFormat="1" applyFont="1" applyFill="1" applyBorder="1" applyAlignment="1">
      <alignment horizontal="center"/>
    </xf>
    <xf numFmtId="165" fontId="10" fillId="2" borderId="6" xfId="1" applyNumberFormat="1" applyFont="1" applyFill="1" applyBorder="1" applyAlignment="1">
      <alignment horizontal="center"/>
    </xf>
    <xf numFmtId="165" fontId="10" fillId="2" borderId="7" xfId="1" applyNumberFormat="1" applyFont="1" applyFill="1" applyBorder="1" applyAlignment="1">
      <alignment horizontal="center"/>
    </xf>
    <xf numFmtId="0" fontId="6" fillId="2" borderId="2" xfId="0" applyFont="1" applyFill="1" applyBorder="1" applyAlignment="1">
      <alignment horizontal="center"/>
    </xf>
    <xf numFmtId="0" fontId="10" fillId="0" borderId="30" xfId="0" applyFont="1" applyFill="1" applyBorder="1" applyAlignment="1">
      <alignment horizontal="center" vertical="center"/>
    </xf>
    <xf numFmtId="0" fontId="3" fillId="0" borderId="4"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6" fillId="0" borderId="0" xfId="0" applyNumberFormat="1" applyFont="1" applyFill="1" applyBorder="1" applyAlignment="1">
      <alignment horizontal="center"/>
    </xf>
    <xf numFmtId="0" fontId="22" fillId="0" borderId="5" xfId="0" applyNumberFormat="1" applyFont="1" applyFill="1" applyBorder="1" applyAlignment="1">
      <alignment horizontal="center"/>
    </xf>
    <xf numFmtId="0" fontId="22" fillId="0" borderId="6" xfId="0" applyNumberFormat="1" applyFont="1" applyFill="1" applyBorder="1" applyAlignment="1">
      <alignment horizontal="center"/>
    </xf>
    <xf numFmtId="0" fontId="22" fillId="0" borderId="7" xfId="0" applyNumberFormat="1" applyFont="1" applyFill="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8" xfId="0" applyFont="1" applyBorder="1" applyAlignment="1">
      <alignment horizontal="center"/>
    </xf>
    <xf numFmtId="0" fontId="22" fillId="4" borderId="5" xfId="0" applyNumberFormat="1" applyFont="1" applyFill="1" applyBorder="1" applyAlignment="1">
      <alignment horizontal="center"/>
    </xf>
    <xf numFmtId="0" fontId="22" fillId="4" borderId="6" xfId="0" applyNumberFormat="1" applyFont="1" applyFill="1" applyBorder="1" applyAlignment="1">
      <alignment horizontal="center"/>
    </xf>
    <xf numFmtId="0" fontId="22" fillId="4" borderId="7" xfId="0" applyNumberFormat="1" applyFont="1" applyFill="1" applyBorder="1" applyAlignment="1">
      <alignment horizontal="center"/>
    </xf>
    <xf numFmtId="165" fontId="10" fillId="2" borderId="4" xfId="8" applyNumberFormat="1" applyFont="1" applyFill="1" applyBorder="1" applyAlignment="1">
      <alignment horizontal="center"/>
    </xf>
    <xf numFmtId="165" fontId="10" fillId="2" borderId="0" xfId="8" applyNumberFormat="1" applyFont="1" applyFill="1" applyBorder="1" applyAlignment="1">
      <alignment horizontal="center"/>
    </xf>
    <xf numFmtId="165" fontId="10" fillId="2" borderId="8" xfId="8" applyNumberFormat="1" applyFont="1" applyFill="1" applyBorder="1" applyAlignment="1">
      <alignment horizontal="center"/>
    </xf>
    <xf numFmtId="0" fontId="6" fillId="2" borderId="8" xfId="0" applyFont="1" applyFill="1" applyBorder="1" applyAlignment="1">
      <alignment horizontal="center"/>
    </xf>
    <xf numFmtId="165" fontId="28" fillId="0" borderId="5" xfId="1" applyNumberFormat="1" applyFont="1" applyFill="1" applyBorder="1" applyAlignment="1">
      <alignment horizontal="center" vertical="center"/>
    </xf>
    <xf numFmtId="165" fontId="28" fillId="0" borderId="6" xfId="1" applyNumberFormat="1" applyFont="1" applyFill="1" applyBorder="1" applyAlignment="1">
      <alignment horizontal="center" vertical="center"/>
    </xf>
    <xf numFmtId="165" fontId="28" fillId="0" borderId="7" xfId="1" applyNumberFormat="1" applyFont="1" applyFill="1" applyBorder="1" applyAlignment="1">
      <alignment horizontal="center" vertical="center"/>
    </xf>
    <xf numFmtId="0" fontId="10" fillId="0" borderId="4"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8" xfId="0" applyNumberFormat="1" applyFont="1" applyFill="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12" fillId="0" borderId="0" xfId="0" applyNumberFormat="1" applyFont="1" applyFill="1" applyBorder="1" applyAlignment="1">
      <alignment horizontal="center"/>
    </xf>
    <xf numFmtId="0" fontId="2" fillId="0" borderId="0" xfId="0" applyFont="1" applyFill="1" applyBorder="1"/>
    <xf numFmtId="0" fontId="2" fillId="0" borderId="4" xfId="0" applyFont="1" applyFill="1" applyBorder="1"/>
    <xf numFmtId="165" fontId="28" fillId="4" borderId="41" xfId="1" applyNumberFormat="1" applyFont="1" applyFill="1" applyBorder="1" applyAlignment="1">
      <alignment horizontal="center" vertical="center"/>
    </xf>
    <xf numFmtId="165" fontId="28" fillId="4" borderId="42" xfId="1" applyNumberFormat="1" applyFont="1" applyFill="1" applyBorder="1" applyAlignment="1">
      <alignment horizontal="center" vertical="center"/>
    </xf>
    <xf numFmtId="165" fontId="28" fillId="4" borderId="43" xfId="1" applyNumberFormat="1" applyFont="1" applyFill="1" applyBorder="1" applyAlignment="1">
      <alignment horizontal="center" vertical="center"/>
    </xf>
    <xf numFmtId="0"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8" xfId="0" applyNumberFormat="1" applyFont="1" applyFill="1" applyBorder="1" applyAlignment="1">
      <alignment horizontal="center"/>
    </xf>
    <xf numFmtId="165" fontId="5" fillId="2" borderId="5" xfId="1" applyNumberFormat="1" applyFont="1" applyFill="1" applyBorder="1" applyAlignment="1">
      <alignment horizontal="center"/>
    </xf>
    <xf numFmtId="165" fontId="5" fillId="2" borderId="6" xfId="1" applyNumberFormat="1" applyFont="1" applyFill="1" applyBorder="1" applyAlignment="1">
      <alignment horizontal="center"/>
    </xf>
    <xf numFmtId="165" fontId="5" fillId="2" borderId="7" xfId="1" applyNumberFormat="1" applyFont="1" applyFill="1" applyBorder="1" applyAlignment="1">
      <alignment horizontal="center"/>
    </xf>
    <xf numFmtId="165" fontId="28" fillId="4" borderId="5" xfId="1" applyNumberFormat="1" applyFont="1" applyFill="1" applyBorder="1" applyAlignment="1">
      <alignment horizontal="center" vertical="center"/>
    </xf>
    <xf numFmtId="165" fontId="28" fillId="4" borderId="6" xfId="1" applyNumberFormat="1" applyFont="1" applyFill="1" applyBorder="1" applyAlignment="1">
      <alignment horizontal="center" vertical="center"/>
    </xf>
    <xf numFmtId="165" fontId="28" fillId="4" borderId="7" xfId="1" applyNumberFormat="1" applyFont="1" applyFill="1" applyBorder="1" applyAlignment="1">
      <alignment horizontal="center" vertical="center"/>
    </xf>
    <xf numFmtId="165" fontId="11" fillId="2" borderId="5" xfId="1" applyNumberFormat="1" applyFont="1" applyFill="1" applyBorder="1" applyAlignment="1">
      <alignment horizontal="center"/>
    </xf>
    <xf numFmtId="165" fontId="11" fillId="2" borderId="6" xfId="1" applyNumberFormat="1" applyFont="1" applyFill="1" applyBorder="1" applyAlignment="1">
      <alignment horizontal="center"/>
    </xf>
    <xf numFmtId="165" fontId="11" fillId="2" borderId="7" xfId="1" applyNumberFormat="1" applyFont="1" applyFill="1" applyBorder="1" applyAlignment="1">
      <alignment horizontal="center"/>
    </xf>
    <xf numFmtId="0" fontId="3" fillId="0" borderId="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8" xfId="0" applyNumberFormat="1" applyFont="1" applyFill="1" applyBorder="1" applyAlignment="1">
      <alignment horizontal="center"/>
    </xf>
    <xf numFmtId="165" fontId="30" fillId="0" borderId="4" xfId="1" applyNumberFormat="1" applyFont="1" applyFill="1" applyBorder="1" applyAlignment="1">
      <alignment horizontal="center" vertical="center"/>
    </xf>
    <xf numFmtId="165" fontId="30" fillId="0" borderId="0" xfId="1" applyNumberFormat="1" applyFont="1" applyFill="1" applyBorder="1" applyAlignment="1">
      <alignment horizontal="center" vertical="center"/>
    </xf>
    <xf numFmtId="165" fontId="30" fillId="0" borderId="8" xfId="1" applyNumberFormat="1" applyFont="1" applyFill="1" applyBorder="1" applyAlignment="1">
      <alignment horizontal="center" vertical="center"/>
    </xf>
    <xf numFmtId="0" fontId="19" fillId="0" borderId="4"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8"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7" xfId="0" applyNumberFormat="1" applyFont="1" applyFill="1" applyBorder="1" applyAlignment="1">
      <alignment horizontal="center"/>
    </xf>
    <xf numFmtId="0" fontId="32" fillId="9" borderId="39" xfId="0" applyFont="1" applyFill="1" applyBorder="1" applyAlignment="1">
      <alignment horizontal="center"/>
    </xf>
    <xf numFmtId="0" fontId="32" fillId="9" borderId="30" xfId="0" applyFont="1" applyFill="1" applyBorder="1" applyAlignment="1">
      <alignment horizontal="center"/>
    </xf>
    <xf numFmtId="0" fontId="32" fillId="9" borderId="24" xfId="0" applyFont="1" applyFill="1" applyBorder="1" applyAlignment="1">
      <alignment horizontal="center"/>
    </xf>
    <xf numFmtId="0" fontId="35" fillId="0" borderId="2" xfId="0" applyFont="1" applyFill="1" applyBorder="1" applyAlignment="1">
      <alignment horizontal="center"/>
    </xf>
    <xf numFmtId="0" fontId="45" fillId="0" borderId="39" xfId="0" applyFont="1" applyBorder="1" applyAlignment="1">
      <alignment horizontal="center" wrapText="1"/>
    </xf>
    <xf numFmtId="0" fontId="45" fillId="0" borderId="30" xfId="0" applyFont="1" applyBorder="1" applyAlignment="1">
      <alignment horizontal="center" wrapText="1"/>
    </xf>
    <xf numFmtId="0" fontId="45" fillId="0" borderId="24" xfId="0" applyFont="1" applyBorder="1" applyAlignment="1">
      <alignment horizontal="center" wrapText="1"/>
    </xf>
    <xf numFmtId="0" fontId="47" fillId="0" borderId="0" xfId="0" applyFont="1" applyAlignment="1">
      <alignment horizontal="left" vertical="center" wrapText="1"/>
    </xf>
    <xf numFmtId="0" fontId="48" fillId="0" borderId="0" xfId="0" applyFont="1" applyAlignment="1">
      <alignment horizontal="left" vertical="center" wrapText="1" indent="3"/>
    </xf>
    <xf numFmtId="0" fontId="47" fillId="0" borderId="0" xfId="0" applyFont="1" applyAlignment="1">
      <alignment horizontal="left" vertical="center" wrapText="1" indent="2"/>
    </xf>
    <xf numFmtId="0" fontId="49" fillId="0" borderId="0" xfId="0" applyFont="1" applyAlignment="1">
      <alignment horizontal="left" vertical="center" indent="1"/>
    </xf>
    <xf numFmtId="0" fontId="2" fillId="0" borderId="0" xfId="0" applyFont="1" applyAlignment="1">
      <alignment horizontal="left" vertical="center" indent="2"/>
    </xf>
    <xf numFmtId="0" fontId="47" fillId="0" borderId="0" xfId="0" applyFont="1" applyAlignment="1">
      <alignment horizontal="left" vertical="center" indent="2"/>
    </xf>
    <xf numFmtId="0" fontId="2" fillId="0" borderId="0" xfId="0" applyFont="1" applyAlignment="1">
      <alignment horizontal="left" wrapText="1"/>
    </xf>
    <xf numFmtId="0" fontId="2" fillId="0" borderId="22" xfId="0" quotePrefix="1" applyFont="1" applyFill="1" applyBorder="1" applyAlignment="1">
      <alignment horizontal="center" wrapText="1"/>
    </xf>
    <xf numFmtId="0" fontId="33" fillId="11" borderId="39" xfId="0" applyNumberFormat="1" applyFont="1" applyFill="1" applyBorder="1" applyAlignment="1">
      <alignment horizontal="right"/>
    </xf>
    <xf numFmtId="0" fontId="33" fillId="11" borderId="30" xfId="0" applyNumberFormat="1" applyFont="1" applyFill="1" applyBorder="1" applyAlignment="1">
      <alignment horizontal="right"/>
    </xf>
    <xf numFmtId="0" fontId="33" fillId="0" borderId="30" xfId="0" applyNumberFormat="1" applyFont="1" applyFill="1" applyBorder="1" applyAlignment="1">
      <alignment horizontal="right" wrapText="1"/>
    </xf>
    <xf numFmtId="0" fontId="37" fillId="0" borderId="30" xfId="0" applyFont="1" applyBorder="1" applyAlignment="1">
      <alignment horizontal="right" wrapText="1"/>
    </xf>
    <xf numFmtId="0" fontId="33" fillId="11" borderId="24" xfId="0" applyNumberFormat="1" applyFont="1" applyFill="1" applyBorder="1" applyAlignment="1">
      <alignment horizontal="right"/>
    </xf>
    <xf numFmtId="0" fontId="35" fillId="11" borderId="39" xfId="0" applyNumberFormat="1" applyFont="1" applyFill="1" applyBorder="1"/>
    <xf numFmtId="0" fontId="35" fillId="11" borderId="30" xfId="0" applyNumberFormat="1" applyFont="1" applyFill="1" applyBorder="1"/>
    <xf numFmtId="0" fontId="35" fillId="0" borderId="30" xfId="0" applyNumberFormat="1" applyFont="1" applyFill="1" applyBorder="1" applyAlignment="1">
      <alignment horizontal="center" wrapText="1"/>
    </xf>
    <xf numFmtId="0" fontId="34" fillId="0" borderId="30" xfId="0" applyFont="1" applyBorder="1" applyAlignment="1">
      <alignment horizontal="center" wrapText="1"/>
    </xf>
    <xf numFmtId="0" fontId="35" fillId="11" borderId="24" xfId="0" applyNumberFormat="1" applyFont="1" applyFill="1" applyBorder="1"/>
    <xf numFmtId="38" fontId="38" fillId="0" borderId="46" xfId="0" applyNumberFormat="1" applyFont="1" applyFill="1" applyBorder="1" applyAlignment="1">
      <alignment horizontal="right"/>
    </xf>
    <xf numFmtId="0" fontId="37" fillId="0" borderId="46" xfId="0" applyFont="1" applyBorder="1" applyAlignment="1">
      <alignment horizontal="right"/>
    </xf>
    <xf numFmtId="0" fontId="33" fillId="0" borderId="46" xfId="0" applyNumberFormat="1" applyFont="1" applyFill="1" applyBorder="1" applyAlignment="1">
      <alignment horizontal="right" wrapText="1"/>
    </xf>
    <xf numFmtId="0" fontId="37" fillId="0" borderId="46" xfId="0" applyFont="1" applyBorder="1" applyAlignment="1">
      <alignment horizontal="right" wrapText="1"/>
    </xf>
    <xf numFmtId="166" fontId="38" fillId="0" borderId="46" xfId="5" applyNumberFormat="1" applyFont="1" applyFill="1" applyBorder="1" applyAlignment="1">
      <alignment horizontal="right"/>
    </xf>
    <xf numFmtId="171" fontId="38" fillId="0" borderId="46" xfId="0" applyNumberFormat="1" applyFont="1" applyFill="1" applyBorder="1" applyAlignment="1">
      <alignment horizontal="right"/>
    </xf>
    <xf numFmtId="9" fontId="38" fillId="0" borderId="46" xfId="5" applyNumberFormat="1" applyFont="1" applyFill="1" applyBorder="1" applyAlignment="1">
      <alignment horizontal="right"/>
    </xf>
    <xf numFmtId="164" fontId="38" fillId="0" borderId="46" xfId="0" applyNumberFormat="1" applyFont="1" applyFill="1" applyBorder="1" applyAlignment="1">
      <alignment horizontal="right"/>
    </xf>
    <xf numFmtId="38" fontId="37" fillId="0" borderId="46" xfId="0" applyNumberFormat="1" applyFont="1" applyBorder="1" applyAlignment="1">
      <alignment horizontal="right" wrapText="1"/>
    </xf>
    <xf numFmtId="3" fontId="37" fillId="0" borderId="46" xfId="0" applyNumberFormat="1" applyFont="1" applyBorder="1" applyAlignment="1">
      <alignment horizontal="right" wrapText="1"/>
    </xf>
    <xf numFmtId="0" fontId="37" fillId="0" borderId="46" xfId="0" applyNumberFormat="1" applyFont="1" applyFill="1" applyBorder="1" applyAlignment="1">
      <alignment horizontal="right" wrapText="1"/>
    </xf>
    <xf numFmtId="38" fontId="37" fillId="0" borderId="46" xfId="0" applyNumberFormat="1" applyFont="1" applyBorder="1" applyAlignment="1">
      <alignment horizontal="right"/>
    </xf>
    <xf numFmtId="38" fontId="38" fillId="0" borderId="46" xfId="5" applyNumberFormat="1" applyFont="1" applyFill="1" applyBorder="1" applyAlignment="1">
      <alignment horizontal="right"/>
    </xf>
    <xf numFmtId="0" fontId="35" fillId="0" borderId="26" xfId="0" applyFont="1" applyFill="1" applyBorder="1" applyAlignment="1">
      <alignment horizontal="centerContinuous"/>
    </xf>
    <xf numFmtId="0" fontId="34" fillId="0" borderId="2" xfId="0" applyFont="1" applyFill="1" applyBorder="1" applyAlignment="1">
      <alignment horizontal="centerContinuous"/>
    </xf>
    <xf numFmtId="0" fontId="34" fillId="0" borderId="26" xfId="0" applyFont="1" applyFill="1" applyBorder="1" applyAlignment="1">
      <alignment horizontal="centerContinuous"/>
    </xf>
    <xf numFmtId="0" fontId="34" fillId="0" borderId="23" xfId="0" applyFont="1" applyFill="1" applyBorder="1" applyAlignment="1">
      <alignment horizontal="centerContinuous"/>
    </xf>
    <xf numFmtId="0" fontId="33" fillId="11" borderId="39" xfId="0" applyFont="1" applyFill="1" applyBorder="1"/>
    <xf numFmtId="0" fontId="33" fillId="11" borderId="24" xfId="0" applyFont="1" applyFill="1" applyBorder="1"/>
    <xf numFmtId="0" fontId="31" fillId="0" borderId="39" xfId="0" applyFont="1" applyBorder="1"/>
    <xf numFmtId="0" fontId="31" fillId="0" borderId="30" xfId="0" applyFont="1" applyBorder="1"/>
    <xf numFmtId="0" fontId="34" fillId="0" borderId="24" xfId="0" applyFont="1" applyFill="1" applyBorder="1"/>
  </cellXfs>
  <cellStyles count="13">
    <cellStyle name="Comma" xfId="1" builtinId="3"/>
    <cellStyle name="Comma 2" xfId="8"/>
    <cellStyle name="Currency 2" xfId="4"/>
    <cellStyle name="Hyperlink" xfId="12" builtinId="8"/>
    <cellStyle name="Normal" xfId="0" builtinId="0"/>
    <cellStyle name="Normal 12" xfId="11"/>
    <cellStyle name="Normal 2" xfId="7"/>
    <cellStyle name="Normal 33" xfId="9"/>
    <cellStyle name="Normal 34" xfId="10"/>
    <cellStyle name="Normal_B04H32" xfId="3"/>
    <cellStyle name="Percent" xfId="2" builtinId="5"/>
    <cellStyle name="Percent 2" xfId="5"/>
    <cellStyle name="Percent 3"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oneCellAnchor>
    <xdr:from>
      <xdr:col>5</xdr:col>
      <xdr:colOff>365760</xdr:colOff>
      <xdr:row>5</xdr:row>
      <xdr:rowOff>9524</xdr:rowOff>
    </xdr:from>
    <xdr:ext cx="3909060" cy="8090536"/>
    <xdr:sp macro="" textlink="">
      <xdr:nvSpPr>
        <xdr:cNvPr id="2" name="TextBox 1"/>
        <xdr:cNvSpPr txBox="1"/>
      </xdr:nvSpPr>
      <xdr:spPr>
        <a:xfrm>
          <a:off x="11468100" y="1373504"/>
          <a:ext cx="3909060" cy="809053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Notes to Support Assumptions:</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76200</xdr:colOff>
      <xdr:row>25</xdr:row>
      <xdr:rowOff>76200</xdr:rowOff>
    </xdr:from>
    <xdr:to>
      <xdr:col>6</xdr:col>
      <xdr:colOff>0</xdr:colOff>
      <xdr:row>51</xdr:row>
      <xdr:rowOff>114300</xdr:rowOff>
    </xdr:to>
    <xdr:sp macro="" textlink="">
      <xdr:nvSpPr>
        <xdr:cNvPr id="2" name="Freeform 4"/>
        <xdr:cNvSpPr>
          <a:spLocks/>
        </xdr:cNvSpPr>
      </xdr:nvSpPr>
      <xdr:spPr bwMode="auto">
        <a:xfrm>
          <a:off x="4886325" y="4676775"/>
          <a:ext cx="238125" cy="5048250"/>
        </a:xfrm>
        <a:custGeom>
          <a:avLst/>
          <a:gdLst>
            <a:gd name="T0" fmla="*/ 0 w 91"/>
            <a:gd name="T1" fmla="*/ 2147483647 h 489"/>
            <a:gd name="T2" fmla="*/ 2147483647 w 91"/>
            <a:gd name="T3" fmla="*/ 2147483647 h 489"/>
            <a:gd name="T4" fmla="*/ 2147483647 w 91"/>
            <a:gd name="T5" fmla="*/ 0 h 489"/>
            <a:gd name="T6" fmla="*/ 2147483647 w 91"/>
            <a:gd name="T7" fmla="*/ 0 h 48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1" h="489">
              <a:moveTo>
                <a:pt x="0" y="489"/>
              </a:moveTo>
              <a:lnTo>
                <a:pt x="91" y="489"/>
              </a:lnTo>
              <a:lnTo>
                <a:pt x="91" y="0"/>
              </a:lnTo>
              <a:lnTo>
                <a:pt x="1" y="0"/>
              </a:ln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OME\HOSP\ACT%2003\ACT03H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OA\GMCB\GMCB%20-%20Shared\HCA-Special\HOME\HOSP\ACT12\ACT12RPT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OME\HOSP\B2011\B11PRO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AOA\GMCB\GMCB%20-%20Shared\HCA-Special\HOME\HOSP\CON%20reviews\BMH\BMH-CON_Table_5-Statement%20of%20Cashflow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AOA\GMCB\GMCB%20-%20Shared\HCA-Special\HOME\HOSP\CON%20reviews\BMH\BMH%20CON_Table_6_PAYER_Gross_to_NP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OA\GMCB\GMCB%20-%20Shared\HCA-Special\HOME\HOSP\CON%20reviews\BMH\BMH%20CON_Table_8-STAFFING_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L"/>
      <sheetName val="UTIL"/>
      <sheetName val="STAFF"/>
      <sheetName val="STAT"/>
      <sheetName val="PAYER"/>
      <sheetName val="CAP"/>
      <sheetName val="PTREV"/>
      <sheetName val="OPREV"/>
      <sheetName val="EXP"/>
      <sheetName val="COMP"/>
      <sheetName val="MD"/>
      <sheetName val="NONSAL"/>
      <sheetName val="UNRBS"/>
      <sheetName val="RBS"/>
      <sheetName val="FUND"/>
      <sheetName val="IPSTAT"/>
      <sheetName val="OPSTAT"/>
      <sheetName val="FTE"/>
      <sheetName val="RATE"/>
      <sheetName val="CAPDET"/>
      <sheetName val="PHYS"/>
      <sheetName val="VOLCOST"/>
      <sheetName val="BUDACT"/>
      <sheetName val="ANALYSIS"/>
      <sheetName val="BSREC"/>
      <sheetName val="ISREC"/>
      <sheetName val="EDITS"/>
      <sheetName val="EDITSB"/>
      <sheetName val="CostShift"/>
      <sheetName val="CostShif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missions - Inpatient"/>
      <sheetName val="Births for Month"/>
      <sheetName val="Case Mix Index -All Ages"/>
      <sheetName val="Case Mix Index -Age Over 65"/>
      <sheetName val="Case Mix Index -Age Under 65"/>
      <sheetName val="Cath Lab Procedures"/>
      <sheetName val="Discharges - IP"/>
      <sheetName val="Emer Dept Visit Vols"/>
      <sheetName val="Financial Sys Admissions"/>
      <sheetName val="FTEs - Overtime "/>
      <sheetName val="FTEs - Paid"/>
      <sheetName val="FTEs - Productive"/>
      <sheetName val="Hospital OP Visits"/>
      <sheetName val="LOS -All IP Discharges"/>
      <sheetName val="LOS -Medicare IP (Prelim)"/>
      <sheetName val="OR Case Hours - IP"/>
      <sheetName val="OR Case Hours - OP"/>
      <sheetName val="OR Case Volumes - IP"/>
      <sheetName val="OR Case Volumes - OP"/>
      <sheetName val="Patient Days - Adjusted"/>
      <sheetName val="Patient Days - CMI Adjusted "/>
      <sheetName val="Patient Days - IP"/>
      <sheetName val="Patient Days-Rehab"/>
      <sheetName val="Patient Days-Nursery"/>
      <sheetName val="Patient Days-NICU"/>
      <sheetName val="Professional  Worked RVUs"/>
      <sheetName val="Professional Visits"/>
      <sheetName val="Professional Revenue "/>
      <sheetName val="Revenue Prof-IP-OP Gross"/>
      <sheetName val="Walk In Center Visits"/>
      <sheetName val="FY Budget Items"/>
      <sheetName val="Data Descriptions"/>
      <sheetName val="Adjusted Discharges"/>
      <sheetName val="ADC - IP"/>
      <sheetName val="TOTAL -Adjusted Occ Bed"/>
      <sheetName val="Inst-AOB"/>
      <sheetName val="Adjusted Patient Days"/>
      <sheetName val="Inst-APD"/>
      <sheetName val="Admissions - Outpatient"/>
      <sheetName val="Case Mix Index -All FSCs"/>
      <sheetName val="Case Mix Index -All Ex Newborns"/>
      <sheetName val="Case Mix Index -Medicare Only"/>
      <sheetName val="CMI -Medicare wo Psych_Rehab"/>
      <sheetName val="Case Mix Index -Non-Medicare"/>
      <sheetName val="Discharge Time Goals IP"/>
      <sheetName val="FTEs - Reg Productive"/>
      <sheetName val="FTEs - Travelers"/>
      <sheetName val="LOS -IN Pat Types"/>
      <sheetName val="OR Case Hours - IP_OP Combined"/>
      <sheetName val="OR Cases - IP_OP Combined"/>
      <sheetName val="Patient Days - OP"/>
      <sheetName val="Patient Days - Combined"/>
      <sheetName val="Patient Days-IP Psych"/>
      <sheetName val="Adjusted Occ Bed"/>
      <sheetName val="Data Summary"/>
      <sheetName val="OR SUMMARY DATA"/>
      <sheetName val="Maj_Min Proc Rm Hrs-IP_OP Comb"/>
      <sheetName val="Maj_Min Procedure Hrs - IP"/>
      <sheetName val="Maj_Min Procedure Hrs - OP"/>
      <sheetName val="Maj_Min Proc Cases-IP-OP Comb"/>
      <sheetName val="Maj_Min Proc Cases - IP"/>
      <sheetName val="Maj_Min Proc Cases - OP"/>
      <sheetName val="FTEs - Paid with Physicians"/>
      <sheetName val="FTEs - Paid wo Physicians"/>
      <sheetName val="FTEs - Staff Reg Productive"/>
      <sheetName val="Sheet1"/>
      <sheetName val="EP Services CC1427"/>
      <sheetName val="PeriOp Total Volumes"/>
      <sheetName val=" PeriOp MCHV OR Volumes"/>
      <sheetName val="PeriOp MCHV Proc Rm Volumes"/>
      <sheetName val="PeriOp FAH OR Volumes"/>
      <sheetName val="PeriOp FAH Proc Rm Volumes"/>
      <sheetName val="FTEs 06"/>
      <sheetName val="Imported Data-Revenue"/>
      <sheetName val="LOS Data"/>
      <sheetName val="Imported Data-Births for Month"/>
      <sheetName val="Discharge Time"/>
      <sheetName val="BVIS_RVU_Imported_Data"/>
      <sheetName val="Chart Names &amp; Titles"/>
      <sheetName val="Imported Data-Census Inpatient"/>
      <sheetName val="Imported Data-Census Outpatient"/>
      <sheetName val="Imported Picis"/>
      <sheetName val="Imported Data-Budget"/>
      <sheetName val="CMI Data"/>
      <sheetName val="FTEs 07"/>
      <sheetName val="Nursing Station Census IP"/>
      <sheetName val="Nursing Station Census OP"/>
      <sheetName val="Nursing Station Census Both"/>
      <sheetName val="Admissions - Inst Adjusted"/>
      <sheetName val="PeriOp MCHV OR Volumes"/>
      <sheetName val="Professional Total RVUs"/>
      <sheetName val="F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sheetData sheetId="92"/>
      <sheetData sheetId="9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sheetName val="RPT7"/>
      <sheetName val="SUM1"/>
      <sheetName val="SUM2"/>
      <sheetName val="SUM3"/>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PAGE 41"/>
      <sheetName val="PAGE 42"/>
      <sheetName val="PAGE 43"/>
      <sheetName val="PAGE 44"/>
      <sheetName val="TypeLookup"/>
      <sheetName val="PAGE 45"/>
      <sheetName val="PAGE 46"/>
      <sheetName val="PAGE 47"/>
      <sheetName val="PAGE 48"/>
      <sheetName val="PAGE 49"/>
      <sheetName val="PAGE 50"/>
      <sheetName val="PAGE 51"/>
      <sheetName val="PAGE 52"/>
      <sheetName val="PAGE 53"/>
      <sheetName val="PAGE 54"/>
      <sheetName val="PAGE 55"/>
      <sheetName val="PAGE 56"/>
      <sheetName val="edits1"/>
      <sheetName val="edits2"/>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GENERAL"/>
      <sheetName val="SUMMARY"/>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FORMULAS"/>
      <sheetName val="EDITS"/>
      <sheetName val="page 11-40ed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Vermont Community Hospitals</v>
          </cell>
        </row>
        <row r="2">
          <cell r="A2" t="str">
            <v>PRODUCTIVITY STATISTICS</v>
          </cell>
        </row>
        <row r="5">
          <cell r="A5" t="str">
            <v>FISCAL YEAR 2008 ACTUAL</v>
          </cell>
        </row>
        <row r="6">
          <cell r="B6" t="str">
            <v>Adjusted</v>
          </cell>
          <cell r="C6" t="str">
            <v>FTE per 100</v>
          </cell>
          <cell r="D6" t="str">
            <v>FTE Per</v>
          </cell>
          <cell r="E6" t="str">
            <v>Overhead Expense</v>
          </cell>
          <cell r="F6" t="str">
            <v/>
          </cell>
          <cell r="G6" t="str">
            <v>Overhead Expense w/Fringe</v>
          </cell>
        </row>
        <row r="7">
          <cell r="B7" t="str">
            <v>Admission</v>
          </cell>
          <cell r="C7" t="str">
            <v>Adjusted</v>
          </cell>
          <cell r="D7" t="str">
            <v>Adjusted</v>
          </cell>
          <cell r="E7" t="str">
            <v>as a % of</v>
          </cell>
          <cell r="F7" t="str">
            <v>Return</v>
          </cell>
          <cell r="G7" t="str">
            <v>as a % of</v>
          </cell>
        </row>
        <row r="8">
          <cell r="A8" t="str">
            <v>Provider</v>
          </cell>
          <cell r="B8" t="str">
            <v>Per FTE</v>
          </cell>
          <cell r="C8" t="str">
            <v>Admissions</v>
          </cell>
          <cell r="D8" t="str">
            <v>Occupied Bed</v>
          </cell>
          <cell r="E8" t="str">
            <v>Total Operating Expense</v>
          </cell>
          <cell r="F8" t="str">
            <v>on assets</v>
          </cell>
          <cell r="G8" t="str">
            <v>Total Operating Expense</v>
          </cell>
        </row>
        <row r="10">
          <cell r="A10" t="str">
            <v>Brattleboro Memorial Hospital</v>
          </cell>
          <cell r="B10">
            <v>20.373979838630643</v>
          </cell>
          <cell r="C10">
            <v>4.9082212111740802</v>
          </cell>
          <cell r="D10">
            <v>4.7476725451917625</v>
          </cell>
          <cell r="E10">
            <v>0.24050510381984866</v>
          </cell>
          <cell r="F10">
            <v>5.4760312534654389E-2</v>
          </cell>
          <cell r="G10">
            <v>0.27775428364669291</v>
          </cell>
        </row>
        <row r="11">
          <cell r="A11" t="str">
            <v>Central Vermont Hospital</v>
          </cell>
          <cell r="B11">
            <v>15.470079282354298</v>
          </cell>
          <cell r="C11">
            <v>6.464090983299835</v>
          </cell>
          <cell r="D11">
            <v>5.3737737410815685</v>
          </cell>
          <cell r="E11">
            <v>0.18359963281868052</v>
          </cell>
          <cell r="F11">
            <v>-1.2872227109244773E-2</v>
          </cell>
          <cell r="G11">
            <v>0.21602784519287824</v>
          </cell>
        </row>
        <row r="12">
          <cell r="A12" t="str">
            <v>Copley Hospital</v>
          </cell>
          <cell r="B12">
            <v>20.336337241121406</v>
          </cell>
          <cell r="C12">
            <v>4.9173063376325921</v>
          </cell>
          <cell r="D12">
            <v>5.7148175127031138</v>
          </cell>
          <cell r="E12">
            <v>0.22698974516118914</v>
          </cell>
          <cell r="F12">
            <v>6.9374120829606756E-2</v>
          </cell>
          <cell r="G12">
            <v>0.25353485756507704</v>
          </cell>
        </row>
        <row r="13">
          <cell r="A13" t="str">
            <v>Fletcher Allen Health Care</v>
          </cell>
          <cell r="B13">
            <v>14.177111188063902</v>
          </cell>
          <cell r="C13">
            <v>7.0536231728359962</v>
          </cell>
          <cell r="D13">
            <v>4.8257531766883037</v>
          </cell>
          <cell r="E13">
            <v>0.21950585765873454</v>
          </cell>
          <cell r="F13">
            <v>-1.6684947030594813E-2</v>
          </cell>
          <cell r="G13">
            <v>0.24821979974307867</v>
          </cell>
        </row>
        <row r="14">
          <cell r="A14" t="str">
            <v>Gifford Medical Center</v>
          </cell>
          <cell r="B14">
            <v>16.832457521505756</v>
          </cell>
          <cell r="C14">
            <v>5.9409031552425651</v>
          </cell>
          <cell r="D14">
            <v>7.1755095991453048</v>
          </cell>
          <cell r="E14">
            <v>0.19276412501868131</v>
          </cell>
          <cell r="F14">
            <v>3.6097653759893995E-2</v>
          </cell>
          <cell r="G14">
            <v>0.22320818047197924</v>
          </cell>
        </row>
        <row r="15">
          <cell r="A15" t="str">
            <v>Grace Cottage Hospital</v>
          </cell>
          <cell r="B15">
            <v>24.351248618134907</v>
          </cell>
          <cell r="C15">
            <v>4.1065656044235777</v>
          </cell>
          <cell r="D15">
            <v>4.9616849412892501</v>
          </cell>
          <cell r="E15">
            <v>0.28473345547710249</v>
          </cell>
          <cell r="F15">
            <v>2.0366820671519889E-2</v>
          </cell>
          <cell r="G15">
            <v>0.34290612495552114</v>
          </cell>
        </row>
        <row r="16">
          <cell r="A16" t="str">
            <v>Mount Ascutney Hospital</v>
          </cell>
          <cell r="B16">
            <v>17.018599856993333</v>
          </cell>
          <cell r="C16">
            <v>5.8759240384224505</v>
          </cell>
          <cell r="D16">
            <v>6.3135560309240351</v>
          </cell>
          <cell r="E16">
            <v>0.23664613095153247</v>
          </cell>
          <cell r="F16">
            <v>-3.5498922861740764E-2</v>
          </cell>
          <cell r="G16">
            <v>0.28664481750403642</v>
          </cell>
        </row>
        <row r="17">
          <cell r="A17" t="str">
            <v>North Country Hospital</v>
          </cell>
          <cell r="B17">
            <v>20.893344753953283</v>
          </cell>
          <cell r="C17">
            <v>4.7862130825692111</v>
          </cell>
          <cell r="D17">
            <v>5.4827798261499625</v>
          </cell>
          <cell r="E17">
            <v>0.1817306974758959</v>
          </cell>
          <cell r="F17">
            <v>1.8883954641489373E-2</v>
          </cell>
          <cell r="G17">
            <v>0.22242971162223885</v>
          </cell>
        </row>
        <row r="18">
          <cell r="A18" t="str">
            <v>Northeastern VT Regional Hospital</v>
          </cell>
          <cell r="B18">
            <v>18.773121983565968</v>
          </cell>
          <cell r="C18">
            <v>5.3267645140504714</v>
          </cell>
          <cell r="D18">
            <v>6.7444042931856885</v>
          </cell>
          <cell r="E18">
            <v>0.19529015649206585</v>
          </cell>
          <cell r="F18">
            <v>-5.5483752681332689E-2</v>
          </cell>
          <cell r="G18">
            <v>0.24503877331498844</v>
          </cell>
        </row>
        <row r="19">
          <cell r="A19" t="str">
            <v>Northwestern Medical Center</v>
          </cell>
          <cell r="B19">
            <v>20.241126343252621</v>
          </cell>
          <cell r="C19">
            <v>4.9404365302692259</v>
          </cell>
          <cell r="D19">
            <v>5.6661164268599622</v>
          </cell>
          <cell r="E19">
            <v>0.24509806372147361</v>
          </cell>
          <cell r="F19">
            <v>-2.237391516176326E-2</v>
          </cell>
          <cell r="G19">
            <v>0.27204668668326742</v>
          </cell>
        </row>
        <row r="20">
          <cell r="A20" t="str">
            <v>Porter Medical Center</v>
          </cell>
          <cell r="B20">
            <v>19.333024414069357</v>
          </cell>
          <cell r="C20">
            <v>5.1724964422652002</v>
          </cell>
          <cell r="D20">
            <v>5.8443653947497651</v>
          </cell>
          <cell r="E20">
            <v>0.22571984999082659</v>
          </cell>
          <cell r="F20">
            <v>6.407322320177461E-3</v>
          </cell>
          <cell r="G20">
            <v>0.25398473848443903</v>
          </cell>
        </row>
        <row r="21">
          <cell r="A21" t="str">
            <v>Rutland Regional Medical Center</v>
          </cell>
          <cell r="B21">
            <v>15.669865697193744</v>
          </cell>
          <cell r="C21">
            <v>6.3816756271184012</v>
          </cell>
          <cell r="D21">
            <v>5.0569937981428907</v>
          </cell>
          <cell r="E21">
            <v>0.25639871342765735</v>
          </cell>
          <cell r="F21">
            <v>-5.5492064921502444E-2</v>
          </cell>
          <cell r="G21">
            <v>0.29669483631674093</v>
          </cell>
        </row>
        <row r="22">
          <cell r="A22" t="str">
            <v>Southwestern Vermont Medical Center</v>
          </cell>
          <cell r="B22">
            <v>15.311667597773296</v>
          </cell>
          <cell r="C22">
            <v>6.5309672745601217</v>
          </cell>
          <cell r="D22">
            <v>6.2928873995721117</v>
          </cell>
          <cell r="E22">
            <v>0.30708372583601024</v>
          </cell>
          <cell r="F22">
            <v>-3.1226487722590852E-2</v>
          </cell>
          <cell r="G22">
            <v>0.34210896131466439</v>
          </cell>
        </row>
        <row r="23">
          <cell r="A23" t="str">
            <v>Springfield Hospital</v>
          </cell>
          <cell r="B23">
            <v>27.736988134233517</v>
          </cell>
          <cell r="C23">
            <v>3.6052941118209629</v>
          </cell>
          <cell r="D23">
            <v>3.158292165773303</v>
          </cell>
          <cell r="E23">
            <v>0.21815043780630303</v>
          </cell>
          <cell r="F23">
            <v>1.7858047408315255E-2</v>
          </cell>
          <cell r="G23">
            <v>0.24422146468965847</v>
          </cell>
        </row>
        <row r="25">
          <cell r="A25" t="str">
            <v>SYSTEM</v>
          </cell>
          <cell r="B25">
            <v>15.684733993087264</v>
          </cell>
          <cell r="C25">
            <v>6.3756261371135157</v>
          </cell>
          <cell r="D25">
            <v>5.2095789520523068</v>
          </cell>
          <cell r="E25">
            <v>0.22645173139605804</v>
          </cell>
          <cell r="F25">
            <v>-1.388920143321702E-2</v>
          </cell>
          <cell r="G25">
            <v>0.25907177080879751</v>
          </cell>
        </row>
        <row r="26">
          <cell r="A26" t="str">
            <v>MEDIAN</v>
          </cell>
          <cell r="B26">
            <v>19.053073198817664</v>
          </cell>
          <cell r="C26">
            <v>5.2496304781578358</v>
          </cell>
          <cell r="D26">
            <v>5.5744481265049624</v>
          </cell>
          <cell r="E26">
            <v>0.22635479757600785</v>
          </cell>
          <cell r="F26">
            <v>-3.232452394533656E-3</v>
          </cell>
          <cell r="G26">
            <v>0.25375979802475801</v>
          </cell>
        </row>
        <row r="27">
          <cell r="A27" t="str">
            <v>MEDIAN - Critical Access Hospitals</v>
          </cell>
          <cell r="B27">
            <v>19.834680827595381</v>
          </cell>
          <cell r="C27">
            <v>5.0449013899488957</v>
          </cell>
          <cell r="D27">
            <v>5.7795914537264395</v>
          </cell>
          <cell r="E27">
            <v>0.22193514389856481</v>
          </cell>
          <cell r="F27">
            <v>1.8371001024902314E-2</v>
          </cell>
          <cell r="G27">
            <v>0.24928681544003273</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sheetName val="Report Data"/>
      <sheetName val="Report Info"/>
    </sheetNames>
    <sheetDataSet>
      <sheetData sheetId="0"/>
      <sheetData sheetId="1">
        <row r="1">
          <cell r="A1" t="str">
            <v/>
          </cell>
          <cell r="B1" t="str">
            <v>2014</v>
          </cell>
          <cell r="C1" t="str">
            <v>2015</v>
          </cell>
          <cell r="D1" t="str">
            <v>2016</v>
          </cell>
        </row>
        <row r="2">
          <cell r="A2" t="str">
            <v/>
          </cell>
          <cell r="B2" t="str">
            <v>Actuals</v>
          </cell>
          <cell r="C2" t="str">
            <v>Actuals</v>
          </cell>
          <cell r="D2" t="str">
            <v>Budget 2016 Approved</v>
          </cell>
        </row>
        <row r="3">
          <cell r="A3" t="str">
            <v>Accounts</v>
          </cell>
          <cell r="B3">
            <v>0</v>
          </cell>
          <cell r="C3">
            <v>0</v>
          </cell>
          <cell r="D3">
            <v>0</v>
          </cell>
        </row>
        <row r="4">
          <cell r="A4" t="str">
            <v>Cash Flow</v>
          </cell>
          <cell r="B4">
            <v>0</v>
          </cell>
          <cell r="C4">
            <v>0</v>
          </cell>
          <cell r="D4">
            <v>0</v>
          </cell>
        </row>
        <row r="5">
          <cell r="A5" t="str">
            <v xml:space="preserve">  [CF_Cash_From_Ops] Cash From Operations</v>
          </cell>
          <cell r="B5">
            <v>0</v>
          </cell>
          <cell r="C5">
            <v>0</v>
          </cell>
          <cell r="D5">
            <v>0</v>
          </cell>
        </row>
        <row r="6">
          <cell r="A6" t="str">
            <v xml:space="preserve">    [CF_Excess_Rev_Over_Exp] Excess Revenue Over Expense</v>
          </cell>
          <cell r="B6">
            <v>9185015.4699999895</v>
          </cell>
          <cell r="C6">
            <v>3216332.9599999669</v>
          </cell>
          <cell r="D6">
            <v>717782.00000005227</v>
          </cell>
        </row>
        <row r="7">
          <cell r="A7" t="str">
            <v xml:space="preserve">    [CF_Depr_Amort] Depreciation/Amortization</v>
          </cell>
          <cell r="B7">
            <v>4047524.0500000003</v>
          </cell>
          <cell r="C7">
            <v>4266138.1100000003</v>
          </cell>
          <cell r="D7">
            <v>4371699</v>
          </cell>
        </row>
        <row r="8">
          <cell r="A8" t="str">
            <v xml:space="preserve">    [CF_Patient_A_R] Patient A/R</v>
          </cell>
          <cell r="B8">
            <v>-518557.00000000093</v>
          </cell>
          <cell r="C8">
            <v>614963.26000000164</v>
          </cell>
          <cell r="D8">
            <v>-694156</v>
          </cell>
        </row>
        <row r="9">
          <cell r="A9" t="str">
            <v xml:space="preserve">    [Other_Chgs_Ops] Other Changes</v>
          </cell>
          <cell r="B9">
            <v>-7417394.4499999974</v>
          </cell>
          <cell r="C9">
            <v>2142589.5600000015</v>
          </cell>
          <cell r="D9">
            <v>254245</v>
          </cell>
        </row>
        <row r="10">
          <cell r="A10" t="str">
            <v xml:space="preserve">  [CF_Cash_From_Ops] Total Cash From Operations</v>
          </cell>
          <cell r="B10">
            <v>5296588.0699999928</v>
          </cell>
          <cell r="C10">
            <v>10240023.889999971</v>
          </cell>
          <cell r="D10">
            <v>4649570.0000000522</v>
          </cell>
        </row>
        <row r="11">
          <cell r="A11" t="str">
            <v xml:space="preserve">  [CF_Cash_From_Investing_Activity] Cash From Investing Activity</v>
          </cell>
          <cell r="B11">
            <v>0</v>
          </cell>
          <cell r="C11">
            <v>0</v>
          </cell>
          <cell r="D11">
            <v>0</v>
          </cell>
        </row>
        <row r="12">
          <cell r="A12" t="str">
            <v xml:space="preserve">    [CF_Cap_Spending] Capital Spending</v>
          </cell>
          <cell r="B12">
            <v>0</v>
          </cell>
          <cell r="C12">
            <v>0</v>
          </cell>
          <cell r="D12">
            <v>0</v>
          </cell>
        </row>
        <row r="13">
          <cell r="A13" t="str">
            <v xml:space="preserve">      [CF_Cap_] Capital</v>
          </cell>
          <cell r="B13">
            <v>0</v>
          </cell>
          <cell r="C13">
            <v>0</v>
          </cell>
          <cell r="D13">
            <v>0</v>
          </cell>
        </row>
        <row r="14">
          <cell r="A14" t="str">
            <v xml:space="preserve">      [CF_Capized_Interest] Capitalized Interest</v>
          </cell>
          <cell r="B14">
            <v>0</v>
          </cell>
          <cell r="C14">
            <v>0</v>
          </cell>
          <cell r="D14">
            <v>0</v>
          </cell>
        </row>
        <row r="15">
          <cell r="A15" t="str">
            <v xml:space="preserve">      [CF_Change_in_Accum_Depr_Less_Depr] Change in Accum Depr Less Depreciation</v>
          </cell>
          <cell r="B15">
            <v>-2914833.4000000134</v>
          </cell>
          <cell r="C15">
            <v>-3575729.3899999782</v>
          </cell>
          <cell r="D15">
            <v>-85648</v>
          </cell>
        </row>
        <row r="16">
          <cell r="A16" t="str">
            <v xml:space="preserve">      [CF_Change_in_Cap_Assets] Change in Capital  Assets</v>
          </cell>
          <cell r="B16">
            <v>-1295289.590000011</v>
          </cell>
          <cell r="C16">
            <v>258272.29000001401</v>
          </cell>
          <cell r="D16">
            <v>-1886157</v>
          </cell>
        </row>
        <row r="17">
          <cell r="A17" t="str">
            <v xml:space="preserve">    [CF_Cap_Spending] Total Capital Spending</v>
          </cell>
          <cell r="B17">
            <v>-4210122.9900000244</v>
          </cell>
          <cell r="C17">
            <v>-3317457.0999999642</v>
          </cell>
          <cell r="D17">
            <v>-1971805</v>
          </cell>
        </row>
        <row r="18">
          <cell r="A18" t="str">
            <v xml:space="preserve">    [CF_Increase_Decrease] (Increase)/Decrease</v>
          </cell>
          <cell r="B18">
            <v>0</v>
          </cell>
          <cell r="C18">
            <v>0</v>
          </cell>
          <cell r="D18">
            <v>0</v>
          </cell>
        </row>
        <row r="19">
          <cell r="A19" t="str">
            <v xml:space="preserve">      [CF_Funded_Depr] Funded Depreciation</v>
          </cell>
          <cell r="B19">
            <v>245680.33999999985</v>
          </cell>
          <cell r="C19">
            <v>-6257502.8100000024</v>
          </cell>
          <cell r="D19">
            <v>-7000000</v>
          </cell>
        </row>
        <row r="20">
          <cell r="A20" t="str">
            <v xml:space="preserve">      [CF_Other_LT_Assets_Escrowed_Bonds_Other] Other LT Assets &amp; Escrowed Bonds &amp; Other</v>
          </cell>
          <cell r="B20">
            <v>-748.6699999999837</v>
          </cell>
          <cell r="C20">
            <v>-408948.82</v>
          </cell>
          <cell r="D20">
            <v>-2101</v>
          </cell>
        </row>
        <row r="21">
          <cell r="A21" t="str">
            <v xml:space="preserve">    [CF_Increase_Decrease] Total (Increase)/Decrease</v>
          </cell>
          <cell r="B21">
            <v>244931.66999999806</v>
          </cell>
          <cell r="C21">
            <v>-6666451.6300000027</v>
          </cell>
          <cell r="D21">
            <v>-7002101</v>
          </cell>
        </row>
        <row r="22">
          <cell r="A22" t="str">
            <v xml:space="preserve">  [CF_Cash_From_Investing_Activity] Total Cash From Investing Activity</v>
          </cell>
          <cell r="B22">
            <v>-3965191.3200000226</v>
          </cell>
          <cell r="C22">
            <v>-9983908.7299999669</v>
          </cell>
          <cell r="D22">
            <v>-8973906</v>
          </cell>
        </row>
        <row r="23">
          <cell r="A23" t="str">
            <v xml:space="preserve">  [CF_Financing_Activity] Financing Activity</v>
          </cell>
          <cell r="B23">
            <v>0</v>
          </cell>
          <cell r="C23">
            <v>0</v>
          </cell>
          <cell r="D23">
            <v>0</v>
          </cell>
        </row>
        <row r="24">
          <cell r="A24" t="str">
            <v xml:space="preserve">    [CF_Debt] Debt</v>
          </cell>
          <cell r="B24">
            <v>0</v>
          </cell>
          <cell r="C24">
            <v>0</v>
          </cell>
          <cell r="D24">
            <v>0</v>
          </cell>
        </row>
        <row r="25">
          <cell r="A25" t="str">
            <v xml:space="preserve">      [CF_Bonds_Mortgages] Bonds &amp; Mortgages</v>
          </cell>
          <cell r="B25">
            <v>-458508.71000000089</v>
          </cell>
          <cell r="C25">
            <v>-470000</v>
          </cell>
          <cell r="D25">
            <v>-1395000</v>
          </cell>
        </row>
        <row r="26">
          <cell r="A26" t="str">
            <v xml:space="preserve">      [CF_Repayment] Repayment</v>
          </cell>
          <cell r="B26">
            <v>0</v>
          </cell>
          <cell r="C26">
            <v>0</v>
          </cell>
          <cell r="D26">
            <v>0</v>
          </cell>
        </row>
        <row r="27">
          <cell r="A27" t="str">
            <v xml:space="preserve">      [CF_Cap_Lease_Other_LT_Debt] Capital Lease &amp; Other Long Term Debt</v>
          </cell>
          <cell r="B27">
            <v>-73699.310000000056</v>
          </cell>
          <cell r="C27">
            <v>51737.830000000075</v>
          </cell>
          <cell r="D27">
            <v>31796</v>
          </cell>
        </row>
        <row r="28">
          <cell r="A28" t="str">
            <v xml:space="preserve">    [CF_Debt] Total Debt</v>
          </cell>
          <cell r="B28">
            <v>-532208.01999999955</v>
          </cell>
          <cell r="C28">
            <v>-418262.16999999993</v>
          </cell>
          <cell r="D28">
            <v>-1363204</v>
          </cell>
        </row>
        <row r="29">
          <cell r="A29" t="str">
            <v xml:space="preserve">  [CF_Financing_Activity] Total Financing Activity</v>
          </cell>
          <cell r="B29">
            <v>-532208.01999999955</v>
          </cell>
          <cell r="C29">
            <v>-418262.16999999993</v>
          </cell>
          <cell r="D29">
            <v>-1363204</v>
          </cell>
        </row>
        <row r="30">
          <cell r="A30" t="str">
            <v xml:space="preserve">  [CF_Other_Chg] Other Changes</v>
          </cell>
          <cell r="B30">
            <v>0</v>
          </cell>
          <cell r="C30">
            <v>0</v>
          </cell>
          <cell r="D30">
            <v>0</v>
          </cell>
        </row>
        <row r="31">
          <cell r="A31" t="str">
            <v xml:space="preserve">    [CF_Manual_Adjustment] Manual Adjustment</v>
          </cell>
          <cell r="B31">
            <v>0</v>
          </cell>
          <cell r="C31">
            <v>0</v>
          </cell>
          <cell r="D31">
            <v>0</v>
          </cell>
        </row>
        <row r="32">
          <cell r="A32" t="str">
            <v xml:space="preserve">    [CF_Other] Other</v>
          </cell>
          <cell r="B32">
            <v>0</v>
          </cell>
          <cell r="C32">
            <v>0</v>
          </cell>
          <cell r="D32">
            <v>0</v>
          </cell>
        </row>
        <row r="33">
          <cell r="A33" t="str">
            <v xml:space="preserve">    [CF_Change_in_Fund_Bal_Less_Net_Income] Change in Fund Balance Less Net Income</v>
          </cell>
          <cell r="B33">
            <v>748.80999999493361</v>
          </cell>
          <cell r="C33">
            <v>408949.07000000775</v>
          </cell>
          <cell r="D33">
            <v>5301318.8499999568</v>
          </cell>
        </row>
        <row r="34">
          <cell r="A34" t="str">
            <v xml:space="preserve">  [CF_Other_Chg] Total Other Changes</v>
          </cell>
          <cell r="B34">
            <v>748.80999999493361</v>
          </cell>
          <cell r="C34">
            <v>408949.07000000775</v>
          </cell>
          <cell r="D34">
            <v>5301318.8499999568</v>
          </cell>
        </row>
        <row r="35">
          <cell r="A35" t="str">
            <v xml:space="preserve">  [CF_Beginning_Cash] Beginning Cash</v>
          </cell>
          <cell r="B35">
            <v>1601054.6397435875</v>
          </cell>
          <cell r="C35">
            <v>2400992.0662152059</v>
          </cell>
          <cell r="D35">
            <v>2737458.0786430272</v>
          </cell>
        </row>
        <row r="36">
          <cell r="A36" t="str">
            <v xml:space="preserve">  [CF_Net_Increase_Decrease_in_Cash] Net Increase/(Decrease) in Cash</v>
          </cell>
          <cell r="B36">
            <v>799937.53999997862</v>
          </cell>
          <cell r="C36">
            <v>246802.06000000215</v>
          </cell>
          <cell r="D36">
            <v>-386221.1499999885</v>
          </cell>
        </row>
        <row r="37">
          <cell r="A37" t="str">
            <v xml:space="preserve">  [CF_Ending_Cash] Ending Cash</v>
          </cell>
          <cell r="B37">
            <v>2400992.0899999738</v>
          </cell>
          <cell r="C37">
            <v>2647794.1499999762</v>
          </cell>
          <cell r="D37">
            <v>2351237.0000000494</v>
          </cell>
        </row>
        <row r="38">
          <cell r="A38" t="str">
            <v>[Cash_Investments] Cash &amp; Investments</v>
          </cell>
          <cell r="B38">
            <v>2400992.34</v>
          </cell>
          <cell r="C38">
            <v>2647794.14</v>
          </cell>
          <cell r="D38">
            <v>2351237</v>
          </cell>
        </row>
        <row r="39">
          <cell r="A39" t="str">
            <v>Accounts</v>
          </cell>
          <cell r="B39">
            <v>0</v>
          </cell>
          <cell r="C39">
            <v>0</v>
          </cell>
          <cell r="D39">
            <v>0</v>
          </cell>
        </row>
        <row r="40">
          <cell r="A40" t="str">
            <v>[Assets] Assets</v>
          </cell>
          <cell r="B40">
            <v>0</v>
          </cell>
          <cell r="C40">
            <v>0</v>
          </cell>
          <cell r="D40">
            <v>0</v>
          </cell>
        </row>
        <row r="41">
          <cell r="A41" t="str">
            <v xml:space="preserve">  [Current_Assets] Current Assets</v>
          </cell>
          <cell r="B41">
            <v>0</v>
          </cell>
          <cell r="C41">
            <v>0</v>
          </cell>
          <cell r="D41">
            <v>0</v>
          </cell>
        </row>
        <row r="42">
          <cell r="A42" t="str">
            <v xml:space="preserve">    [Cash_Investments] Cash &amp; Investments</v>
          </cell>
          <cell r="B42">
            <v>2400992.34</v>
          </cell>
          <cell r="C42">
            <v>2647794.14</v>
          </cell>
          <cell r="D42">
            <v>2351237</v>
          </cell>
        </row>
        <row r="43">
          <cell r="A43" t="str">
            <v xml:space="preserve">    [Patient_Accts_Rec_Gross] Patient Accounts Receivable, Gross</v>
          </cell>
          <cell r="B43">
            <v>10647098.210000001</v>
          </cell>
          <cell r="C43">
            <v>10528906.109999999</v>
          </cell>
          <cell r="D43">
            <v>12150914</v>
          </cell>
        </row>
        <row r="44">
          <cell r="A44" t="str">
            <v xml:space="preserve">    [Less_Allowance_For_Uncollectible_Accts] Less: Allowance For Uncollectible Accts</v>
          </cell>
          <cell r="B44">
            <v>-4769578.54</v>
          </cell>
          <cell r="C44">
            <v>-5266349.7</v>
          </cell>
          <cell r="D44">
            <v>-6328601</v>
          </cell>
        </row>
        <row r="45">
          <cell r="A45" t="str">
            <v xml:space="preserve">    [Due_From_Third_Parties] Due From Third Parties</v>
          </cell>
          <cell r="B45">
            <v>0</v>
          </cell>
          <cell r="C45">
            <v>0</v>
          </cell>
          <cell r="D45">
            <v>0</v>
          </cell>
        </row>
        <row r="46">
          <cell r="A46" t="str">
            <v xml:space="preserve">    [Other_Current_Assets] Other Current Assets</v>
          </cell>
          <cell r="B46">
            <v>9034828.5500000007</v>
          </cell>
          <cell r="C46">
            <v>7460839.8799999999</v>
          </cell>
          <cell r="D46">
            <v>3527045</v>
          </cell>
        </row>
        <row r="47">
          <cell r="A47" t="str">
            <v xml:space="preserve">  [Current_Assets] Total Current Assets</v>
          </cell>
          <cell r="B47">
            <v>17313340.560000002</v>
          </cell>
          <cell r="C47">
            <v>15371190.43</v>
          </cell>
          <cell r="D47">
            <v>11700595</v>
          </cell>
        </row>
        <row r="48">
          <cell r="A48" t="str">
            <v xml:space="preserve">  [Fixed_Assets] Fixed Assets</v>
          </cell>
          <cell r="B48">
            <v>0</v>
          </cell>
          <cell r="C48">
            <v>0</v>
          </cell>
          <cell r="D48">
            <v>0</v>
          </cell>
        </row>
        <row r="49">
          <cell r="A49" t="str">
            <v xml:space="preserve">  [Board_Designated_Assets] Board Designated Assets</v>
          </cell>
          <cell r="B49">
            <v>0</v>
          </cell>
          <cell r="C49">
            <v>0</v>
          </cell>
          <cell r="D49">
            <v>0</v>
          </cell>
        </row>
        <row r="50">
          <cell r="A50" t="str">
            <v xml:space="preserve">    [Funded_Depr] Funded Depreciation</v>
          </cell>
          <cell r="B50">
            <v>28944250.140000001</v>
          </cell>
          <cell r="C50">
            <v>35201752.950000003</v>
          </cell>
          <cell r="D50">
            <v>34000000</v>
          </cell>
        </row>
        <row r="51">
          <cell r="A51" t="str">
            <v xml:space="preserve">    [Escrowed_Bond_Funds] Escrowed Bond Funds</v>
          </cell>
          <cell r="B51">
            <v>0</v>
          </cell>
          <cell r="C51">
            <v>0</v>
          </cell>
          <cell r="D51">
            <v>0</v>
          </cell>
        </row>
        <row r="52">
          <cell r="A52" t="str">
            <v xml:space="preserve">    [Other] Other</v>
          </cell>
          <cell r="B52">
            <v>453969.67</v>
          </cell>
          <cell r="C52">
            <v>862918.49</v>
          </cell>
          <cell r="D52">
            <v>469731</v>
          </cell>
        </row>
        <row r="53">
          <cell r="A53" t="str">
            <v xml:space="preserve">  [Board_Designated_Assets] Total Board Designated Assets</v>
          </cell>
          <cell r="B53">
            <v>29398219.810000002</v>
          </cell>
          <cell r="C53">
            <v>36064671.440000005</v>
          </cell>
          <cell r="D53">
            <v>34469731</v>
          </cell>
        </row>
        <row r="54">
          <cell r="A54" t="str">
            <v xml:space="preserve">  [LongTerm_Assets] Long Term Assets</v>
          </cell>
          <cell r="B54">
            <v>0</v>
          </cell>
          <cell r="C54">
            <v>0</v>
          </cell>
          <cell r="D54">
            <v>0</v>
          </cell>
        </row>
        <row r="55">
          <cell r="A55" t="str">
            <v xml:space="preserve">    [Net_Property_Plant_And_Equip] Net, Property, Plant And Equipment</v>
          </cell>
          <cell r="B55">
            <v>0</v>
          </cell>
          <cell r="C55">
            <v>0</v>
          </cell>
          <cell r="D55">
            <v>0</v>
          </cell>
        </row>
        <row r="56">
          <cell r="A56" t="str">
            <v xml:space="preserve">      [Gross_Property_Plant_And_Equip] Gross, Property, Plant And Equipment</v>
          </cell>
          <cell r="B56">
            <v>0</v>
          </cell>
          <cell r="C56">
            <v>0</v>
          </cell>
          <cell r="D56">
            <v>0</v>
          </cell>
        </row>
        <row r="57">
          <cell r="A57" t="str">
            <v xml:space="preserve">        [Land_Buildings_Improvements] Land, Buildings &amp; Improvements</v>
          </cell>
          <cell r="B57">
            <v>41155672.469999999</v>
          </cell>
          <cell r="C57">
            <v>41369307.810000002</v>
          </cell>
          <cell r="D57">
            <v>41838534</v>
          </cell>
        </row>
        <row r="58">
          <cell r="A58" t="str">
            <v xml:space="preserve">        [Construction_In_Progress] Construction In Progress</v>
          </cell>
          <cell r="B58">
            <v>65648.38</v>
          </cell>
          <cell r="C58">
            <v>276308.23</v>
          </cell>
          <cell r="D58">
            <v>0</v>
          </cell>
        </row>
        <row r="59">
          <cell r="A59" t="str">
            <v xml:space="preserve">        [Major_Movable_Equip] Major Movable Equipment</v>
          </cell>
          <cell r="B59">
            <v>20834013.66</v>
          </cell>
          <cell r="C59">
            <v>20195850.559999999</v>
          </cell>
          <cell r="D59">
            <v>28430310</v>
          </cell>
        </row>
        <row r="60">
          <cell r="A60" t="str">
            <v xml:space="preserve">        [Fixed_Equip] Fixed Equipment</v>
          </cell>
          <cell r="B60">
            <v>2038322.95</v>
          </cell>
          <cell r="C60">
            <v>1993918.57</v>
          </cell>
          <cell r="D60">
            <v>3100956</v>
          </cell>
        </row>
        <row r="61">
          <cell r="A61" t="str">
            <v xml:space="preserve">      [Gross_Property_Plant_And_Equip] Total Gross, Property, Plant And Equipment</v>
          </cell>
          <cell r="B61">
            <v>64093657.460000008</v>
          </cell>
          <cell r="C61">
            <v>63835385.169999994</v>
          </cell>
          <cell r="D61">
            <v>73369800</v>
          </cell>
        </row>
        <row r="62">
          <cell r="A62" t="str">
            <v xml:space="preserve">      [Accumulated_Depr] Accumulated Depreciation</v>
          </cell>
          <cell r="B62">
            <v>0</v>
          </cell>
          <cell r="C62">
            <v>0</v>
          </cell>
          <cell r="D62">
            <v>0</v>
          </cell>
        </row>
        <row r="63">
          <cell r="A63" t="str">
            <v xml:space="preserve">        [Depr_Land_Buildings_Improvements] Land, Buildings &amp; Improvements</v>
          </cell>
          <cell r="B63">
            <v>-20086243.27</v>
          </cell>
          <cell r="C63">
            <v>-21585019.510000002</v>
          </cell>
          <cell r="D63">
            <v>-23938684</v>
          </cell>
        </row>
        <row r="64">
          <cell r="A64" t="str">
            <v xml:space="preserve">        [Equip_Fixed] Equipment - Fixed</v>
          </cell>
          <cell r="B64">
            <v>-729566.01</v>
          </cell>
          <cell r="C64">
            <v>-945564.5</v>
          </cell>
          <cell r="D64">
            <v>-1384054</v>
          </cell>
        </row>
        <row r="65">
          <cell r="A65" t="str">
            <v xml:space="preserve">        [Equip_Major_Moveable] Equipment - Major Moveable</v>
          </cell>
          <cell r="B65">
            <v>-14939882.66</v>
          </cell>
          <cell r="C65">
            <v>-13915516.65</v>
          </cell>
          <cell r="D65">
            <v>-19669768</v>
          </cell>
        </row>
        <row r="66">
          <cell r="A66" t="str">
            <v xml:space="preserve">      [Accumulated_Depr] Total Accumulated Depreciation</v>
          </cell>
          <cell r="B66">
            <v>-35755691.939999998</v>
          </cell>
          <cell r="C66">
            <v>-36446100.660000004</v>
          </cell>
          <cell r="D66">
            <v>-44992506</v>
          </cell>
        </row>
        <row r="67">
          <cell r="A67" t="str">
            <v xml:space="preserve">    [Net_Property_Plant_And_Equip] Total Net, Property, Plant And Equipment</v>
          </cell>
          <cell r="B67">
            <v>28337965.520000014</v>
          </cell>
          <cell r="C67">
            <v>27389284.509999998</v>
          </cell>
          <cell r="D67">
            <v>28377294</v>
          </cell>
        </row>
        <row r="68">
          <cell r="A68" t="str">
            <v xml:space="preserve">  [LongTerm_Assets] Total Long Term Assets</v>
          </cell>
          <cell r="B68">
            <v>28337965.520000014</v>
          </cell>
          <cell r="C68">
            <v>27389284.509999998</v>
          </cell>
          <cell r="D68">
            <v>28377294</v>
          </cell>
        </row>
        <row r="69">
          <cell r="A69" t="str">
            <v xml:space="preserve">  [Other_LT_Assets] Other Long-Term Assets</v>
          </cell>
          <cell r="B69">
            <v>0</v>
          </cell>
          <cell r="C69">
            <v>0</v>
          </cell>
          <cell r="D69">
            <v>0</v>
          </cell>
        </row>
        <row r="70">
          <cell r="A70" t="str">
            <v>[Assets] Total Assets</v>
          </cell>
          <cell r="B70">
            <v>75049525.890000001</v>
          </cell>
          <cell r="C70">
            <v>78825146.379999995</v>
          </cell>
          <cell r="D70">
            <v>74547620</v>
          </cell>
        </row>
        <row r="71">
          <cell r="A71" t="str">
            <v>[Liabilities_Equities] Liabilities and Equities</v>
          </cell>
          <cell r="B71">
            <v>0</v>
          </cell>
          <cell r="C71">
            <v>0</v>
          </cell>
          <cell r="D71">
            <v>0</v>
          </cell>
        </row>
        <row r="72">
          <cell r="A72" t="str">
            <v xml:space="preserve">  [Liabilities] Liabilities</v>
          </cell>
          <cell r="B72">
            <v>0</v>
          </cell>
          <cell r="C72">
            <v>0</v>
          </cell>
          <cell r="D72">
            <v>0</v>
          </cell>
        </row>
        <row r="73">
          <cell r="A73" t="str">
            <v xml:space="preserve">    [Current_Liabilities] Current Liabilities</v>
          </cell>
          <cell r="B73">
            <v>0</v>
          </cell>
          <cell r="C73">
            <v>0</v>
          </cell>
          <cell r="D73">
            <v>0</v>
          </cell>
        </row>
        <row r="74">
          <cell r="A74" t="str">
            <v xml:space="preserve">      [Accts_Payable] Accounts Payable</v>
          </cell>
          <cell r="B74">
            <v>2139733.0299999998</v>
          </cell>
          <cell r="C74">
            <v>2709511.52</v>
          </cell>
          <cell r="D74">
            <v>2740306</v>
          </cell>
        </row>
        <row r="75">
          <cell r="A75" t="str">
            <v xml:space="preserve">      [Salaries_Wages_Payroll_Taxes_Payable] Salaries, Wages And Payroll Taxes Payable</v>
          </cell>
          <cell r="B75">
            <v>4258681.5</v>
          </cell>
          <cell r="C75">
            <v>4489206.67</v>
          </cell>
          <cell r="D75">
            <v>4160061</v>
          </cell>
        </row>
        <row r="76">
          <cell r="A76" t="str">
            <v xml:space="preserve">      [Est_3rd_Party_Settlements] Estimated Third-Party Settlements</v>
          </cell>
          <cell r="B76">
            <v>4096752.75</v>
          </cell>
          <cell r="C76">
            <v>3744092.64</v>
          </cell>
          <cell r="D76">
            <v>3000000</v>
          </cell>
        </row>
        <row r="77">
          <cell r="A77" t="str">
            <v xml:space="preserve">      [Other_Current_Liabilities] Other Current Liabilities</v>
          </cell>
          <cell r="B77">
            <v>2730451.06</v>
          </cell>
          <cell r="C77">
            <v>2839656.58</v>
          </cell>
          <cell r="D77">
            <v>2500000</v>
          </cell>
        </row>
        <row r="78">
          <cell r="A78" t="str">
            <v xml:space="preserve">      [Current_Portion_Of_LT_Debt] Current Portion Of Long-Term Debt</v>
          </cell>
          <cell r="B78">
            <v>458248.18</v>
          </cell>
          <cell r="C78">
            <v>470000</v>
          </cell>
          <cell r="D78">
            <v>470000</v>
          </cell>
        </row>
        <row r="79">
          <cell r="A79" t="str">
            <v xml:space="preserve">    [Current_Liabilities] Total Current Liabilities</v>
          </cell>
          <cell r="B79">
            <v>13683866.52</v>
          </cell>
          <cell r="C79">
            <v>14252467.41</v>
          </cell>
          <cell r="D79">
            <v>12870367</v>
          </cell>
        </row>
        <row r="80">
          <cell r="A80" t="str">
            <v xml:space="preserve">    [LongTerm_Liabilities] Long Term Liabilities</v>
          </cell>
          <cell r="B80">
            <v>0</v>
          </cell>
          <cell r="C80">
            <v>0</v>
          </cell>
          <cell r="D80">
            <v>0</v>
          </cell>
        </row>
        <row r="81">
          <cell r="A81" t="str">
            <v xml:space="preserve">      [LT_Debt] Long-Term Debt</v>
          </cell>
          <cell r="B81">
            <v>0</v>
          </cell>
          <cell r="C81">
            <v>0</v>
          </cell>
          <cell r="D81">
            <v>0</v>
          </cell>
        </row>
        <row r="82">
          <cell r="A82" t="str">
            <v xml:space="preserve">        [Bonds_Mortgages_Payable] Bonds &amp; Mortgages Payable</v>
          </cell>
          <cell r="B82">
            <v>8535000</v>
          </cell>
          <cell r="C82">
            <v>8065000</v>
          </cell>
          <cell r="D82">
            <v>7595000</v>
          </cell>
        </row>
        <row r="83">
          <cell r="A83" t="str">
            <v xml:space="preserve">        [Capital_Lease_Obligations] Capital Lease Obligations</v>
          </cell>
          <cell r="B83">
            <v>0</v>
          </cell>
          <cell r="C83">
            <v>0</v>
          </cell>
          <cell r="D83">
            <v>0</v>
          </cell>
        </row>
        <row r="84">
          <cell r="A84" t="str">
            <v xml:space="preserve">        [Other_LT_Debt] Other Long-Term Debt</v>
          </cell>
          <cell r="B84">
            <v>605024.48</v>
          </cell>
          <cell r="C84">
            <v>656762.31000000006</v>
          </cell>
          <cell r="D84">
            <v>662527</v>
          </cell>
        </row>
        <row r="85">
          <cell r="A85" t="str">
            <v xml:space="preserve">      [LT_Debt] Total Long-Term Debt</v>
          </cell>
          <cell r="B85">
            <v>9140024.4800000004</v>
          </cell>
          <cell r="C85">
            <v>8721762.3100000005</v>
          </cell>
          <cell r="D85">
            <v>8257527</v>
          </cell>
        </row>
        <row r="86">
          <cell r="A86" t="str">
            <v xml:space="preserve">    [LongTerm_Liabilities] Total Long Term Liabilities</v>
          </cell>
          <cell r="B86">
            <v>9140024.4800000004</v>
          </cell>
          <cell r="C86">
            <v>8721762.3100000005</v>
          </cell>
          <cell r="D86">
            <v>8257527</v>
          </cell>
        </row>
        <row r="87">
          <cell r="A87" t="str">
            <v xml:space="preserve">    [Other_Noncurrent_Liabilities] Other Noncurrent Liabilities</v>
          </cell>
          <cell r="B87">
            <v>0</v>
          </cell>
          <cell r="C87">
            <v>0</v>
          </cell>
          <cell r="D87">
            <v>0</v>
          </cell>
        </row>
        <row r="88">
          <cell r="A88" t="str">
            <v xml:space="preserve">  [Liabilities] Total Liabilities</v>
          </cell>
          <cell r="B88">
            <v>22823891</v>
          </cell>
          <cell r="C88">
            <v>22974229.719999999</v>
          </cell>
          <cell r="D88">
            <v>21127894</v>
          </cell>
        </row>
        <row r="89">
          <cell r="A89" t="str">
            <v xml:space="preserve">  [Fund_Balance] Fund Balance</v>
          </cell>
          <cell r="B89">
            <v>0</v>
          </cell>
          <cell r="C89">
            <v>0</v>
          </cell>
          <cell r="D89">
            <v>0</v>
          </cell>
        </row>
        <row r="90">
          <cell r="A90" t="str">
            <v xml:space="preserve">    [Net_Assets] Net Assets</v>
          </cell>
          <cell r="B90">
            <v>43040619.170000002</v>
          </cell>
          <cell r="C90">
            <v>52634583.710000001</v>
          </cell>
          <cell r="D90">
            <v>52701944</v>
          </cell>
        </row>
        <row r="91">
          <cell r="A91" t="str">
            <v xml:space="preserve">    [YTD_Change_In_Net_Assets] YTD Change In Net Assets</v>
          </cell>
          <cell r="B91">
            <v>9185015.4699999895</v>
          </cell>
          <cell r="C91">
            <v>3216332.9599999669</v>
          </cell>
          <cell r="D91">
            <v>717782.00000005227</v>
          </cell>
        </row>
        <row r="92">
          <cell r="A92" t="str">
            <v xml:space="preserve">  [Fund_Balance] Total Fund Balance</v>
          </cell>
          <cell r="B92">
            <v>52225634.639999993</v>
          </cell>
          <cell r="C92">
            <v>55850916.669999965</v>
          </cell>
          <cell r="D92">
            <v>53419726.000000052</v>
          </cell>
        </row>
        <row r="93">
          <cell r="A93" t="str">
            <v>[Liabilities_Equities] Total Liabilities and Equities</v>
          </cell>
          <cell r="B93">
            <v>75049525.639999986</v>
          </cell>
          <cell r="C93">
            <v>78825146.389999971</v>
          </cell>
          <cell r="D93">
            <v>74547620.00000006</v>
          </cell>
        </row>
        <row r="94">
          <cell r="A94" t="str">
            <v>[Exp_Depr_Amort] Depreciation Amortization</v>
          </cell>
          <cell r="B94">
            <v>4047524.0500000003</v>
          </cell>
          <cell r="C94">
            <v>4266138.1100000003</v>
          </cell>
          <cell r="D94">
            <v>4371699</v>
          </cell>
        </row>
        <row r="95">
          <cell r="A95" t="str">
            <v>[Excess_Rev_Over_Exp] Excess (Deficit) of Revenue Over Expense</v>
          </cell>
          <cell r="B95">
            <v>9185015.4699999541</v>
          </cell>
          <cell r="C95">
            <v>3216332.9599999636</v>
          </cell>
          <cell r="D95">
            <v>717782.00000007462</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er"/>
      <sheetName val="Report Data"/>
      <sheetName val="Report Info"/>
    </sheetNames>
    <sheetDataSet>
      <sheetData sheetId="0" refreshError="1"/>
      <sheetData sheetId="1" refreshError="1">
        <row r="158">
          <cell r="C158">
            <v>71512772.839999974</v>
          </cell>
          <cell r="D158">
            <v>75742920.329999968</v>
          </cell>
          <cell r="E158">
            <v>73896151.00000003</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Report Data"/>
      <sheetName val="Report Info"/>
    </sheetNames>
    <sheetDataSet>
      <sheetData sheetId="0"/>
      <sheetData sheetId="1">
        <row r="1">
          <cell r="A1" t="str">
            <v/>
          </cell>
          <cell r="B1" t="str">
            <v/>
          </cell>
          <cell r="C1" t="str">
            <v/>
          </cell>
          <cell r="D1" t="str">
            <v>2014</v>
          </cell>
          <cell r="F1" t="str">
            <v>2016</v>
          </cell>
        </row>
        <row r="2">
          <cell r="A2" t="str">
            <v/>
          </cell>
          <cell r="B2" t="str">
            <v/>
          </cell>
          <cell r="C2" t="str">
            <v/>
          </cell>
          <cell r="D2" t="str">
            <v>Actuals</v>
          </cell>
          <cell r="F2" t="str">
            <v>Budget 2016 Approved</v>
          </cell>
        </row>
        <row r="3">
          <cell r="A3" t="str">
            <v>Department</v>
          </cell>
          <cell r="B3" t="str">
            <v>Accounts</v>
          </cell>
          <cell r="C3" t="str">
            <v>FTE Class</v>
          </cell>
          <cell r="D3">
            <v>0</v>
          </cell>
          <cell r="F3">
            <v>0</v>
          </cell>
        </row>
        <row r="4">
          <cell r="A4" t="str">
            <v>General Services (Rollup)</v>
          </cell>
          <cell r="B4" t="str">
            <v>[StaffFTE.FT_Equiv] FT Equivalents (Heads)</v>
          </cell>
          <cell r="C4" t="str">
            <v>Physician FTEs</v>
          </cell>
          <cell r="D4">
            <v>1.5</v>
          </cell>
          <cell r="F4">
            <v>1.6499999999999997</v>
          </cell>
        </row>
        <row r="5">
          <cell r="A5" t="str">
            <v>Inpatient Routine Services (Rollup)</v>
          </cell>
          <cell r="B5" t="str">
            <v>[StaffFTE.FT_Equiv] FT Equivalents (Heads)</v>
          </cell>
          <cell r="C5" t="str">
            <v>Physician FTEs</v>
          </cell>
          <cell r="D5">
            <v>4.1000000000000005</v>
          </cell>
          <cell r="F5">
            <v>4.4500000000000011</v>
          </cell>
        </row>
        <row r="6">
          <cell r="A6" t="str">
            <v>Outpatient Routine Services (Rollup)</v>
          </cell>
          <cell r="B6" t="str">
            <v>[StaffFTE.FT_Equiv] FT Equivalents (Heads)</v>
          </cell>
          <cell r="C6" t="str">
            <v>Physician FTEs</v>
          </cell>
          <cell r="D6">
            <v>32.100000000000009</v>
          </cell>
          <cell r="F6">
            <v>40.959999999999994</v>
          </cell>
        </row>
        <row r="7">
          <cell r="A7" t="str">
            <v>Ancillary Services (Rollup)</v>
          </cell>
          <cell r="B7" t="str">
            <v>[StaffFTE.FT_Equiv] FT Equivalents (Heads)</v>
          </cell>
          <cell r="C7" t="str">
            <v>Physician FTEs</v>
          </cell>
          <cell r="D7">
            <v>0.70000000000000007</v>
          </cell>
          <cell r="F7">
            <v>6.75</v>
          </cell>
        </row>
        <row r="8">
          <cell r="A8" t="str">
            <v>Other Services</v>
          </cell>
          <cell r="B8" t="str">
            <v>[StaffFTE.FT_Equiv] FT Equivalents (Heads)</v>
          </cell>
          <cell r="C8" t="str">
            <v>Physician FTEs</v>
          </cell>
          <cell r="D8">
            <v>0</v>
          </cell>
          <cell r="F8">
            <v>0</v>
          </cell>
        </row>
        <row r="9">
          <cell r="A9" t="str">
            <v>Physician Office Practice Services (Rollup)</v>
          </cell>
          <cell r="B9" t="str">
            <v>[StaffFTE.FT_Equiv] FT Equivalents (Heads)</v>
          </cell>
          <cell r="C9" t="str">
            <v>Physician FTEs</v>
          </cell>
          <cell r="D9">
            <v>0</v>
          </cell>
          <cell r="F9">
            <v>0</v>
          </cell>
        </row>
        <row r="10">
          <cell r="A10" t="str">
            <v>Department (Uncategorized)</v>
          </cell>
          <cell r="B10" t="str">
            <v>[StaffFTE.FT_Equiv] FT Equivalents (Heads)</v>
          </cell>
          <cell r="C10" t="str">
            <v>Physician FTEs</v>
          </cell>
          <cell r="D10">
            <v>0</v>
          </cell>
          <cell r="F10">
            <v>0</v>
          </cell>
        </row>
        <row r="11">
          <cell r="A11" t="str">
            <v>Department (Rollup)</v>
          </cell>
          <cell r="B11" t="str">
            <v>[StaffFTE.FT_Equiv] FT Equivalents (Heads)</v>
          </cell>
          <cell r="C11" t="str">
            <v>Physician FTEs</v>
          </cell>
          <cell r="D11">
            <v>38.4</v>
          </cell>
          <cell r="F11">
            <v>53.81</v>
          </cell>
        </row>
        <row r="12">
          <cell r="A12" t="str">
            <v>Department</v>
          </cell>
          <cell r="B12" t="str">
            <v>Accounts</v>
          </cell>
          <cell r="C12" t="str">
            <v>FTE Class</v>
          </cell>
          <cell r="D12">
            <v>0</v>
          </cell>
          <cell r="F12">
            <v>0</v>
          </cell>
        </row>
        <row r="13">
          <cell r="A13" t="str">
            <v>General Services (Rollup)</v>
          </cell>
          <cell r="B13" t="str">
            <v>[StaffFTE.FT_Equiv] FT Equivalents (Heads)</v>
          </cell>
          <cell r="C13" t="str">
            <v>Travelers</v>
          </cell>
          <cell r="D13">
            <v>0</v>
          </cell>
          <cell r="F13">
            <v>0</v>
          </cell>
        </row>
        <row r="14">
          <cell r="A14" t="str">
            <v>Inpatient Routine Services (Rollup)</v>
          </cell>
          <cell r="B14" t="str">
            <v>[StaffFTE.FT_Equiv] FT Equivalents (Heads)</v>
          </cell>
          <cell r="C14" t="str">
            <v>Travelers</v>
          </cell>
          <cell r="D14">
            <v>0</v>
          </cell>
          <cell r="F14">
            <v>0</v>
          </cell>
        </row>
        <row r="15">
          <cell r="A15" t="str">
            <v>Outpatient Routine Services (Rollup)</v>
          </cell>
          <cell r="B15" t="str">
            <v>[StaffFTE.FT_Equiv] FT Equivalents (Heads)</v>
          </cell>
          <cell r="C15" t="str">
            <v>Travelers</v>
          </cell>
          <cell r="D15">
            <v>0</v>
          </cell>
          <cell r="F15">
            <v>0</v>
          </cell>
        </row>
        <row r="16">
          <cell r="A16" t="str">
            <v>Ancillary Services (Rollup)</v>
          </cell>
          <cell r="B16" t="str">
            <v>[StaffFTE.FT_Equiv] FT Equivalents (Heads)</v>
          </cell>
          <cell r="C16" t="str">
            <v>Travelers</v>
          </cell>
          <cell r="D16">
            <v>0</v>
          </cell>
          <cell r="F16">
            <v>0</v>
          </cell>
        </row>
        <row r="17">
          <cell r="A17" t="str">
            <v>Other Services</v>
          </cell>
          <cell r="B17" t="str">
            <v>[StaffFTE.FT_Equiv] FT Equivalents (Heads)</v>
          </cell>
          <cell r="C17" t="str">
            <v>Travelers</v>
          </cell>
          <cell r="D17">
            <v>0</v>
          </cell>
          <cell r="F17">
            <v>0</v>
          </cell>
        </row>
        <row r="18">
          <cell r="A18" t="str">
            <v>Physician Office Practice Services (Rollup)</v>
          </cell>
          <cell r="B18" t="str">
            <v>[StaffFTE.FT_Equiv] FT Equivalents (Heads)</v>
          </cell>
          <cell r="C18" t="str">
            <v>Travelers</v>
          </cell>
          <cell r="D18">
            <v>0</v>
          </cell>
          <cell r="F18">
            <v>0</v>
          </cell>
        </row>
        <row r="19">
          <cell r="A19" t="str">
            <v>Department (Uncategorized)</v>
          </cell>
          <cell r="B19" t="str">
            <v>[StaffFTE.FT_Equiv] FT Equivalents (Heads)</v>
          </cell>
          <cell r="C19" t="str">
            <v>Travelers</v>
          </cell>
          <cell r="D19">
            <v>2.6499999999999995</v>
          </cell>
          <cell r="F19">
            <v>0</v>
          </cell>
        </row>
        <row r="20">
          <cell r="A20" t="str">
            <v>Department (Rollup)</v>
          </cell>
          <cell r="B20" t="str">
            <v>[StaffFTE.FT_Equiv] FT Equivalents (Heads)</v>
          </cell>
          <cell r="C20" t="str">
            <v>Travelers</v>
          </cell>
          <cell r="D20">
            <v>2.6499999999999995</v>
          </cell>
          <cell r="F20">
            <v>0</v>
          </cell>
        </row>
        <row r="21">
          <cell r="A21" t="str">
            <v>Department</v>
          </cell>
          <cell r="B21" t="str">
            <v>Accounts</v>
          </cell>
          <cell r="C21" t="str">
            <v>FTE Class</v>
          </cell>
          <cell r="D21">
            <v>0</v>
          </cell>
          <cell r="F21">
            <v>0</v>
          </cell>
        </row>
        <row r="22">
          <cell r="A22" t="str">
            <v>General Services (Rollup)</v>
          </cell>
          <cell r="B22" t="str">
            <v>[StaffFTE.FT_Equiv] FT Equivalents (Heads)</v>
          </cell>
          <cell r="C22" t="str">
            <v>Residents &amp; Fellows</v>
          </cell>
          <cell r="D22">
            <v>0</v>
          </cell>
          <cell r="F22">
            <v>0</v>
          </cell>
        </row>
        <row r="23">
          <cell r="A23" t="str">
            <v>Inpatient Routine Services (Rollup)</v>
          </cell>
          <cell r="B23" t="str">
            <v>[StaffFTE.FT_Equiv] FT Equivalents (Heads)</v>
          </cell>
          <cell r="C23" t="str">
            <v>Residents &amp; Fellows</v>
          </cell>
          <cell r="D23">
            <v>0</v>
          </cell>
          <cell r="F23">
            <v>0</v>
          </cell>
        </row>
        <row r="24">
          <cell r="A24" t="str">
            <v>Outpatient Routine Services (Rollup)</v>
          </cell>
          <cell r="B24" t="str">
            <v>[StaffFTE.FT_Equiv] FT Equivalents (Heads)</v>
          </cell>
          <cell r="C24" t="str">
            <v>Residents &amp; Fellows</v>
          </cell>
          <cell r="D24">
            <v>0</v>
          </cell>
          <cell r="F24">
            <v>0</v>
          </cell>
        </row>
        <row r="25">
          <cell r="A25" t="str">
            <v>Ancillary Services (Rollup)</v>
          </cell>
          <cell r="B25" t="str">
            <v>[StaffFTE.FT_Equiv] FT Equivalents (Heads)</v>
          </cell>
          <cell r="C25" t="str">
            <v>Residents &amp; Fellows</v>
          </cell>
          <cell r="D25">
            <v>0</v>
          </cell>
          <cell r="F25">
            <v>0</v>
          </cell>
        </row>
        <row r="26">
          <cell r="A26" t="str">
            <v>Other Services</v>
          </cell>
          <cell r="B26" t="str">
            <v>[StaffFTE.FT_Equiv] FT Equivalents (Heads)</v>
          </cell>
          <cell r="C26" t="str">
            <v>Residents &amp; Fellows</v>
          </cell>
          <cell r="D26">
            <v>0</v>
          </cell>
          <cell r="F26">
            <v>0</v>
          </cell>
        </row>
        <row r="27">
          <cell r="A27" t="str">
            <v>Physician Office Practice Services (Rollup)</v>
          </cell>
          <cell r="B27" t="str">
            <v>[StaffFTE.FT_Equiv] FT Equivalents (Heads)</v>
          </cell>
          <cell r="C27" t="str">
            <v>Residents &amp; Fellows</v>
          </cell>
          <cell r="D27">
            <v>0</v>
          </cell>
          <cell r="F27">
            <v>0</v>
          </cell>
        </row>
        <row r="28">
          <cell r="A28" t="str">
            <v>Department (Uncategorized)</v>
          </cell>
          <cell r="B28" t="str">
            <v>[StaffFTE.FT_Equiv] FT Equivalents (Heads)</v>
          </cell>
          <cell r="C28" t="str">
            <v>Residents &amp; Fellows</v>
          </cell>
          <cell r="D28">
            <v>0</v>
          </cell>
          <cell r="F28">
            <v>0</v>
          </cell>
        </row>
        <row r="29">
          <cell r="A29" t="str">
            <v>Department (Rollup)</v>
          </cell>
          <cell r="B29" t="str">
            <v>[StaffFTE.FT_Equiv] FT Equivalents (Heads)</v>
          </cell>
          <cell r="C29" t="str">
            <v>Residents &amp; Fellows</v>
          </cell>
          <cell r="D29">
            <v>0</v>
          </cell>
          <cell r="F29">
            <v>0</v>
          </cell>
        </row>
        <row r="30">
          <cell r="A30" t="str">
            <v>Department</v>
          </cell>
          <cell r="B30" t="str">
            <v>Accounts</v>
          </cell>
          <cell r="C30" t="str">
            <v>FTE Class</v>
          </cell>
          <cell r="D30">
            <v>0</v>
          </cell>
          <cell r="F30">
            <v>0</v>
          </cell>
        </row>
        <row r="31">
          <cell r="A31" t="str">
            <v>General Services (Rollup)</v>
          </cell>
          <cell r="B31" t="str">
            <v>[StaffFTE.FT_Equiv] FT Equivalents (Heads)</v>
          </cell>
          <cell r="C31" t="str">
            <v>MLPs</v>
          </cell>
          <cell r="D31">
            <v>0</v>
          </cell>
          <cell r="F31">
            <v>0</v>
          </cell>
        </row>
        <row r="32">
          <cell r="A32" t="str">
            <v>Inpatient Routine Services (Rollup)</v>
          </cell>
          <cell r="B32" t="str">
            <v>[StaffFTE.FT_Equiv] FT Equivalents (Heads)</v>
          </cell>
          <cell r="C32" t="str">
            <v>MLPs</v>
          </cell>
          <cell r="D32">
            <v>0</v>
          </cell>
          <cell r="F32">
            <v>0</v>
          </cell>
        </row>
        <row r="33">
          <cell r="A33" t="str">
            <v>Outpatient Routine Services (Rollup)</v>
          </cell>
          <cell r="B33" t="str">
            <v>[StaffFTE.FT_Equiv] FT Equivalents (Heads)</v>
          </cell>
          <cell r="C33" t="str">
            <v>MLPs</v>
          </cell>
          <cell r="D33">
            <v>0</v>
          </cell>
          <cell r="F33">
            <v>0</v>
          </cell>
        </row>
        <row r="34">
          <cell r="A34" t="str">
            <v>Ancillary Services (Rollup)</v>
          </cell>
          <cell r="B34" t="str">
            <v>[StaffFTE.FT_Equiv] FT Equivalents (Heads)</v>
          </cell>
          <cell r="C34" t="str">
            <v>MLPs</v>
          </cell>
          <cell r="D34">
            <v>0</v>
          </cell>
          <cell r="F34">
            <v>0</v>
          </cell>
        </row>
        <row r="35">
          <cell r="A35" t="str">
            <v>Other Services</v>
          </cell>
          <cell r="B35" t="str">
            <v>[StaffFTE.FT_Equiv] FT Equivalents (Heads)</v>
          </cell>
          <cell r="C35" t="str">
            <v>MLPs</v>
          </cell>
          <cell r="D35">
            <v>0</v>
          </cell>
          <cell r="F35">
            <v>0</v>
          </cell>
        </row>
        <row r="36">
          <cell r="A36" t="str">
            <v>Physician Office Practice Services (Rollup)</v>
          </cell>
          <cell r="B36" t="str">
            <v>[StaffFTE.FT_Equiv] FT Equivalents (Heads)</v>
          </cell>
          <cell r="C36" t="str">
            <v>MLPs</v>
          </cell>
          <cell r="D36">
            <v>0</v>
          </cell>
          <cell r="F36">
            <v>0</v>
          </cell>
        </row>
        <row r="37">
          <cell r="A37" t="str">
            <v>Department (Uncategorized)</v>
          </cell>
          <cell r="B37" t="str">
            <v>[StaffFTE.FT_Equiv] FT Equivalents (Heads)</v>
          </cell>
          <cell r="C37" t="str">
            <v>MLPs</v>
          </cell>
          <cell r="D37">
            <v>0</v>
          </cell>
          <cell r="F37">
            <v>0</v>
          </cell>
        </row>
        <row r="38">
          <cell r="A38" t="str">
            <v>Department (Rollup)</v>
          </cell>
          <cell r="B38" t="str">
            <v>[StaffFTE.FT_Equiv] FT Equivalents (Heads)</v>
          </cell>
          <cell r="C38" t="str">
            <v>MLPs</v>
          </cell>
          <cell r="D38">
            <v>0</v>
          </cell>
          <cell r="F38">
            <v>0</v>
          </cell>
        </row>
        <row r="39">
          <cell r="A39" t="str">
            <v>Department</v>
          </cell>
          <cell r="B39" t="str">
            <v>Accounts</v>
          </cell>
          <cell r="C39" t="str">
            <v>FTE Class</v>
          </cell>
          <cell r="D39">
            <v>0</v>
          </cell>
          <cell r="F39">
            <v>0</v>
          </cell>
        </row>
        <row r="40">
          <cell r="A40" t="str">
            <v>General Services (Rollup)</v>
          </cell>
          <cell r="B40" t="str">
            <v>[StaffFTE.FT_Equiv] FT Equivalents (Heads)</v>
          </cell>
          <cell r="C40" t="str">
            <v>Non-MD FTEs (Rollup)</v>
          </cell>
          <cell r="D40">
            <v>137.70000000000002</v>
          </cell>
          <cell r="F40">
            <v>143.38000000000002</v>
          </cell>
        </row>
        <row r="41">
          <cell r="A41" t="str">
            <v>Inpatient Routine Services (Rollup)</v>
          </cell>
          <cell r="B41" t="str">
            <v>[StaffFTE.FT_Equiv] FT Equivalents (Heads)</v>
          </cell>
          <cell r="C41" t="str">
            <v>Non-MD FTEs (Rollup)</v>
          </cell>
          <cell r="D41">
            <v>61.899999999999984</v>
          </cell>
          <cell r="F41">
            <v>64.009999999999991</v>
          </cell>
        </row>
        <row r="42">
          <cell r="A42" t="str">
            <v>Outpatient Routine Services (Rollup)</v>
          </cell>
          <cell r="B42" t="str">
            <v>[StaffFTE.FT_Equiv] FT Equivalents (Heads)</v>
          </cell>
          <cell r="C42" t="str">
            <v>Non-MD FTEs (Rollup)</v>
          </cell>
          <cell r="D42">
            <v>89.899999999999991</v>
          </cell>
          <cell r="F42">
            <v>102.23</v>
          </cell>
        </row>
        <row r="43">
          <cell r="A43" t="str">
            <v>Ancillary Services (Rollup)</v>
          </cell>
          <cell r="B43" t="str">
            <v>[StaffFTE.FT_Equiv] FT Equivalents (Heads)</v>
          </cell>
          <cell r="C43" t="str">
            <v>Non-MD FTEs (Rollup)</v>
          </cell>
          <cell r="D43">
            <v>110.59999999999998</v>
          </cell>
          <cell r="F43">
            <v>112.73</v>
          </cell>
        </row>
        <row r="44">
          <cell r="A44" t="str">
            <v>Other Services</v>
          </cell>
          <cell r="B44" t="str">
            <v>[StaffFTE.FT_Equiv] FT Equivalents (Heads)</v>
          </cell>
          <cell r="C44" t="str">
            <v>Non-MD FTEs (Rollup)</v>
          </cell>
          <cell r="D44">
            <v>0</v>
          </cell>
          <cell r="F44">
            <v>0</v>
          </cell>
        </row>
        <row r="45">
          <cell r="A45" t="str">
            <v>Physician Office Practice Services (Rollup)</v>
          </cell>
          <cell r="B45" t="str">
            <v>[StaffFTE.FT_Equiv] FT Equivalents (Heads)</v>
          </cell>
          <cell r="C45" t="str">
            <v>Non-MD FTEs (Rollup)</v>
          </cell>
          <cell r="D45">
            <v>0</v>
          </cell>
          <cell r="F45">
            <v>0</v>
          </cell>
        </row>
        <row r="46">
          <cell r="A46" t="str">
            <v>Department (Uncategorized)</v>
          </cell>
          <cell r="B46" t="str">
            <v>[StaffFTE.FT_Equiv] FT Equivalents (Heads)</v>
          </cell>
          <cell r="C46" t="str">
            <v>Non-MD FTEs (Rollup)</v>
          </cell>
          <cell r="D46">
            <v>0</v>
          </cell>
          <cell r="F46">
            <v>0</v>
          </cell>
        </row>
        <row r="47">
          <cell r="A47" t="str">
            <v>Department (Rollup)</v>
          </cell>
          <cell r="B47" t="str">
            <v>[StaffFTE.FT_Equiv] FT Equivalents (Heads)</v>
          </cell>
          <cell r="C47" t="str">
            <v>Non-MD FTEs (Rollup)</v>
          </cell>
          <cell r="D47">
            <v>400.09999999999997</v>
          </cell>
          <cell r="F47">
            <v>422.35000000000008</v>
          </cell>
        </row>
        <row r="48">
          <cell r="A48" t="str">
            <v/>
          </cell>
          <cell r="B48" t="str">
            <v/>
          </cell>
          <cell r="C48" t="str">
            <v>Accounts</v>
          </cell>
          <cell r="D48">
            <v>0</v>
          </cell>
          <cell r="F48">
            <v>0</v>
          </cell>
        </row>
        <row r="49">
          <cell r="A49" t="str">
            <v/>
          </cell>
          <cell r="B49" t="str">
            <v/>
          </cell>
          <cell r="C49" t="str">
            <v>Staff Wages</v>
          </cell>
          <cell r="D49">
            <v>0</v>
          </cell>
          <cell r="F49">
            <v>0</v>
          </cell>
        </row>
        <row r="50">
          <cell r="A50" t="str">
            <v/>
          </cell>
          <cell r="B50" t="str">
            <v/>
          </cell>
          <cell r="C50" t="str">
            <v xml:space="preserve">  [NonMD_Wages] Non-MD Wages</v>
          </cell>
          <cell r="D50">
            <v>0</v>
          </cell>
          <cell r="F50">
            <v>0</v>
          </cell>
        </row>
        <row r="51">
          <cell r="A51" t="str">
            <v/>
          </cell>
          <cell r="B51" t="str">
            <v/>
          </cell>
          <cell r="C51" t="str">
            <v xml:space="preserve">    [General_Services_Wages] Total General Services</v>
          </cell>
          <cell r="D51">
            <v>6843984.0900000008</v>
          </cell>
          <cell r="F51">
            <v>7680534</v>
          </cell>
        </row>
        <row r="52">
          <cell r="A52" t="str">
            <v/>
          </cell>
          <cell r="B52" t="str">
            <v/>
          </cell>
          <cell r="C52" t="str">
            <v xml:space="preserve">    [Inpatient_Routine_Wages] Total Inpatient Routine Services</v>
          </cell>
          <cell r="D52">
            <v>4330440.6900000004</v>
          </cell>
          <cell r="F52">
            <v>4288098.0000000009</v>
          </cell>
        </row>
        <row r="53">
          <cell r="A53" t="str">
            <v/>
          </cell>
          <cell r="B53" t="str">
            <v/>
          </cell>
          <cell r="C53" t="str">
            <v xml:space="preserve">    [Outpatient_Routine_Wages] Total Outpatient Routine Services</v>
          </cell>
          <cell r="D53">
            <v>1537315.08</v>
          </cell>
          <cell r="F53">
            <v>1511190</v>
          </cell>
        </row>
        <row r="54">
          <cell r="A54" t="str">
            <v/>
          </cell>
          <cell r="B54" t="str">
            <v/>
          </cell>
          <cell r="C54" t="str">
            <v xml:space="preserve">    [Ancillary_Wages] Total Ancillary Services</v>
          </cell>
          <cell r="D54">
            <v>6888601.8000000017</v>
          </cell>
          <cell r="F54">
            <v>7143395.0000000028</v>
          </cell>
        </row>
        <row r="55">
          <cell r="A55" t="str">
            <v/>
          </cell>
          <cell r="B55" t="str">
            <v/>
          </cell>
          <cell r="C55" t="str">
            <v xml:space="preserve">    [Other_Wages] Total Other Services</v>
          </cell>
          <cell r="D55">
            <v>0</v>
          </cell>
          <cell r="F55">
            <v>0</v>
          </cell>
        </row>
        <row r="56">
          <cell r="A56" t="str">
            <v/>
          </cell>
          <cell r="B56" t="str">
            <v/>
          </cell>
          <cell r="C56" t="str">
            <v xml:space="preserve">    [Physician_Office_Practice_Wages] Tota Physician Office Practice Services</v>
          </cell>
          <cell r="D56">
            <v>3203281.5800000005</v>
          </cell>
          <cell r="F56">
            <v>3843571.0000000005</v>
          </cell>
        </row>
        <row r="57">
          <cell r="A57" t="str">
            <v/>
          </cell>
          <cell r="B57" t="str">
            <v/>
          </cell>
          <cell r="C57" t="str">
            <v xml:space="preserve">  [NonMD_Wages] Total Non-MD Wages</v>
          </cell>
          <cell r="D57">
            <v>22803623.240000006</v>
          </cell>
          <cell r="F57">
            <v>24466788</v>
          </cell>
        </row>
        <row r="58">
          <cell r="A58" t="str">
            <v/>
          </cell>
          <cell r="B58" t="str">
            <v/>
          </cell>
          <cell r="C58" t="str">
            <v xml:space="preserve">  [Non_MD_per_FTE] Non-MD $ Per FTE</v>
          </cell>
          <cell r="D58">
            <v>0</v>
          </cell>
          <cell r="F58">
            <v>0</v>
          </cell>
        </row>
        <row r="59">
          <cell r="A59" t="str">
            <v/>
          </cell>
          <cell r="B59" t="str">
            <v/>
          </cell>
          <cell r="C59" t="str">
            <v xml:space="preserve">    [General_Services_Per_FTE] Total General Services</v>
          </cell>
          <cell r="D59">
            <v>49702.135729847483</v>
          </cell>
          <cell r="F59">
            <v>53567.680290138109</v>
          </cell>
        </row>
        <row r="60">
          <cell r="A60" t="str">
            <v/>
          </cell>
          <cell r="B60" t="str">
            <v/>
          </cell>
          <cell r="C60" t="str">
            <v xml:space="preserve">    [Inpatient_Routine_Per_FTE] Total Inpatient Routine Services</v>
          </cell>
          <cell r="D60">
            <v>69958.654119547675</v>
          </cell>
          <cell r="F60">
            <v>66991.063896266234</v>
          </cell>
        </row>
        <row r="61">
          <cell r="A61" t="str">
            <v/>
          </cell>
          <cell r="B61" t="str">
            <v/>
          </cell>
          <cell r="C61" t="str">
            <v xml:space="preserve">    [Outpatient_Routine_Per_FTE] Total Outpatient Routine Services</v>
          </cell>
          <cell r="D61">
            <v>17100.278976640711</v>
          </cell>
          <cell r="F61">
            <v>14782.255697936025</v>
          </cell>
        </row>
        <row r="62">
          <cell r="A62" t="str">
            <v/>
          </cell>
          <cell r="B62" t="str">
            <v/>
          </cell>
          <cell r="C62" t="str">
            <v xml:space="preserve">    [Ancillary_Per_FTE] Total Ancillary Services</v>
          </cell>
          <cell r="D62">
            <v>62283.922242314642</v>
          </cell>
          <cell r="F62">
            <v>63367.293533220996</v>
          </cell>
        </row>
        <row r="63">
          <cell r="A63" t="str">
            <v/>
          </cell>
          <cell r="B63" t="str">
            <v/>
          </cell>
          <cell r="C63" t="str">
            <v xml:space="preserve">    [Other_Per_FTE] Total Other Services</v>
          </cell>
          <cell r="D63">
            <v>0</v>
          </cell>
          <cell r="F63">
            <v>0</v>
          </cell>
        </row>
        <row r="64">
          <cell r="A64" t="str">
            <v/>
          </cell>
          <cell r="B64" t="str">
            <v/>
          </cell>
          <cell r="C64" t="str">
            <v xml:space="preserve">    [Physician_Office_Services_Per_FTE] Total Physician Office Practice Services</v>
          </cell>
          <cell r="D64">
            <v>0</v>
          </cell>
          <cell r="F64">
            <v>0</v>
          </cell>
        </row>
        <row r="65">
          <cell r="A65" t="str">
            <v/>
          </cell>
          <cell r="B65" t="str">
            <v/>
          </cell>
          <cell r="C65" t="str">
            <v xml:space="preserve">  [Non_MD_per_FTE] Total Non-MD $ Per FTE</v>
          </cell>
          <cell r="D65">
            <v>199044.99106835059</v>
          </cell>
          <cell r="F65">
            <v>198708.29341756142</v>
          </cell>
        </row>
        <row r="66">
          <cell r="A66" t="str">
            <v/>
          </cell>
          <cell r="B66" t="str">
            <v/>
          </cell>
          <cell r="C66" t="str">
            <v>[NONMD_SalaryPerFTE] Total NON-MD $/FTE</v>
          </cell>
          <cell r="D66">
            <v>56994.809397650606</v>
          </cell>
          <cell r="F66">
            <v>57930.124304486788</v>
          </cell>
        </row>
        <row r="67">
          <cell r="A67" t="str">
            <v/>
          </cell>
          <cell r="B67" t="str">
            <v/>
          </cell>
          <cell r="C67" t="str">
            <v/>
          </cell>
          <cell r="D67" t="str">
            <v/>
          </cell>
          <cell r="F67" t="str">
            <v/>
          </cell>
        </row>
        <row r="68">
          <cell r="A68" t="str">
            <v/>
          </cell>
          <cell r="B68" t="str">
            <v/>
          </cell>
          <cell r="C68" t="str">
            <v/>
          </cell>
          <cell r="D68" t="str">
            <v/>
          </cell>
          <cell r="F68" t="str">
            <v/>
          </cell>
        </row>
        <row r="69">
          <cell r="A69" t="str">
            <v/>
          </cell>
          <cell r="B69" t="str">
            <v/>
          </cell>
          <cell r="C69" t="str">
            <v/>
          </cell>
          <cell r="D69" t="str">
            <v/>
          </cell>
          <cell r="F69" t="str">
            <v/>
          </cell>
        </row>
        <row r="70">
          <cell r="A70" t="str">
            <v/>
          </cell>
          <cell r="B70" t="str">
            <v/>
          </cell>
          <cell r="C70" t="str">
            <v/>
          </cell>
          <cell r="D70" t="str">
            <v/>
          </cell>
          <cell r="F70" t="str">
            <v/>
          </cell>
        </row>
        <row r="71">
          <cell r="A71" t="str">
            <v/>
          </cell>
          <cell r="B71" t="str">
            <v/>
          </cell>
          <cell r="C71" t="str">
            <v/>
          </cell>
          <cell r="D71" t="str">
            <v/>
          </cell>
          <cell r="F71" t="str">
            <v/>
          </cell>
        </row>
        <row r="72">
          <cell r="A72" t="str">
            <v/>
          </cell>
          <cell r="B72" t="str">
            <v/>
          </cell>
          <cell r="C72" t="str">
            <v/>
          </cell>
          <cell r="D72" t="str">
            <v/>
          </cell>
          <cell r="F72" t="str">
            <v/>
          </cell>
        </row>
        <row r="73">
          <cell r="A73" t="str">
            <v/>
          </cell>
          <cell r="B73" t="str">
            <v/>
          </cell>
          <cell r="C73" t="str">
            <v/>
          </cell>
          <cell r="D73" t="str">
            <v/>
          </cell>
          <cell r="F73" t="str">
            <v/>
          </cell>
        </row>
        <row r="74">
          <cell r="A74" t="str">
            <v/>
          </cell>
          <cell r="B74" t="str">
            <v/>
          </cell>
          <cell r="C74" t="str">
            <v/>
          </cell>
          <cell r="D74" t="str">
            <v/>
          </cell>
          <cell r="F74" t="str">
            <v/>
          </cell>
        </row>
        <row r="75">
          <cell r="A75" t="str">
            <v/>
          </cell>
          <cell r="B75" t="str">
            <v/>
          </cell>
          <cell r="C75" t="str">
            <v/>
          </cell>
          <cell r="D75" t="str">
            <v/>
          </cell>
          <cell r="F75" t="str">
            <v/>
          </cell>
        </row>
        <row r="76">
          <cell r="A76" t="str">
            <v/>
          </cell>
          <cell r="B76" t="str">
            <v/>
          </cell>
          <cell r="C76" t="str">
            <v/>
          </cell>
          <cell r="D76" t="str">
            <v/>
          </cell>
          <cell r="F76" t="str">
            <v/>
          </cell>
        </row>
        <row r="77">
          <cell r="A77" t="str">
            <v/>
          </cell>
          <cell r="B77" t="str">
            <v/>
          </cell>
          <cell r="C77" t="str">
            <v/>
          </cell>
          <cell r="D77" t="str">
            <v/>
          </cell>
          <cell r="F77" t="str">
            <v/>
          </cell>
        </row>
        <row r="78">
          <cell r="A78" t="str">
            <v/>
          </cell>
          <cell r="B78" t="str">
            <v/>
          </cell>
          <cell r="C78" t="str">
            <v/>
          </cell>
          <cell r="D78" t="str">
            <v/>
          </cell>
          <cell r="F78" t="str">
            <v/>
          </cell>
        </row>
        <row r="79">
          <cell r="A79" t="str">
            <v/>
          </cell>
          <cell r="B79" t="str">
            <v/>
          </cell>
          <cell r="C79" t="str">
            <v/>
          </cell>
          <cell r="D79" t="str">
            <v/>
          </cell>
          <cell r="F79" t="str">
            <v/>
          </cell>
        </row>
        <row r="80">
          <cell r="A80" t="str">
            <v/>
          </cell>
          <cell r="B80" t="str">
            <v/>
          </cell>
          <cell r="C80" t="str">
            <v/>
          </cell>
          <cell r="D80" t="str">
            <v/>
          </cell>
          <cell r="F80" t="str">
            <v/>
          </cell>
        </row>
        <row r="81">
          <cell r="A81" t="str">
            <v/>
          </cell>
          <cell r="B81" t="str">
            <v/>
          </cell>
          <cell r="C81" t="str">
            <v/>
          </cell>
          <cell r="D81" t="str">
            <v/>
          </cell>
          <cell r="F81" t="str">
            <v/>
          </cell>
        </row>
        <row r="82">
          <cell r="A82" t="str">
            <v/>
          </cell>
          <cell r="B82" t="str">
            <v/>
          </cell>
          <cell r="C82" t="str">
            <v/>
          </cell>
          <cell r="D82" t="str">
            <v/>
          </cell>
          <cell r="F82" t="str">
            <v/>
          </cell>
        </row>
        <row r="83">
          <cell r="A83" t="str">
            <v/>
          </cell>
          <cell r="B83" t="str">
            <v/>
          </cell>
          <cell r="C83" t="str">
            <v/>
          </cell>
          <cell r="D83" t="str">
            <v/>
          </cell>
          <cell r="F83" t="str">
            <v/>
          </cell>
        </row>
        <row r="84">
          <cell r="A84" t="str">
            <v/>
          </cell>
          <cell r="B84" t="str">
            <v/>
          </cell>
          <cell r="C84" t="str">
            <v/>
          </cell>
          <cell r="D84" t="str">
            <v/>
          </cell>
          <cell r="F84" t="str">
            <v/>
          </cell>
        </row>
        <row r="85">
          <cell r="A85" t="str">
            <v/>
          </cell>
          <cell r="B85" t="str">
            <v/>
          </cell>
          <cell r="C85" t="str">
            <v/>
          </cell>
          <cell r="D85" t="str">
            <v/>
          </cell>
          <cell r="F85" t="str">
            <v/>
          </cell>
        </row>
        <row r="86">
          <cell r="A86" t="str">
            <v/>
          </cell>
          <cell r="B86" t="str">
            <v/>
          </cell>
          <cell r="C86" t="str">
            <v/>
          </cell>
          <cell r="D86" t="str">
            <v/>
          </cell>
          <cell r="F86" t="str">
            <v/>
          </cell>
        </row>
        <row r="87">
          <cell r="A87" t="str">
            <v/>
          </cell>
          <cell r="B87" t="str">
            <v/>
          </cell>
          <cell r="C87" t="str">
            <v/>
          </cell>
          <cell r="D87" t="str">
            <v/>
          </cell>
          <cell r="F87" t="str">
            <v/>
          </cell>
        </row>
        <row r="88">
          <cell r="A88" t="str">
            <v/>
          </cell>
          <cell r="B88" t="str">
            <v/>
          </cell>
          <cell r="C88" t="str">
            <v/>
          </cell>
          <cell r="D88" t="str">
            <v/>
          </cell>
          <cell r="F88" t="str">
            <v/>
          </cell>
        </row>
        <row r="89">
          <cell r="A89" t="str">
            <v/>
          </cell>
          <cell r="B89" t="str">
            <v/>
          </cell>
          <cell r="C89" t="str">
            <v/>
          </cell>
          <cell r="D89" t="str">
            <v/>
          </cell>
          <cell r="F89" t="str">
            <v/>
          </cell>
        </row>
        <row r="90">
          <cell r="A90" t="str">
            <v/>
          </cell>
          <cell r="B90" t="str">
            <v/>
          </cell>
          <cell r="C90" t="str">
            <v/>
          </cell>
          <cell r="D90" t="str">
            <v/>
          </cell>
          <cell r="F90" t="str">
            <v/>
          </cell>
        </row>
        <row r="91">
          <cell r="A91" t="str">
            <v/>
          </cell>
          <cell r="B91" t="str">
            <v/>
          </cell>
          <cell r="C91" t="str">
            <v/>
          </cell>
          <cell r="D91" t="str">
            <v/>
          </cell>
          <cell r="F91" t="str">
            <v/>
          </cell>
        </row>
        <row r="92">
          <cell r="A92" t="str">
            <v/>
          </cell>
          <cell r="B92" t="str">
            <v/>
          </cell>
          <cell r="C92" t="str">
            <v/>
          </cell>
          <cell r="D92" t="str">
            <v/>
          </cell>
          <cell r="F92" t="str">
            <v/>
          </cell>
        </row>
        <row r="93">
          <cell r="A93" t="str">
            <v/>
          </cell>
          <cell r="B93" t="str">
            <v/>
          </cell>
          <cell r="C93" t="str">
            <v/>
          </cell>
          <cell r="D93" t="str">
            <v/>
          </cell>
          <cell r="F93" t="str">
            <v/>
          </cell>
        </row>
        <row r="94">
          <cell r="A94" t="str">
            <v/>
          </cell>
          <cell r="B94" t="str">
            <v/>
          </cell>
          <cell r="C94" t="str">
            <v/>
          </cell>
          <cell r="D94" t="str">
            <v/>
          </cell>
          <cell r="F94" t="str">
            <v/>
          </cell>
        </row>
        <row r="95">
          <cell r="A95" t="str">
            <v/>
          </cell>
          <cell r="B95" t="str">
            <v/>
          </cell>
          <cell r="C95" t="str">
            <v/>
          </cell>
          <cell r="D95" t="str">
            <v/>
          </cell>
          <cell r="F95" t="str">
            <v/>
          </cell>
        </row>
        <row r="96">
          <cell r="A96" t="str">
            <v/>
          </cell>
          <cell r="B96" t="str">
            <v/>
          </cell>
          <cell r="C96" t="str">
            <v/>
          </cell>
          <cell r="D96" t="str">
            <v/>
          </cell>
          <cell r="F96" t="str">
            <v/>
          </cell>
        </row>
        <row r="97">
          <cell r="A97" t="str">
            <v/>
          </cell>
          <cell r="B97" t="str">
            <v/>
          </cell>
          <cell r="C97" t="str">
            <v/>
          </cell>
          <cell r="D97" t="str">
            <v/>
          </cell>
          <cell r="F97" t="str">
            <v/>
          </cell>
        </row>
        <row r="98">
          <cell r="A98" t="str">
            <v/>
          </cell>
          <cell r="B98" t="str">
            <v/>
          </cell>
          <cell r="C98" t="str">
            <v/>
          </cell>
          <cell r="D98" t="str">
            <v/>
          </cell>
          <cell r="F98" t="str">
            <v/>
          </cell>
        </row>
        <row r="99">
          <cell r="A99" t="str">
            <v/>
          </cell>
          <cell r="B99" t="str">
            <v/>
          </cell>
          <cell r="C99" t="str">
            <v/>
          </cell>
          <cell r="D99" t="str">
            <v/>
          </cell>
          <cell r="F99" t="str">
            <v/>
          </cell>
        </row>
        <row r="100">
          <cell r="A100" t="str">
            <v/>
          </cell>
          <cell r="B100" t="str">
            <v/>
          </cell>
          <cell r="C100" t="str">
            <v/>
          </cell>
          <cell r="D100" t="str">
            <v/>
          </cell>
          <cell r="F100" t="str">
            <v/>
          </cell>
        </row>
        <row r="101">
          <cell r="A101" t="str">
            <v/>
          </cell>
          <cell r="B101" t="str">
            <v/>
          </cell>
          <cell r="C101" t="str">
            <v/>
          </cell>
          <cell r="D101" t="str">
            <v/>
          </cell>
          <cell r="F101" t="str">
            <v/>
          </cell>
        </row>
        <row r="102">
          <cell r="A102" t="str">
            <v/>
          </cell>
          <cell r="B102" t="str">
            <v/>
          </cell>
          <cell r="C102" t="str">
            <v/>
          </cell>
          <cell r="D102" t="str">
            <v/>
          </cell>
          <cell r="F102" t="str">
            <v/>
          </cell>
        </row>
        <row r="103">
          <cell r="A103" t="str">
            <v/>
          </cell>
          <cell r="B103" t="str">
            <v/>
          </cell>
          <cell r="C103" t="str">
            <v/>
          </cell>
          <cell r="D103" t="str">
            <v/>
          </cell>
          <cell r="F103" t="str">
            <v/>
          </cell>
        </row>
        <row r="104">
          <cell r="A104" t="str">
            <v/>
          </cell>
          <cell r="B104" t="str">
            <v/>
          </cell>
          <cell r="C104" t="str">
            <v/>
          </cell>
          <cell r="D104" t="str">
            <v/>
          </cell>
          <cell r="F104" t="str">
            <v/>
          </cell>
        </row>
        <row r="105">
          <cell r="A105" t="str">
            <v/>
          </cell>
          <cell r="B105" t="str">
            <v/>
          </cell>
          <cell r="C105" t="str">
            <v/>
          </cell>
          <cell r="D105" t="str">
            <v/>
          </cell>
          <cell r="F105" t="str">
            <v/>
          </cell>
        </row>
        <row r="106">
          <cell r="A106" t="str">
            <v/>
          </cell>
          <cell r="B106" t="str">
            <v/>
          </cell>
          <cell r="C106" t="str">
            <v/>
          </cell>
          <cell r="D106" t="str">
            <v/>
          </cell>
          <cell r="F106" t="str">
            <v/>
          </cell>
        </row>
        <row r="107">
          <cell r="A107" t="str">
            <v/>
          </cell>
          <cell r="B107" t="str">
            <v/>
          </cell>
          <cell r="C107" t="str">
            <v/>
          </cell>
          <cell r="D107" t="str">
            <v/>
          </cell>
          <cell r="F107" t="str">
            <v/>
          </cell>
        </row>
        <row r="108">
          <cell r="A108" t="str">
            <v/>
          </cell>
          <cell r="B108" t="str">
            <v/>
          </cell>
          <cell r="C108" t="str">
            <v/>
          </cell>
          <cell r="D108" t="str">
            <v/>
          </cell>
          <cell r="F108" t="str">
            <v/>
          </cell>
        </row>
        <row r="109">
          <cell r="A109" t="str">
            <v/>
          </cell>
          <cell r="B109" t="str">
            <v/>
          </cell>
          <cell r="C109" t="str">
            <v/>
          </cell>
          <cell r="D109" t="str">
            <v/>
          </cell>
          <cell r="F109" t="str">
            <v/>
          </cell>
        </row>
        <row r="110">
          <cell r="A110" t="str">
            <v/>
          </cell>
          <cell r="B110" t="str">
            <v/>
          </cell>
          <cell r="C110" t="str">
            <v/>
          </cell>
          <cell r="D110" t="str">
            <v/>
          </cell>
          <cell r="F110" t="str">
            <v/>
          </cell>
        </row>
        <row r="111">
          <cell r="A111" t="str">
            <v/>
          </cell>
          <cell r="B111" t="str">
            <v/>
          </cell>
          <cell r="C111" t="str">
            <v/>
          </cell>
          <cell r="D111" t="str">
            <v/>
          </cell>
          <cell r="F111" t="str">
            <v/>
          </cell>
        </row>
        <row r="112">
          <cell r="A112" t="str">
            <v/>
          </cell>
          <cell r="B112" t="str">
            <v/>
          </cell>
          <cell r="C112" t="str">
            <v/>
          </cell>
          <cell r="D112" t="str">
            <v/>
          </cell>
          <cell r="F112" t="str">
            <v/>
          </cell>
        </row>
        <row r="113">
          <cell r="A113" t="str">
            <v/>
          </cell>
          <cell r="B113" t="str">
            <v/>
          </cell>
          <cell r="C113" t="str">
            <v/>
          </cell>
          <cell r="D113" t="str">
            <v/>
          </cell>
          <cell r="F113" t="str">
            <v/>
          </cell>
        </row>
        <row r="114">
          <cell r="A114" t="str">
            <v/>
          </cell>
          <cell r="B114" t="str">
            <v/>
          </cell>
          <cell r="C114" t="str">
            <v/>
          </cell>
          <cell r="D114" t="str">
            <v/>
          </cell>
          <cell r="F114" t="str">
            <v/>
          </cell>
        </row>
        <row r="115">
          <cell r="A115" t="str">
            <v/>
          </cell>
          <cell r="B115" t="str">
            <v/>
          </cell>
          <cell r="C115" t="str">
            <v/>
          </cell>
          <cell r="D115" t="str">
            <v/>
          </cell>
          <cell r="F115" t="str">
            <v/>
          </cell>
        </row>
        <row r="116">
          <cell r="A116" t="str">
            <v/>
          </cell>
          <cell r="B116" t="str">
            <v/>
          </cell>
          <cell r="C116" t="str">
            <v/>
          </cell>
          <cell r="D116" t="str">
            <v/>
          </cell>
          <cell r="F116" t="str">
            <v/>
          </cell>
        </row>
        <row r="117">
          <cell r="A117" t="str">
            <v/>
          </cell>
          <cell r="B117" t="str">
            <v/>
          </cell>
          <cell r="C117" t="str">
            <v/>
          </cell>
          <cell r="D117" t="str">
            <v/>
          </cell>
          <cell r="F117" t="str">
            <v/>
          </cell>
        </row>
        <row r="118">
          <cell r="A118" t="str">
            <v/>
          </cell>
          <cell r="B118" t="str">
            <v/>
          </cell>
          <cell r="C118" t="str">
            <v/>
          </cell>
          <cell r="D118" t="str">
            <v/>
          </cell>
          <cell r="F118" t="str">
            <v/>
          </cell>
        </row>
        <row r="119">
          <cell r="A119" t="str">
            <v/>
          </cell>
          <cell r="B119" t="str">
            <v/>
          </cell>
          <cell r="C119" t="str">
            <v/>
          </cell>
          <cell r="D119" t="str">
            <v/>
          </cell>
          <cell r="F119" t="str">
            <v/>
          </cell>
        </row>
        <row r="120">
          <cell r="A120" t="str">
            <v/>
          </cell>
          <cell r="B120" t="str">
            <v/>
          </cell>
          <cell r="C120" t="str">
            <v/>
          </cell>
          <cell r="D120" t="str">
            <v/>
          </cell>
          <cell r="F120" t="str">
            <v/>
          </cell>
        </row>
        <row r="121">
          <cell r="A121" t="str">
            <v/>
          </cell>
          <cell r="B121" t="str">
            <v/>
          </cell>
          <cell r="C121" t="str">
            <v/>
          </cell>
          <cell r="D121" t="str">
            <v/>
          </cell>
          <cell r="F121" t="str">
            <v/>
          </cell>
        </row>
        <row r="122">
          <cell r="A122" t="str">
            <v/>
          </cell>
          <cell r="B122" t="str">
            <v/>
          </cell>
          <cell r="C122" t="str">
            <v/>
          </cell>
          <cell r="D122" t="str">
            <v/>
          </cell>
          <cell r="F122" t="str">
            <v/>
          </cell>
        </row>
        <row r="123">
          <cell r="A123" t="str">
            <v/>
          </cell>
          <cell r="B123" t="str">
            <v/>
          </cell>
          <cell r="C123" t="str">
            <v/>
          </cell>
          <cell r="D123" t="str">
            <v/>
          </cell>
          <cell r="F123" t="str">
            <v/>
          </cell>
        </row>
        <row r="124">
          <cell r="A124" t="str">
            <v/>
          </cell>
          <cell r="B124" t="str">
            <v/>
          </cell>
          <cell r="C124" t="str">
            <v/>
          </cell>
          <cell r="D124" t="str">
            <v/>
          </cell>
          <cell r="F124" t="str">
            <v/>
          </cell>
        </row>
        <row r="125">
          <cell r="A125" t="str">
            <v/>
          </cell>
          <cell r="B125" t="str">
            <v/>
          </cell>
          <cell r="C125" t="str">
            <v/>
          </cell>
          <cell r="D125" t="str">
            <v/>
          </cell>
          <cell r="F125" t="str">
            <v/>
          </cell>
        </row>
        <row r="126">
          <cell r="A126" t="str">
            <v/>
          </cell>
          <cell r="B126" t="str">
            <v/>
          </cell>
          <cell r="C126" t="str">
            <v/>
          </cell>
          <cell r="D126" t="str">
            <v/>
          </cell>
          <cell r="F126" t="str">
            <v/>
          </cell>
        </row>
        <row r="127">
          <cell r="A127" t="str">
            <v/>
          </cell>
          <cell r="B127" t="str">
            <v/>
          </cell>
          <cell r="C127" t="str">
            <v/>
          </cell>
          <cell r="D127" t="str">
            <v/>
          </cell>
          <cell r="F127" t="str">
            <v/>
          </cell>
        </row>
        <row r="128">
          <cell r="A128" t="str">
            <v/>
          </cell>
          <cell r="B128" t="str">
            <v/>
          </cell>
          <cell r="C128" t="str">
            <v/>
          </cell>
          <cell r="D128" t="str">
            <v/>
          </cell>
          <cell r="F128" t="str">
            <v/>
          </cell>
        </row>
        <row r="129">
          <cell r="A129" t="str">
            <v/>
          </cell>
          <cell r="B129" t="str">
            <v/>
          </cell>
          <cell r="C129" t="str">
            <v/>
          </cell>
          <cell r="D129" t="str">
            <v/>
          </cell>
          <cell r="F129" t="str">
            <v/>
          </cell>
        </row>
        <row r="130">
          <cell r="A130" t="str">
            <v/>
          </cell>
          <cell r="B130" t="str">
            <v/>
          </cell>
          <cell r="C130" t="str">
            <v/>
          </cell>
          <cell r="D130" t="str">
            <v/>
          </cell>
          <cell r="F130" t="str">
            <v/>
          </cell>
        </row>
        <row r="131">
          <cell r="A131" t="str">
            <v/>
          </cell>
          <cell r="B131" t="str">
            <v/>
          </cell>
          <cell r="C131" t="str">
            <v/>
          </cell>
          <cell r="D131" t="str">
            <v/>
          </cell>
          <cell r="F131" t="str">
            <v/>
          </cell>
        </row>
        <row r="132">
          <cell r="A132" t="str">
            <v/>
          </cell>
          <cell r="B132" t="str">
            <v/>
          </cell>
          <cell r="C132" t="str">
            <v/>
          </cell>
          <cell r="D132" t="str">
            <v/>
          </cell>
          <cell r="F132" t="str">
            <v/>
          </cell>
        </row>
        <row r="133">
          <cell r="A133" t="str">
            <v/>
          </cell>
          <cell r="B133" t="str">
            <v/>
          </cell>
          <cell r="C133" t="str">
            <v/>
          </cell>
          <cell r="D133" t="str">
            <v/>
          </cell>
          <cell r="F133" t="str">
            <v/>
          </cell>
        </row>
        <row r="134">
          <cell r="A134" t="str">
            <v/>
          </cell>
          <cell r="B134" t="str">
            <v/>
          </cell>
          <cell r="C134" t="str">
            <v/>
          </cell>
          <cell r="D134" t="str">
            <v/>
          </cell>
          <cell r="F134" t="str">
            <v/>
          </cell>
        </row>
        <row r="135">
          <cell r="A135" t="str">
            <v/>
          </cell>
          <cell r="B135" t="str">
            <v/>
          </cell>
          <cell r="C135" t="str">
            <v/>
          </cell>
          <cell r="D135" t="str">
            <v/>
          </cell>
          <cell r="F135" t="str">
            <v/>
          </cell>
        </row>
        <row r="136">
          <cell r="A136" t="str">
            <v/>
          </cell>
          <cell r="B136" t="str">
            <v/>
          </cell>
          <cell r="C136" t="str">
            <v/>
          </cell>
          <cell r="D136" t="str">
            <v/>
          </cell>
          <cell r="F136" t="str">
            <v/>
          </cell>
        </row>
        <row r="137">
          <cell r="A137" t="str">
            <v/>
          </cell>
          <cell r="B137" t="str">
            <v/>
          </cell>
          <cell r="C137" t="str">
            <v/>
          </cell>
          <cell r="D137" t="str">
            <v/>
          </cell>
          <cell r="F137" t="str">
            <v/>
          </cell>
        </row>
        <row r="138">
          <cell r="A138" t="str">
            <v/>
          </cell>
          <cell r="B138" t="str">
            <v/>
          </cell>
          <cell r="C138" t="str">
            <v/>
          </cell>
          <cell r="D138" t="str">
            <v/>
          </cell>
          <cell r="F138" t="str">
            <v/>
          </cell>
        </row>
        <row r="139">
          <cell r="A139" t="str">
            <v/>
          </cell>
          <cell r="B139" t="str">
            <v/>
          </cell>
          <cell r="C139" t="str">
            <v/>
          </cell>
          <cell r="D139" t="str">
            <v/>
          </cell>
          <cell r="F139" t="str">
            <v/>
          </cell>
        </row>
        <row r="140">
          <cell r="A140" t="str">
            <v/>
          </cell>
          <cell r="B140" t="str">
            <v/>
          </cell>
          <cell r="C140" t="str">
            <v/>
          </cell>
          <cell r="D140" t="str">
            <v/>
          </cell>
          <cell r="F140" t="str">
            <v/>
          </cell>
        </row>
        <row r="141">
          <cell r="A141" t="str">
            <v/>
          </cell>
          <cell r="B141" t="str">
            <v/>
          </cell>
          <cell r="C141" t="str">
            <v/>
          </cell>
          <cell r="D141" t="str">
            <v/>
          </cell>
          <cell r="F141" t="str">
            <v/>
          </cell>
        </row>
        <row r="142">
          <cell r="A142" t="str">
            <v/>
          </cell>
          <cell r="B142" t="str">
            <v/>
          </cell>
          <cell r="C142" t="str">
            <v/>
          </cell>
          <cell r="D142" t="str">
            <v/>
          </cell>
          <cell r="F142" t="str">
            <v/>
          </cell>
        </row>
        <row r="143">
          <cell r="A143" t="str">
            <v/>
          </cell>
          <cell r="B143" t="str">
            <v/>
          </cell>
          <cell r="C143" t="str">
            <v/>
          </cell>
          <cell r="D143" t="str">
            <v/>
          </cell>
          <cell r="F143" t="str">
            <v/>
          </cell>
        </row>
        <row r="144">
          <cell r="A144" t="str">
            <v/>
          </cell>
          <cell r="B144" t="str">
            <v/>
          </cell>
          <cell r="C144" t="str">
            <v/>
          </cell>
          <cell r="D144" t="str">
            <v/>
          </cell>
          <cell r="F144" t="str">
            <v/>
          </cell>
        </row>
        <row r="145">
          <cell r="A145" t="str">
            <v/>
          </cell>
          <cell r="B145" t="str">
            <v/>
          </cell>
          <cell r="C145" t="str">
            <v/>
          </cell>
          <cell r="D145" t="str">
            <v/>
          </cell>
          <cell r="F145" t="str">
            <v/>
          </cell>
        </row>
        <row r="146">
          <cell r="A146" t="str">
            <v/>
          </cell>
          <cell r="B146" t="str">
            <v/>
          </cell>
          <cell r="C146" t="str">
            <v/>
          </cell>
          <cell r="D146" t="str">
            <v/>
          </cell>
          <cell r="F146" t="str">
            <v/>
          </cell>
        </row>
        <row r="147">
          <cell r="A147" t="str">
            <v/>
          </cell>
          <cell r="B147" t="str">
            <v/>
          </cell>
          <cell r="C147" t="str">
            <v/>
          </cell>
          <cell r="D147" t="str">
            <v/>
          </cell>
          <cell r="F147" t="str">
            <v/>
          </cell>
        </row>
        <row r="148">
          <cell r="A148" t="str">
            <v/>
          </cell>
          <cell r="B148" t="str">
            <v/>
          </cell>
          <cell r="C148" t="str">
            <v/>
          </cell>
          <cell r="D148" t="str">
            <v/>
          </cell>
          <cell r="F148" t="str">
            <v/>
          </cell>
        </row>
        <row r="149">
          <cell r="A149" t="str">
            <v/>
          </cell>
          <cell r="B149" t="str">
            <v/>
          </cell>
          <cell r="C149" t="str">
            <v/>
          </cell>
          <cell r="D149" t="str">
            <v/>
          </cell>
          <cell r="F149" t="str">
            <v/>
          </cell>
        </row>
        <row r="150">
          <cell r="A150" t="str">
            <v/>
          </cell>
          <cell r="B150" t="str">
            <v/>
          </cell>
          <cell r="C150" t="str">
            <v/>
          </cell>
          <cell r="D150" t="str">
            <v/>
          </cell>
          <cell r="F150" t="str">
            <v/>
          </cell>
        </row>
        <row r="151">
          <cell r="A151" t="str">
            <v/>
          </cell>
          <cell r="B151" t="str">
            <v/>
          </cell>
          <cell r="C151" t="str">
            <v/>
          </cell>
          <cell r="D151" t="str">
            <v/>
          </cell>
          <cell r="F151" t="str">
            <v/>
          </cell>
        </row>
        <row r="152">
          <cell r="A152" t="str">
            <v/>
          </cell>
          <cell r="B152" t="str">
            <v/>
          </cell>
          <cell r="C152" t="str">
            <v/>
          </cell>
          <cell r="D152" t="str">
            <v/>
          </cell>
          <cell r="F152" t="str">
            <v/>
          </cell>
        </row>
        <row r="153">
          <cell r="A153" t="str">
            <v/>
          </cell>
          <cell r="B153" t="str">
            <v/>
          </cell>
          <cell r="C153" t="str">
            <v/>
          </cell>
          <cell r="D153" t="str">
            <v/>
          </cell>
          <cell r="F153" t="str">
            <v/>
          </cell>
        </row>
        <row r="154">
          <cell r="A154" t="str">
            <v/>
          </cell>
          <cell r="B154" t="str">
            <v/>
          </cell>
          <cell r="C154" t="str">
            <v/>
          </cell>
          <cell r="D154" t="str">
            <v/>
          </cell>
          <cell r="F154" t="str">
            <v/>
          </cell>
        </row>
        <row r="155">
          <cell r="A155" t="str">
            <v/>
          </cell>
          <cell r="B155" t="str">
            <v/>
          </cell>
          <cell r="C155" t="str">
            <v/>
          </cell>
          <cell r="D155" t="str">
            <v/>
          </cell>
          <cell r="F155" t="str">
            <v/>
          </cell>
        </row>
        <row r="156">
          <cell r="A156" t="str">
            <v/>
          </cell>
          <cell r="B156" t="str">
            <v/>
          </cell>
          <cell r="C156" t="str">
            <v/>
          </cell>
          <cell r="D156" t="str">
            <v/>
          </cell>
          <cell r="F156" t="str">
            <v/>
          </cell>
        </row>
        <row r="157">
          <cell r="A157" t="str">
            <v/>
          </cell>
          <cell r="B157" t="str">
            <v/>
          </cell>
          <cell r="C157" t="str">
            <v/>
          </cell>
          <cell r="D157" t="str">
            <v/>
          </cell>
          <cell r="F157" t="str">
            <v/>
          </cell>
        </row>
        <row r="158">
          <cell r="A158" t="str">
            <v/>
          </cell>
          <cell r="B158" t="str">
            <v/>
          </cell>
          <cell r="C158" t="str">
            <v/>
          </cell>
          <cell r="D158" t="str">
            <v/>
          </cell>
          <cell r="F158" t="str">
            <v/>
          </cell>
        </row>
        <row r="159">
          <cell r="A159" t="str">
            <v/>
          </cell>
          <cell r="B159" t="str">
            <v/>
          </cell>
          <cell r="C159" t="str">
            <v/>
          </cell>
          <cell r="D159" t="str">
            <v/>
          </cell>
          <cell r="F159" t="str">
            <v/>
          </cell>
        </row>
        <row r="160">
          <cell r="A160" t="str">
            <v/>
          </cell>
          <cell r="B160" t="str">
            <v/>
          </cell>
          <cell r="C160" t="str">
            <v/>
          </cell>
          <cell r="D160" t="str">
            <v/>
          </cell>
          <cell r="F160" t="str">
            <v/>
          </cell>
        </row>
        <row r="161">
          <cell r="A161" t="str">
            <v/>
          </cell>
          <cell r="B161" t="str">
            <v/>
          </cell>
          <cell r="C161" t="str">
            <v/>
          </cell>
          <cell r="D161" t="str">
            <v/>
          </cell>
          <cell r="F161" t="str">
            <v/>
          </cell>
        </row>
        <row r="162">
          <cell r="A162" t="str">
            <v/>
          </cell>
          <cell r="B162" t="str">
            <v/>
          </cell>
          <cell r="C162" t="str">
            <v/>
          </cell>
          <cell r="D162" t="str">
            <v/>
          </cell>
          <cell r="F162" t="str">
            <v/>
          </cell>
        </row>
        <row r="163">
          <cell r="A163" t="str">
            <v/>
          </cell>
          <cell r="B163" t="str">
            <v/>
          </cell>
          <cell r="C163" t="str">
            <v/>
          </cell>
          <cell r="D163" t="str">
            <v/>
          </cell>
          <cell r="F163" t="str">
            <v/>
          </cell>
        </row>
        <row r="164">
          <cell r="A164" t="str">
            <v/>
          </cell>
          <cell r="B164" t="str">
            <v/>
          </cell>
          <cell r="C164" t="str">
            <v/>
          </cell>
          <cell r="D164" t="str">
            <v/>
          </cell>
          <cell r="F164" t="str">
            <v/>
          </cell>
        </row>
        <row r="165">
          <cell r="A165" t="str">
            <v/>
          </cell>
          <cell r="B165" t="str">
            <v/>
          </cell>
          <cell r="C165" t="str">
            <v/>
          </cell>
          <cell r="D165" t="str">
            <v/>
          </cell>
          <cell r="F165" t="str">
            <v/>
          </cell>
        </row>
        <row r="166">
          <cell r="A166" t="str">
            <v/>
          </cell>
          <cell r="B166" t="str">
            <v/>
          </cell>
          <cell r="C166" t="str">
            <v/>
          </cell>
          <cell r="D166" t="str">
            <v/>
          </cell>
          <cell r="F166" t="str">
            <v/>
          </cell>
        </row>
        <row r="167">
          <cell r="A167" t="str">
            <v/>
          </cell>
          <cell r="B167" t="str">
            <v/>
          </cell>
          <cell r="C167" t="str">
            <v/>
          </cell>
          <cell r="D167" t="str">
            <v/>
          </cell>
          <cell r="F167" t="str">
            <v/>
          </cell>
        </row>
        <row r="168">
          <cell r="A168" t="str">
            <v/>
          </cell>
          <cell r="B168" t="str">
            <v/>
          </cell>
          <cell r="C168" t="str">
            <v/>
          </cell>
          <cell r="D168" t="str">
            <v/>
          </cell>
          <cell r="F168" t="str">
            <v/>
          </cell>
        </row>
        <row r="169">
          <cell r="A169" t="str">
            <v/>
          </cell>
          <cell r="B169" t="str">
            <v/>
          </cell>
          <cell r="C169" t="str">
            <v/>
          </cell>
          <cell r="D169" t="str">
            <v/>
          </cell>
          <cell r="F169" t="str">
            <v/>
          </cell>
        </row>
        <row r="170">
          <cell r="A170" t="str">
            <v/>
          </cell>
          <cell r="B170" t="str">
            <v/>
          </cell>
          <cell r="C170" t="str">
            <v/>
          </cell>
          <cell r="D170" t="str">
            <v/>
          </cell>
          <cell r="F170" t="str">
            <v/>
          </cell>
        </row>
        <row r="171">
          <cell r="A171" t="str">
            <v/>
          </cell>
          <cell r="B171" t="str">
            <v/>
          </cell>
          <cell r="C171" t="str">
            <v/>
          </cell>
          <cell r="D171" t="str">
            <v/>
          </cell>
          <cell r="F171" t="str">
            <v/>
          </cell>
        </row>
        <row r="172">
          <cell r="A172" t="str">
            <v/>
          </cell>
          <cell r="B172" t="str">
            <v/>
          </cell>
          <cell r="C172" t="str">
            <v/>
          </cell>
          <cell r="D172" t="str">
            <v/>
          </cell>
          <cell r="F172" t="str">
            <v/>
          </cell>
        </row>
        <row r="173">
          <cell r="A173" t="str">
            <v/>
          </cell>
          <cell r="B173" t="str">
            <v/>
          </cell>
          <cell r="C173" t="str">
            <v/>
          </cell>
          <cell r="D173" t="str">
            <v/>
          </cell>
          <cell r="F173" t="str">
            <v/>
          </cell>
        </row>
        <row r="174">
          <cell r="A174" t="str">
            <v/>
          </cell>
          <cell r="B174" t="str">
            <v/>
          </cell>
          <cell r="C174" t="str">
            <v/>
          </cell>
          <cell r="D174" t="str">
            <v/>
          </cell>
          <cell r="F174" t="str">
            <v/>
          </cell>
        </row>
        <row r="175">
          <cell r="A175" t="str">
            <v/>
          </cell>
          <cell r="B175" t="str">
            <v/>
          </cell>
          <cell r="C175" t="str">
            <v/>
          </cell>
          <cell r="D175" t="str">
            <v/>
          </cell>
          <cell r="F175" t="str">
            <v/>
          </cell>
        </row>
        <row r="176">
          <cell r="A176" t="str">
            <v/>
          </cell>
          <cell r="B176" t="str">
            <v/>
          </cell>
          <cell r="C176" t="str">
            <v/>
          </cell>
          <cell r="D176" t="str">
            <v/>
          </cell>
          <cell r="F176" t="str">
            <v/>
          </cell>
        </row>
        <row r="177">
          <cell r="A177" t="str">
            <v/>
          </cell>
          <cell r="B177" t="str">
            <v/>
          </cell>
          <cell r="C177" t="str">
            <v/>
          </cell>
          <cell r="D177" t="str">
            <v/>
          </cell>
          <cell r="F177" t="str">
            <v/>
          </cell>
        </row>
        <row r="178">
          <cell r="A178" t="str">
            <v/>
          </cell>
          <cell r="B178" t="str">
            <v/>
          </cell>
          <cell r="C178" t="str">
            <v/>
          </cell>
          <cell r="D178" t="str">
            <v/>
          </cell>
          <cell r="F178" t="str">
            <v/>
          </cell>
        </row>
        <row r="179">
          <cell r="A179" t="str">
            <v/>
          </cell>
          <cell r="B179" t="str">
            <v/>
          </cell>
          <cell r="C179" t="str">
            <v/>
          </cell>
          <cell r="D179" t="str">
            <v/>
          </cell>
          <cell r="F179" t="str">
            <v/>
          </cell>
        </row>
        <row r="180">
          <cell r="A180" t="str">
            <v/>
          </cell>
          <cell r="B180" t="str">
            <v/>
          </cell>
          <cell r="C180" t="str">
            <v/>
          </cell>
          <cell r="D180" t="str">
            <v/>
          </cell>
          <cell r="F180" t="str">
            <v/>
          </cell>
        </row>
        <row r="181">
          <cell r="A181" t="str">
            <v/>
          </cell>
          <cell r="B181" t="str">
            <v/>
          </cell>
          <cell r="C181" t="str">
            <v/>
          </cell>
          <cell r="D181" t="str">
            <v/>
          </cell>
          <cell r="F181" t="str">
            <v/>
          </cell>
        </row>
        <row r="182">
          <cell r="A182" t="str">
            <v/>
          </cell>
          <cell r="B182" t="str">
            <v/>
          </cell>
          <cell r="C182" t="str">
            <v/>
          </cell>
          <cell r="D182" t="str">
            <v/>
          </cell>
          <cell r="F182" t="str">
            <v/>
          </cell>
        </row>
        <row r="183">
          <cell r="A183" t="str">
            <v/>
          </cell>
          <cell r="B183" t="str">
            <v/>
          </cell>
          <cell r="C183" t="str">
            <v/>
          </cell>
          <cell r="D183" t="str">
            <v/>
          </cell>
          <cell r="F183" t="str">
            <v/>
          </cell>
        </row>
        <row r="184">
          <cell r="A184" t="str">
            <v/>
          </cell>
          <cell r="B184" t="str">
            <v/>
          </cell>
          <cell r="C184" t="str">
            <v/>
          </cell>
          <cell r="D184" t="str">
            <v/>
          </cell>
          <cell r="F184" t="str">
            <v/>
          </cell>
        </row>
        <row r="185">
          <cell r="A185" t="str">
            <v/>
          </cell>
          <cell r="B185" t="str">
            <v/>
          </cell>
          <cell r="C185" t="str">
            <v/>
          </cell>
          <cell r="D185" t="str">
            <v/>
          </cell>
          <cell r="F185" t="str">
            <v/>
          </cell>
        </row>
        <row r="186">
          <cell r="A186" t="str">
            <v/>
          </cell>
          <cell r="B186" t="str">
            <v/>
          </cell>
          <cell r="C186" t="str">
            <v/>
          </cell>
          <cell r="D186" t="str">
            <v/>
          </cell>
          <cell r="F186" t="str">
            <v/>
          </cell>
        </row>
        <row r="187">
          <cell r="A187" t="str">
            <v/>
          </cell>
          <cell r="B187" t="str">
            <v/>
          </cell>
          <cell r="C187" t="str">
            <v/>
          </cell>
          <cell r="D187" t="str">
            <v/>
          </cell>
          <cell r="F187" t="str">
            <v/>
          </cell>
        </row>
        <row r="188">
          <cell r="A188" t="str">
            <v/>
          </cell>
          <cell r="B188" t="str">
            <v/>
          </cell>
          <cell r="C188" t="str">
            <v/>
          </cell>
          <cell r="D188" t="str">
            <v/>
          </cell>
          <cell r="F188" t="str">
            <v/>
          </cell>
        </row>
        <row r="189">
          <cell r="A189" t="str">
            <v/>
          </cell>
          <cell r="B189" t="str">
            <v/>
          </cell>
          <cell r="C189" t="str">
            <v/>
          </cell>
          <cell r="D189" t="str">
            <v/>
          </cell>
          <cell r="F189" t="str">
            <v/>
          </cell>
        </row>
        <row r="190">
          <cell r="A190" t="str">
            <v/>
          </cell>
          <cell r="B190" t="str">
            <v/>
          </cell>
          <cell r="C190" t="str">
            <v/>
          </cell>
          <cell r="D190" t="str">
            <v/>
          </cell>
          <cell r="F190" t="str">
            <v/>
          </cell>
        </row>
        <row r="191">
          <cell r="A191" t="str">
            <v/>
          </cell>
          <cell r="B191" t="str">
            <v/>
          </cell>
          <cell r="C191" t="str">
            <v/>
          </cell>
          <cell r="D191" t="str">
            <v/>
          </cell>
          <cell r="F191" t="str">
            <v/>
          </cell>
        </row>
        <row r="192">
          <cell r="A192" t="str">
            <v/>
          </cell>
          <cell r="B192" t="str">
            <v/>
          </cell>
          <cell r="C192" t="str">
            <v/>
          </cell>
          <cell r="D192" t="str">
            <v/>
          </cell>
          <cell r="F192" t="str">
            <v/>
          </cell>
        </row>
        <row r="193">
          <cell r="A193" t="str">
            <v/>
          </cell>
          <cell r="B193" t="str">
            <v/>
          </cell>
          <cell r="C193" t="str">
            <v/>
          </cell>
          <cell r="D193" t="str">
            <v/>
          </cell>
          <cell r="F193" t="str">
            <v/>
          </cell>
        </row>
        <row r="194">
          <cell r="A194" t="str">
            <v/>
          </cell>
          <cell r="B194" t="str">
            <v/>
          </cell>
          <cell r="C194" t="str">
            <v/>
          </cell>
          <cell r="D194" t="str">
            <v/>
          </cell>
          <cell r="F194" t="str">
            <v/>
          </cell>
        </row>
        <row r="195">
          <cell r="A195" t="str">
            <v/>
          </cell>
          <cell r="B195" t="str">
            <v/>
          </cell>
          <cell r="C195" t="str">
            <v/>
          </cell>
          <cell r="D195" t="str">
            <v/>
          </cell>
          <cell r="F195" t="str">
            <v/>
          </cell>
        </row>
        <row r="196">
          <cell r="A196" t="str">
            <v/>
          </cell>
          <cell r="B196" t="str">
            <v/>
          </cell>
          <cell r="C196" t="str">
            <v/>
          </cell>
          <cell r="D196" t="str">
            <v/>
          </cell>
          <cell r="F196" t="str">
            <v/>
          </cell>
        </row>
        <row r="197">
          <cell r="A197" t="str">
            <v/>
          </cell>
          <cell r="B197" t="str">
            <v/>
          </cell>
          <cell r="C197" t="str">
            <v/>
          </cell>
          <cell r="D197" t="str">
            <v/>
          </cell>
          <cell r="F197" t="str">
            <v/>
          </cell>
        </row>
        <row r="198">
          <cell r="A198" t="str">
            <v/>
          </cell>
          <cell r="B198" t="str">
            <v/>
          </cell>
          <cell r="C198" t="str">
            <v/>
          </cell>
          <cell r="D198" t="str">
            <v/>
          </cell>
          <cell r="F198" t="str">
            <v/>
          </cell>
        </row>
        <row r="199">
          <cell r="A199" t="str">
            <v/>
          </cell>
          <cell r="B199" t="str">
            <v/>
          </cell>
          <cell r="C199" t="str">
            <v/>
          </cell>
          <cell r="D199" t="str">
            <v/>
          </cell>
          <cell r="F199" t="str">
            <v/>
          </cell>
        </row>
        <row r="200">
          <cell r="A200" t="str">
            <v/>
          </cell>
          <cell r="B200" t="str">
            <v/>
          </cell>
          <cell r="C200" t="str">
            <v/>
          </cell>
          <cell r="D200" t="str">
            <v/>
          </cell>
          <cell r="F200" t="str">
            <v/>
          </cell>
        </row>
        <row r="201">
          <cell r="A201" t="str">
            <v/>
          </cell>
          <cell r="B201" t="str">
            <v/>
          </cell>
          <cell r="C201" t="str">
            <v/>
          </cell>
          <cell r="D201" t="str">
            <v/>
          </cell>
          <cell r="F201" t="str">
            <v/>
          </cell>
        </row>
        <row r="202">
          <cell r="A202" t="str">
            <v/>
          </cell>
          <cell r="B202" t="str">
            <v/>
          </cell>
          <cell r="C202" t="str">
            <v/>
          </cell>
          <cell r="D202" t="str">
            <v/>
          </cell>
          <cell r="F202" t="str">
            <v/>
          </cell>
        </row>
        <row r="203">
          <cell r="A203" t="str">
            <v/>
          </cell>
          <cell r="B203" t="str">
            <v/>
          </cell>
          <cell r="C203" t="str">
            <v/>
          </cell>
          <cell r="D203" t="str">
            <v/>
          </cell>
          <cell r="F203" t="str">
            <v/>
          </cell>
        </row>
        <row r="204">
          <cell r="A204" t="str">
            <v/>
          </cell>
          <cell r="B204" t="str">
            <v/>
          </cell>
          <cell r="C204" t="str">
            <v/>
          </cell>
          <cell r="D204" t="str">
            <v/>
          </cell>
          <cell r="F204" t="str">
            <v/>
          </cell>
        </row>
        <row r="205">
          <cell r="A205" t="str">
            <v/>
          </cell>
          <cell r="B205" t="str">
            <v/>
          </cell>
          <cell r="C205" t="str">
            <v/>
          </cell>
          <cell r="D205" t="str">
            <v/>
          </cell>
          <cell r="F205" t="str">
            <v/>
          </cell>
        </row>
        <row r="206">
          <cell r="A206" t="str">
            <v/>
          </cell>
          <cell r="B206" t="str">
            <v/>
          </cell>
          <cell r="C206" t="str">
            <v/>
          </cell>
          <cell r="D206" t="str">
            <v/>
          </cell>
          <cell r="F206" t="str">
            <v/>
          </cell>
        </row>
        <row r="207">
          <cell r="A207" t="str">
            <v/>
          </cell>
          <cell r="B207" t="str">
            <v/>
          </cell>
          <cell r="C207" t="str">
            <v/>
          </cell>
          <cell r="D207" t="str">
            <v/>
          </cell>
          <cell r="F207" t="str">
            <v/>
          </cell>
        </row>
        <row r="208">
          <cell r="A208" t="str">
            <v/>
          </cell>
          <cell r="B208" t="str">
            <v/>
          </cell>
          <cell r="C208" t="str">
            <v/>
          </cell>
          <cell r="D208" t="str">
            <v/>
          </cell>
          <cell r="F208" t="str">
            <v/>
          </cell>
        </row>
        <row r="209">
          <cell r="A209" t="str">
            <v/>
          </cell>
          <cell r="B209" t="str">
            <v/>
          </cell>
          <cell r="C209" t="str">
            <v/>
          </cell>
          <cell r="D209" t="str">
            <v/>
          </cell>
          <cell r="F209" t="str">
            <v/>
          </cell>
        </row>
        <row r="210">
          <cell r="A210" t="str">
            <v/>
          </cell>
          <cell r="B210" t="str">
            <v/>
          </cell>
          <cell r="C210" t="str">
            <v/>
          </cell>
          <cell r="D210" t="str">
            <v/>
          </cell>
          <cell r="F210" t="str">
            <v/>
          </cell>
        </row>
        <row r="211">
          <cell r="A211" t="str">
            <v/>
          </cell>
          <cell r="B211" t="str">
            <v/>
          </cell>
          <cell r="C211" t="str">
            <v/>
          </cell>
          <cell r="D211" t="str">
            <v/>
          </cell>
          <cell r="F211" t="str">
            <v/>
          </cell>
        </row>
        <row r="212">
          <cell r="A212" t="str">
            <v/>
          </cell>
          <cell r="B212" t="str">
            <v/>
          </cell>
          <cell r="C212" t="str">
            <v/>
          </cell>
          <cell r="D212" t="str">
            <v/>
          </cell>
          <cell r="F212" t="str">
            <v/>
          </cell>
        </row>
        <row r="213">
          <cell r="A213" t="str">
            <v/>
          </cell>
          <cell r="B213" t="str">
            <v/>
          </cell>
          <cell r="C213" t="str">
            <v/>
          </cell>
          <cell r="D213" t="str">
            <v/>
          </cell>
          <cell r="F213" t="str">
            <v/>
          </cell>
        </row>
        <row r="214">
          <cell r="A214" t="str">
            <v/>
          </cell>
          <cell r="B214" t="str">
            <v/>
          </cell>
          <cell r="C214" t="str">
            <v/>
          </cell>
          <cell r="D214" t="str">
            <v/>
          </cell>
          <cell r="F214" t="str">
            <v/>
          </cell>
        </row>
        <row r="215">
          <cell r="A215" t="str">
            <v/>
          </cell>
          <cell r="B215" t="str">
            <v/>
          </cell>
          <cell r="C215" t="str">
            <v/>
          </cell>
          <cell r="D215" t="str">
            <v/>
          </cell>
          <cell r="F215" t="str">
            <v/>
          </cell>
        </row>
        <row r="216">
          <cell r="A216" t="str">
            <v/>
          </cell>
          <cell r="B216" t="str">
            <v/>
          </cell>
          <cell r="C216" t="str">
            <v/>
          </cell>
          <cell r="D216" t="str">
            <v/>
          </cell>
          <cell r="F216" t="str">
            <v/>
          </cell>
        </row>
        <row r="217">
          <cell r="A217" t="str">
            <v/>
          </cell>
          <cell r="B217" t="str">
            <v/>
          </cell>
          <cell r="C217" t="str">
            <v/>
          </cell>
          <cell r="D217" t="str">
            <v/>
          </cell>
          <cell r="F217" t="str">
            <v/>
          </cell>
        </row>
        <row r="218">
          <cell r="A218" t="str">
            <v/>
          </cell>
          <cell r="B218" t="str">
            <v/>
          </cell>
          <cell r="C218" t="str">
            <v/>
          </cell>
          <cell r="D218" t="str">
            <v/>
          </cell>
          <cell r="F218" t="str">
            <v/>
          </cell>
        </row>
        <row r="219">
          <cell r="A219" t="str">
            <v/>
          </cell>
          <cell r="B219" t="str">
            <v/>
          </cell>
          <cell r="C219" t="str">
            <v/>
          </cell>
          <cell r="D219" t="str">
            <v/>
          </cell>
          <cell r="F219" t="str">
            <v/>
          </cell>
        </row>
        <row r="220">
          <cell r="A220" t="str">
            <v/>
          </cell>
          <cell r="B220" t="str">
            <v/>
          </cell>
          <cell r="C220" t="str">
            <v/>
          </cell>
          <cell r="D220" t="str">
            <v/>
          </cell>
          <cell r="F220" t="str">
            <v/>
          </cell>
        </row>
        <row r="221">
          <cell r="A221" t="str">
            <v/>
          </cell>
          <cell r="B221" t="str">
            <v/>
          </cell>
          <cell r="C221" t="str">
            <v/>
          </cell>
          <cell r="D221" t="str">
            <v/>
          </cell>
          <cell r="F221" t="str">
            <v/>
          </cell>
        </row>
        <row r="222">
          <cell r="A222" t="str">
            <v/>
          </cell>
          <cell r="B222" t="str">
            <v/>
          </cell>
          <cell r="C222" t="str">
            <v/>
          </cell>
          <cell r="D222" t="str">
            <v/>
          </cell>
          <cell r="F222" t="str">
            <v/>
          </cell>
        </row>
        <row r="223">
          <cell r="A223" t="str">
            <v/>
          </cell>
          <cell r="B223" t="str">
            <v/>
          </cell>
          <cell r="C223" t="str">
            <v/>
          </cell>
          <cell r="D223" t="str">
            <v/>
          </cell>
          <cell r="F223" t="str">
            <v/>
          </cell>
        </row>
        <row r="224">
          <cell r="A224" t="str">
            <v/>
          </cell>
          <cell r="B224" t="str">
            <v/>
          </cell>
          <cell r="C224" t="str">
            <v/>
          </cell>
          <cell r="D224" t="str">
            <v/>
          </cell>
          <cell r="F224" t="str">
            <v/>
          </cell>
        </row>
        <row r="225">
          <cell r="A225" t="str">
            <v/>
          </cell>
          <cell r="B225" t="str">
            <v/>
          </cell>
          <cell r="C225" t="str">
            <v/>
          </cell>
          <cell r="D225" t="str">
            <v/>
          </cell>
          <cell r="F225" t="str">
            <v/>
          </cell>
        </row>
        <row r="226">
          <cell r="A226" t="str">
            <v/>
          </cell>
          <cell r="B226" t="str">
            <v/>
          </cell>
          <cell r="C226" t="str">
            <v/>
          </cell>
          <cell r="D226" t="str">
            <v/>
          </cell>
          <cell r="F226" t="str">
            <v/>
          </cell>
        </row>
        <row r="227">
          <cell r="A227" t="str">
            <v/>
          </cell>
          <cell r="B227" t="str">
            <v/>
          </cell>
          <cell r="C227" t="str">
            <v/>
          </cell>
          <cell r="D227" t="str">
            <v/>
          </cell>
          <cell r="F227" t="str">
            <v/>
          </cell>
        </row>
        <row r="228">
          <cell r="A228" t="str">
            <v/>
          </cell>
          <cell r="B228" t="str">
            <v/>
          </cell>
          <cell r="C228" t="str">
            <v/>
          </cell>
          <cell r="D228" t="str">
            <v/>
          </cell>
          <cell r="F228" t="str">
            <v/>
          </cell>
        </row>
        <row r="229">
          <cell r="A229" t="str">
            <v/>
          </cell>
          <cell r="B229" t="str">
            <v/>
          </cell>
          <cell r="C229" t="str">
            <v/>
          </cell>
          <cell r="D229" t="str">
            <v/>
          </cell>
          <cell r="F229" t="str">
            <v/>
          </cell>
        </row>
        <row r="230">
          <cell r="A230" t="str">
            <v/>
          </cell>
          <cell r="B230" t="str">
            <v/>
          </cell>
          <cell r="C230" t="str">
            <v/>
          </cell>
          <cell r="D230" t="str">
            <v/>
          </cell>
          <cell r="F230" t="str">
            <v/>
          </cell>
        </row>
        <row r="231">
          <cell r="A231" t="str">
            <v/>
          </cell>
          <cell r="B231" t="str">
            <v/>
          </cell>
          <cell r="C231" t="str">
            <v/>
          </cell>
          <cell r="D231" t="str">
            <v/>
          </cell>
          <cell r="F231" t="str">
            <v/>
          </cell>
        </row>
        <row r="232">
          <cell r="A232" t="str">
            <v/>
          </cell>
          <cell r="B232" t="str">
            <v/>
          </cell>
          <cell r="C232" t="str">
            <v/>
          </cell>
          <cell r="D232" t="str">
            <v/>
          </cell>
          <cell r="F232" t="str">
            <v/>
          </cell>
        </row>
        <row r="233">
          <cell r="A233" t="str">
            <v/>
          </cell>
          <cell r="B233" t="str">
            <v/>
          </cell>
          <cell r="C233" t="str">
            <v/>
          </cell>
          <cell r="D233" t="str">
            <v/>
          </cell>
          <cell r="F233" t="str">
            <v/>
          </cell>
        </row>
        <row r="234">
          <cell r="A234" t="str">
            <v/>
          </cell>
          <cell r="B234" t="str">
            <v/>
          </cell>
          <cell r="C234" t="str">
            <v/>
          </cell>
          <cell r="D234" t="str">
            <v/>
          </cell>
          <cell r="F234" t="str">
            <v/>
          </cell>
        </row>
        <row r="235">
          <cell r="A235" t="str">
            <v/>
          </cell>
          <cell r="B235" t="str">
            <v/>
          </cell>
          <cell r="C235" t="str">
            <v/>
          </cell>
          <cell r="D235" t="str">
            <v/>
          </cell>
          <cell r="F235" t="str">
            <v/>
          </cell>
        </row>
        <row r="236">
          <cell r="A236" t="str">
            <v/>
          </cell>
          <cell r="B236" t="str">
            <v/>
          </cell>
          <cell r="C236" t="str">
            <v/>
          </cell>
          <cell r="D236" t="str">
            <v/>
          </cell>
          <cell r="F236" t="str">
            <v/>
          </cell>
        </row>
        <row r="237">
          <cell r="A237" t="str">
            <v/>
          </cell>
          <cell r="B237" t="str">
            <v/>
          </cell>
          <cell r="C237" t="str">
            <v/>
          </cell>
          <cell r="D237" t="str">
            <v/>
          </cell>
          <cell r="F237" t="str">
            <v/>
          </cell>
        </row>
        <row r="238">
          <cell r="A238" t="str">
            <v/>
          </cell>
          <cell r="B238" t="str">
            <v/>
          </cell>
          <cell r="C238" t="str">
            <v/>
          </cell>
          <cell r="D238" t="str">
            <v/>
          </cell>
          <cell r="F238" t="str">
            <v/>
          </cell>
        </row>
        <row r="239">
          <cell r="A239" t="str">
            <v/>
          </cell>
          <cell r="B239" t="str">
            <v/>
          </cell>
          <cell r="C239" t="str">
            <v/>
          </cell>
          <cell r="D239" t="str">
            <v/>
          </cell>
          <cell r="F239" t="str">
            <v/>
          </cell>
        </row>
        <row r="240">
          <cell r="A240" t="str">
            <v/>
          </cell>
          <cell r="B240" t="str">
            <v/>
          </cell>
          <cell r="C240" t="str">
            <v/>
          </cell>
          <cell r="D240" t="str">
            <v/>
          </cell>
          <cell r="F240" t="str">
            <v/>
          </cell>
        </row>
        <row r="241">
          <cell r="A241" t="str">
            <v/>
          </cell>
          <cell r="B241" t="str">
            <v/>
          </cell>
          <cell r="C241" t="str">
            <v/>
          </cell>
          <cell r="D241" t="str">
            <v/>
          </cell>
          <cell r="F241" t="str">
            <v/>
          </cell>
        </row>
        <row r="242">
          <cell r="A242" t="str">
            <v/>
          </cell>
          <cell r="B242" t="str">
            <v/>
          </cell>
          <cell r="C242" t="str">
            <v/>
          </cell>
          <cell r="D242" t="str">
            <v/>
          </cell>
          <cell r="F242" t="str">
            <v/>
          </cell>
        </row>
        <row r="243">
          <cell r="A243" t="str">
            <v/>
          </cell>
          <cell r="B243" t="str">
            <v/>
          </cell>
          <cell r="C243" t="str">
            <v/>
          </cell>
          <cell r="D243" t="str">
            <v/>
          </cell>
          <cell r="F243" t="str">
            <v/>
          </cell>
        </row>
        <row r="244">
          <cell r="A244" t="str">
            <v/>
          </cell>
          <cell r="B244" t="str">
            <v/>
          </cell>
          <cell r="C244" t="str">
            <v/>
          </cell>
          <cell r="D244" t="str">
            <v/>
          </cell>
          <cell r="F244" t="str">
            <v/>
          </cell>
        </row>
        <row r="245">
          <cell r="A245" t="str">
            <v/>
          </cell>
          <cell r="B245" t="str">
            <v/>
          </cell>
          <cell r="C245" t="str">
            <v/>
          </cell>
          <cell r="D245" t="str">
            <v/>
          </cell>
          <cell r="F245" t="str">
            <v/>
          </cell>
        </row>
        <row r="246">
          <cell r="A246" t="str">
            <v/>
          </cell>
          <cell r="B246" t="str">
            <v/>
          </cell>
          <cell r="C246" t="str">
            <v/>
          </cell>
          <cell r="D246" t="str">
            <v/>
          </cell>
          <cell r="F246" t="str">
            <v/>
          </cell>
        </row>
        <row r="247">
          <cell r="A247" t="str">
            <v/>
          </cell>
          <cell r="B247" t="str">
            <v/>
          </cell>
          <cell r="C247" t="str">
            <v/>
          </cell>
          <cell r="D247" t="str">
            <v/>
          </cell>
          <cell r="F247" t="str">
            <v/>
          </cell>
        </row>
        <row r="248">
          <cell r="A248" t="str">
            <v/>
          </cell>
          <cell r="B248" t="str">
            <v/>
          </cell>
          <cell r="C248" t="str">
            <v/>
          </cell>
          <cell r="D248" t="str">
            <v/>
          </cell>
          <cell r="F248" t="str">
            <v/>
          </cell>
        </row>
        <row r="249">
          <cell r="A249" t="str">
            <v/>
          </cell>
          <cell r="B249" t="str">
            <v/>
          </cell>
          <cell r="C249" t="str">
            <v/>
          </cell>
          <cell r="D249" t="str">
            <v/>
          </cell>
          <cell r="F249" t="str">
            <v/>
          </cell>
        </row>
        <row r="250">
          <cell r="A250" t="str">
            <v/>
          </cell>
          <cell r="B250" t="str">
            <v/>
          </cell>
          <cell r="C250" t="str">
            <v/>
          </cell>
          <cell r="D250" t="str">
            <v/>
          </cell>
          <cell r="F250" t="str">
            <v/>
          </cell>
        </row>
        <row r="251">
          <cell r="A251" t="str">
            <v/>
          </cell>
          <cell r="B251" t="str">
            <v/>
          </cell>
          <cell r="C251" t="str">
            <v/>
          </cell>
          <cell r="D251" t="str">
            <v/>
          </cell>
          <cell r="F251" t="str">
            <v/>
          </cell>
        </row>
        <row r="252">
          <cell r="A252" t="str">
            <v/>
          </cell>
          <cell r="B252" t="str">
            <v/>
          </cell>
          <cell r="C252" t="str">
            <v/>
          </cell>
          <cell r="D252" t="str">
            <v/>
          </cell>
          <cell r="F252" t="str">
            <v/>
          </cell>
        </row>
        <row r="253">
          <cell r="A253" t="str">
            <v/>
          </cell>
          <cell r="B253" t="str">
            <v/>
          </cell>
          <cell r="C253" t="str">
            <v/>
          </cell>
          <cell r="D253" t="str">
            <v/>
          </cell>
          <cell r="F253" t="str">
            <v/>
          </cell>
        </row>
        <row r="254">
          <cell r="A254" t="str">
            <v/>
          </cell>
          <cell r="B254" t="str">
            <v/>
          </cell>
          <cell r="C254" t="str">
            <v/>
          </cell>
          <cell r="D254" t="str">
            <v/>
          </cell>
          <cell r="F254" t="str">
            <v/>
          </cell>
        </row>
        <row r="255">
          <cell r="A255" t="str">
            <v/>
          </cell>
          <cell r="B255" t="str">
            <v/>
          </cell>
          <cell r="C255" t="str">
            <v/>
          </cell>
          <cell r="D255" t="str">
            <v/>
          </cell>
          <cell r="F255" t="str">
            <v/>
          </cell>
        </row>
        <row r="256">
          <cell r="A256" t="str">
            <v/>
          </cell>
          <cell r="B256" t="str">
            <v/>
          </cell>
          <cell r="C256" t="str">
            <v/>
          </cell>
          <cell r="D256" t="str">
            <v/>
          </cell>
          <cell r="F256" t="str">
            <v/>
          </cell>
        </row>
        <row r="257">
          <cell r="A257" t="str">
            <v/>
          </cell>
          <cell r="B257" t="str">
            <v/>
          </cell>
          <cell r="C257" t="str">
            <v/>
          </cell>
          <cell r="D257" t="str">
            <v/>
          </cell>
          <cell r="F257" t="str">
            <v/>
          </cell>
        </row>
        <row r="258">
          <cell r="A258" t="str">
            <v/>
          </cell>
          <cell r="B258" t="str">
            <v/>
          </cell>
          <cell r="C258" t="str">
            <v/>
          </cell>
          <cell r="D258" t="str">
            <v/>
          </cell>
          <cell r="F258" t="str">
            <v/>
          </cell>
        </row>
        <row r="259">
          <cell r="A259" t="str">
            <v/>
          </cell>
          <cell r="B259" t="str">
            <v/>
          </cell>
          <cell r="C259" t="str">
            <v/>
          </cell>
          <cell r="D259" t="str">
            <v/>
          </cell>
          <cell r="F259" t="str">
            <v/>
          </cell>
        </row>
        <row r="260">
          <cell r="A260" t="str">
            <v/>
          </cell>
          <cell r="B260" t="str">
            <v/>
          </cell>
          <cell r="C260" t="str">
            <v/>
          </cell>
          <cell r="D260" t="str">
            <v/>
          </cell>
          <cell r="F260" t="str">
            <v/>
          </cell>
        </row>
        <row r="261">
          <cell r="A261" t="str">
            <v/>
          </cell>
          <cell r="B261" t="str">
            <v/>
          </cell>
          <cell r="C261" t="str">
            <v/>
          </cell>
          <cell r="D261" t="str">
            <v/>
          </cell>
          <cell r="F261" t="str">
            <v/>
          </cell>
        </row>
        <row r="262">
          <cell r="A262" t="str">
            <v/>
          </cell>
          <cell r="B262" t="str">
            <v/>
          </cell>
          <cell r="C262" t="str">
            <v/>
          </cell>
          <cell r="D262" t="str">
            <v/>
          </cell>
          <cell r="F262" t="str">
            <v/>
          </cell>
        </row>
        <row r="263">
          <cell r="A263" t="str">
            <v/>
          </cell>
          <cell r="B263" t="str">
            <v/>
          </cell>
          <cell r="C263" t="str">
            <v/>
          </cell>
          <cell r="D263" t="str">
            <v/>
          </cell>
          <cell r="F263" t="str">
            <v/>
          </cell>
        </row>
        <row r="264">
          <cell r="A264" t="str">
            <v/>
          </cell>
          <cell r="B264" t="str">
            <v/>
          </cell>
          <cell r="C264" t="str">
            <v/>
          </cell>
          <cell r="D264" t="str">
            <v/>
          </cell>
          <cell r="F264" t="str">
            <v/>
          </cell>
        </row>
        <row r="265">
          <cell r="A265" t="str">
            <v/>
          </cell>
          <cell r="B265" t="str">
            <v/>
          </cell>
          <cell r="C265" t="str">
            <v/>
          </cell>
          <cell r="D265" t="str">
            <v/>
          </cell>
          <cell r="F265" t="str">
            <v/>
          </cell>
        </row>
        <row r="266">
          <cell r="A266" t="str">
            <v/>
          </cell>
          <cell r="B266" t="str">
            <v/>
          </cell>
          <cell r="C266" t="str">
            <v/>
          </cell>
          <cell r="D266" t="str">
            <v/>
          </cell>
          <cell r="F266" t="str">
            <v/>
          </cell>
        </row>
        <row r="267">
          <cell r="A267" t="str">
            <v/>
          </cell>
          <cell r="B267" t="str">
            <v/>
          </cell>
          <cell r="C267" t="str">
            <v/>
          </cell>
          <cell r="D267" t="str">
            <v/>
          </cell>
          <cell r="F267" t="str">
            <v/>
          </cell>
        </row>
        <row r="268">
          <cell r="A268" t="str">
            <v/>
          </cell>
          <cell r="B268" t="str">
            <v/>
          </cell>
          <cell r="C268" t="str">
            <v/>
          </cell>
          <cell r="D268" t="str">
            <v/>
          </cell>
          <cell r="F268" t="str">
            <v/>
          </cell>
        </row>
        <row r="269">
          <cell r="A269" t="str">
            <v/>
          </cell>
          <cell r="B269" t="str">
            <v/>
          </cell>
          <cell r="C269" t="str">
            <v/>
          </cell>
          <cell r="D269" t="str">
            <v/>
          </cell>
          <cell r="F269" t="str">
            <v/>
          </cell>
        </row>
        <row r="270">
          <cell r="A270" t="str">
            <v/>
          </cell>
          <cell r="B270" t="str">
            <v/>
          </cell>
          <cell r="C270" t="str">
            <v/>
          </cell>
          <cell r="D270" t="str">
            <v/>
          </cell>
          <cell r="F270" t="str">
            <v/>
          </cell>
        </row>
        <row r="271">
          <cell r="A271" t="str">
            <v/>
          </cell>
          <cell r="B271" t="str">
            <v/>
          </cell>
          <cell r="C271" t="str">
            <v/>
          </cell>
          <cell r="D271" t="str">
            <v/>
          </cell>
          <cell r="F271" t="str">
            <v/>
          </cell>
        </row>
        <row r="272">
          <cell r="A272" t="str">
            <v/>
          </cell>
          <cell r="B272" t="str">
            <v/>
          </cell>
          <cell r="C272" t="str">
            <v/>
          </cell>
          <cell r="D272" t="str">
            <v/>
          </cell>
          <cell r="F272" t="str">
            <v/>
          </cell>
        </row>
        <row r="273">
          <cell r="A273" t="str">
            <v/>
          </cell>
          <cell r="B273" t="str">
            <v/>
          </cell>
          <cell r="C273" t="str">
            <v/>
          </cell>
          <cell r="D273" t="str">
            <v/>
          </cell>
          <cell r="F273" t="str">
            <v/>
          </cell>
        </row>
        <row r="274">
          <cell r="A274" t="str">
            <v/>
          </cell>
          <cell r="B274" t="str">
            <v/>
          </cell>
          <cell r="C274" t="str">
            <v/>
          </cell>
          <cell r="D274" t="str">
            <v/>
          </cell>
          <cell r="F274" t="str">
            <v/>
          </cell>
        </row>
        <row r="275">
          <cell r="A275" t="str">
            <v/>
          </cell>
          <cell r="B275" t="str">
            <v/>
          </cell>
          <cell r="C275" t="str">
            <v/>
          </cell>
          <cell r="D275" t="str">
            <v/>
          </cell>
          <cell r="F275" t="str">
            <v/>
          </cell>
        </row>
        <row r="276">
          <cell r="A276" t="str">
            <v/>
          </cell>
          <cell r="B276" t="str">
            <v/>
          </cell>
          <cell r="C276" t="str">
            <v/>
          </cell>
          <cell r="D276" t="str">
            <v/>
          </cell>
          <cell r="F276" t="str">
            <v/>
          </cell>
        </row>
        <row r="277">
          <cell r="A277" t="str">
            <v/>
          </cell>
          <cell r="B277" t="str">
            <v/>
          </cell>
          <cell r="C277" t="str">
            <v/>
          </cell>
          <cell r="D277" t="str">
            <v/>
          </cell>
          <cell r="F277" t="str">
            <v/>
          </cell>
        </row>
        <row r="278">
          <cell r="A278" t="str">
            <v/>
          </cell>
          <cell r="B278" t="str">
            <v/>
          </cell>
          <cell r="C278" t="str">
            <v/>
          </cell>
          <cell r="D278" t="str">
            <v/>
          </cell>
          <cell r="F278" t="str">
            <v/>
          </cell>
        </row>
        <row r="279">
          <cell r="A279" t="str">
            <v/>
          </cell>
          <cell r="B279" t="str">
            <v/>
          </cell>
          <cell r="C279" t="str">
            <v/>
          </cell>
          <cell r="D279" t="str">
            <v/>
          </cell>
          <cell r="F279" t="str">
            <v/>
          </cell>
        </row>
        <row r="280">
          <cell r="A280" t="str">
            <v/>
          </cell>
          <cell r="B280" t="str">
            <v/>
          </cell>
          <cell r="C280" t="str">
            <v/>
          </cell>
          <cell r="D280" t="str">
            <v/>
          </cell>
          <cell r="F280" t="str">
            <v/>
          </cell>
        </row>
        <row r="281">
          <cell r="A281" t="str">
            <v/>
          </cell>
          <cell r="B281" t="str">
            <v/>
          </cell>
          <cell r="C281" t="str">
            <v/>
          </cell>
          <cell r="D281" t="str">
            <v/>
          </cell>
          <cell r="F281" t="str">
            <v/>
          </cell>
        </row>
        <row r="282">
          <cell r="A282" t="str">
            <v/>
          </cell>
          <cell r="B282" t="str">
            <v/>
          </cell>
          <cell r="C282" t="str">
            <v/>
          </cell>
          <cell r="D282" t="str">
            <v/>
          </cell>
          <cell r="F282" t="str">
            <v/>
          </cell>
        </row>
        <row r="283">
          <cell r="A283" t="str">
            <v/>
          </cell>
          <cell r="B283" t="str">
            <v/>
          </cell>
          <cell r="C283" t="str">
            <v/>
          </cell>
          <cell r="D283" t="str">
            <v/>
          </cell>
          <cell r="F283" t="str">
            <v/>
          </cell>
        </row>
        <row r="284">
          <cell r="A284" t="str">
            <v/>
          </cell>
          <cell r="B284" t="str">
            <v/>
          </cell>
          <cell r="C284" t="str">
            <v/>
          </cell>
          <cell r="D284" t="str">
            <v/>
          </cell>
          <cell r="F284" t="str">
            <v/>
          </cell>
        </row>
        <row r="285">
          <cell r="A285" t="str">
            <v/>
          </cell>
          <cell r="B285" t="str">
            <v/>
          </cell>
          <cell r="C285" t="str">
            <v/>
          </cell>
          <cell r="D285" t="str">
            <v/>
          </cell>
          <cell r="F285" t="str">
            <v/>
          </cell>
        </row>
        <row r="286">
          <cell r="A286" t="str">
            <v/>
          </cell>
          <cell r="B286" t="str">
            <v/>
          </cell>
          <cell r="C286" t="str">
            <v/>
          </cell>
          <cell r="D286" t="str">
            <v/>
          </cell>
          <cell r="F286" t="str">
            <v/>
          </cell>
        </row>
        <row r="287">
          <cell r="A287" t="str">
            <v/>
          </cell>
          <cell r="B287" t="str">
            <v/>
          </cell>
          <cell r="C287" t="str">
            <v/>
          </cell>
          <cell r="D287" t="str">
            <v/>
          </cell>
          <cell r="F287" t="str">
            <v/>
          </cell>
        </row>
        <row r="288">
          <cell r="A288" t="str">
            <v/>
          </cell>
          <cell r="B288" t="str">
            <v/>
          </cell>
          <cell r="C288" t="str">
            <v/>
          </cell>
          <cell r="D288" t="str">
            <v/>
          </cell>
          <cell r="F288" t="str">
            <v/>
          </cell>
        </row>
        <row r="289">
          <cell r="A289" t="str">
            <v/>
          </cell>
          <cell r="B289" t="str">
            <v/>
          </cell>
          <cell r="C289" t="str">
            <v/>
          </cell>
          <cell r="D289" t="str">
            <v/>
          </cell>
          <cell r="F289" t="str">
            <v/>
          </cell>
        </row>
        <row r="290">
          <cell r="A290" t="str">
            <v/>
          </cell>
          <cell r="B290" t="str">
            <v/>
          </cell>
          <cell r="C290" t="str">
            <v/>
          </cell>
          <cell r="D290" t="str">
            <v/>
          </cell>
          <cell r="F290" t="str">
            <v/>
          </cell>
        </row>
        <row r="291">
          <cell r="A291" t="str">
            <v/>
          </cell>
          <cell r="B291" t="str">
            <v/>
          </cell>
          <cell r="C291" t="str">
            <v/>
          </cell>
          <cell r="D291" t="str">
            <v/>
          </cell>
          <cell r="F291" t="str">
            <v/>
          </cell>
        </row>
        <row r="292">
          <cell r="A292" t="str">
            <v/>
          </cell>
          <cell r="B292" t="str">
            <v/>
          </cell>
          <cell r="C292" t="str">
            <v/>
          </cell>
          <cell r="D292" t="str">
            <v/>
          </cell>
          <cell r="F292" t="str">
            <v/>
          </cell>
        </row>
        <row r="293">
          <cell r="A293" t="str">
            <v/>
          </cell>
          <cell r="B293" t="str">
            <v/>
          </cell>
          <cell r="C293" t="str">
            <v/>
          </cell>
          <cell r="D293" t="str">
            <v/>
          </cell>
          <cell r="F293" t="str">
            <v/>
          </cell>
        </row>
        <row r="294">
          <cell r="A294" t="str">
            <v/>
          </cell>
          <cell r="B294" t="str">
            <v/>
          </cell>
          <cell r="C294" t="str">
            <v/>
          </cell>
          <cell r="D294" t="str">
            <v/>
          </cell>
          <cell r="F294" t="str">
            <v/>
          </cell>
        </row>
        <row r="295">
          <cell r="A295" t="str">
            <v/>
          </cell>
          <cell r="B295" t="str">
            <v/>
          </cell>
          <cell r="C295" t="str">
            <v/>
          </cell>
          <cell r="D295" t="str">
            <v/>
          </cell>
          <cell r="F295" t="str">
            <v/>
          </cell>
        </row>
        <row r="296">
          <cell r="A296" t="str">
            <v/>
          </cell>
          <cell r="B296" t="str">
            <v/>
          </cell>
          <cell r="C296" t="str">
            <v/>
          </cell>
          <cell r="D296" t="str">
            <v/>
          </cell>
          <cell r="F296" t="str">
            <v/>
          </cell>
        </row>
        <row r="297">
          <cell r="A297" t="str">
            <v/>
          </cell>
          <cell r="B297" t="str">
            <v/>
          </cell>
          <cell r="C297" t="str">
            <v/>
          </cell>
          <cell r="D297" t="str">
            <v/>
          </cell>
          <cell r="F297" t="str">
            <v/>
          </cell>
        </row>
        <row r="298">
          <cell r="A298" t="str">
            <v/>
          </cell>
          <cell r="B298" t="str">
            <v/>
          </cell>
          <cell r="C298" t="str">
            <v/>
          </cell>
          <cell r="D298" t="str">
            <v/>
          </cell>
          <cell r="F298" t="str">
            <v/>
          </cell>
        </row>
        <row r="299">
          <cell r="A299" t="str">
            <v/>
          </cell>
          <cell r="B299" t="str">
            <v/>
          </cell>
          <cell r="C299" t="str">
            <v/>
          </cell>
          <cell r="D299" t="str">
            <v/>
          </cell>
          <cell r="F299" t="str">
            <v/>
          </cell>
        </row>
        <row r="300">
          <cell r="A300" t="str">
            <v/>
          </cell>
          <cell r="B300" t="str">
            <v/>
          </cell>
          <cell r="C300" t="str">
            <v/>
          </cell>
          <cell r="D300" t="str">
            <v/>
          </cell>
          <cell r="F300" t="str">
            <v/>
          </cell>
        </row>
        <row r="301">
          <cell r="A301" t="str">
            <v/>
          </cell>
          <cell r="B301" t="str">
            <v/>
          </cell>
          <cell r="C301" t="str">
            <v/>
          </cell>
          <cell r="D301" t="str">
            <v/>
          </cell>
          <cell r="F301" t="str">
            <v/>
          </cell>
        </row>
        <row r="302">
          <cell r="A302" t="str">
            <v/>
          </cell>
          <cell r="B302" t="str">
            <v/>
          </cell>
          <cell r="C302" t="str">
            <v/>
          </cell>
          <cell r="D302" t="str">
            <v/>
          </cell>
          <cell r="F302" t="str">
            <v/>
          </cell>
        </row>
        <row r="303">
          <cell r="A303" t="str">
            <v/>
          </cell>
          <cell r="B303" t="str">
            <v/>
          </cell>
          <cell r="C303" t="str">
            <v/>
          </cell>
          <cell r="D303" t="str">
            <v/>
          </cell>
          <cell r="F303" t="str">
            <v/>
          </cell>
        </row>
        <row r="304">
          <cell r="A304" t="str">
            <v/>
          </cell>
          <cell r="B304" t="str">
            <v/>
          </cell>
          <cell r="C304" t="str">
            <v/>
          </cell>
          <cell r="D304" t="str">
            <v/>
          </cell>
          <cell r="F304" t="str">
            <v/>
          </cell>
        </row>
        <row r="305">
          <cell r="A305" t="str">
            <v/>
          </cell>
          <cell r="B305" t="str">
            <v/>
          </cell>
          <cell r="C305" t="str">
            <v/>
          </cell>
          <cell r="D305" t="str">
            <v/>
          </cell>
          <cell r="F305" t="str">
            <v/>
          </cell>
        </row>
        <row r="306">
          <cell r="A306" t="str">
            <v/>
          </cell>
          <cell r="B306" t="str">
            <v/>
          </cell>
          <cell r="C306" t="str">
            <v/>
          </cell>
          <cell r="D306" t="str">
            <v/>
          </cell>
          <cell r="F306" t="str">
            <v/>
          </cell>
        </row>
        <row r="307">
          <cell r="A307" t="str">
            <v/>
          </cell>
          <cell r="B307" t="str">
            <v/>
          </cell>
          <cell r="C307" t="str">
            <v/>
          </cell>
          <cell r="D307" t="str">
            <v/>
          </cell>
          <cell r="F307" t="str">
            <v/>
          </cell>
        </row>
        <row r="308">
          <cell r="A308" t="str">
            <v/>
          </cell>
          <cell r="B308" t="str">
            <v/>
          </cell>
          <cell r="C308" t="str">
            <v/>
          </cell>
          <cell r="D308" t="str">
            <v/>
          </cell>
          <cell r="F308" t="str">
            <v/>
          </cell>
        </row>
        <row r="309">
          <cell r="A309" t="str">
            <v/>
          </cell>
          <cell r="B309" t="str">
            <v/>
          </cell>
          <cell r="C309" t="str">
            <v/>
          </cell>
          <cell r="D309" t="str">
            <v/>
          </cell>
          <cell r="F309" t="str">
            <v/>
          </cell>
        </row>
        <row r="310">
          <cell r="A310" t="str">
            <v/>
          </cell>
          <cell r="B310" t="str">
            <v/>
          </cell>
          <cell r="C310" t="str">
            <v/>
          </cell>
          <cell r="D310" t="str">
            <v/>
          </cell>
          <cell r="F310" t="str">
            <v/>
          </cell>
        </row>
        <row r="311">
          <cell r="A311" t="str">
            <v/>
          </cell>
          <cell r="B311" t="str">
            <v/>
          </cell>
          <cell r="C311" t="str">
            <v/>
          </cell>
          <cell r="D311" t="str">
            <v/>
          </cell>
          <cell r="F311" t="str">
            <v/>
          </cell>
        </row>
        <row r="312">
          <cell r="A312" t="str">
            <v/>
          </cell>
          <cell r="B312" t="str">
            <v/>
          </cell>
          <cell r="C312" t="str">
            <v/>
          </cell>
          <cell r="D312" t="str">
            <v/>
          </cell>
          <cell r="F312" t="str">
            <v/>
          </cell>
        </row>
        <row r="313">
          <cell r="A313" t="str">
            <v/>
          </cell>
          <cell r="B313" t="str">
            <v/>
          </cell>
          <cell r="C313" t="str">
            <v/>
          </cell>
          <cell r="D313" t="str">
            <v/>
          </cell>
          <cell r="F313" t="str">
            <v/>
          </cell>
        </row>
        <row r="314">
          <cell r="A314" t="str">
            <v/>
          </cell>
          <cell r="B314" t="str">
            <v/>
          </cell>
          <cell r="C314" t="str">
            <v/>
          </cell>
          <cell r="D314" t="str">
            <v/>
          </cell>
          <cell r="F314" t="str">
            <v/>
          </cell>
        </row>
        <row r="315">
          <cell r="A315" t="str">
            <v/>
          </cell>
          <cell r="B315" t="str">
            <v/>
          </cell>
          <cell r="C315" t="str">
            <v/>
          </cell>
          <cell r="D315" t="str">
            <v/>
          </cell>
          <cell r="F315" t="str">
            <v/>
          </cell>
        </row>
        <row r="316">
          <cell r="A316" t="str">
            <v/>
          </cell>
          <cell r="B316" t="str">
            <v/>
          </cell>
          <cell r="C316" t="str">
            <v/>
          </cell>
          <cell r="D316" t="str">
            <v/>
          </cell>
          <cell r="F316" t="str">
            <v/>
          </cell>
        </row>
        <row r="317">
          <cell r="A317" t="str">
            <v/>
          </cell>
          <cell r="B317" t="str">
            <v/>
          </cell>
          <cell r="C317" t="str">
            <v/>
          </cell>
          <cell r="D317" t="str">
            <v/>
          </cell>
          <cell r="F317" t="str">
            <v/>
          </cell>
        </row>
        <row r="318">
          <cell r="A318" t="str">
            <v/>
          </cell>
          <cell r="B318" t="str">
            <v/>
          </cell>
          <cell r="C318" t="str">
            <v/>
          </cell>
          <cell r="D318" t="str">
            <v/>
          </cell>
          <cell r="F318" t="str">
            <v/>
          </cell>
        </row>
        <row r="319">
          <cell r="A319" t="str">
            <v/>
          </cell>
          <cell r="B319" t="str">
            <v/>
          </cell>
          <cell r="C319" t="str">
            <v/>
          </cell>
          <cell r="D319" t="str">
            <v/>
          </cell>
          <cell r="F319" t="str">
            <v/>
          </cell>
        </row>
        <row r="320">
          <cell r="A320" t="str">
            <v/>
          </cell>
          <cell r="B320" t="str">
            <v/>
          </cell>
          <cell r="C320" t="str">
            <v/>
          </cell>
          <cell r="D320" t="str">
            <v/>
          </cell>
          <cell r="F320" t="str">
            <v/>
          </cell>
        </row>
        <row r="321">
          <cell r="A321" t="str">
            <v/>
          </cell>
          <cell r="B321" t="str">
            <v/>
          </cell>
          <cell r="C321" t="str">
            <v/>
          </cell>
          <cell r="D321" t="str">
            <v/>
          </cell>
          <cell r="F321" t="str">
            <v/>
          </cell>
        </row>
        <row r="322">
          <cell r="A322" t="str">
            <v/>
          </cell>
          <cell r="B322" t="str">
            <v/>
          </cell>
          <cell r="C322" t="str">
            <v/>
          </cell>
          <cell r="D322" t="str">
            <v/>
          </cell>
          <cell r="F322" t="str">
            <v/>
          </cell>
        </row>
        <row r="323">
          <cell r="A323" t="str">
            <v/>
          </cell>
          <cell r="B323" t="str">
            <v/>
          </cell>
          <cell r="C323" t="str">
            <v/>
          </cell>
          <cell r="D323" t="str">
            <v/>
          </cell>
          <cell r="F323" t="str">
            <v/>
          </cell>
        </row>
        <row r="324">
          <cell r="A324" t="str">
            <v/>
          </cell>
          <cell r="B324" t="str">
            <v/>
          </cell>
          <cell r="C324" t="str">
            <v/>
          </cell>
          <cell r="D324" t="str">
            <v/>
          </cell>
          <cell r="F324" t="str">
            <v/>
          </cell>
        </row>
        <row r="325">
          <cell r="A325" t="str">
            <v/>
          </cell>
          <cell r="B325" t="str">
            <v/>
          </cell>
          <cell r="C325" t="str">
            <v/>
          </cell>
          <cell r="D325" t="str">
            <v/>
          </cell>
          <cell r="F325" t="str">
            <v/>
          </cell>
        </row>
        <row r="326">
          <cell r="A326" t="str">
            <v/>
          </cell>
          <cell r="B326" t="str">
            <v/>
          </cell>
          <cell r="C326" t="str">
            <v/>
          </cell>
          <cell r="D326" t="str">
            <v/>
          </cell>
          <cell r="F326" t="str">
            <v/>
          </cell>
        </row>
        <row r="327">
          <cell r="A327" t="str">
            <v/>
          </cell>
          <cell r="B327" t="str">
            <v/>
          </cell>
          <cell r="C327" t="str">
            <v/>
          </cell>
          <cell r="D327" t="str">
            <v/>
          </cell>
          <cell r="F327" t="str">
            <v/>
          </cell>
        </row>
        <row r="328">
          <cell r="A328" t="str">
            <v/>
          </cell>
          <cell r="B328" t="str">
            <v/>
          </cell>
          <cell r="C328" t="str">
            <v/>
          </cell>
          <cell r="D328" t="str">
            <v/>
          </cell>
          <cell r="F328" t="str">
            <v/>
          </cell>
        </row>
        <row r="329">
          <cell r="A329" t="str">
            <v/>
          </cell>
          <cell r="B329" t="str">
            <v/>
          </cell>
          <cell r="C329" t="str">
            <v/>
          </cell>
          <cell r="D329" t="str">
            <v/>
          </cell>
          <cell r="F329" t="str">
            <v/>
          </cell>
        </row>
        <row r="330">
          <cell r="A330" t="str">
            <v/>
          </cell>
          <cell r="B330" t="str">
            <v/>
          </cell>
          <cell r="C330" t="str">
            <v/>
          </cell>
          <cell r="D330" t="str">
            <v/>
          </cell>
          <cell r="F330" t="str">
            <v/>
          </cell>
        </row>
        <row r="331">
          <cell r="A331" t="str">
            <v/>
          </cell>
          <cell r="B331" t="str">
            <v/>
          </cell>
          <cell r="C331" t="str">
            <v/>
          </cell>
          <cell r="D331" t="str">
            <v/>
          </cell>
          <cell r="F331" t="str">
            <v/>
          </cell>
        </row>
        <row r="332">
          <cell r="A332" t="str">
            <v/>
          </cell>
          <cell r="B332" t="str">
            <v/>
          </cell>
          <cell r="C332" t="str">
            <v/>
          </cell>
          <cell r="D332" t="str">
            <v/>
          </cell>
          <cell r="F332" t="str">
            <v/>
          </cell>
        </row>
        <row r="333">
          <cell r="A333" t="str">
            <v/>
          </cell>
          <cell r="B333" t="str">
            <v/>
          </cell>
          <cell r="C333" t="str">
            <v/>
          </cell>
          <cell r="D333" t="str">
            <v/>
          </cell>
          <cell r="F333" t="str">
            <v/>
          </cell>
        </row>
        <row r="334">
          <cell r="A334" t="str">
            <v/>
          </cell>
          <cell r="B334" t="str">
            <v/>
          </cell>
          <cell r="C334" t="str">
            <v/>
          </cell>
          <cell r="D334" t="str">
            <v/>
          </cell>
          <cell r="F334" t="str">
            <v/>
          </cell>
        </row>
        <row r="335">
          <cell r="A335" t="str">
            <v/>
          </cell>
          <cell r="B335" t="str">
            <v/>
          </cell>
          <cell r="C335" t="str">
            <v/>
          </cell>
          <cell r="D335" t="str">
            <v/>
          </cell>
          <cell r="F335" t="str">
            <v/>
          </cell>
        </row>
        <row r="336">
          <cell r="A336" t="str">
            <v/>
          </cell>
          <cell r="B336" t="str">
            <v/>
          </cell>
          <cell r="C336" t="str">
            <v/>
          </cell>
          <cell r="D336" t="str">
            <v/>
          </cell>
          <cell r="F336" t="str">
            <v/>
          </cell>
        </row>
        <row r="337">
          <cell r="A337" t="str">
            <v/>
          </cell>
          <cell r="B337" t="str">
            <v/>
          </cell>
          <cell r="C337" t="str">
            <v/>
          </cell>
          <cell r="D337" t="str">
            <v/>
          </cell>
          <cell r="F337" t="str">
            <v/>
          </cell>
        </row>
        <row r="338">
          <cell r="A338" t="str">
            <v/>
          </cell>
          <cell r="B338" t="str">
            <v/>
          </cell>
          <cell r="C338" t="str">
            <v/>
          </cell>
          <cell r="D338" t="str">
            <v/>
          </cell>
          <cell r="F338" t="str">
            <v/>
          </cell>
        </row>
        <row r="339">
          <cell r="A339" t="str">
            <v/>
          </cell>
          <cell r="B339" t="str">
            <v/>
          </cell>
          <cell r="C339" t="str">
            <v/>
          </cell>
          <cell r="D339" t="str">
            <v/>
          </cell>
          <cell r="F339" t="str">
            <v/>
          </cell>
        </row>
        <row r="340">
          <cell r="A340" t="str">
            <v/>
          </cell>
          <cell r="B340" t="str">
            <v/>
          </cell>
          <cell r="C340" t="str">
            <v/>
          </cell>
          <cell r="D340" t="str">
            <v/>
          </cell>
          <cell r="F340" t="str">
            <v/>
          </cell>
        </row>
        <row r="341">
          <cell r="A341" t="str">
            <v/>
          </cell>
          <cell r="B341" t="str">
            <v/>
          </cell>
          <cell r="C341" t="str">
            <v/>
          </cell>
          <cell r="D341" t="str">
            <v/>
          </cell>
          <cell r="F341" t="str">
            <v/>
          </cell>
        </row>
        <row r="342">
          <cell r="A342" t="str">
            <v/>
          </cell>
          <cell r="B342" t="str">
            <v/>
          </cell>
          <cell r="C342" t="str">
            <v/>
          </cell>
          <cell r="D342" t="str">
            <v/>
          </cell>
          <cell r="F342" t="str">
            <v/>
          </cell>
        </row>
        <row r="343">
          <cell r="A343" t="str">
            <v/>
          </cell>
          <cell r="B343" t="str">
            <v/>
          </cell>
          <cell r="C343" t="str">
            <v/>
          </cell>
          <cell r="D343" t="str">
            <v/>
          </cell>
          <cell r="F343" t="str">
            <v/>
          </cell>
        </row>
        <row r="344">
          <cell r="A344" t="str">
            <v/>
          </cell>
          <cell r="B344" t="str">
            <v/>
          </cell>
          <cell r="C344" t="str">
            <v/>
          </cell>
          <cell r="D344" t="str">
            <v/>
          </cell>
          <cell r="F344" t="str">
            <v/>
          </cell>
        </row>
        <row r="345">
          <cell r="A345" t="str">
            <v/>
          </cell>
          <cell r="B345" t="str">
            <v/>
          </cell>
          <cell r="C345" t="str">
            <v/>
          </cell>
          <cell r="D345" t="str">
            <v/>
          </cell>
          <cell r="F345" t="str">
            <v/>
          </cell>
        </row>
        <row r="346">
          <cell r="A346" t="str">
            <v/>
          </cell>
          <cell r="B346" t="str">
            <v/>
          </cell>
          <cell r="C346" t="str">
            <v/>
          </cell>
          <cell r="D346" t="str">
            <v/>
          </cell>
          <cell r="F346" t="str">
            <v/>
          </cell>
        </row>
        <row r="347">
          <cell r="A347" t="str">
            <v/>
          </cell>
          <cell r="B347" t="str">
            <v/>
          </cell>
          <cell r="C347" t="str">
            <v/>
          </cell>
          <cell r="D347" t="str">
            <v/>
          </cell>
          <cell r="F347" t="str">
            <v/>
          </cell>
        </row>
        <row r="348">
          <cell r="A348" t="str">
            <v/>
          </cell>
          <cell r="B348" t="str">
            <v/>
          </cell>
          <cell r="C348" t="str">
            <v/>
          </cell>
          <cell r="D348" t="str">
            <v/>
          </cell>
          <cell r="F348" t="str">
            <v/>
          </cell>
        </row>
        <row r="349">
          <cell r="A349" t="str">
            <v/>
          </cell>
          <cell r="B349" t="str">
            <v/>
          </cell>
          <cell r="C349" t="str">
            <v/>
          </cell>
          <cell r="D349" t="str">
            <v/>
          </cell>
          <cell r="F349" t="str">
            <v/>
          </cell>
        </row>
        <row r="350">
          <cell r="A350" t="str">
            <v/>
          </cell>
          <cell r="B350" t="str">
            <v/>
          </cell>
          <cell r="C350" t="str">
            <v/>
          </cell>
          <cell r="D350" t="str">
            <v/>
          </cell>
          <cell r="F350" t="str">
            <v/>
          </cell>
        </row>
        <row r="351">
          <cell r="A351" t="str">
            <v/>
          </cell>
          <cell r="B351" t="str">
            <v/>
          </cell>
          <cell r="C351" t="str">
            <v/>
          </cell>
          <cell r="D351" t="str">
            <v/>
          </cell>
          <cell r="F351" t="str">
            <v/>
          </cell>
        </row>
        <row r="352">
          <cell r="A352" t="str">
            <v/>
          </cell>
          <cell r="B352" t="str">
            <v/>
          </cell>
          <cell r="C352" t="str">
            <v/>
          </cell>
          <cell r="D352" t="str">
            <v/>
          </cell>
          <cell r="F352" t="str">
            <v/>
          </cell>
        </row>
        <row r="353">
          <cell r="A353" t="str">
            <v/>
          </cell>
          <cell r="B353" t="str">
            <v/>
          </cell>
          <cell r="C353" t="str">
            <v/>
          </cell>
          <cell r="D353" t="str">
            <v/>
          </cell>
          <cell r="F353" t="str">
            <v/>
          </cell>
        </row>
        <row r="354">
          <cell r="A354" t="str">
            <v/>
          </cell>
          <cell r="B354" t="str">
            <v/>
          </cell>
          <cell r="C354" t="str">
            <v/>
          </cell>
          <cell r="D354" t="str">
            <v/>
          </cell>
          <cell r="F354" t="str">
            <v/>
          </cell>
        </row>
        <row r="355">
          <cell r="A355" t="str">
            <v/>
          </cell>
          <cell r="B355" t="str">
            <v/>
          </cell>
          <cell r="C355" t="str">
            <v/>
          </cell>
          <cell r="D355" t="str">
            <v/>
          </cell>
          <cell r="F355" t="str">
            <v/>
          </cell>
        </row>
        <row r="356">
          <cell r="A356" t="str">
            <v/>
          </cell>
          <cell r="B356" t="str">
            <v/>
          </cell>
          <cell r="C356" t="str">
            <v/>
          </cell>
          <cell r="D356" t="str">
            <v/>
          </cell>
          <cell r="F356" t="str">
            <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mcboard.vermont.gov/" TargetMode="External"/><Relationship Id="rId1" Type="http://schemas.openxmlformats.org/officeDocument/2006/relationships/hyperlink" Target="mailto:Lori.Perry@vermont.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59"/>
  <sheetViews>
    <sheetView showGridLines="0" workbookViewId="0">
      <selection activeCell="H33" sqref="H33"/>
    </sheetView>
  </sheetViews>
  <sheetFormatPr defaultRowHeight="13.2" x14ac:dyDescent="0.25"/>
  <cols>
    <col min="2" max="2" width="13.6640625" customWidth="1"/>
  </cols>
  <sheetData>
    <row r="5" spans="2:9" x14ac:dyDescent="0.25">
      <c r="B5" s="230" t="s">
        <v>456</v>
      </c>
    </row>
    <row r="7" spans="2:9" s="147" customFormat="1" x14ac:dyDescent="0.25">
      <c r="B7" s="230" t="s">
        <v>469</v>
      </c>
    </row>
    <row r="8" spans="2:9" s="147" customFormat="1" x14ac:dyDescent="0.25">
      <c r="B8" s="230" t="s">
        <v>458</v>
      </c>
    </row>
    <row r="9" spans="2:9" s="147" customFormat="1" x14ac:dyDescent="0.25">
      <c r="B9" s="230"/>
    </row>
    <row r="10" spans="2:9" s="147" customFormat="1" x14ac:dyDescent="0.25">
      <c r="B10" s="230" t="s">
        <v>457</v>
      </c>
    </row>
    <row r="11" spans="2:9" s="147" customFormat="1" x14ac:dyDescent="0.25">
      <c r="B11" s="230"/>
    </row>
    <row r="12" spans="2:9" x14ac:dyDescent="0.25">
      <c r="B12" s="402" t="s">
        <v>453</v>
      </c>
      <c r="C12" s="402" t="s">
        <v>454</v>
      </c>
    </row>
    <row r="13" spans="2:9" s="147" customFormat="1" x14ac:dyDescent="0.25">
      <c r="B13" s="402"/>
      <c r="C13" s="402"/>
    </row>
    <row r="14" spans="2:9" x14ac:dyDescent="0.25">
      <c r="B14" s="30" t="s">
        <v>443</v>
      </c>
      <c r="C14" s="30" t="s">
        <v>455</v>
      </c>
    </row>
    <row r="15" spans="2:9" ht="13.8" x14ac:dyDescent="0.25">
      <c r="B15" s="30" t="s">
        <v>141</v>
      </c>
      <c r="C15" s="401" t="s">
        <v>452</v>
      </c>
      <c r="D15" s="399"/>
      <c r="E15" s="399"/>
      <c r="F15" s="399"/>
      <c r="G15" s="399"/>
      <c r="H15" s="399"/>
    </row>
    <row r="16" spans="2:9" ht="13.8" x14ac:dyDescent="0.25">
      <c r="B16" s="30" t="s">
        <v>142</v>
      </c>
      <c r="C16" s="401" t="s">
        <v>451</v>
      </c>
      <c r="D16" s="400"/>
      <c r="E16" s="400"/>
      <c r="F16" s="400"/>
      <c r="G16" s="400"/>
      <c r="H16" s="399"/>
      <c r="I16" s="400"/>
    </row>
    <row r="17" spans="2:4" s="147" customFormat="1" x14ac:dyDescent="0.25">
      <c r="B17" s="30" t="s">
        <v>436</v>
      </c>
      <c r="C17" s="30" t="s">
        <v>444</v>
      </c>
      <c r="D17" s="230" t="s">
        <v>468</v>
      </c>
    </row>
    <row r="18" spans="2:4" s="147" customFormat="1" x14ac:dyDescent="0.25">
      <c r="B18" s="30" t="s">
        <v>438</v>
      </c>
      <c r="C18" s="30" t="s">
        <v>445</v>
      </c>
      <c r="D18" s="230" t="s">
        <v>468</v>
      </c>
    </row>
    <row r="19" spans="2:4" s="147" customFormat="1" x14ac:dyDescent="0.25">
      <c r="B19" s="30" t="s">
        <v>437</v>
      </c>
      <c r="C19" s="30" t="s">
        <v>446</v>
      </c>
      <c r="D19" s="230" t="s">
        <v>468</v>
      </c>
    </row>
    <row r="20" spans="2:4" s="147" customFormat="1" x14ac:dyDescent="0.25">
      <c r="B20" s="30" t="s">
        <v>439</v>
      </c>
      <c r="C20" s="30" t="s">
        <v>447</v>
      </c>
      <c r="D20" s="230" t="s">
        <v>468</v>
      </c>
    </row>
    <row r="21" spans="2:4" x14ac:dyDescent="0.25">
      <c r="B21" s="30" t="s">
        <v>440</v>
      </c>
      <c r="C21" s="30" t="s">
        <v>448</v>
      </c>
      <c r="D21" s="230" t="s">
        <v>468</v>
      </c>
    </row>
    <row r="22" spans="2:4" x14ac:dyDescent="0.25">
      <c r="B22" s="30" t="s">
        <v>441</v>
      </c>
      <c r="C22" s="30" t="s">
        <v>449</v>
      </c>
      <c r="D22" s="230" t="s">
        <v>468</v>
      </c>
    </row>
    <row r="23" spans="2:4" x14ac:dyDescent="0.25">
      <c r="B23" s="30" t="s">
        <v>442</v>
      </c>
      <c r="C23" s="30" t="s">
        <v>450</v>
      </c>
    </row>
    <row r="24" spans="2:4" x14ac:dyDescent="0.25">
      <c r="B24" s="30"/>
    </row>
    <row r="25" spans="2:4" x14ac:dyDescent="0.25">
      <c r="B25" s="30"/>
    </row>
    <row r="26" spans="2:4" x14ac:dyDescent="0.25">
      <c r="B26" s="30"/>
    </row>
    <row r="27" spans="2:4" x14ac:dyDescent="0.25">
      <c r="B27" s="30"/>
    </row>
    <row r="28" spans="2:4" ht="13.8" x14ac:dyDescent="0.25">
      <c r="B28" s="408" t="s">
        <v>467</v>
      </c>
    </row>
    <row r="29" spans="2:4" x14ac:dyDescent="0.25">
      <c r="B29" s="30"/>
    </row>
    <row r="30" spans="2:4" x14ac:dyDescent="0.25">
      <c r="B30" s="403" t="s">
        <v>459</v>
      </c>
    </row>
    <row r="31" spans="2:4" x14ac:dyDescent="0.25">
      <c r="B31" s="404" t="s">
        <v>460</v>
      </c>
    </row>
    <row r="32" spans="2:4" x14ac:dyDescent="0.25">
      <c r="B32" s="405" t="s">
        <v>461</v>
      </c>
    </row>
    <row r="33" spans="2:2" x14ac:dyDescent="0.25">
      <c r="B33" s="403" t="s">
        <v>462</v>
      </c>
    </row>
    <row r="34" spans="2:2" x14ac:dyDescent="0.25">
      <c r="B34" s="403" t="s">
        <v>463</v>
      </c>
    </row>
    <row r="35" spans="2:2" x14ac:dyDescent="0.25">
      <c r="B35" s="403" t="s">
        <v>464</v>
      </c>
    </row>
    <row r="36" spans="2:2" x14ac:dyDescent="0.25">
      <c r="B36" s="406" t="s">
        <v>465</v>
      </c>
    </row>
    <row r="37" spans="2:2" x14ac:dyDescent="0.25">
      <c r="B37" s="407" t="s">
        <v>466</v>
      </c>
    </row>
    <row r="38" spans="2:2" x14ac:dyDescent="0.25">
      <c r="B38" s="30"/>
    </row>
    <row r="39" spans="2:2" x14ac:dyDescent="0.25">
      <c r="B39" s="30"/>
    </row>
    <row r="40" spans="2:2" x14ac:dyDescent="0.25">
      <c r="B40" s="30"/>
    </row>
    <row r="41" spans="2:2" x14ac:dyDescent="0.25">
      <c r="B41" s="30"/>
    </row>
    <row r="42" spans="2:2" x14ac:dyDescent="0.25">
      <c r="B42" s="30"/>
    </row>
    <row r="43" spans="2:2" x14ac:dyDescent="0.25">
      <c r="B43" s="30"/>
    </row>
    <row r="44" spans="2:2" x14ac:dyDescent="0.25">
      <c r="B44" s="30"/>
    </row>
    <row r="45" spans="2:2" x14ac:dyDescent="0.25">
      <c r="B45" s="30"/>
    </row>
    <row r="46" spans="2:2" x14ac:dyDescent="0.25">
      <c r="B46" s="30"/>
    </row>
    <row r="47" spans="2:2" x14ac:dyDescent="0.25">
      <c r="B47" s="30"/>
    </row>
    <row r="48" spans="2: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147"/>
    </row>
    <row r="57" spans="2:2" x14ac:dyDescent="0.25">
      <c r="B57" s="147"/>
    </row>
    <row r="58" spans="2:2" x14ac:dyDescent="0.25">
      <c r="B58" s="147"/>
    </row>
    <row r="59" spans="2:2" x14ac:dyDescent="0.25">
      <c r="B59" s="30"/>
    </row>
  </sheetData>
  <hyperlinks>
    <hyperlink ref="B36" r:id="rId1" display="mailto:Lori.Perry@vermont.gov"/>
    <hyperlink ref="B37" r:id="rId2" display="http://gmcboard.vermont.gov/"/>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6"/>
  <sheetViews>
    <sheetView showGridLines="0" topLeftCell="D1" zoomScale="85" zoomScaleNormal="85" workbookViewId="0">
      <selection activeCell="D13" sqref="D13"/>
    </sheetView>
  </sheetViews>
  <sheetFormatPr defaultColWidth="9.109375" defaultRowHeight="13.2" outlineLevelRow="1" outlineLevelCol="1" x14ac:dyDescent="0.25"/>
  <cols>
    <col min="1" max="1" width="32.109375" style="34" hidden="1" customWidth="1" outlineLevel="1"/>
    <col min="2" max="2" width="30.109375" style="34" hidden="1" customWidth="1" outlineLevel="1"/>
    <col min="3" max="3" width="19.88671875" style="34" hidden="1" customWidth="1" outlineLevel="1"/>
    <col min="4" max="4" width="25.33203125" style="34" customWidth="1" collapsed="1"/>
    <col min="5" max="7" width="12.6640625" style="153" customWidth="1"/>
    <col min="8" max="19" width="12.6640625" style="34" customWidth="1"/>
    <col min="20" max="16384" width="9.109375" style="34"/>
  </cols>
  <sheetData>
    <row r="1" spans="1:19" ht="22.8" x14ac:dyDescent="0.4">
      <c r="A1" s="33"/>
      <c r="B1" s="33"/>
      <c r="C1" s="33"/>
      <c r="D1" s="637" t="str">
        <f>UPPER('Report Info'!B5)</f>
        <v>BRATTLEBORO MEMORIAL HOSPITAL</v>
      </c>
      <c r="E1" s="637"/>
      <c r="F1" s="637"/>
      <c r="G1" s="637"/>
      <c r="H1" s="637"/>
      <c r="I1" s="637"/>
      <c r="J1" s="637"/>
      <c r="K1" s="637"/>
      <c r="L1" s="637"/>
      <c r="M1" s="637"/>
      <c r="N1" s="637"/>
      <c r="O1" s="637"/>
      <c r="P1" s="637"/>
      <c r="Q1" s="637"/>
      <c r="R1" s="637"/>
      <c r="S1" s="637"/>
    </row>
    <row r="2" spans="1:19" ht="13.8" thickBot="1" x14ac:dyDescent="0.3">
      <c r="D2" s="177"/>
      <c r="E2" s="311"/>
      <c r="F2" s="311"/>
      <c r="G2" s="311"/>
    </row>
    <row r="3" spans="1:19" ht="36" customHeight="1" thickBot="1" x14ac:dyDescent="0.3">
      <c r="A3" s="33"/>
      <c r="B3" s="33"/>
      <c r="C3" s="33"/>
      <c r="D3" s="617" t="str">
        <f>+PL!D4</f>
        <v>Modernization Project</v>
      </c>
      <c r="E3" s="618"/>
      <c r="F3" s="618"/>
      <c r="G3" s="618"/>
      <c r="H3" s="618"/>
      <c r="I3" s="618"/>
      <c r="J3" s="618"/>
      <c r="K3" s="618"/>
      <c r="L3" s="618"/>
      <c r="M3" s="618"/>
      <c r="N3" s="618"/>
      <c r="O3" s="618"/>
      <c r="P3" s="618"/>
      <c r="Q3" s="618"/>
      <c r="R3" s="618"/>
      <c r="S3" s="619"/>
    </row>
    <row r="4" spans="1:19" s="151" customFormat="1" ht="18" x14ac:dyDescent="0.25">
      <c r="D4" s="312"/>
      <c r="E4" s="313"/>
      <c r="F4" s="313"/>
      <c r="G4" s="313"/>
      <c r="H4" s="313"/>
      <c r="I4" s="313"/>
      <c r="J4" s="313"/>
      <c r="K4" s="313"/>
      <c r="L4" s="313"/>
      <c r="M4" s="313"/>
      <c r="N4" s="313"/>
      <c r="O4" s="313"/>
      <c r="P4" s="313"/>
      <c r="Q4" s="313"/>
      <c r="R4" s="313"/>
      <c r="S4" s="314"/>
    </row>
    <row r="5" spans="1:19" ht="19.5" customHeight="1" x14ac:dyDescent="0.4">
      <c r="A5" s="33"/>
      <c r="B5" s="33"/>
      <c r="C5" s="33"/>
      <c r="D5" s="684" t="s">
        <v>427</v>
      </c>
      <c r="E5" s="685"/>
      <c r="F5" s="685"/>
      <c r="G5" s="685"/>
      <c r="H5" s="685"/>
      <c r="I5" s="685"/>
      <c r="J5" s="685"/>
      <c r="K5" s="685"/>
      <c r="L5" s="685"/>
      <c r="M5" s="685"/>
      <c r="N5" s="685"/>
      <c r="O5" s="685"/>
      <c r="P5" s="685"/>
      <c r="Q5" s="685"/>
      <c r="R5" s="685"/>
      <c r="S5" s="686"/>
    </row>
    <row r="6" spans="1:19" ht="15.6" x14ac:dyDescent="0.3">
      <c r="A6" s="33"/>
      <c r="B6" s="33"/>
      <c r="C6" s="33"/>
      <c r="D6" s="315"/>
      <c r="E6" s="71"/>
      <c r="F6" s="71"/>
      <c r="G6" s="71"/>
      <c r="H6" s="51"/>
      <c r="I6" s="51"/>
      <c r="J6" s="51"/>
      <c r="K6" s="51"/>
      <c r="L6" s="51"/>
      <c r="M6" s="51"/>
      <c r="N6" s="51"/>
      <c r="O6" s="51"/>
      <c r="P6" s="51"/>
      <c r="Q6" s="51"/>
      <c r="R6" s="51"/>
      <c r="S6" s="52"/>
    </row>
    <row r="7" spans="1:19" ht="15.6" x14ac:dyDescent="0.25">
      <c r="A7" s="33"/>
      <c r="B7" s="33"/>
      <c r="C7" s="33"/>
      <c r="D7" s="681" t="s">
        <v>47</v>
      </c>
      <c r="E7" s="682"/>
      <c r="F7" s="682"/>
      <c r="G7" s="682"/>
      <c r="H7" s="682"/>
      <c r="I7" s="682"/>
      <c r="J7" s="682"/>
      <c r="K7" s="682"/>
      <c r="L7" s="682"/>
      <c r="M7" s="682"/>
      <c r="N7" s="682"/>
      <c r="O7" s="682"/>
      <c r="P7" s="682"/>
      <c r="Q7" s="682"/>
      <c r="R7" s="682"/>
      <c r="S7" s="683"/>
    </row>
    <row r="8" spans="1:19" ht="15" x14ac:dyDescent="0.25">
      <c r="A8" s="33"/>
      <c r="B8" s="33"/>
      <c r="C8" s="33"/>
      <c r="D8" s="44"/>
      <c r="E8" s="71"/>
      <c r="F8" s="71"/>
      <c r="G8" s="71"/>
      <c r="H8" s="51"/>
      <c r="I8" s="51"/>
      <c r="J8" s="51"/>
      <c r="K8" s="51"/>
      <c r="L8" s="51"/>
      <c r="M8" s="51"/>
      <c r="N8" s="51"/>
      <c r="O8" s="51"/>
      <c r="P8" s="51"/>
      <c r="Q8" s="51"/>
      <c r="R8" s="51"/>
      <c r="S8" s="52"/>
    </row>
    <row r="9" spans="1:19" ht="31.2" x14ac:dyDescent="0.3">
      <c r="A9" s="33"/>
      <c r="B9" s="33"/>
      <c r="C9" s="33"/>
      <c r="D9" s="44"/>
      <c r="E9" s="316" t="s">
        <v>39</v>
      </c>
      <c r="F9" s="316" t="s">
        <v>55</v>
      </c>
      <c r="G9" s="317"/>
      <c r="H9" s="316" t="s">
        <v>65</v>
      </c>
      <c r="I9" s="317"/>
      <c r="J9" s="316">
        <v>2016</v>
      </c>
      <c r="K9" s="317"/>
      <c r="L9" s="40" t="s">
        <v>144</v>
      </c>
      <c r="M9" s="40"/>
      <c r="N9" s="40" t="s">
        <v>145</v>
      </c>
      <c r="O9" s="40"/>
      <c r="P9" s="40" t="s">
        <v>146</v>
      </c>
      <c r="Q9" s="40"/>
      <c r="R9" s="40" t="s">
        <v>488</v>
      </c>
      <c r="S9" s="41"/>
    </row>
    <row r="10" spans="1:19" ht="15.6" x14ac:dyDescent="0.3">
      <c r="A10" s="3" t="s">
        <v>29</v>
      </c>
      <c r="B10" s="3" t="s">
        <v>29</v>
      </c>
      <c r="C10" s="3" t="s">
        <v>29</v>
      </c>
      <c r="D10" s="44"/>
      <c r="E10" s="206" t="s">
        <v>429</v>
      </c>
      <c r="F10" s="206" t="s">
        <v>429</v>
      </c>
      <c r="G10" s="318" t="s">
        <v>57</v>
      </c>
      <c r="H10" s="206" t="s">
        <v>430</v>
      </c>
      <c r="I10" s="318" t="s">
        <v>57</v>
      </c>
      <c r="J10" s="206" t="s">
        <v>429</v>
      </c>
      <c r="K10" s="318" t="s">
        <v>57</v>
      </c>
      <c r="L10" s="43">
        <v>2017</v>
      </c>
      <c r="M10" s="319" t="s">
        <v>57</v>
      </c>
      <c r="N10" s="43">
        <v>2018</v>
      </c>
      <c r="O10" s="319" t="s">
        <v>57</v>
      </c>
      <c r="P10" s="43">
        <v>2019</v>
      </c>
      <c r="Q10" s="319" t="s">
        <v>57</v>
      </c>
      <c r="R10" s="43">
        <v>2020</v>
      </c>
      <c r="S10" s="320" t="s">
        <v>57</v>
      </c>
    </row>
    <row r="11" spans="1:19" ht="15.6" x14ac:dyDescent="0.3">
      <c r="A11" s="3"/>
      <c r="B11" s="3"/>
      <c r="C11" s="201"/>
      <c r="D11" s="315"/>
      <c r="E11" s="45"/>
      <c r="F11" s="45"/>
      <c r="G11" s="45"/>
      <c r="H11" s="51"/>
      <c r="I11" s="51"/>
      <c r="J11" s="51"/>
      <c r="K11" s="51"/>
      <c r="L11" s="51"/>
      <c r="M11" s="51"/>
      <c r="N11" s="51"/>
      <c r="O11" s="51"/>
      <c r="P11" s="51"/>
      <c r="Q11" s="51"/>
      <c r="R11" s="51"/>
      <c r="S11" s="52"/>
    </row>
    <row r="12" spans="1:19" ht="15.6" x14ac:dyDescent="0.3">
      <c r="A12" s="147" t="s">
        <v>323</v>
      </c>
      <c r="B12" s="34" t="s">
        <v>324</v>
      </c>
      <c r="C12" s="34" t="s">
        <v>325</v>
      </c>
      <c r="D12" s="321" t="s">
        <v>326</v>
      </c>
      <c r="E12" s="322">
        <v>38.4</v>
      </c>
      <c r="F12" s="322">
        <v>43.789999999999985</v>
      </c>
      <c r="G12" s="323">
        <v>0.1403645833333329</v>
      </c>
      <c r="H12" s="322">
        <v>53.81</v>
      </c>
      <c r="I12" s="323">
        <v>0.22881936515186152</v>
      </c>
      <c r="J12" s="324">
        <v>50.5</v>
      </c>
      <c r="K12" s="323"/>
      <c r="L12" s="324">
        <v>50.5</v>
      </c>
      <c r="M12" s="325">
        <f>+(L12/H12)-1</f>
        <v>-6.1512729975841007E-2</v>
      </c>
      <c r="N12" s="324">
        <v>50.5</v>
      </c>
      <c r="O12" s="325">
        <f>+(N12/L12)-1</f>
        <v>0</v>
      </c>
      <c r="P12" s="324">
        <v>50.5</v>
      </c>
      <c r="Q12" s="325">
        <f>+(P12/N12)-1</f>
        <v>0</v>
      </c>
      <c r="R12" s="324">
        <v>50.5</v>
      </c>
      <c r="S12" s="326">
        <f>+(R12/N12)-1</f>
        <v>0</v>
      </c>
    </row>
    <row r="13" spans="1:19" ht="15.6" x14ac:dyDescent="0.3">
      <c r="A13" s="147"/>
      <c r="D13" s="49"/>
      <c r="E13" s="327"/>
      <c r="F13" s="327"/>
      <c r="G13" s="327"/>
      <c r="H13" s="327"/>
      <c r="I13" s="327"/>
      <c r="J13" s="327"/>
      <c r="K13" s="327"/>
      <c r="L13" s="327"/>
      <c r="M13" s="327"/>
      <c r="N13" s="327"/>
      <c r="O13" s="327"/>
      <c r="P13" s="327"/>
      <c r="Q13" s="327"/>
      <c r="R13" s="327"/>
      <c r="S13" s="328"/>
    </row>
    <row r="14" spans="1:19" ht="15.6" x14ac:dyDescent="0.3">
      <c r="A14" s="147" t="s">
        <v>323</v>
      </c>
      <c r="B14" s="147" t="s">
        <v>324</v>
      </c>
      <c r="C14" s="1" t="s">
        <v>327</v>
      </c>
      <c r="D14" s="329" t="s">
        <v>328</v>
      </c>
      <c r="E14" s="330">
        <v>2.6499999999999995</v>
      </c>
      <c r="F14" s="330">
        <v>3.1700000000000004</v>
      </c>
      <c r="G14" s="323">
        <v>0.19622641509434002</v>
      </c>
      <c r="H14" s="330">
        <v>0</v>
      </c>
      <c r="I14" s="323">
        <v>-1</v>
      </c>
      <c r="J14" s="331"/>
      <c r="K14" s="323"/>
      <c r="L14" s="331"/>
      <c r="M14" s="325" t="e">
        <f>+(L14/H14)-1</f>
        <v>#DIV/0!</v>
      </c>
      <c r="N14" s="331"/>
      <c r="O14" s="325" t="e">
        <f>+(N14/L14)-1</f>
        <v>#DIV/0!</v>
      </c>
      <c r="P14" s="331"/>
      <c r="Q14" s="325" t="e">
        <f>+(P14/N14)-1</f>
        <v>#DIV/0!</v>
      </c>
      <c r="R14" s="331"/>
      <c r="S14" s="326" t="e">
        <f>+(R14/N14)-1</f>
        <v>#DIV/0!</v>
      </c>
    </row>
    <row r="15" spans="1:19" ht="15.6" x14ac:dyDescent="0.3">
      <c r="A15" s="147"/>
      <c r="B15" s="147"/>
      <c r="C15" s="1"/>
      <c r="D15" s="332"/>
      <c r="E15" s="327"/>
      <c r="F15" s="327"/>
      <c r="G15" s="327"/>
      <c r="H15" s="327"/>
      <c r="I15" s="327"/>
      <c r="J15" s="327"/>
      <c r="K15" s="327"/>
      <c r="L15" s="327"/>
      <c r="M15" s="327"/>
      <c r="N15" s="327"/>
      <c r="O15" s="327"/>
      <c r="P15" s="327"/>
      <c r="Q15" s="327"/>
      <c r="R15" s="327"/>
      <c r="S15" s="328"/>
    </row>
    <row r="16" spans="1:19" ht="15.6" x14ac:dyDescent="0.3">
      <c r="A16" s="147" t="s">
        <v>323</v>
      </c>
      <c r="B16" s="147" t="s">
        <v>324</v>
      </c>
      <c r="C16" s="147" t="s">
        <v>329</v>
      </c>
      <c r="D16" s="333" t="s">
        <v>329</v>
      </c>
      <c r="E16" s="327">
        <v>0</v>
      </c>
      <c r="F16" s="327">
        <v>0</v>
      </c>
      <c r="G16" s="334" t="e">
        <v>#DIV/0!</v>
      </c>
      <c r="H16" s="327">
        <v>0</v>
      </c>
      <c r="I16" s="334" t="e">
        <v>#DIV/0!</v>
      </c>
      <c r="J16" s="335"/>
      <c r="K16" s="334"/>
      <c r="L16" s="335"/>
      <c r="M16" s="336" t="e">
        <f>+(L16/H16)-1</f>
        <v>#DIV/0!</v>
      </c>
      <c r="N16" s="335"/>
      <c r="O16" s="336" t="e">
        <f t="shared" ref="O16:O19" si="0">+(N16/L16)-1</f>
        <v>#DIV/0!</v>
      </c>
      <c r="P16" s="335"/>
      <c r="Q16" s="336" t="e">
        <f t="shared" ref="Q16:Q19" si="1">+(P16/N16)-1</f>
        <v>#DIV/0!</v>
      </c>
      <c r="R16" s="335"/>
      <c r="S16" s="337" t="e">
        <f>+(R16/N16)-1</f>
        <v>#DIV/0!</v>
      </c>
    </row>
    <row r="17" spans="1:19" ht="15.6" x14ac:dyDescent="0.3">
      <c r="A17" s="147" t="s">
        <v>323</v>
      </c>
      <c r="B17" s="147" t="s">
        <v>324</v>
      </c>
      <c r="C17" s="147" t="s">
        <v>330</v>
      </c>
      <c r="D17" s="333" t="s">
        <v>330</v>
      </c>
      <c r="E17" s="327">
        <v>0</v>
      </c>
      <c r="F17" s="327">
        <v>0</v>
      </c>
      <c r="G17" s="334" t="e">
        <v>#DIV/0!</v>
      </c>
      <c r="H17" s="327">
        <v>0</v>
      </c>
      <c r="I17" s="334" t="e">
        <v>#DIV/0!</v>
      </c>
      <c r="J17" s="335"/>
      <c r="K17" s="334"/>
      <c r="L17" s="335"/>
      <c r="M17" s="336" t="e">
        <f>+(L17/H17)-1</f>
        <v>#DIV/0!</v>
      </c>
      <c r="N17" s="335"/>
      <c r="O17" s="336" t="e">
        <f t="shared" si="0"/>
        <v>#DIV/0!</v>
      </c>
      <c r="P17" s="335"/>
      <c r="Q17" s="336" t="e">
        <f t="shared" si="1"/>
        <v>#DIV/0!</v>
      </c>
      <c r="R17" s="335"/>
      <c r="S17" s="337" t="e">
        <f>+(R17/N17)-1</f>
        <v>#DIV/0!</v>
      </c>
    </row>
    <row r="18" spans="1:19" ht="15.6" x14ac:dyDescent="0.3">
      <c r="A18" s="147" t="s">
        <v>323</v>
      </c>
      <c r="B18" s="147" t="s">
        <v>324</v>
      </c>
      <c r="C18" s="147" t="s">
        <v>331</v>
      </c>
      <c r="D18" s="338" t="s">
        <v>332</v>
      </c>
      <c r="E18" s="339">
        <v>400.09999999999997</v>
      </c>
      <c r="F18" s="339">
        <v>411.89000000000004</v>
      </c>
      <c r="G18" s="340">
        <v>2.9467633091727174E-2</v>
      </c>
      <c r="H18" s="339">
        <v>422.35000000000008</v>
      </c>
      <c r="I18" s="340">
        <v>2.5395129767656455E-2</v>
      </c>
      <c r="J18" s="341">
        <v>438.2</v>
      </c>
      <c r="K18" s="340"/>
      <c r="L18" s="341">
        <v>438.2</v>
      </c>
      <c r="M18" s="342">
        <f>+(L18/H18)-1</f>
        <v>3.7528116491061692E-2</v>
      </c>
      <c r="N18" s="341">
        <v>438.2</v>
      </c>
      <c r="O18" s="342">
        <f t="shared" si="0"/>
        <v>0</v>
      </c>
      <c r="P18" s="341">
        <f>438.2</f>
        <v>438.2</v>
      </c>
      <c r="Q18" s="342">
        <f t="shared" si="1"/>
        <v>0</v>
      </c>
      <c r="R18" s="341">
        <f>438.2+1</f>
        <v>439.2</v>
      </c>
      <c r="S18" s="343">
        <f>+(R18/N18)-1</f>
        <v>2.2820629849384932E-3</v>
      </c>
    </row>
    <row r="19" spans="1:19" ht="16.2" thickBot="1" x14ac:dyDescent="0.35">
      <c r="A19" s="201"/>
      <c r="B19" s="201"/>
      <c r="C19" s="201"/>
      <c r="D19" s="344" t="s">
        <v>333</v>
      </c>
      <c r="E19" s="345">
        <v>400.09999999999997</v>
      </c>
      <c r="F19" s="345">
        <v>411.89000000000004</v>
      </c>
      <c r="G19" s="346">
        <v>2.9467633091727174E-2</v>
      </c>
      <c r="H19" s="345">
        <v>422.35000000000008</v>
      </c>
      <c r="I19" s="346">
        <v>2.5395129767656455E-2</v>
      </c>
      <c r="J19" s="345">
        <f t="shared" ref="J19" si="2">SUM(J16:J18)</f>
        <v>438.2</v>
      </c>
      <c r="K19" s="346"/>
      <c r="L19" s="345">
        <f t="shared" ref="L19:R19" si="3">SUM(L16:L18)</f>
        <v>438.2</v>
      </c>
      <c r="M19" s="346">
        <f>+(L19/H19)-1</f>
        <v>3.7528116491061692E-2</v>
      </c>
      <c r="N19" s="345">
        <f t="shared" si="3"/>
        <v>438.2</v>
      </c>
      <c r="O19" s="346">
        <f t="shared" si="0"/>
        <v>0</v>
      </c>
      <c r="P19" s="345">
        <f t="shared" ref="P19" si="4">SUM(P16:P18)</f>
        <v>438.2</v>
      </c>
      <c r="Q19" s="346">
        <f t="shared" si="1"/>
        <v>0</v>
      </c>
      <c r="R19" s="345">
        <f t="shared" si="3"/>
        <v>439.2</v>
      </c>
      <c r="S19" s="347">
        <f>+(R19/N19)-1</f>
        <v>2.2820629849384932E-3</v>
      </c>
    </row>
    <row r="20" spans="1:19" ht="15.6" x14ac:dyDescent="0.3">
      <c r="A20" s="201"/>
      <c r="B20" s="201"/>
      <c r="C20" s="201"/>
      <c r="D20" s="315"/>
      <c r="E20" s="348"/>
      <c r="F20" s="348"/>
      <c r="G20" s="348"/>
      <c r="H20" s="348"/>
      <c r="I20" s="348"/>
      <c r="J20" s="348"/>
      <c r="K20" s="348"/>
      <c r="L20" s="348"/>
      <c r="M20" s="348"/>
      <c r="N20" s="348"/>
      <c r="O20" s="348"/>
      <c r="P20" s="348"/>
      <c r="Q20" s="348"/>
      <c r="R20" s="348"/>
      <c r="S20" s="349"/>
    </row>
    <row r="21" spans="1:19" ht="15.6" x14ac:dyDescent="0.3">
      <c r="A21" s="201"/>
      <c r="B21" s="201"/>
      <c r="C21" s="201"/>
      <c r="D21" s="333" t="s">
        <v>515</v>
      </c>
      <c r="E21" s="348"/>
      <c r="F21" s="348"/>
      <c r="G21" s="348"/>
      <c r="H21" s="348"/>
      <c r="I21" s="348"/>
      <c r="J21" s="348"/>
      <c r="K21" s="348"/>
      <c r="L21" s="348"/>
      <c r="M21" s="348"/>
      <c r="N21" s="348"/>
      <c r="O21" s="348"/>
      <c r="P21" s="348"/>
      <c r="Q21" s="348"/>
      <c r="R21" s="348"/>
      <c r="S21" s="349"/>
    </row>
    <row r="22" spans="1:19" ht="8.25" customHeight="1" x14ac:dyDescent="0.25">
      <c r="D22" s="38"/>
      <c r="E22" s="50"/>
      <c r="F22" s="50"/>
      <c r="G22" s="50"/>
      <c r="H22" s="51"/>
      <c r="I22" s="51"/>
      <c r="J22" s="51"/>
      <c r="K22" s="51"/>
      <c r="L22" s="51"/>
      <c r="M22" s="51"/>
      <c r="N22" s="51"/>
      <c r="O22" s="51"/>
      <c r="P22" s="51"/>
      <c r="Q22" s="51"/>
      <c r="R22" s="51"/>
      <c r="S22" s="52"/>
    </row>
    <row r="23" spans="1:19" ht="9.75" customHeight="1" thickBot="1" x14ac:dyDescent="0.3">
      <c r="D23" s="38"/>
      <c r="E23" s="50"/>
      <c r="F23" s="50"/>
      <c r="G23" s="50"/>
      <c r="H23" s="51"/>
      <c r="I23" s="51"/>
      <c r="J23" s="51"/>
      <c r="K23" s="51"/>
      <c r="L23" s="51"/>
      <c r="M23" s="51"/>
      <c r="N23" s="51"/>
      <c r="O23" s="51"/>
      <c r="P23" s="51"/>
      <c r="Q23" s="51"/>
      <c r="R23" s="51"/>
      <c r="S23" s="68"/>
    </row>
    <row r="24" spans="1:19" ht="28.5" customHeight="1" thickBot="1" x14ac:dyDescent="0.35">
      <c r="A24" s="33"/>
      <c r="B24" s="33"/>
      <c r="C24" s="33"/>
      <c r="D24" s="687" t="str">
        <f>+D5</f>
        <v xml:space="preserve"> STAFFING REPORT- Table 8</v>
      </c>
      <c r="E24" s="688"/>
      <c r="F24" s="688"/>
      <c r="G24" s="688"/>
      <c r="H24" s="688"/>
      <c r="I24" s="688"/>
      <c r="J24" s="688"/>
      <c r="K24" s="688"/>
      <c r="L24" s="688"/>
      <c r="M24" s="688"/>
      <c r="N24" s="688"/>
      <c r="O24" s="688"/>
      <c r="P24" s="688"/>
      <c r="Q24" s="688"/>
      <c r="R24" s="688"/>
      <c r="S24" s="689"/>
    </row>
    <row r="25" spans="1:19" ht="15" x14ac:dyDescent="0.25">
      <c r="A25" s="33"/>
      <c r="B25" s="33"/>
      <c r="C25" s="33"/>
      <c r="D25" s="675" t="s">
        <v>54</v>
      </c>
      <c r="E25" s="676"/>
      <c r="F25" s="676"/>
      <c r="G25" s="676"/>
      <c r="H25" s="676"/>
      <c r="I25" s="676"/>
      <c r="J25" s="676"/>
      <c r="K25" s="676"/>
      <c r="L25" s="676"/>
      <c r="M25" s="676"/>
      <c r="N25" s="676"/>
      <c r="O25" s="676"/>
      <c r="P25" s="676"/>
      <c r="Q25" s="676"/>
      <c r="R25" s="676"/>
      <c r="S25" s="677"/>
    </row>
    <row r="26" spans="1:19" ht="15.6" x14ac:dyDescent="0.25">
      <c r="A26" s="33"/>
      <c r="B26" s="33"/>
      <c r="C26" s="33"/>
      <c r="D26" s="681" t="s">
        <v>282</v>
      </c>
      <c r="E26" s="682"/>
      <c r="F26" s="682"/>
      <c r="G26" s="682"/>
      <c r="H26" s="682"/>
      <c r="I26" s="682"/>
      <c r="J26" s="682"/>
      <c r="K26" s="682"/>
      <c r="L26" s="682"/>
      <c r="M26" s="682"/>
      <c r="N26" s="682"/>
      <c r="O26" s="682"/>
      <c r="P26" s="682"/>
      <c r="Q26" s="682"/>
      <c r="R26" s="682"/>
      <c r="S26" s="683"/>
    </row>
    <row r="27" spans="1:19" ht="15" x14ac:dyDescent="0.25">
      <c r="A27" s="33"/>
      <c r="B27" s="33"/>
      <c r="C27" s="33"/>
      <c r="D27" s="44"/>
      <c r="E27" s="71"/>
      <c r="F27" s="71"/>
      <c r="G27" s="71"/>
      <c r="H27" s="51"/>
      <c r="I27" s="51"/>
      <c r="J27" s="51"/>
      <c r="K27" s="51"/>
      <c r="L27" s="51"/>
      <c r="M27" s="51"/>
      <c r="N27" s="51"/>
      <c r="O27" s="51"/>
      <c r="P27" s="51"/>
      <c r="Q27" s="51"/>
      <c r="R27" s="51"/>
      <c r="S27" s="52"/>
    </row>
    <row r="28" spans="1:19" ht="31.2" x14ac:dyDescent="0.3">
      <c r="A28" s="33"/>
      <c r="B28" s="33"/>
      <c r="C28" s="33"/>
      <c r="D28" s="44"/>
      <c r="E28" s="317" t="str">
        <f>+E9</f>
        <v>2014</v>
      </c>
      <c r="F28" s="317" t="str">
        <f>+F9</f>
        <v>2015</v>
      </c>
      <c r="G28" s="317"/>
      <c r="H28" s="317" t="str">
        <f>+H9</f>
        <v>2016</v>
      </c>
      <c r="I28" s="317"/>
      <c r="J28" s="317">
        <f>+J9</f>
        <v>2016</v>
      </c>
      <c r="K28" s="317"/>
      <c r="L28" s="40" t="s">
        <v>144</v>
      </c>
      <c r="M28" s="40"/>
      <c r="N28" s="40" t="s">
        <v>145</v>
      </c>
      <c r="O28" s="40"/>
      <c r="P28" s="40" t="s">
        <v>146</v>
      </c>
      <c r="Q28" s="40"/>
      <c r="R28" s="40" t="s">
        <v>488</v>
      </c>
      <c r="S28" s="41"/>
    </row>
    <row r="29" spans="1:19" ht="15.6" x14ac:dyDescent="0.3">
      <c r="A29" s="3"/>
      <c r="B29" s="3"/>
      <c r="C29" s="3"/>
      <c r="D29" s="44"/>
      <c r="E29" s="45" t="str">
        <f>+E10</f>
        <v>Actual</v>
      </c>
      <c r="F29" s="45" t="str">
        <f>+F10</f>
        <v>Actual</v>
      </c>
      <c r="G29" s="45" t="str">
        <f t="shared" ref="G29:R29" si="5">+G10</f>
        <v>% change</v>
      </c>
      <c r="H29" s="45" t="str">
        <f>+H10</f>
        <v>Budget</v>
      </c>
      <c r="I29" s="45" t="str">
        <f t="shared" si="5"/>
        <v>% change</v>
      </c>
      <c r="J29" s="45" t="str">
        <f>+J10</f>
        <v>Actual</v>
      </c>
      <c r="K29" s="45" t="str">
        <f t="shared" ref="K29" si="6">+K10</f>
        <v>% change</v>
      </c>
      <c r="L29" s="43">
        <f t="shared" si="5"/>
        <v>2017</v>
      </c>
      <c r="M29" s="319" t="s">
        <v>57</v>
      </c>
      <c r="N29" s="43">
        <f t="shared" si="5"/>
        <v>2018</v>
      </c>
      <c r="O29" s="319" t="s">
        <v>57</v>
      </c>
      <c r="P29" s="43">
        <f t="shared" ref="P29" si="7">+P10</f>
        <v>2019</v>
      </c>
      <c r="Q29" s="319" t="s">
        <v>57</v>
      </c>
      <c r="R29" s="43">
        <f t="shared" si="5"/>
        <v>2020</v>
      </c>
      <c r="S29" s="320" t="s">
        <v>57</v>
      </c>
    </row>
    <row r="30" spans="1:19" ht="15.6" x14ac:dyDescent="0.3">
      <c r="A30" s="3"/>
      <c r="B30" s="3"/>
      <c r="C30" s="3"/>
      <c r="D30" s="44"/>
      <c r="E30" s="45"/>
      <c r="F30" s="45"/>
      <c r="G30" s="45"/>
      <c r="H30" s="45"/>
      <c r="I30" s="45"/>
      <c r="J30" s="45"/>
      <c r="K30" s="45"/>
      <c r="L30" s="51"/>
      <c r="M30" s="51"/>
      <c r="N30" s="51"/>
      <c r="O30" s="51"/>
      <c r="P30" s="51"/>
      <c r="Q30" s="51"/>
      <c r="R30" s="51"/>
      <c r="S30" s="52"/>
    </row>
    <row r="31" spans="1:19" ht="15.6" x14ac:dyDescent="0.3">
      <c r="A31" s="3"/>
      <c r="B31" s="3"/>
      <c r="C31" s="201"/>
      <c r="D31" s="321" t="s">
        <v>326</v>
      </c>
      <c r="E31" s="322"/>
      <c r="F31" s="322"/>
      <c r="G31" s="323" t="e">
        <f>+(F31/E31)-1</f>
        <v>#DIV/0!</v>
      </c>
      <c r="H31" s="322"/>
      <c r="I31" s="323" t="e">
        <f>+(H31/F31)-1</f>
        <v>#DIV/0!</v>
      </c>
      <c r="J31" s="323"/>
      <c r="K31" s="323"/>
      <c r="L31" s="322">
        <f>+L51-L12</f>
        <v>0</v>
      </c>
      <c r="M31" s="325" t="e">
        <f>+(L31/H31)-1</f>
        <v>#DIV/0!</v>
      </c>
      <c r="N31" s="322">
        <f>+N51-N12</f>
        <v>0</v>
      </c>
      <c r="O31" s="325" t="e">
        <f>+(N31/L31)-1</f>
        <v>#DIV/0!</v>
      </c>
      <c r="P31" s="322">
        <f>+P51-P12</f>
        <v>0</v>
      </c>
      <c r="Q31" s="325" t="e">
        <f>+(P31/N31)-1</f>
        <v>#DIV/0!</v>
      </c>
      <c r="R31" s="322">
        <f>+R51-R12</f>
        <v>0</v>
      </c>
      <c r="S31" s="326" t="e">
        <f>+(R31/N31)-1</f>
        <v>#DIV/0!</v>
      </c>
    </row>
    <row r="32" spans="1:19" ht="15.6" x14ac:dyDescent="0.3">
      <c r="D32" s="49"/>
      <c r="E32" s="327"/>
      <c r="F32" s="327"/>
      <c r="G32" s="327"/>
      <c r="H32" s="327"/>
      <c r="I32" s="327"/>
      <c r="J32" s="327"/>
      <c r="K32" s="327"/>
      <c r="L32" s="327"/>
      <c r="M32" s="327"/>
      <c r="N32" s="327"/>
      <c r="O32" s="327"/>
      <c r="P32" s="327"/>
      <c r="Q32" s="327"/>
      <c r="R32" s="327"/>
      <c r="S32" s="328"/>
    </row>
    <row r="33" spans="1:19" ht="15.6" x14ac:dyDescent="0.3">
      <c r="D33" s="329" t="s">
        <v>328</v>
      </c>
      <c r="E33" s="330"/>
      <c r="F33" s="330"/>
      <c r="G33" s="323" t="e">
        <f>+(F33/E33)-1</f>
        <v>#DIV/0!</v>
      </c>
      <c r="H33" s="330"/>
      <c r="I33" s="323" t="e">
        <f>+(H33/F33)-1</f>
        <v>#DIV/0!</v>
      </c>
      <c r="J33" s="323"/>
      <c r="K33" s="323"/>
      <c r="L33" s="322">
        <f>+L53-L14</f>
        <v>0</v>
      </c>
      <c r="M33" s="325" t="e">
        <f>+(L33/H33)-1</f>
        <v>#DIV/0!</v>
      </c>
      <c r="N33" s="322">
        <f>+N53-N14</f>
        <v>0</v>
      </c>
      <c r="O33" s="325" t="e">
        <f>+(N33/L33)-1</f>
        <v>#DIV/0!</v>
      </c>
      <c r="P33" s="322">
        <f>+P53-P14</f>
        <v>0</v>
      </c>
      <c r="Q33" s="325" t="e">
        <f>+(P33/N33)-1</f>
        <v>#DIV/0!</v>
      </c>
      <c r="R33" s="322">
        <f>+R53-R14</f>
        <v>0</v>
      </c>
      <c r="S33" s="326" t="e">
        <f>+(R33/N33)-1</f>
        <v>#DIV/0!</v>
      </c>
    </row>
    <row r="34" spans="1:19" ht="15.6" x14ac:dyDescent="0.3">
      <c r="D34" s="332"/>
      <c r="E34" s="327"/>
      <c r="F34" s="327"/>
      <c r="G34" s="327"/>
      <c r="H34" s="327"/>
      <c r="I34" s="327"/>
      <c r="J34" s="327"/>
      <c r="K34" s="327"/>
      <c r="L34" s="327"/>
      <c r="M34" s="327"/>
      <c r="N34" s="327"/>
      <c r="O34" s="327"/>
      <c r="P34" s="327"/>
      <c r="Q34" s="327"/>
      <c r="R34" s="327"/>
      <c r="S34" s="328"/>
    </row>
    <row r="35" spans="1:19" ht="15.6" x14ac:dyDescent="0.3">
      <c r="D35" s="333" t="s">
        <v>329</v>
      </c>
      <c r="E35" s="327"/>
      <c r="F35" s="327"/>
      <c r="G35" s="334" t="e">
        <f t="shared" ref="G35:G38" si="8">+(F35/E35)-1</f>
        <v>#DIV/0!</v>
      </c>
      <c r="H35" s="327"/>
      <c r="I35" s="334" t="e">
        <f t="shared" ref="I35:I38" si="9">+(H35/F35)-1</f>
        <v>#DIV/0!</v>
      </c>
      <c r="J35" s="334"/>
      <c r="K35" s="334"/>
      <c r="L35" s="348">
        <f>+L55-L16</f>
        <v>0</v>
      </c>
      <c r="M35" s="336" t="e">
        <f t="shared" ref="M35:M38" si="10">+(L35/H35)-1</f>
        <v>#DIV/0!</v>
      </c>
      <c r="N35" s="348">
        <f>+N55-N16</f>
        <v>0</v>
      </c>
      <c r="O35" s="336" t="e">
        <f t="shared" ref="O35:O38" si="11">+(N35/L35)-1</f>
        <v>#DIV/0!</v>
      </c>
      <c r="P35" s="348">
        <f>+P55-P16</f>
        <v>0</v>
      </c>
      <c r="Q35" s="336" t="e">
        <f t="shared" ref="Q35:Q38" si="12">+(P35/N35)-1</f>
        <v>#DIV/0!</v>
      </c>
      <c r="R35" s="348">
        <f>+R55-R16</f>
        <v>0</v>
      </c>
      <c r="S35" s="337" t="e">
        <f t="shared" ref="S35:S38" si="13">+(R35/N35)-1</f>
        <v>#DIV/0!</v>
      </c>
    </row>
    <row r="36" spans="1:19" ht="15.6" x14ac:dyDescent="0.3">
      <c r="D36" s="333" t="s">
        <v>330</v>
      </c>
      <c r="E36" s="327"/>
      <c r="F36" s="327"/>
      <c r="G36" s="334" t="e">
        <f t="shared" si="8"/>
        <v>#DIV/0!</v>
      </c>
      <c r="H36" s="327"/>
      <c r="I36" s="334" t="e">
        <f t="shared" si="9"/>
        <v>#DIV/0!</v>
      </c>
      <c r="J36" s="334"/>
      <c r="K36" s="334"/>
      <c r="L36" s="348">
        <f>+L56-L17</f>
        <v>0</v>
      </c>
      <c r="M36" s="336" t="e">
        <f t="shared" si="10"/>
        <v>#DIV/0!</v>
      </c>
      <c r="N36" s="348">
        <f>+N56-N17</f>
        <v>0</v>
      </c>
      <c r="O36" s="336" t="e">
        <f t="shared" si="11"/>
        <v>#DIV/0!</v>
      </c>
      <c r="P36" s="348">
        <f>+P56-P17</f>
        <v>0</v>
      </c>
      <c r="Q36" s="336" t="e">
        <f t="shared" si="12"/>
        <v>#DIV/0!</v>
      </c>
      <c r="R36" s="348">
        <f>+R56-R17</f>
        <v>0</v>
      </c>
      <c r="S36" s="337" t="e">
        <f t="shared" si="13"/>
        <v>#DIV/0!</v>
      </c>
    </row>
    <row r="37" spans="1:19" ht="15.6" x14ac:dyDescent="0.3">
      <c r="D37" s="338" t="s">
        <v>332</v>
      </c>
      <c r="E37" s="339"/>
      <c r="F37" s="339"/>
      <c r="G37" s="340" t="e">
        <f t="shared" si="8"/>
        <v>#DIV/0!</v>
      </c>
      <c r="H37" s="339"/>
      <c r="I37" s="340" t="e">
        <f t="shared" si="9"/>
        <v>#DIV/0!</v>
      </c>
      <c r="J37" s="340"/>
      <c r="K37" s="340"/>
      <c r="L37" s="549">
        <f>+L57-L18</f>
        <v>0</v>
      </c>
      <c r="M37" s="342" t="e">
        <f t="shared" si="10"/>
        <v>#DIV/0!</v>
      </c>
      <c r="N37" s="549">
        <f>+N57-N18</f>
        <v>0</v>
      </c>
      <c r="O37" s="342" t="e">
        <f t="shared" si="11"/>
        <v>#DIV/0!</v>
      </c>
      <c r="P37" s="549">
        <f>+P57-P18</f>
        <v>2</v>
      </c>
      <c r="Q37" s="342" t="e">
        <f t="shared" si="12"/>
        <v>#DIV/0!</v>
      </c>
      <c r="R37" s="549">
        <f>+R57-R18</f>
        <v>0</v>
      </c>
      <c r="S37" s="343" t="e">
        <f t="shared" si="13"/>
        <v>#DIV/0!</v>
      </c>
    </row>
    <row r="38" spans="1:19" ht="16.2" thickBot="1" x14ac:dyDescent="0.35">
      <c r="D38" s="344" t="s">
        <v>333</v>
      </c>
      <c r="E38" s="345">
        <f>SUM(E35:E37)</f>
        <v>0</v>
      </c>
      <c r="F38" s="345">
        <f t="shared" ref="F38" si="14">SUM(F35:F37)</f>
        <v>0</v>
      </c>
      <c r="G38" s="346" t="e">
        <f t="shared" si="8"/>
        <v>#DIV/0!</v>
      </c>
      <c r="H38" s="345">
        <f t="shared" ref="H38:L38" si="15">SUM(H35:H37)</f>
        <v>0</v>
      </c>
      <c r="I38" s="346" t="e">
        <f t="shared" si="9"/>
        <v>#DIV/0!</v>
      </c>
      <c r="J38" s="346"/>
      <c r="K38" s="346"/>
      <c r="L38" s="345">
        <f t="shared" si="15"/>
        <v>0</v>
      </c>
      <c r="M38" s="346" t="e">
        <f t="shared" si="10"/>
        <v>#DIV/0!</v>
      </c>
      <c r="N38" s="345">
        <f t="shared" ref="N38" si="16">SUM(N35:N37)</f>
        <v>0</v>
      </c>
      <c r="O38" s="346" t="e">
        <f t="shared" si="11"/>
        <v>#DIV/0!</v>
      </c>
      <c r="P38" s="345">
        <f t="shared" ref="P38" si="17">SUM(P35:P37)</f>
        <v>2</v>
      </c>
      <c r="Q38" s="346" t="e">
        <f t="shared" si="12"/>
        <v>#DIV/0!</v>
      </c>
      <c r="R38" s="345">
        <f t="shared" ref="R38" si="18">SUM(R35:R37)</f>
        <v>0</v>
      </c>
      <c r="S38" s="347" t="e">
        <f t="shared" si="13"/>
        <v>#DIV/0!</v>
      </c>
    </row>
    <row r="39" spans="1:19" ht="15.6" x14ac:dyDescent="0.3">
      <c r="D39" s="315"/>
      <c r="E39" s="348"/>
      <c r="F39" s="348"/>
      <c r="G39" s="348"/>
      <c r="H39" s="348"/>
      <c r="I39" s="348"/>
      <c r="J39" s="348"/>
      <c r="K39" s="348"/>
      <c r="L39" s="348"/>
      <c r="M39" s="348"/>
      <c r="N39" s="348"/>
      <c r="O39" s="348"/>
      <c r="P39" s="348"/>
      <c r="Q39" s="348"/>
      <c r="R39" s="348"/>
      <c r="S39" s="349"/>
    </row>
    <row r="40" spans="1:19" ht="15.6" x14ac:dyDescent="0.3">
      <c r="D40" s="333" t="s">
        <v>515</v>
      </c>
      <c r="E40" s="350"/>
      <c r="F40" s="350"/>
      <c r="G40" s="350"/>
      <c r="H40" s="51"/>
      <c r="I40" s="51"/>
      <c r="J40" s="51"/>
      <c r="K40" s="51"/>
      <c r="L40" s="51"/>
      <c r="M40" s="51"/>
      <c r="N40" s="51"/>
      <c r="O40" s="51"/>
      <c r="P40" s="51"/>
      <c r="Q40" s="51"/>
      <c r="R40" s="51"/>
      <c r="S40" s="52"/>
    </row>
    <row r="41" spans="1:19" ht="8.25" customHeight="1" x14ac:dyDescent="0.25">
      <c r="D41" s="38"/>
      <c r="E41" s="50"/>
      <c r="F41" s="50"/>
      <c r="G41" s="50"/>
      <c r="H41" s="51"/>
      <c r="I41" s="51"/>
      <c r="J41" s="51"/>
      <c r="K41" s="51"/>
      <c r="L41" s="51"/>
      <c r="M41" s="51"/>
      <c r="N41" s="51"/>
      <c r="O41" s="51"/>
      <c r="P41" s="51"/>
      <c r="Q41" s="51"/>
      <c r="R41" s="51"/>
      <c r="S41" s="52"/>
    </row>
    <row r="42" spans="1:19" ht="9" customHeight="1" thickBot="1" x14ac:dyDescent="0.3">
      <c r="D42" s="65"/>
      <c r="E42" s="66"/>
      <c r="F42" s="66"/>
      <c r="G42" s="66"/>
      <c r="H42" s="67"/>
      <c r="I42" s="67"/>
      <c r="J42" s="67"/>
      <c r="K42" s="67"/>
      <c r="L42" s="67"/>
      <c r="M42" s="67"/>
      <c r="N42" s="67"/>
      <c r="O42" s="67"/>
      <c r="P42" s="67"/>
      <c r="Q42" s="67"/>
      <c r="R42" s="67"/>
      <c r="S42" s="68"/>
    </row>
    <row r="43" spans="1:19" ht="15" x14ac:dyDescent="0.25">
      <c r="A43" s="33"/>
      <c r="B43" s="33"/>
      <c r="C43" s="33"/>
      <c r="D43" s="675"/>
      <c r="E43" s="676"/>
      <c r="F43" s="676"/>
      <c r="G43" s="676"/>
      <c r="H43" s="676"/>
      <c r="I43" s="676"/>
      <c r="J43" s="676"/>
      <c r="K43" s="676"/>
      <c r="L43" s="676"/>
      <c r="M43" s="676"/>
      <c r="N43" s="676"/>
      <c r="O43" s="676"/>
      <c r="P43" s="676"/>
      <c r="Q43" s="676"/>
      <c r="R43" s="676"/>
      <c r="S43" s="677"/>
    </row>
    <row r="44" spans="1:19" ht="22.5" customHeight="1" x14ac:dyDescent="0.3">
      <c r="A44" s="33"/>
      <c r="B44" s="33"/>
      <c r="C44" s="33"/>
      <c r="D44" s="678" t="str">
        <f>+D5</f>
        <v xml:space="preserve"> STAFFING REPORT- Table 8</v>
      </c>
      <c r="E44" s="679"/>
      <c r="F44" s="679"/>
      <c r="G44" s="679"/>
      <c r="H44" s="679"/>
      <c r="I44" s="679"/>
      <c r="J44" s="679"/>
      <c r="K44" s="679"/>
      <c r="L44" s="679"/>
      <c r="M44" s="679"/>
      <c r="N44" s="679"/>
      <c r="O44" s="679"/>
      <c r="P44" s="679"/>
      <c r="Q44" s="679"/>
      <c r="R44" s="679"/>
      <c r="S44" s="680"/>
    </row>
    <row r="45" spans="1:19" ht="15.6" x14ac:dyDescent="0.3">
      <c r="A45" s="33"/>
      <c r="B45" s="33"/>
      <c r="C45" s="33"/>
      <c r="D45" s="315"/>
      <c r="E45" s="71"/>
      <c r="F45" s="71"/>
      <c r="G45" s="71"/>
      <c r="H45" s="51"/>
      <c r="I45" s="51"/>
      <c r="J45" s="51"/>
      <c r="K45" s="51"/>
      <c r="L45" s="51"/>
      <c r="M45" s="51"/>
      <c r="N45" s="51"/>
      <c r="O45" s="51"/>
      <c r="P45" s="51"/>
      <c r="Q45" s="51"/>
      <c r="R45" s="51"/>
      <c r="S45" s="52"/>
    </row>
    <row r="46" spans="1:19" ht="15.6" x14ac:dyDescent="0.25">
      <c r="A46" s="33"/>
      <c r="B46" s="33"/>
      <c r="C46" s="33"/>
      <c r="D46" s="681" t="s">
        <v>48</v>
      </c>
      <c r="E46" s="682"/>
      <c r="F46" s="682"/>
      <c r="G46" s="682"/>
      <c r="H46" s="682"/>
      <c r="I46" s="682"/>
      <c r="J46" s="682"/>
      <c r="K46" s="682"/>
      <c r="L46" s="682"/>
      <c r="M46" s="682"/>
      <c r="N46" s="682"/>
      <c r="O46" s="682"/>
      <c r="P46" s="682"/>
      <c r="Q46" s="682"/>
      <c r="R46" s="682"/>
      <c r="S46" s="683"/>
    </row>
    <row r="47" spans="1:19" ht="15" x14ac:dyDescent="0.25">
      <c r="A47" s="33"/>
      <c r="B47" s="33"/>
      <c r="C47" s="33"/>
      <c r="D47" s="44"/>
      <c r="E47" s="71"/>
      <c r="F47" s="71"/>
      <c r="G47" s="71"/>
      <c r="H47" s="51"/>
      <c r="I47" s="51"/>
      <c r="J47" s="51"/>
      <c r="K47" s="51"/>
      <c r="L47" s="51"/>
      <c r="M47" s="51"/>
      <c r="N47" s="51"/>
      <c r="O47" s="51"/>
      <c r="P47" s="51"/>
      <c r="Q47" s="51"/>
      <c r="R47" s="51"/>
      <c r="S47" s="52"/>
    </row>
    <row r="48" spans="1:19" ht="31.2" x14ac:dyDescent="0.3">
      <c r="A48" s="33"/>
      <c r="B48" s="33"/>
      <c r="C48" s="33"/>
      <c r="D48" s="44"/>
      <c r="E48" s="317" t="str">
        <f>+E9</f>
        <v>2014</v>
      </c>
      <c r="F48" s="317" t="str">
        <f>+F9</f>
        <v>2015</v>
      </c>
      <c r="G48" s="317"/>
      <c r="H48" s="317" t="str">
        <f>+H9</f>
        <v>2016</v>
      </c>
      <c r="I48" s="317"/>
      <c r="J48" s="317">
        <f>+J9</f>
        <v>2016</v>
      </c>
      <c r="K48" s="317"/>
      <c r="L48" s="40" t="s">
        <v>144</v>
      </c>
      <c r="M48" s="40"/>
      <c r="N48" s="40" t="s">
        <v>145</v>
      </c>
      <c r="O48" s="40"/>
      <c r="P48" s="40" t="s">
        <v>146</v>
      </c>
      <c r="Q48" s="40"/>
      <c r="R48" s="40" t="s">
        <v>488</v>
      </c>
      <c r="S48" s="41"/>
    </row>
    <row r="49" spans="1:19" ht="15.6" x14ac:dyDescent="0.3">
      <c r="A49" s="3"/>
      <c r="B49" s="3"/>
      <c r="C49" s="3"/>
      <c r="D49" s="44"/>
      <c r="E49" s="45" t="str">
        <f>+E10</f>
        <v>Actual</v>
      </c>
      <c r="F49" s="45" t="str">
        <f>+F10</f>
        <v>Actual</v>
      </c>
      <c r="G49" s="45" t="str">
        <f t="shared" ref="G49:R49" si="19">+G29</f>
        <v>% change</v>
      </c>
      <c r="H49" s="45" t="str">
        <f>+H10</f>
        <v>Budget</v>
      </c>
      <c r="I49" s="45" t="str">
        <f t="shared" si="19"/>
        <v>% change</v>
      </c>
      <c r="J49" s="45" t="str">
        <f>+J10</f>
        <v>Actual</v>
      </c>
      <c r="K49" s="45" t="str">
        <f t="shared" ref="K49" si="20">+K29</f>
        <v>% change</v>
      </c>
      <c r="L49" s="43">
        <f t="shared" si="19"/>
        <v>2017</v>
      </c>
      <c r="M49" s="319" t="s">
        <v>57</v>
      </c>
      <c r="N49" s="43">
        <f t="shared" si="19"/>
        <v>2018</v>
      </c>
      <c r="O49" s="319" t="s">
        <v>57</v>
      </c>
      <c r="P49" s="43">
        <f t="shared" ref="P49" si="21">+P29</f>
        <v>2019</v>
      </c>
      <c r="Q49" s="319" t="s">
        <v>57</v>
      </c>
      <c r="R49" s="43">
        <f t="shared" si="19"/>
        <v>2020</v>
      </c>
      <c r="S49" s="320" t="s">
        <v>57</v>
      </c>
    </row>
    <row r="50" spans="1:19" ht="15.6" x14ac:dyDescent="0.3">
      <c r="A50" s="3"/>
      <c r="B50" s="3"/>
      <c r="C50" s="3"/>
      <c r="D50" s="44"/>
      <c r="E50" s="45"/>
      <c r="F50" s="45"/>
      <c r="G50" s="45"/>
      <c r="H50" s="45"/>
      <c r="I50" s="45"/>
      <c r="J50" s="45"/>
      <c r="K50" s="45"/>
      <c r="L50" s="51"/>
      <c r="M50" s="51"/>
      <c r="N50" s="51"/>
      <c r="O50" s="51"/>
      <c r="P50" s="51"/>
      <c r="Q50" s="51"/>
      <c r="R50" s="51"/>
      <c r="S50" s="52"/>
    </row>
    <row r="51" spans="1:19" ht="15.6" x14ac:dyDescent="0.3">
      <c r="A51" s="3"/>
      <c r="B51" s="3"/>
      <c r="C51" s="201"/>
      <c r="D51" s="321" t="s">
        <v>326</v>
      </c>
      <c r="E51" s="322">
        <f>+E12+E31</f>
        <v>38.4</v>
      </c>
      <c r="F51" s="322">
        <f t="shared" ref="F51:H51" si="22">+F12+F31</f>
        <v>43.789999999999985</v>
      </c>
      <c r="G51" s="323">
        <f>+(F51/E51)-1</f>
        <v>0.1403645833333329</v>
      </c>
      <c r="H51" s="322">
        <f t="shared" si="22"/>
        <v>53.81</v>
      </c>
      <c r="I51" s="323">
        <f>+(H51/F51)-1</f>
        <v>0.22881936515186152</v>
      </c>
      <c r="J51" s="323"/>
      <c r="K51" s="323"/>
      <c r="L51" s="324">
        <v>50.5</v>
      </c>
      <c r="M51" s="325">
        <f>+(L51/H51)-1</f>
        <v>-6.1512729975841007E-2</v>
      </c>
      <c r="N51" s="324">
        <v>50.5</v>
      </c>
      <c r="O51" s="325">
        <f>+(N51/L51)-1</f>
        <v>0</v>
      </c>
      <c r="P51" s="324">
        <v>50.5</v>
      </c>
      <c r="Q51" s="325">
        <f>+(P51/N51)-1</f>
        <v>0</v>
      </c>
      <c r="R51" s="324">
        <v>50.5</v>
      </c>
      <c r="S51" s="351">
        <f>+(R51/N51)-1</f>
        <v>0</v>
      </c>
    </row>
    <row r="52" spans="1:19" ht="15.6" x14ac:dyDescent="0.3">
      <c r="D52" s="49"/>
      <c r="E52" s="327"/>
      <c r="F52" s="327"/>
      <c r="G52" s="327"/>
      <c r="H52" s="327"/>
      <c r="I52" s="327"/>
      <c r="J52" s="327"/>
      <c r="K52" s="327"/>
      <c r="L52" s="327"/>
      <c r="M52" s="327"/>
      <c r="N52" s="327"/>
      <c r="O52" s="327"/>
      <c r="P52" s="327"/>
      <c r="Q52" s="327"/>
      <c r="R52" s="327"/>
      <c r="S52" s="328"/>
    </row>
    <row r="53" spans="1:19" ht="15.6" x14ac:dyDescent="0.3">
      <c r="D53" s="329" t="s">
        <v>328</v>
      </c>
      <c r="E53" s="330">
        <f t="shared" ref="E53:H53" si="23">+E14+E33</f>
        <v>2.6499999999999995</v>
      </c>
      <c r="F53" s="330">
        <f t="shared" si="23"/>
        <v>3.1700000000000004</v>
      </c>
      <c r="G53" s="323">
        <f>+(F53/E53)-1</f>
        <v>0.19622641509434002</v>
      </c>
      <c r="H53" s="330">
        <f t="shared" si="23"/>
        <v>0</v>
      </c>
      <c r="I53" s="323">
        <f>+(H53/F53)-1</f>
        <v>-1</v>
      </c>
      <c r="J53" s="323"/>
      <c r="K53" s="323"/>
      <c r="L53" s="324">
        <v>0</v>
      </c>
      <c r="M53" s="325" t="e">
        <f>+(L53/H53)-1</f>
        <v>#DIV/0!</v>
      </c>
      <c r="N53" s="324">
        <v>0</v>
      </c>
      <c r="O53" s="325" t="e">
        <f>+(N53/L53)-1</f>
        <v>#DIV/0!</v>
      </c>
      <c r="P53" s="324">
        <v>0</v>
      </c>
      <c r="Q53" s="325" t="e">
        <f>+(P53/N53)-1</f>
        <v>#DIV/0!</v>
      </c>
      <c r="R53" s="324">
        <v>0</v>
      </c>
      <c r="S53" s="351" t="e">
        <f>+(R53/N53)-1</f>
        <v>#DIV/0!</v>
      </c>
    </row>
    <row r="54" spans="1:19" ht="15.6" x14ac:dyDescent="0.3">
      <c r="D54" s="332"/>
      <c r="E54" s="327"/>
      <c r="F54" s="327"/>
      <c r="G54" s="327"/>
      <c r="H54" s="327"/>
      <c r="I54" s="327"/>
      <c r="J54" s="327"/>
      <c r="K54" s="327"/>
      <c r="L54" s="327"/>
      <c r="M54" s="327"/>
      <c r="N54" s="327"/>
      <c r="O54" s="327"/>
      <c r="P54" s="327"/>
      <c r="Q54" s="327"/>
      <c r="R54" s="327"/>
      <c r="S54" s="328"/>
    </row>
    <row r="55" spans="1:19" ht="15.6" x14ac:dyDescent="0.3">
      <c r="D55" s="333" t="s">
        <v>329</v>
      </c>
      <c r="E55" s="327">
        <f t="shared" ref="E55:H57" si="24">+E16+E35</f>
        <v>0</v>
      </c>
      <c r="F55" s="327">
        <f t="shared" si="24"/>
        <v>0</v>
      </c>
      <c r="G55" s="334" t="e">
        <f t="shared" ref="G55:G58" si="25">+(F55/E55)-1</f>
        <v>#DIV/0!</v>
      </c>
      <c r="H55" s="327">
        <f t="shared" si="24"/>
        <v>0</v>
      </c>
      <c r="I55" s="334" t="e">
        <f t="shared" ref="I55:I58" si="26">+(H55/F55)-1</f>
        <v>#DIV/0!</v>
      </c>
      <c r="J55" s="334"/>
      <c r="K55" s="334"/>
      <c r="L55" s="335"/>
      <c r="M55" s="336" t="e">
        <f t="shared" ref="M55:M57" si="27">+(L55/H55)-1</f>
        <v>#DIV/0!</v>
      </c>
      <c r="N55" s="335"/>
      <c r="O55" s="336" t="e">
        <f t="shared" ref="O55:O57" si="28">+(N55/L55)-1</f>
        <v>#DIV/0!</v>
      </c>
      <c r="P55" s="335"/>
      <c r="Q55" s="336" t="e">
        <f t="shared" ref="Q55:Q57" si="29">+(P55/N55)-1</f>
        <v>#DIV/0!</v>
      </c>
      <c r="R55" s="335"/>
      <c r="S55" s="337" t="e">
        <f>+(R55/N55)-1</f>
        <v>#DIV/0!</v>
      </c>
    </row>
    <row r="56" spans="1:19" ht="15.6" x14ac:dyDescent="0.3">
      <c r="D56" s="333" t="s">
        <v>330</v>
      </c>
      <c r="E56" s="327">
        <f t="shared" si="24"/>
        <v>0</v>
      </c>
      <c r="F56" s="327">
        <f t="shared" si="24"/>
        <v>0</v>
      </c>
      <c r="G56" s="334" t="e">
        <f t="shared" si="25"/>
        <v>#DIV/0!</v>
      </c>
      <c r="H56" s="327">
        <f t="shared" si="24"/>
        <v>0</v>
      </c>
      <c r="I56" s="334" t="e">
        <f t="shared" si="26"/>
        <v>#DIV/0!</v>
      </c>
      <c r="J56" s="334"/>
      <c r="K56" s="334"/>
      <c r="L56" s="335"/>
      <c r="M56" s="336" t="e">
        <f t="shared" si="27"/>
        <v>#DIV/0!</v>
      </c>
      <c r="N56" s="335"/>
      <c r="O56" s="336" t="e">
        <f t="shared" si="28"/>
        <v>#DIV/0!</v>
      </c>
      <c r="P56" s="335"/>
      <c r="Q56" s="336" t="e">
        <f t="shared" si="29"/>
        <v>#DIV/0!</v>
      </c>
      <c r="R56" s="335"/>
      <c r="S56" s="337" t="e">
        <f>+(R56/N56)-1</f>
        <v>#DIV/0!</v>
      </c>
    </row>
    <row r="57" spans="1:19" ht="15.6" x14ac:dyDescent="0.3">
      <c r="D57" s="338" t="s">
        <v>332</v>
      </c>
      <c r="E57" s="339">
        <f t="shared" si="24"/>
        <v>400.09999999999997</v>
      </c>
      <c r="F57" s="339">
        <f t="shared" si="24"/>
        <v>411.89000000000004</v>
      </c>
      <c r="G57" s="340">
        <f t="shared" si="25"/>
        <v>2.9467633091727174E-2</v>
      </c>
      <c r="H57" s="339">
        <f t="shared" si="24"/>
        <v>422.35000000000008</v>
      </c>
      <c r="I57" s="340">
        <f t="shared" si="26"/>
        <v>2.5395129767656455E-2</v>
      </c>
      <c r="J57" s="340"/>
      <c r="K57" s="340"/>
      <c r="L57" s="341">
        <v>438.2</v>
      </c>
      <c r="M57" s="342">
        <f t="shared" si="27"/>
        <v>3.7528116491061692E-2</v>
      </c>
      <c r="N57" s="341">
        <v>438.2</v>
      </c>
      <c r="O57" s="342">
        <f t="shared" si="28"/>
        <v>0</v>
      </c>
      <c r="P57" s="341">
        <f>438.2+2</f>
        <v>440.2</v>
      </c>
      <c r="Q57" s="342">
        <f t="shared" si="29"/>
        <v>4.5641259698767644E-3</v>
      </c>
      <c r="R57" s="341">
        <f>438.2+1</f>
        <v>439.2</v>
      </c>
      <c r="S57" s="343">
        <f>+(R57/N57)-1</f>
        <v>2.2820629849384932E-3</v>
      </c>
    </row>
    <row r="58" spans="1:19" ht="16.2" thickBot="1" x14ac:dyDescent="0.35">
      <c r="D58" s="344" t="s">
        <v>333</v>
      </c>
      <c r="E58" s="345">
        <f>SUM(E55:E57)</f>
        <v>400.09999999999997</v>
      </c>
      <c r="F58" s="345">
        <f t="shared" ref="F58" si="30">SUM(F55:F57)</f>
        <v>411.89000000000004</v>
      </c>
      <c r="G58" s="346">
        <f t="shared" si="25"/>
        <v>2.9467633091727174E-2</v>
      </c>
      <c r="H58" s="345">
        <f t="shared" ref="H58" si="31">SUM(H55:H57)</f>
        <v>422.35000000000008</v>
      </c>
      <c r="I58" s="346">
        <f t="shared" si="26"/>
        <v>2.5395129767656455E-2</v>
      </c>
      <c r="J58" s="346"/>
      <c r="K58" s="346"/>
      <c r="L58" s="345">
        <f t="shared" ref="L58" si="32">SUM(L55:L57)</f>
        <v>438.2</v>
      </c>
      <c r="M58" s="346">
        <f t="shared" ref="M58" si="33">+(L58/H58)-1</f>
        <v>3.7528116491061692E-2</v>
      </c>
      <c r="N58" s="345">
        <f t="shared" ref="N58:P58" si="34">SUM(N55:N57)</f>
        <v>438.2</v>
      </c>
      <c r="O58" s="346">
        <f t="shared" ref="O58" si="35">+(N58/L58)-1</f>
        <v>0</v>
      </c>
      <c r="P58" s="345">
        <f t="shared" si="34"/>
        <v>440.2</v>
      </c>
      <c r="Q58" s="346">
        <f t="shared" ref="Q58" si="36">+(P58/N58)-1</f>
        <v>4.5641259698767644E-3</v>
      </c>
      <c r="R58" s="345">
        <f t="shared" ref="R58" si="37">SUM(R55:R57)</f>
        <v>439.2</v>
      </c>
      <c r="S58" s="347">
        <f t="shared" ref="S58" si="38">+(R58/N58)-1</f>
        <v>2.2820629849384932E-3</v>
      </c>
    </row>
    <row r="59" spans="1:19" ht="15" x14ac:dyDescent="0.25">
      <c r="D59" s="44"/>
      <c r="E59" s="327"/>
      <c r="F59" s="327"/>
      <c r="G59" s="327"/>
      <c r="H59" s="327"/>
      <c r="I59" s="327"/>
      <c r="J59" s="327"/>
      <c r="K59" s="327"/>
      <c r="L59" s="327"/>
      <c r="M59" s="327"/>
      <c r="N59" s="327"/>
      <c r="O59" s="327"/>
      <c r="P59" s="327"/>
      <c r="Q59" s="327"/>
      <c r="R59" s="327"/>
      <c r="S59" s="328"/>
    </row>
    <row r="60" spans="1:19" ht="15.6" x14ac:dyDescent="0.3">
      <c r="D60" s="333" t="s">
        <v>515</v>
      </c>
      <c r="E60" s="350"/>
      <c r="F60" s="350"/>
      <c r="G60" s="350"/>
      <c r="H60" s="51"/>
      <c r="I60" s="51"/>
      <c r="J60" s="51"/>
      <c r="K60" s="51"/>
      <c r="L60" s="51"/>
      <c r="M60" s="51"/>
      <c r="N60" s="51"/>
      <c r="O60" s="51"/>
      <c r="P60" s="51"/>
      <c r="Q60" s="51"/>
      <c r="R60" s="51"/>
      <c r="S60" s="52"/>
    </row>
    <row r="61" spans="1:19" ht="16.2" thickBot="1" x14ac:dyDescent="0.35">
      <c r="D61" s="352"/>
      <c r="E61" s="353"/>
      <c r="F61" s="353"/>
      <c r="G61" s="353"/>
      <c r="H61" s="67"/>
      <c r="I61" s="67"/>
      <c r="J61" s="67"/>
      <c r="K61" s="67"/>
      <c r="L61" s="67"/>
      <c r="M61" s="67"/>
      <c r="N61" s="67"/>
      <c r="O61" s="67"/>
      <c r="P61" s="67"/>
      <c r="Q61" s="67"/>
      <c r="R61" s="67"/>
      <c r="S61" s="68"/>
    </row>
    <row r="62" spans="1:19" ht="12" customHeight="1" x14ac:dyDescent="0.25"/>
    <row r="63" spans="1:19" hidden="1" x14ac:dyDescent="0.25"/>
    <row r="295" ht="15" customHeight="1" x14ac:dyDescent="0.25"/>
    <row r="354" spans="1:6" hidden="1" outlineLevel="1" x14ac:dyDescent="0.25"/>
    <row r="355" spans="1:6" hidden="1" outlineLevel="1" x14ac:dyDescent="0.25">
      <c r="A355" s="34" t="s">
        <v>323</v>
      </c>
      <c r="B355" s="34" t="s">
        <v>334</v>
      </c>
      <c r="C355" s="34" t="s">
        <v>335</v>
      </c>
      <c r="D355" s="34" t="s">
        <v>336</v>
      </c>
      <c r="E355" s="153" t="e">
        <f>SUMIFS('[9]Report Data'!D:D,'[9]Report Data'!$A:$A,STAFF!$A355,'[9]Report Data'!$B:$B,STAFF!$B355,'[9]Report Data'!$C:$C,STAFF!$C355)</f>
        <v>#VALUE!</v>
      </c>
      <c r="F355" s="153" t="e">
        <f>SUMIFS('[9]Report Data'!F:F,'[9]Report Data'!$A:$A,STAFF!$A355,'[9]Report Data'!$B:$B,STAFF!$B355,'[9]Report Data'!$C:$C,STAFF!$C355)</f>
        <v>#VALUE!</v>
      </c>
    </row>
    <row r="356" spans="1:6" hidden="1" outlineLevel="1" x14ac:dyDescent="0.25">
      <c r="A356" s="34" t="s">
        <v>1</v>
      </c>
      <c r="B356" s="34" t="s">
        <v>337</v>
      </c>
      <c r="C356" s="34" t="s">
        <v>335</v>
      </c>
      <c r="D356" s="34" t="s">
        <v>338</v>
      </c>
      <c r="E356" s="153" t="e">
        <f>SUMIFS('[9]Report Data'!D:D,'[9]Report Data'!$A:$A,STAFF!$A356,'[9]Report Data'!$B:$B,STAFF!$B356,'[9]Report Data'!$C:$C,STAFF!$C356)</f>
        <v>#VALUE!</v>
      </c>
      <c r="F356" s="153" t="e">
        <f>SUMIFS('[9]Report Data'!F:F,'[9]Report Data'!$A:$A,STAFF!$A356,'[9]Report Data'!$B:$B,STAFF!$B356,'[9]Report Data'!$C:$C,STAFF!$C356)</f>
        <v>#VALUE!</v>
      </c>
    </row>
    <row r="357" spans="1:6" hidden="1" outlineLevel="1" x14ac:dyDescent="0.25">
      <c r="A357" s="34" t="s">
        <v>1</v>
      </c>
      <c r="B357" s="34" t="s">
        <v>339</v>
      </c>
      <c r="C357" s="34" t="s">
        <v>335</v>
      </c>
      <c r="D357" s="34" t="s">
        <v>340</v>
      </c>
      <c r="E357" s="153" t="e">
        <f>SUMIFS('[9]Report Data'!D:D,'[9]Report Data'!$A:$A,STAFF!$A357,'[9]Report Data'!$B:$B,STAFF!$B357,'[9]Report Data'!$C:$C,STAFF!$C357)</f>
        <v>#VALUE!</v>
      </c>
      <c r="F357" s="153" t="e">
        <f>SUMIFS('[9]Report Data'!F:F,'[9]Report Data'!$A:$A,STAFF!$A357,'[9]Report Data'!$B:$B,STAFF!$B357,'[9]Report Data'!$C:$C,STAFF!$C357)</f>
        <v>#VALUE!</v>
      </c>
    </row>
    <row r="358" spans="1:6" hidden="1" outlineLevel="1" x14ac:dyDescent="0.25">
      <c r="A358" s="34" t="s">
        <v>1</v>
      </c>
      <c r="B358" s="34" t="s">
        <v>341</v>
      </c>
      <c r="C358" s="34" t="s">
        <v>335</v>
      </c>
      <c r="D358" s="34" t="s">
        <v>342</v>
      </c>
      <c r="E358" s="153" t="e">
        <f>SUMIFS('[9]Report Data'!D:D,'[9]Report Data'!$A:$A,STAFF!$A358,'[9]Report Data'!$B:$B,STAFF!$B358,'[9]Report Data'!$C:$C,STAFF!$C358)</f>
        <v>#VALUE!</v>
      </c>
      <c r="F358" s="153" t="e">
        <f>SUMIFS('[9]Report Data'!F:F,'[9]Report Data'!$A:$A,STAFF!$A358,'[9]Report Data'!$B:$B,STAFF!$B358,'[9]Report Data'!$C:$C,STAFF!$C358)</f>
        <v>#VALUE!</v>
      </c>
    </row>
    <row r="359" spans="1:6" hidden="1" outlineLevel="1" x14ac:dyDescent="0.25">
      <c r="A359" s="34" t="s">
        <v>1</v>
      </c>
      <c r="B359" s="34" t="s">
        <v>343</v>
      </c>
      <c r="C359" s="34" t="s">
        <v>335</v>
      </c>
      <c r="D359" s="34" t="s">
        <v>344</v>
      </c>
      <c r="E359" s="153" t="e">
        <f>SUMIFS('[9]Report Data'!D:D,'[9]Report Data'!$A:$A,STAFF!$A359,'[9]Report Data'!$B:$B,STAFF!$B359,'[9]Report Data'!$C:$C,STAFF!$C359)</f>
        <v>#VALUE!</v>
      </c>
      <c r="F359" s="153" t="e">
        <f>SUMIFS('[9]Report Data'!F:F,'[9]Report Data'!$A:$A,STAFF!$A359,'[9]Report Data'!$B:$B,STAFF!$B359,'[9]Report Data'!$C:$C,STAFF!$C359)</f>
        <v>#VALUE!</v>
      </c>
    </row>
    <row r="360" spans="1:6" hidden="1" outlineLevel="1" x14ac:dyDescent="0.25">
      <c r="A360" s="34" t="s">
        <v>1</v>
      </c>
      <c r="B360" s="34" t="s">
        <v>345</v>
      </c>
      <c r="C360" s="34" t="s">
        <v>335</v>
      </c>
      <c r="D360" s="34" t="s">
        <v>346</v>
      </c>
      <c r="E360" s="153" t="e">
        <f>SUMIFS('[9]Report Data'!D:D,'[9]Report Data'!$A:$A,STAFF!$A360,'[9]Report Data'!$B:$B,STAFF!$B360,'[9]Report Data'!$C:$C,STAFF!$C360)</f>
        <v>#VALUE!</v>
      </c>
      <c r="F360" s="153" t="e">
        <f>SUMIFS('[9]Report Data'!F:F,'[9]Report Data'!$A:$A,STAFF!$A360,'[9]Report Data'!$B:$B,STAFF!$B360,'[9]Report Data'!$C:$C,STAFF!$C360)</f>
        <v>#VALUE!</v>
      </c>
    </row>
    <row r="361" spans="1:6" hidden="1" outlineLevel="1" x14ac:dyDescent="0.25">
      <c r="A361" s="34" t="s">
        <v>1</v>
      </c>
      <c r="B361" s="34" t="s">
        <v>347</v>
      </c>
      <c r="C361" s="34" t="s">
        <v>335</v>
      </c>
      <c r="D361" s="34" t="s">
        <v>348</v>
      </c>
      <c r="E361" s="153" t="e">
        <f>SUMIFS('[9]Report Data'!D:D,'[9]Report Data'!$A:$A,STAFF!$A361,'[9]Report Data'!$B:$B,STAFF!$B361,'[9]Report Data'!$C:$C,STAFF!$C361)</f>
        <v>#VALUE!</v>
      </c>
      <c r="F361" s="153" t="e">
        <f>SUMIFS('[9]Report Data'!F:F,'[9]Report Data'!$A:$A,STAFF!$A361,'[9]Report Data'!$B:$B,STAFF!$B361,'[9]Report Data'!$C:$C,STAFF!$C361)</f>
        <v>#VALUE!</v>
      </c>
    </row>
    <row r="362" spans="1:6" hidden="1" outlineLevel="1" x14ac:dyDescent="0.25">
      <c r="A362" s="34" t="s">
        <v>1</v>
      </c>
      <c r="B362" s="34" t="s">
        <v>349</v>
      </c>
      <c r="C362" s="34" t="s">
        <v>335</v>
      </c>
      <c r="D362" s="34" t="s">
        <v>350</v>
      </c>
      <c r="E362" s="153" t="e">
        <f>SUMIFS('[9]Report Data'!D:D,'[9]Report Data'!$A:$A,STAFF!$A362,'[9]Report Data'!$B:$B,STAFF!$B362,'[9]Report Data'!$C:$C,STAFF!$C362)</f>
        <v>#VALUE!</v>
      </c>
      <c r="F362" s="153" t="e">
        <f>SUMIFS('[9]Report Data'!F:F,'[9]Report Data'!$A:$A,STAFF!$A362,'[9]Report Data'!$B:$B,STAFF!$B362,'[9]Report Data'!$C:$C,STAFF!$C362)</f>
        <v>#VALUE!</v>
      </c>
    </row>
    <row r="363" spans="1:6" hidden="1" outlineLevel="1" x14ac:dyDescent="0.25">
      <c r="A363" s="34" t="s">
        <v>1</v>
      </c>
      <c r="B363" s="34" t="s">
        <v>351</v>
      </c>
      <c r="C363" s="34" t="s">
        <v>335</v>
      </c>
      <c r="D363" s="34" t="s">
        <v>352</v>
      </c>
      <c r="E363" s="153" t="e">
        <f>SUMIFS('[9]Report Data'!D:D,'[9]Report Data'!$A:$A,STAFF!$A363,'[9]Report Data'!$B:$B,STAFF!$B363,'[9]Report Data'!$C:$C,STAFF!$C363)</f>
        <v>#VALUE!</v>
      </c>
      <c r="F363" s="153" t="e">
        <f>SUMIFS('[9]Report Data'!F:F,'[9]Report Data'!$A:$A,STAFF!$A363,'[9]Report Data'!$B:$B,STAFF!$B363,'[9]Report Data'!$C:$C,STAFF!$C363)</f>
        <v>#VALUE!</v>
      </c>
    </row>
    <row r="364" spans="1:6" hidden="1" outlineLevel="1" x14ac:dyDescent="0.25"/>
    <row r="365" spans="1:6" hidden="1" outlineLevel="1" x14ac:dyDescent="0.25">
      <c r="D365" s="34" t="s">
        <v>353</v>
      </c>
      <c r="E365" s="153" t="e">
        <f>#REF!-E355</f>
        <v>#REF!</v>
      </c>
      <c r="F365" s="153" t="e">
        <f>#REF!-F355</f>
        <v>#REF!</v>
      </c>
    </row>
    <row r="366" spans="1:6" hidden="1" outlineLevel="1" x14ac:dyDescent="0.25">
      <c r="D366" s="34" t="s">
        <v>354</v>
      </c>
      <c r="E366" s="153" t="e">
        <f>#REF!-E356</f>
        <v>#REF!</v>
      </c>
      <c r="F366" s="153" t="e">
        <f>#REF!-F356</f>
        <v>#REF!</v>
      </c>
    </row>
    <row r="367" spans="1:6" hidden="1" outlineLevel="1" x14ac:dyDescent="0.25">
      <c r="D367" s="34" t="s">
        <v>355</v>
      </c>
      <c r="E367" s="153" t="e">
        <f>E31-E357</f>
        <v>#VALUE!</v>
      </c>
      <c r="F367" s="153" t="e">
        <f>F31-F357</f>
        <v>#VALUE!</v>
      </c>
    </row>
    <row r="368" spans="1:6" hidden="1" outlineLevel="1" x14ac:dyDescent="0.25">
      <c r="D368" s="34" t="s">
        <v>356</v>
      </c>
      <c r="E368" s="153" t="e">
        <f>E68-E358</f>
        <v>#VALUE!</v>
      </c>
      <c r="F368" s="153" t="e">
        <f>F68-F358</f>
        <v>#VALUE!</v>
      </c>
    </row>
    <row r="369" spans="4:6" hidden="1" outlineLevel="1" x14ac:dyDescent="0.25">
      <c r="D369" s="34" t="s">
        <v>357</v>
      </c>
      <c r="E369" s="153" t="e">
        <f>E124-E359</f>
        <v>#VALUE!</v>
      </c>
      <c r="F369" s="153" t="e">
        <f>F124-F359</f>
        <v>#VALUE!</v>
      </c>
    </row>
    <row r="370" spans="4:6" hidden="1" outlineLevel="1" x14ac:dyDescent="0.25">
      <c r="D370" s="34" t="s">
        <v>358</v>
      </c>
      <c r="E370" s="153" t="e">
        <f>E180-E360</f>
        <v>#VALUE!</v>
      </c>
      <c r="F370" s="153" t="e">
        <f>F180-F360</f>
        <v>#VALUE!</v>
      </c>
    </row>
    <row r="371" spans="4:6" hidden="1" outlineLevel="1" x14ac:dyDescent="0.25">
      <c r="D371" s="34" t="s">
        <v>359</v>
      </c>
      <c r="E371" s="153" t="e">
        <f>E236-E361</f>
        <v>#VALUE!</v>
      </c>
      <c r="F371" s="153" t="e">
        <f>F236-F361</f>
        <v>#VALUE!</v>
      </c>
    </row>
    <row r="372" spans="4:6" hidden="1" outlineLevel="1" x14ac:dyDescent="0.25">
      <c r="D372" s="34" t="s">
        <v>360</v>
      </c>
      <c r="E372" s="153" t="e">
        <f>E292-E362</f>
        <v>#VALUE!</v>
      </c>
      <c r="F372" s="153" t="e">
        <f>F292-F362</f>
        <v>#VALUE!</v>
      </c>
    </row>
    <row r="373" spans="4:6" hidden="1" outlineLevel="1" x14ac:dyDescent="0.25">
      <c r="D373" s="34" t="s">
        <v>361</v>
      </c>
      <c r="E373" s="153" t="e">
        <f>E294-E363</f>
        <v>#VALUE!</v>
      </c>
      <c r="F373" s="153" t="e">
        <f>F294-F363</f>
        <v>#VALUE!</v>
      </c>
    </row>
    <row r="374" spans="4:6" hidden="1" outlineLevel="1" x14ac:dyDescent="0.25"/>
    <row r="375" spans="4:6" hidden="1" outlineLevel="1" x14ac:dyDescent="0.25">
      <c r="D375" s="34" t="s">
        <v>362</v>
      </c>
      <c r="E375" s="153">
        <f>E68+E124+E180+E236+E292-E350</f>
        <v>0</v>
      </c>
      <c r="F375" s="153">
        <f>F68+F124+F180+F236+F292-F350</f>
        <v>0</v>
      </c>
    </row>
    <row r="376" spans="4:6" collapsed="1" x14ac:dyDescent="0.25"/>
  </sheetData>
  <mergeCells count="10">
    <mergeCell ref="D43:S43"/>
    <mergeCell ref="D44:S44"/>
    <mergeCell ref="D46:S46"/>
    <mergeCell ref="D1:S1"/>
    <mergeCell ref="D3:S3"/>
    <mergeCell ref="D5:S5"/>
    <mergeCell ref="D7:S7"/>
    <mergeCell ref="D24:S24"/>
    <mergeCell ref="D26:S26"/>
    <mergeCell ref="D25:S25"/>
  </mergeCells>
  <pageMargins left="0.7" right="0.45" top="0.5" bottom="0.5" header="0.3" footer="0.3"/>
  <pageSetup scale="54" orientation="landscape" r:id="rId1"/>
  <headerFooter>
    <oddFooter>&amp;L&amp;D&amp;R&amp;F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5"/>
  <sheetViews>
    <sheetView showGridLines="0" tabSelected="1" topLeftCell="C1" zoomScale="70" zoomScaleNormal="70" workbookViewId="0">
      <pane xSplit="1" ySplit="6" topLeftCell="J7" activePane="bottomRight" state="frozen"/>
      <selection activeCell="C1" sqref="C1"/>
      <selection pane="topRight" activeCell="D1" sqref="D1"/>
      <selection pane="bottomLeft" activeCell="C7" sqref="C7"/>
      <selection pane="bottomRight" activeCell="N4" sqref="N4:T4"/>
    </sheetView>
  </sheetViews>
  <sheetFormatPr defaultColWidth="9.109375" defaultRowHeight="13.8" outlineLevelRow="1" outlineLevelCol="1" x14ac:dyDescent="0.3"/>
  <cols>
    <col min="1" max="1" width="9.109375" style="354" hidden="1" customWidth="1" outlineLevel="1"/>
    <col min="2" max="2" width="32" style="355" hidden="1" customWidth="1" outlineLevel="1"/>
    <col min="3" max="3" width="65.33203125" style="354" customWidth="1" collapsed="1"/>
    <col min="4" max="8" width="12.6640625" style="354" customWidth="1"/>
    <col min="9" max="10" width="12.44140625" style="354" bestFit="1" customWidth="1"/>
    <col min="11" max="11" width="13.33203125" style="354" bestFit="1" customWidth="1"/>
    <col min="12" max="12" width="16.44140625" style="354" bestFit="1" customWidth="1"/>
    <col min="13" max="13" width="13.33203125" style="354" bestFit="1" customWidth="1"/>
    <col min="14" max="14" width="1.5546875" style="354" customWidth="1"/>
    <col min="15" max="16" width="10.6640625" style="354" customWidth="1"/>
    <col min="17" max="17" width="1.88671875" style="354" customWidth="1"/>
    <col min="18" max="18" width="9.88671875" style="354" customWidth="1"/>
    <col min="19" max="19" width="1.88671875" style="354" customWidth="1"/>
    <col min="20" max="20" width="10.88671875" style="354" customWidth="1"/>
    <col min="21" max="21" width="1.5546875" style="354" customWidth="1"/>
    <col min="22" max="22" width="10.6640625" style="354" customWidth="1"/>
    <col min="23" max="23" width="1.33203125" style="354" customWidth="1"/>
    <col min="24" max="24" width="10.6640625" style="354" customWidth="1"/>
    <col min="25" max="25" width="1.44140625" style="354" customWidth="1"/>
    <col min="26" max="26" width="10.6640625" style="354" customWidth="1"/>
    <col min="27" max="27" width="1.33203125" style="354" customWidth="1"/>
    <col min="28" max="28" width="10.6640625" style="354" customWidth="1"/>
    <col min="29" max="29" width="1.6640625" style="354" customWidth="1"/>
    <col min="30" max="30" width="11" style="354" customWidth="1"/>
    <col min="31" max="31" width="1" style="354" customWidth="1"/>
    <col min="32" max="32" width="11.5546875" style="354" customWidth="1"/>
    <col min="33" max="33" width="1.88671875" style="354" customWidth="1"/>
    <col min="34" max="34" width="11.6640625" style="354" customWidth="1"/>
    <col min="35" max="35" width="1.44140625" style="354" customWidth="1"/>
    <col min="36" max="36" width="13.33203125" style="354" customWidth="1"/>
    <col min="37" max="16384" width="9.109375" style="354"/>
  </cols>
  <sheetData>
    <row r="2" spans="1:36" ht="23.4" x14ac:dyDescent="0.45">
      <c r="C2" s="690" t="s">
        <v>428</v>
      </c>
      <c r="D2" s="691"/>
      <c r="E2" s="691"/>
      <c r="F2" s="691"/>
      <c r="G2" s="691"/>
      <c r="H2" s="691"/>
      <c r="I2" s="691"/>
      <c r="J2" s="691"/>
      <c r="K2" s="691"/>
      <c r="L2" s="691"/>
      <c r="M2" s="692"/>
      <c r="N2" s="580"/>
      <c r="O2" s="581"/>
      <c r="P2" s="581"/>
      <c r="Q2" s="581"/>
      <c r="R2" s="581"/>
      <c r="S2" s="581"/>
      <c r="T2" s="581"/>
      <c r="U2" s="581"/>
      <c r="V2" s="581"/>
      <c r="W2" s="581"/>
      <c r="X2" s="581"/>
      <c r="Y2" s="581"/>
      <c r="Z2" s="581"/>
      <c r="AA2" s="581"/>
      <c r="AB2" s="581"/>
      <c r="AC2" s="581"/>
      <c r="AD2" s="581"/>
      <c r="AE2" s="581"/>
      <c r="AF2" s="581"/>
      <c r="AG2" s="581"/>
      <c r="AH2" s="581"/>
      <c r="AI2" s="581"/>
      <c r="AJ2" s="582"/>
    </row>
    <row r="3" spans="1:36" s="363" customFormat="1" ht="18" x14ac:dyDescent="0.35">
      <c r="A3" s="356" t="s">
        <v>363</v>
      </c>
      <c r="B3" s="357" t="s">
        <v>364</v>
      </c>
      <c r="C3" s="358" t="s">
        <v>365</v>
      </c>
      <c r="D3" s="359"/>
      <c r="E3" s="359"/>
      <c r="F3" s="359"/>
      <c r="G3" s="359"/>
      <c r="H3" s="359"/>
      <c r="I3" s="360"/>
      <c r="J3" s="360"/>
      <c r="K3" s="360"/>
      <c r="L3" s="360"/>
      <c r="M3" s="361"/>
      <c r="N3" s="732"/>
      <c r="O3" s="359"/>
      <c r="P3" s="359"/>
      <c r="Q3" s="359"/>
      <c r="R3" s="359"/>
      <c r="S3" s="359"/>
      <c r="T3" s="359"/>
      <c r="U3" s="359"/>
      <c r="V3" s="359"/>
      <c r="W3" s="359"/>
      <c r="X3" s="359"/>
      <c r="Y3" s="359"/>
      <c r="Z3" s="359"/>
      <c r="AA3" s="359"/>
      <c r="AB3" s="359"/>
      <c r="AC3" s="359"/>
      <c r="AD3" s="359"/>
      <c r="AE3" s="359"/>
      <c r="AF3" s="359"/>
      <c r="AG3" s="359"/>
      <c r="AH3" s="359"/>
      <c r="AI3" s="359"/>
      <c r="AJ3" s="733"/>
    </row>
    <row r="4" spans="1:36" s="364" customFormat="1" ht="18" x14ac:dyDescent="0.35">
      <c r="C4" s="365"/>
      <c r="D4" s="693" t="s">
        <v>366</v>
      </c>
      <c r="E4" s="693"/>
      <c r="F4" s="693"/>
      <c r="G4" s="693"/>
      <c r="H4" s="693"/>
      <c r="I4" s="366"/>
      <c r="J4" s="366"/>
      <c r="K4" s="366"/>
      <c r="L4" s="366"/>
      <c r="M4" s="367"/>
      <c r="N4" s="734"/>
      <c r="O4" s="366"/>
      <c r="P4" s="366"/>
      <c r="Q4" s="735"/>
      <c r="R4" s="735"/>
      <c r="S4" s="735"/>
      <c r="T4" s="736"/>
      <c r="U4" s="362"/>
      <c r="V4" s="728" t="s">
        <v>513</v>
      </c>
      <c r="W4" s="729"/>
      <c r="X4" s="730"/>
      <c r="Y4" s="729"/>
      <c r="Z4" s="729"/>
      <c r="AA4" s="729"/>
      <c r="AB4" s="731"/>
      <c r="AD4" s="728" t="s">
        <v>512</v>
      </c>
      <c r="AE4" s="729"/>
      <c r="AF4" s="730"/>
      <c r="AG4" s="729"/>
      <c r="AH4" s="729"/>
      <c r="AI4" s="729"/>
      <c r="AJ4" s="731"/>
    </row>
    <row r="5" spans="1:36" s="363" customFormat="1" ht="30" customHeight="1" thickBot="1" x14ac:dyDescent="0.35">
      <c r="B5" s="368"/>
      <c r="C5" s="369"/>
      <c r="D5" s="370" t="s">
        <v>367</v>
      </c>
      <c r="E5" s="370" t="s">
        <v>368</v>
      </c>
      <c r="F5" s="370" t="s">
        <v>369</v>
      </c>
      <c r="G5" s="370" t="s">
        <v>370</v>
      </c>
      <c r="H5" s="370" t="s">
        <v>371</v>
      </c>
      <c r="I5" s="371" t="s">
        <v>431</v>
      </c>
      <c r="J5" s="371" t="s">
        <v>432</v>
      </c>
      <c r="K5" s="371" t="s">
        <v>433</v>
      </c>
      <c r="L5" s="371" t="s">
        <v>434</v>
      </c>
      <c r="M5" s="372" t="s">
        <v>435</v>
      </c>
      <c r="N5" s="354"/>
      <c r="O5" s="542" t="s">
        <v>510</v>
      </c>
      <c r="P5" s="542" t="s">
        <v>511</v>
      </c>
      <c r="Q5" s="543"/>
      <c r="R5" s="542" t="s">
        <v>435</v>
      </c>
      <c r="S5" s="543"/>
      <c r="T5" s="542" t="s">
        <v>506</v>
      </c>
      <c r="U5" s="540"/>
      <c r="V5" s="541" t="s">
        <v>505</v>
      </c>
      <c r="W5" s="541"/>
      <c r="X5" s="541" t="s">
        <v>507</v>
      </c>
      <c r="Y5" s="541"/>
      <c r="Z5" s="541" t="s">
        <v>508</v>
      </c>
      <c r="AA5" s="541"/>
      <c r="AB5" s="541" t="s">
        <v>509</v>
      </c>
      <c r="AC5" s="541"/>
      <c r="AD5" s="541" t="s">
        <v>514</v>
      </c>
      <c r="AE5" s="541"/>
      <c r="AF5" s="541" t="s">
        <v>507</v>
      </c>
      <c r="AG5" s="541"/>
      <c r="AH5" s="541" t="s">
        <v>508</v>
      </c>
      <c r="AI5" s="541"/>
      <c r="AJ5" s="541" t="s">
        <v>509</v>
      </c>
    </row>
    <row r="6" spans="1:36" s="363" customFormat="1" ht="14.1" customHeight="1" x14ac:dyDescent="0.3">
      <c r="B6" s="373" t="s">
        <v>372</v>
      </c>
      <c r="C6" s="374" t="s">
        <v>372</v>
      </c>
      <c r="D6" s="375"/>
      <c r="E6" s="375"/>
      <c r="F6" s="375"/>
      <c r="G6" s="375"/>
      <c r="H6" s="375"/>
      <c r="I6" s="375"/>
      <c r="J6" s="375"/>
      <c r="K6" s="375"/>
      <c r="L6" s="375"/>
      <c r="M6" s="376"/>
      <c r="N6" s="354"/>
      <c r="O6" s="710"/>
      <c r="P6" s="711"/>
      <c r="Q6" s="711"/>
      <c r="R6" s="711"/>
      <c r="S6" s="711"/>
      <c r="T6" s="711"/>
      <c r="U6" s="712"/>
      <c r="V6" s="711"/>
      <c r="W6" s="711"/>
      <c r="X6" s="711"/>
      <c r="Y6" s="711"/>
      <c r="Z6" s="711"/>
      <c r="AA6" s="711"/>
      <c r="AB6" s="711"/>
      <c r="AC6" s="713"/>
      <c r="AD6" s="711"/>
      <c r="AE6" s="711"/>
      <c r="AF6" s="711"/>
      <c r="AG6" s="711"/>
      <c r="AH6" s="711"/>
      <c r="AI6" s="711"/>
      <c r="AJ6" s="714"/>
    </row>
    <row r="7" spans="1:36" s="363" customFormat="1" ht="15.9" customHeight="1" x14ac:dyDescent="0.35">
      <c r="A7" s="377" t="s">
        <v>373</v>
      </c>
      <c r="B7" s="378" t="s">
        <v>374</v>
      </c>
      <c r="C7" s="379" t="s">
        <v>375</v>
      </c>
      <c r="D7" s="380">
        <v>84</v>
      </c>
      <c r="E7" s="380">
        <v>57.7</v>
      </c>
      <c r="F7" s="380">
        <v>24.2</v>
      </c>
      <c r="G7" s="380">
        <v>39.5</v>
      </c>
      <c r="H7" s="380">
        <v>52.5</v>
      </c>
      <c r="I7" s="380">
        <v>179.42494866364376</v>
      </c>
      <c r="J7" s="380">
        <v>169.2812122359783</v>
      </c>
      <c r="K7" s="380">
        <v>158.65208939196282</v>
      </c>
      <c r="L7" s="380">
        <v>194.26855895958701</v>
      </c>
      <c r="M7" s="380">
        <v>187.34172961532198</v>
      </c>
      <c r="N7" s="354"/>
      <c r="O7" s="715">
        <f>(+BalSht!E13+BalSht!E22)/((PL!E44-PL!E38)/365)</f>
        <v>166.86453173164807</v>
      </c>
      <c r="P7" s="715">
        <f>(+BalSht!F13+BalSht!F22)/((PL!F44-PL!F38)/365)</f>
        <v>191.32610087191267</v>
      </c>
      <c r="Q7" s="716"/>
      <c r="R7" s="715">
        <f>(+BalSht!H13+BalSht!H22)/((PL!H44-PL!H38)/365)</f>
        <v>184.54605107908981</v>
      </c>
      <c r="S7" s="716"/>
      <c r="T7" s="715">
        <f>(+BalSht!J13+BalSht!J22)/((PL!J44-PL!J38)/366)</f>
        <v>224.37270451350321</v>
      </c>
      <c r="U7" s="717"/>
      <c r="V7" s="715">
        <f>(+BalSht!L13+BalSht!L22)/((PL!L44-PL!L38)/365)</f>
        <v>192.7658960539998</v>
      </c>
      <c r="W7" s="715"/>
      <c r="X7" s="715">
        <f>(+BalSht!N13+BalSht!N22)/((PL!N44-PL!N38)/365)</f>
        <v>195.23030809378091</v>
      </c>
      <c r="Y7" s="715"/>
      <c r="Z7" s="715">
        <f>(+BalSht!P13+BalSht!P22)/((PL!P44-PL!P38)/365)</f>
        <v>211.76386257346468</v>
      </c>
      <c r="AA7" s="715"/>
      <c r="AB7" s="715">
        <f>(+BalSht!R13+BalSht!R22)/((PL!R44-PL!R38)/365)</f>
        <v>222.88166553709993</v>
      </c>
      <c r="AC7" s="718"/>
      <c r="AD7" s="715">
        <f>(+BalSht!L161+BalSht!L170)/((PL!L162-PL!L156)/365)</f>
        <v>168.49612827831754</v>
      </c>
      <c r="AE7" s="718"/>
      <c r="AF7" s="715">
        <f>(+BalSht!N161+BalSht!N170)/((PL!N162-PL!N156)/365)</f>
        <v>131.73146398742827</v>
      </c>
      <c r="AG7" s="715"/>
      <c r="AH7" s="715">
        <f>(+BalSht!P161+BalSht!P170)/((PL!P162-PL!P156)/365)</f>
        <v>144.59736414453567</v>
      </c>
      <c r="AI7" s="715"/>
      <c r="AJ7" s="715">
        <f>(+BalSht!R161+BalSht!R170)/((PL!R162-PL!R156)/365)</f>
        <v>151.07589560617197</v>
      </c>
    </row>
    <row r="8" spans="1:36" s="363" customFormat="1" ht="15.9" customHeight="1" x14ac:dyDescent="0.35">
      <c r="A8" s="377" t="s">
        <v>376</v>
      </c>
      <c r="B8" s="381" t="s">
        <v>377</v>
      </c>
      <c r="C8" s="379" t="s">
        <v>59</v>
      </c>
      <c r="D8" s="382">
        <v>2.5999999999999999E-2</v>
      </c>
      <c r="E8" s="382">
        <v>2.8000000000000001E-2</v>
      </c>
      <c r="F8" s="382">
        <v>3.3000000000000002E-2</v>
      </c>
      <c r="G8" s="382">
        <v>3.7999999999999999E-2</v>
      </c>
      <c r="H8" s="382">
        <v>5.1999999999999998E-2</v>
      </c>
      <c r="I8" s="382">
        <v>3.3807990789520577E-2</v>
      </c>
      <c r="J8" s="382">
        <v>3.5819765202076304E-2</v>
      </c>
      <c r="K8" s="382">
        <v>2.7025646274222289E-3</v>
      </c>
      <c r="L8" s="382">
        <v>-5.8935741312039075E-3</v>
      </c>
      <c r="M8" s="382">
        <v>1.0584953766229047E-3</v>
      </c>
      <c r="N8" s="354"/>
      <c r="O8" s="719">
        <f>+PL!E46/PL!E30</f>
        <v>3.5819762641505687E-2</v>
      </c>
      <c r="P8" s="719">
        <f>+PL!F46/PL!F30</f>
        <v>2.7912863467331954E-2</v>
      </c>
      <c r="Q8" s="716"/>
      <c r="R8" s="719">
        <f>+PL!H46/PL!H30</f>
        <v>-2.1240118397529328E-4</v>
      </c>
      <c r="S8" s="716"/>
      <c r="T8" s="719">
        <f>+PL!J46/PL!J30</f>
        <v>-5.7853441449210643E-3</v>
      </c>
      <c r="U8" s="717"/>
      <c r="V8" s="719">
        <f>+PL!L46/PL!L30</f>
        <v>1.9664878081567471E-3</v>
      </c>
      <c r="W8" s="719"/>
      <c r="X8" s="719">
        <f>+PL!N46/PL!N30</f>
        <v>1.8270335684630139E-2</v>
      </c>
      <c r="Y8" s="719"/>
      <c r="Z8" s="719">
        <f>+PL!P46/PL!P30</f>
        <v>2.3909288342629932E-2</v>
      </c>
      <c r="AA8" s="719"/>
      <c r="AB8" s="719">
        <f>+PL!R46/PL!R30</f>
        <v>2.1325079419148837E-2</v>
      </c>
      <c r="AC8" s="718"/>
      <c r="AD8" s="719">
        <f>+PL!L164/PL!L148</f>
        <v>1.9664878081567471E-3</v>
      </c>
      <c r="AE8" s="718"/>
      <c r="AF8" s="719">
        <f>+PL!N164/PL!N148</f>
        <v>1.6544896350769708E-2</v>
      </c>
      <c r="AG8" s="719"/>
      <c r="AH8" s="719">
        <f>+PL!P164/PL!P148</f>
        <v>1.2202882036487136E-2</v>
      </c>
      <c r="AI8" s="719"/>
      <c r="AJ8" s="719">
        <f>+PL!R164/PL!R148</f>
        <v>6.8182925395494079E-3</v>
      </c>
    </row>
    <row r="9" spans="1:36" s="363" customFormat="1" ht="15.9" customHeight="1" x14ac:dyDescent="0.35">
      <c r="B9" s="373" t="s">
        <v>378</v>
      </c>
      <c r="C9" s="383" t="s">
        <v>378</v>
      </c>
      <c r="D9" s="384"/>
      <c r="E9" s="384"/>
      <c r="F9" s="384"/>
      <c r="G9" s="384"/>
      <c r="H9" s="384"/>
      <c r="I9" s="384"/>
      <c r="J9" s="384"/>
      <c r="K9" s="384"/>
      <c r="L9" s="384"/>
      <c r="M9" s="385"/>
      <c r="N9" s="354"/>
      <c r="O9" s="705"/>
      <c r="P9" s="706"/>
      <c r="Q9" s="706"/>
      <c r="R9" s="706"/>
      <c r="S9" s="706"/>
      <c r="T9" s="706"/>
      <c r="U9" s="707"/>
      <c r="V9" s="706"/>
      <c r="W9" s="706"/>
      <c r="X9" s="706"/>
      <c r="Y9" s="706"/>
      <c r="Z9" s="706"/>
      <c r="AA9" s="706"/>
      <c r="AB9" s="706"/>
      <c r="AC9" s="708"/>
      <c r="AD9" s="706"/>
      <c r="AE9" s="706"/>
      <c r="AF9" s="706"/>
      <c r="AG9" s="706"/>
      <c r="AH9" s="706"/>
      <c r="AI9" s="706"/>
      <c r="AJ9" s="709"/>
    </row>
    <row r="10" spans="1:36" s="363" customFormat="1" ht="15.9" customHeight="1" x14ac:dyDescent="0.35">
      <c r="A10" s="377" t="s">
        <v>379</v>
      </c>
      <c r="B10" s="386" t="s">
        <v>380</v>
      </c>
      <c r="C10" s="379" t="s">
        <v>381</v>
      </c>
      <c r="D10" s="382">
        <v>0.28799999999999998</v>
      </c>
      <c r="E10" s="382">
        <v>0.307</v>
      </c>
      <c r="F10" s="382">
        <v>0.253</v>
      </c>
      <c r="G10" s="382">
        <v>0.34200000000000003</v>
      </c>
      <c r="H10" s="382">
        <v>0.371</v>
      </c>
      <c r="I10" s="382">
        <v>0.18349168360231871</v>
      </c>
      <c r="J10" s="382">
        <v>0.14894363738726843</v>
      </c>
      <c r="K10" s="382">
        <v>0.16872153960512201</v>
      </c>
      <c r="L10" s="382">
        <v>0.14207393609434174</v>
      </c>
      <c r="M10" s="382">
        <v>0.13367261054980123</v>
      </c>
      <c r="N10" s="354"/>
      <c r="O10" s="719">
        <f>+BalSht!E66/(BalSht!E72+BalSht!E66)</f>
        <v>0.14894363738726843</v>
      </c>
      <c r="P10" s="719">
        <f>+BalSht!F66/(BalSht!F72+BalSht!F66)</f>
        <v>0.13506892462524875</v>
      </c>
      <c r="Q10" s="716"/>
      <c r="R10" s="719">
        <f>+BalSht!H66/(BalSht!H72+BalSht!H66)</f>
        <v>0.13388285953656193</v>
      </c>
      <c r="S10" s="716"/>
      <c r="T10" s="719">
        <f>+BalSht!J66/(BalSht!J72+BalSht!J66)</f>
        <v>0.15414254906349015</v>
      </c>
      <c r="U10" s="717"/>
      <c r="V10" s="719">
        <f>+BalSht!L66/(BalSht!L72+BalSht!L66)</f>
        <v>0.13050854836016179</v>
      </c>
      <c r="W10" s="716"/>
      <c r="X10" s="719">
        <f>+BalSht!N66/(BalSht!N72+BalSht!N66)</f>
        <v>0.11217109545236305</v>
      </c>
      <c r="Y10" s="716"/>
      <c r="Z10" s="719">
        <f>+BalSht!P66/(BalSht!P72+BalSht!P66)</f>
        <v>9.4633792382862347E-2</v>
      </c>
      <c r="AA10" s="716"/>
      <c r="AB10" s="719">
        <f>+BalSht!R66/(BalSht!R72+BalSht!R66)</f>
        <v>7.8018733898769371E-2</v>
      </c>
      <c r="AC10" s="718"/>
      <c r="AD10" s="719">
        <f>+BalSht!L214/(BalSht!L214+BalSht!L220)</f>
        <v>0.12946710882022716</v>
      </c>
      <c r="AE10" s="718"/>
      <c r="AF10" s="719">
        <f>+BalSht!N214/(BalSht!N214+BalSht!N220)</f>
        <v>0.22709452803215979</v>
      </c>
      <c r="AG10" s="716"/>
      <c r="AH10" s="719">
        <f>+BalSht!P214/(BalSht!P214+BalSht!P220)</f>
        <v>0.21030505632493829</v>
      </c>
      <c r="AI10" s="716"/>
      <c r="AJ10" s="719">
        <f>+BalSht!R214/(BalSht!R214+BalSht!R220)</f>
        <v>0.19428324408901271</v>
      </c>
    </row>
    <row r="11" spans="1:36" s="363" customFormat="1" ht="15.9" customHeight="1" x14ac:dyDescent="0.35">
      <c r="A11" s="377" t="s">
        <v>382</v>
      </c>
      <c r="B11" s="387" t="s">
        <v>383</v>
      </c>
      <c r="C11" s="379" t="s">
        <v>384</v>
      </c>
      <c r="D11" s="388">
        <v>10.9</v>
      </c>
      <c r="E11" s="388">
        <v>10.4</v>
      </c>
      <c r="F11" s="388">
        <v>11.1</v>
      </c>
      <c r="G11" s="388">
        <v>11.1</v>
      </c>
      <c r="H11" s="388">
        <v>11</v>
      </c>
      <c r="I11" s="388">
        <v>9.7569313246847607</v>
      </c>
      <c r="J11" s="388">
        <v>8.8488634778547048</v>
      </c>
      <c r="K11" s="388">
        <v>9.4069163379389824</v>
      </c>
      <c r="L11" s="388">
        <v>9.587195908325981</v>
      </c>
      <c r="M11" s="388">
        <v>10.308973829633478</v>
      </c>
      <c r="N11" s="354"/>
      <c r="O11" s="720">
        <f>-BalSht!E41/PL!E38</f>
        <v>8.8339665183706551</v>
      </c>
      <c r="P11" s="720">
        <f>-BalSht!F41/PL!F38</f>
        <v>8.543113167051219</v>
      </c>
      <c r="Q11" s="716"/>
      <c r="R11" s="720">
        <f>-BalSht!H41/PL!H38</f>
        <v>10.29176665639606</v>
      </c>
      <c r="S11" s="716"/>
      <c r="T11" s="720">
        <f>-BalSht!J41/PL!J38</f>
        <v>9.4084002084562783</v>
      </c>
      <c r="U11" s="717"/>
      <c r="V11" s="720">
        <f>-BalSht!L41/PL!L38</f>
        <v>10.354679098352202</v>
      </c>
      <c r="W11" s="716"/>
      <c r="X11" s="720">
        <f>-BalSht!N41/PL!N38</f>
        <v>11.594561228983238</v>
      </c>
      <c r="Y11" s="716"/>
      <c r="Z11" s="720">
        <f>-BalSht!P41/PL!P38</f>
        <v>12.941348687397477</v>
      </c>
      <c r="AA11" s="716"/>
      <c r="AB11" s="720">
        <f>-BalSht!R41/PL!R38</f>
        <v>13.997606457571539</v>
      </c>
      <c r="AC11" s="718"/>
      <c r="AD11" s="720">
        <f>-BalSht!L189/PL!L156</f>
        <v>10.354679098352202</v>
      </c>
      <c r="AE11" s="718"/>
      <c r="AF11" s="720">
        <f>-BalSht!N189/PL!N156</f>
        <v>11.701039455265887</v>
      </c>
      <c r="AG11" s="716"/>
      <c r="AH11" s="720">
        <f>-BalSht!P189/PL!P156</f>
        <v>11.125364460935181</v>
      </c>
      <c r="AI11" s="716"/>
      <c r="AJ11" s="720">
        <f>-BalSht!R189/PL!R156</f>
        <v>11.600328326056433</v>
      </c>
    </row>
    <row r="12" spans="1:36" s="363" customFormat="1" ht="15.9" customHeight="1" x14ac:dyDescent="0.35">
      <c r="A12" s="377" t="s">
        <v>385</v>
      </c>
      <c r="B12" s="386" t="s">
        <v>386</v>
      </c>
      <c r="C12" s="379" t="s">
        <v>387</v>
      </c>
      <c r="D12" s="389" t="s">
        <v>388</v>
      </c>
      <c r="E12" s="389" t="s">
        <v>388</v>
      </c>
      <c r="F12" s="389" t="s">
        <v>388</v>
      </c>
      <c r="G12" s="389" t="s">
        <v>388</v>
      </c>
      <c r="H12" s="389" t="s">
        <v>388</v>
      </c>
      <c r="I12" s="390">
        <v>3.2200112414231912</v>
      </c>
      <c r="J12" s="390">
        <v>1.4441323282563323</v>
      </c>
      <c r="K12" s="390">
        <v>0.78227551770028958</v>
      </c>
      <c r="L12" s="390">
        <v>1.1432802617791211</v>
      </c>
      <c r="M12" s="390">
        <v>1.0321380772097988</v>
      </c>
      <c r="N12" s="354"/>
      <c r="O12" s="721"/>
      <c r="P12" s="721"/>
      <c r="Q12" s="716"/>
      <c r="R12" s="721"/>
      <c r="S12" s="716"/>
      <c r="T12" s="719"/>
      <c r="U12" s="717"/>
      <c r="V12" s="716"/>
      <c r="W12" s="716"/>
      <c r="X12" s="716"/>
      <c r="Y12" s="716"/>
      <c r="Z12" s="716"/>
      <c r="AA12" s="716"/>
      <c r="AB12" s="716"/>
      <c r="AC12" s="718"/>
      <c r="AD12" s="718"/>
      <c r="AE12" s="718"/>
      <c r="AF12" s="716"/>
      <c r="AG12" s="716"/>
      <c r="AH12" s="716"/>
      <c r="AI12" s="716"/>
      <c r="AJ12" s="716"/>
    </row>
    <row r="13" spans="1:36" s="363" customFormat="1" ht="14.1" customHeight="1" x14ac:dyDescent="0.35">
      <c r="B13" s="373" t="s">
        <v>389</v>
      </c>
      <c r="C13" s="383" t="s">
        <v>389</v>
      </c>
      <c r="D13" s="384"/>
      <c r="E13" s="384"/>
      <c r="F13" s="384"/>
      <c r="G13" s="384"/>
      <c r="H13" s="384"/>
      <c r="I13" s="384"/>
      <c r="J13" s="384"/>
      <c r="K13" s="384"/>
      <c r="L13" s="384"/>
      <c r="M13" s="385"/>
      <c r="N13" s="354"/>
      <c r="O13" s="705"/>
      <c r="P13" s="706"/>
      <c r="Q13" s="706"/>
      <c r="R13" s="706"/>
      <c r="S13" s="706"/>
      <c r="T13" s="706"/>
      <c r="U13" s="707"/>
      <c r="V13" s="706"/>
      <c r="W13" s="706"/>
      <c r="X13" s="706"/>
      <c r="Y13" s="706"/>
      <c r="Z13" s="706"/>
      <c r="AA13" s="706"/>
      <c r="AB13" s="706"/>
      <c r="AC13" s="708"/>
      <c r="AD13" s="706"/>
      <c r="AE13" s="706"/>
      <c r="AF13" s="706"/>
      <c r="AG13" s="706"/>
      <c r="AH13" s="706"/>
      <c r="AI13" s="706"/>
      <c r="AJ13" s="709"/>
    </row>
    <row r="14" spans="1:36" s="363" customFormat="1" ht="15.9" customHeight="1" x14ac:dyDescent="0.35">
      <c r="B14" s="391" t="s">
        <v>390</v>
      </c>
      <c r="C14" s="379" t="s">
        <v>391</v>
      </c>
      <c r="D14" s="389" t="s">
        <v>388</v>
      </c>
      <c r="E14" s="389" t="s">
        <v>388</v>
      </c>
      <c r="F14" s="389" t="s">
        <v>388</v>
      </c>
      <c r="G14" s="389" t="s">
        <v>388</v>
      </c>
      <c r="H14" s="389" t="s">
        <v>388</v>
      </c>
      <c r="I14" s="380">
        <v>89015.000000000393</v>
      </c>
      <c r="J14" s="380">
        <v>86658</v>
      </c>
      <c r="K14" s="380">
        <v>87327.999999999607</v>
      </c>
      <c r="L14" s="380">
        <v>86857</v>
      </c>
      <c r="M14" s="380">
        <v>86857</v>
      </c>
      <c r="N14" s="354"/>
      <c r="O14" s="722">
        <f>+Util_Statistics!D84</f>
        <v>86658</v>
      </c>
      <c r="P14" s="722">
        <f>+Util_Statistics!E84</f>
        <v>88722</v>
      </c>
      <c r="Q14" s="716"/>
      <c r="R14" s="722">
        <f>+Util_Statistics!G84</f>
        <v>86857</v>
      </c>
      <c r="S14" s="716"/>
      <c r="T14" s="722">
        <f>+Util_Statistics!I84</f>
        <v>86857</v>
      </c>
      <c r="U14" s="717"/>
      <c r="V14" s="722">
        <f>+Util_Statistics!K84</f>
        <v>102063</v>
      </c>
      <c r="W14" s="716"/>
      <c r="X14" s="722">
        <f>+Util_Statistics!M84</f>
        <v>102063</v>
      </c>
      <c r="Y14" s="716"/>
      <c r="Z14" s="722">
        <f>+Util_Statistics!O84</f>
        <v>102082</v>
      </c>
      <c r="AA14" s="716"/>
      <c r="AB14" s="722">
        <f>+Util_Statistics!Q84</f>
        <v>102082</v>
      </c>
      <c r="AC14" s="718"/>
      <c r="AD14" s="723">
        <f>+Util_Statistics!K84</f>
        <v>102063</v>
      </c>
      <c r="AE14" s="718"/>
      <c r="AF14" s="723">
        <f>+Util_Statistics!M84</f>
        <v>102063</v>
      </c>
      <c r="AG14" s="716"/>
      <c r="AH14" s="723">
        <f>+Util_Statistics!O84</f>
        <v>102082</v>
      </c>
      <c r="AI14" s="716"/>
      <c r="AJ14" s="723">
        <f>+Util_Statistics!Q84</f>
        <v>102082</v>
      </c>
    </row>
    <row r="15" spans="1:36" s="363" customFormat="1" ht="15.9" customHeight="1" x14ac:dyDescent="0.35">
      <c r="B15" s="392" t="s">
        <v>392</v>
      </c>
      <c r="C15" s="379" t="s">
        <v>393</v>
      </c>
      <c r="D15" s="389" t="s">
        <v>388</v>
      </c>
      <c r="E15" s="389" t="s">
        <v>388</v>
      </c>
      <c r="F15" s="389" t="s">
        <v>388</v>
      </c>
      <c r="G15" s="389" t="s">
        <v>388</v>
      </c>
      <c r="H15" s="389" t="s">
        <v>388</v>
      </c>
      <c r="I15" s="380">
        <v>173126.00000000041</v>
      </c>
      <c r="J15" s="380">
        <v>229636.99999999997</v>
      </c>
      <c r="K15" s="380">
        <v>263465.00000000035</v>
      </c>
      <c r="L15" s="380">
        <v>235390.99999999997</v>
      </c>
      <c r="M15" s="380">
        <v>250453.99999999997</v>
      </c>
      <c r="N15" s="354"/>
      <c r="O15" s="722">
        <f>+Util_Statistics!D85</f>
        <v>229636.99999999997</v>
      </c>
      <c r="P15" s="722">
        <f>+Util_Statistics!E85</f>
        <v>244105.00000000003</v>
      </c>
      <c r="Q15" s="716"/>
      <c r="R15" s="722">
        <f>+Util_Statistics!G85</f>
        <v>250453.99999999997</v>
      </c>
      <c r="S15" s="716"/>
      <c r="T15" s="722">
        <f>+Util_Statistics!I85</f>
        <v>24250.9</v>
      </c>
      <c r="U15" s="717"/>
      <c r="V15" s="722">
        <f>+Util_Statistics!K85</f>
        <v>254192.9</v>
      </c>
      <c r="W15" s="716"/>
      <c r="X15" s="722">
        <f>+Util_Statistics!M85</f>
        <v>255846.9</v>
      </c>
      <c r="Y15" s="716"/>
      <c r="Z15" s="722">
        <f>+Util_Statistics!O85</f>
        <v>258670.9</v>
      </c>
      <c r="AA15" s="716"/>
      <c r="AB15" s="722">
        <f>+Util_Statistics!Q85</f>
        <v>260324.9</v>
      </c>
      <c r="AC15" s="718"/>
      <c r="AD15" s="723">
        <f>+Util_Statistics!K85</f>
        <v>254192.9</v>
      </c>
      <c r="AE15" s="718"/>
      <c r="AF15" s="723">
        <f>+Util_Statistics!M85</f>
        <v>255846.9</v>
      </c>
      <c r="AG15" s="716"/>
      <c r="AH15" s="723">
        <f>+Util_Statistics!O85</f>
        <v>258670.9</v>
      </c>
      <c r="AI15" s="716"/>
      <c r="AJ15" s="723">
        <f>+Util_Statistics!Q85</f>
        <v>260324.9</v>
      </c>
    </row>
    <row r="16" spans="1:36" s="363" customFormat="1" ht="15.9" customHeight="1" x14ac:dyDescent="0.35">
      <c r="B16" s="393" t="s">
        <v>394</v>
      </c>
      <c r="C16" s="379" t="s">
        <v>395</v>
      </c>
      <c r="D16" s="389" t="s">
        <v>388</v>
      </c>
      <c r="E16" s="389" t="s">
        <v>388</v>
      </c>
      <c r="F16" s="389" t="s">
        <v>388</v>
      </c>
      <c r="G16" s="389" t="s">
        <v>388</v>
      </c>
      <c r="H16" s="389" t="s">
        <v>388</v>
      </c>
      <c r="I16" s="380">
        <v>0</v>
      </c>
      <c r="J16" s="380">
        <v>0</v>
      </c>
      <c r="K16" s="380">
        <v>0</v>
      </c>
      <c r="L16" s="380">
        <v>0</v>
      </c>
      <c r="M16" s="380">
        <v>0</v>
      </c>
      <c r="N16" s="354"/>
      <c r="O16" s="722"/>
      <c r="P16" s="722"/>
      <c r="Q16" s="716"/>
      <c r="R16" s="722"/>
      <c r="S16" s="716"/>
      <c r="T16" s="722"/>
      <c r="U16" s="717"/>
      <c r="V16" s="716"/>
      <c r="W16" s="716"/>
      <c r="X16" s="716"/>
      <c r="Y16" s="716"/>
      <c r="Z16" s="716"/>
      <c r="AA16" s="716"/>
      <c r="AB16" s="716"/>
      <c r="AC16" s="718"/>
      <c r="AD16" s="718"/>
      <c r="AE16" s="718"/>
      <c r="AF16" s="716"/>
      <c r="AG16" s="716"/>
      <c r="AH16" s="716"/>
      <c r="AI16" s="716"/>
      <c r="AJ16" s="716"/>
    </row>
    <row r="17" spans="1:36" s="363" customFormat="1" ht="15.9" customHeight="1" x14ac:dyDescent="0.35">
      <c r="B17" s="394" t="s">
        <v>396</v>
      </c>
      <c r="C17" s="379" t="s">
        <v>397</v>
      </c>
      <c r="D17" s="389" t="s">
        <v>388</v>
      </c>
      <c r="E17" s="389" t="s">
        <v>388</v>
      </c>
      <c r="F17" s="389" t="s">
        <v>388</v>
      </c>
      <c r="G17" s="389" t="s">
        <v>388</v>
      </c>
      <c r="H17" s="389" t="s">
        <v>388</v>
      </c>
      <c r="I17" s="380">
        <v>7772.9916196865661</v>
      </c>
      <c r="J17" s="380">
        <v>8001.1735082056975</v>
      </c>
      <c r="K17" s="380">
        <v>7955.4981257722802</v>
      </c>
      <c r="L17" s="380">
        <v>8127.4896195272677</v>
      </c>
      <c r="M17" s="380">
        <v>8025.8641416339879</v>
      </c>
      <c r="N17" s="354"/>
      <c r="O17" s="722">
        <f>+Util_Statistics!D32</f>
        <v>8001.173508205703</v>
      </c>
      <c r="P17" s="722">
        <f>+Util_Statistics!E32</f>
        <v>8476.8545403404751</v>
      </c>
      <c r="Q17" s="722"/>
      <c r="R17" s="722">
        <f>+Util_Statistics!G32</f>
        <v>8016</v>
      </c>
      <c r="S17" s="722"/>
      <c r="T17" s="722">
        <f>+Util_Statistics!I32</f>
        <v>8189.226278363928</v>
      </c>
      <c r="U17" s="717"/>
      <c r="V17" s="722">
        <f>+Util_Statistics!K32</f>
        <v>8287.0929653768817</v>
      </c>
      <c r="W17" s="722"/>
      <c r="X17" s="722">
        <f>+Util_Statistics!M32</f>
        <v>8261.3459954697591</v>
      </c>
      <c r="Y17" s="722"/>
      <c r="Z17" s="722">
        <f>+Util_Statistics!O32</f>
        <v>8236.1530228481679</v>
      </c>
      <c r="AA17" s="722"/>
      <c r="AB17" s="722">
        <f>+Util_Statistics!Q32</f>
        <v>8211.5060439292374</v>
      </c>
      <c r="AC17" s="718"/>
      <c r="AD17" s="723">
        <f>+Util_Statistics!K98</f>
        <v>8287.0929653768817</v>
      </c>
      <c r="AE17" s="718"/>
      <c r="AF17" s="723">
        <f>+Util_Statistics!M98</f>
        <v>8261.3459954697591</v>
      </c>
      <c r="AG17" s="716"/>
      <c r="AH17" s="723">
        <f>+Util_Statistics!O98</f>
        <v>8245.6924544352551</v>
      </c>
      <c r="AI17" s="716"/>
      <c r="AJ17" s="723">
        <f>+Util_Statistics!Q98</f>
        <v>8220.9343471600168</v>
      </c>
    </row>
    <row r="18" spans="1:36" s="363" customFormat="1" ht="15.9" customHeight="1" x14ac:dyDescent="0.35">
      <c r="B18" s="391" t="s">
        <v>398</v>
      </c>
      <c r="C18" s="379" t="s">
        <v>398</v>
      </c>
      <c r="D18" s="389" t="s">
        <v>388</v>
      </c>
      <c r="E18" s="389" t="s">
        <v>388</v>
      </c>
      <c r="F18" s="389" t="s">
        <v>388</v>
      </c>
      <c r="G18" s="389" t="s">
        <v>388</v>
      </c>
      <c r="H18" s="389" t="s">
        <v>388</v>
      </c>
      <c r="I18" s="380">
        <v>1655.0000000003995</v>
      </c>
      <c r="J18" s="380">
        <v>1554.9999999999993</v>
      </c>
      <c r="K18" s="380">
        <v>1611</v>
      </c>
      <c r="L18" s="380">
        <v>1526.9999999999998</v>
      </c>
      <c r="M18" s="380">
        <v>1526.9999999999998</v>
      </c>
      <c r="N18" s="354"/>
      <c r="O18" s="722">
        <f>+Util_Statistics!D14</f>
        <v>1554.9999999999993</v>
      </c>
      <c r="P18" s="722">
        <f>+Util_Statistics!E14</f>
        <v>1569</v>
      </c>
      <c r="Q18" s="716"/>
      <c r="R18" s="722">
        <f>+Util_Statistics!G14</f>
        <v>1526.9999999999998</v>
      </c>
      <c r="S18" s="716"/>
      <c r="T18" s="722">
        <f>+Util_Statistics!I14</f>
        <v>1611</v>
      </c>
      <c r="U18" s="717"/>
      <c r="V18" s="722">
        <f>+Util_Statistics!K14</f>
        <v>1568</v>
      </c>
      <c r="W18" s="716"/>
      <c r="X18" s="722">
        <f>+Util_Statistics!M14</f>
        <v>1568</v>
      </c>
      <c r="Y18" s="716"/>
      <c r="Z18" s="722">
        <f>+Util_Statistics!O14</f>
        <v>1568</v>
      </c>
      <c r="AA18" s="716"/>
      <c r="AB18" s="722">
        <f>+Util_Statistics!Q14</f>
        <v>1568</v>
      </c>
      <c r="AC18" s="718"/>
      <c r="AD18" s="724">
        <f>+Util_Statistics!K80</f>
        <v>1568</v>
      </c>
      <c r="AE18" s="718"/>
      <c r="AF18" s="724">
        <f>+Util_Statistics!M80</f>
        <v>1568</v>
      </c>
      <c r="AG18" s="716"/>
      <c r="AH18" s="724">
        <f>+Util_Statistics!O80</f>
        <v>1568</v>
      </c>
      <c r="AI18" s="716"/>
      <c r="AJ18" s="724">
        <f>+Util_Statistics!Q80</f>
        <v>1568</v>
      </c>
    </row>
    <row r="19" spans="1:36" s="363" customFormat="1" ht="15.9" customHeight="1" x14ac:dyDescent="0.35">
      <c r="B19" s="391" t="s">
        <v>399</v>
      </c>
      <c r="C19" s="379" t="s">
        <v>399</v>
      </c>
      <c r="D19" s="389" t="s">
        <v>388</v>
      </c>
      <c r="E19" s="389" t="s">
        <v>388</v>
      </c>
      <c r="F19" s="389" t="s">
        <v>388</v>
      </c>
      <c r="G19" s="389" t="s">
        <v>388</v>
      </c>
      <c r="H19" s="389" t="s">
        <v>388</v>
      </c>
      <c r="I19" s="380">
        <v>2026.0000000007994</v>
      </c>
      <c r="J19" s="380">
        <v>1887.9999999999993</v>
      </c>
      <c r="K19" s="380">
        <v>1980</v>
      </c>
      <c r="L19" s="380">
        <v>1863.9999999999993</v>
      </c>
      <c r="M19" s="380">
        <v>1863.9999999999993</v>
      </c>
      <c r="N19" s="354"/>
      <c r="O19" s="722">
        <v>1888</v>
      </c>
      <c r="P19" s="722">
        <v>1922</v>
      </c>
      <c r="Q19" s="716"/>
      <c r="R19" s="722">
        <v>1922</v>
      </c>
      <c r="S19" s="716"/>
      <c r="T19" s="722">
        <v>1918</v>
      </c>
      <c r="U19" s="725"/>
      <c r="V19" s="726">
        <v>1931</v>
      </c>
      <c r="W19" s="726"/>
      <c r="X19" s="726">
        <v>1931</v>
      </c>
      <c r="Y19" s="726"/>
      <c r="Z19" s="726">
        <v>1931</v>
      </c>
      <c r="AA19" s="726"/>
      <c r="AB19" s="726">
        <v>1931</v>
      </c>
      <c r="AC19" s="723"/>
      <c r="AD19" s="726">
        <v>1931</v>
      </c>
      <c r="AE19" s="723"/>
      <c r="AF19" s="726">
        <v>1931</v>
      </c>
      <c r="AG19" s="726"/>
      <c r="AH19" s="726">
        <v>1931</v>
      </c>
      <c r="AI19" s="726"/>
      <c r="AJ19" s="726">
        <v>1931</v>
      </c>
    </row>
    <row r="20" spans="1:36" s="363" customFormat="1" ht="14.1" customHeight="1" x14ac:dyDescent="0.35">
      <c r="B20" s="373" t="s">
        <v>400</v>
      </c>
      <c r="C20" s="383" t="s">
        <v>400</v>
      </c>
      <c r="D20" s="384"/>
      <c r="E20" s="384"/>
      <c r="F20" s="384"/>
      <c r="G20" s="384"/>
      <c r="H20" s="384"/>
      <c r="I20" s="384"/>
      <c r="J20" s="384"/>
      <c r="K20" s="384"/>
      <c r="L20" s="384"/>
      <c r="M20" s="385"/>
      <c r="N20" s="354"/>
      <c r="O20" s="705"/>
      <c r="P20" s="706"/>
      <c r="Q20" s="706"/>
      <c r="R20" s="706"/>
      <c r="S20" s="706"/>
      <c r="T20" s="706"/>
      <c r="U20" s="707"/>
      <c r="V20" s="706"/>
      <c r="W20" s="706"/>
      <c r="X20" s="706"/>
      <c r="Y20" s="706"/>
      <c r="Z20" s="706"/>
      <c r="AA20" s="706"/>
      <c r="AB20" s="706"/>
      <c r="AC20" s="708"/>
      <c r="AD20" s="706"/>
      <c r="AE20" s="706"/>
      <c r="AF20" s="706"/>
      <c r="AG20" s="706"/>
      <c r="AH20" s="706"/>
      <c r="AI20" s="706"/>
      <c r="AJ20" s="709"/>
    </row>
    <row r="21" spans="1:36" s="363" customFormat="1" ht="15.9" customHeight="1" x14ac:dyDescent="0.35">
      <c r="A21" s="377" t="s">
        <v>401</v>
      </c>
      <c r="B21" s="386" t="s">
        <v>402</v>
      </c>
      <c r="C21" s="379" t="s">
        <v>403</v>
      </c>
      <c r="D21" s="382">
        <v>5.0999999999999997E-2</v>
      </c>
      <c r="E21" s="382">
        <v>6.4000000000000001E-2</v>
      </c>
      <c r="F21" s="382">
        <v>6.0999999999999999E-2</v>
      </c>
      <c r="G21" s="382">
        <v>6.0999999999999999E-2</v>
      </c>
      <c r="H21" s="382">
        <v>6.5000000000000002E-2</v>
      </c>
      <c r="I21" s="382">
        <v>5.6762600568003932E-2</v>
      </c>
      <c r="J21" s="382">
        <v>5.9077866395760875E-2</v>
      </c>
      <c r="K21" s="382">
        <v>6.234891103235423E-2</v>
      </c>
      <c r="L21" s="382">
        <v>5.9367426088379263E-2</v>
      </c>
      <c r="M21" s="382">
        <v>6.059531422858503E-2</v>
      </c>
      <c r="N21" s="354"/>
      <c r="O21" s="719">
        <f>SUM(PL!E38:E39)/PL!E$44</f>
        <v>5.9077866395760889E-2</v>
      </c>
      <c r="P21" s="719">
        <f>SUM(PL!F38:F39)/PL!F$44</f>
        <v>5.8821892466451052E-2</v>
      </c>
      <c r="Q21" s="716"/>
      <c r="R21" s="719">
        <f>SUM(PL!H38:H39)/PL!H$44</f>
        <v>6.0595314228585009E-2</v>
      </c>
      <c r="S21" s="716"/>
      <c r="T21" s="719">
        <f>SUM(PL!J38:J39)/PL!J$44</f>
        <v>5.9701565949763467E-2</v>
      </c>
      <c r="U21" s="717"/>
      <c r="V21" s="719">
        <f>SUM(PL!L38:L39)/PL!L$44</f>
        <v>5.7124612170648098E-2</v>
      </c>
      <c r="W21" s="716"/>
      <c r="X21" s="719">
        <f>SUM(PL!N38:N39)/PL!N$44</f>
        <v>5.5066588182695046E-2</v>
      </c>
      <c r="Y21" s="716"/>
      <c r="Z21" s="719">
        <f>SUM(PL!P38:P39)/PL!P$44</f>
        <v>5.2259392928632027E-2</v>
      </c>
      <c r="AA21" s="716"/>
      <c r="AB21" s="719">
        <f>SUM(PL!R38:R39)/PL!R$44</f>
        <v>5.0732210013921225E-2</v>
      </c>
      <c r="AC21" s="718"/>
      <c r="AD21" s="719">
        <f>SUM(PL!L156:L157)/PL!L$162</f>
        <v>5.7124612170648098E-2</v>
      </c>
      <c r="AE21" s="716"/>
      <c r="AF21" s="719">
        <f>SUM(PL!N156:N157)/PL!N$162</f>
        <v>5.6724431080652095E-2</v>
      </c>
      <c r="AG21" s="716"/>
      <c r="AH21" s="719">
        <f>SUM(PL!P156:P157)/PL!P$162</f>
        <v>6.3370881924330102E-2</v>
      </c>
      <c r="AI21" s="716"/>
      <c r="AJ21" s="719">
        <f>SUM(PL!R156:R157)/PL!R$162</f>
        <v>6.4407135149409184E-2</v>
      </c>
    </row>
    <row r="22" spans="1:36" s="363" customFormat="1" ht="15.9" customHeight="1" x14ac:dyDescent="0.35">
      <c r="A22" s="377" t="s">
        <v>404</v>
      </c>
      <c r="B22" s="391" t="s">
        <v>405</v>
      </c>
      <c r="C22" s="379" t="s">
        <v>406</v>
      </c>
      <c r="D22" s="395"/>
      <c r="E22" s="395">
        <v>7557</v>
      </c>
      <c r="F22" s="395">
        <v>8045</v>
      </c>
      <c r="G22" s="395">
        <v>7645</v>
      </c>
      <c r="H22" s="395">
        <v>7563</v>
      </c>
      <c r="I22" s="395">
        <v>8634.3499046132147</v>
      </c>
      <c r="J22" s="395">
        <v>9075.194491849441</v>
      </c>
      <c r="K22" s="395">
        <v>9279.7915910304364</v>
      </c>
      <c r="L22" s="395">
        <v>9243.2040146203908</v>
      </c>
      <c r="M22" s="395">
        <v>9502.7929272264664</v>
      </c>
      <c r="N22" s="354"/>
      <c r="O22" s="727">
        <f>PL!E$44/O17</f>
        <v>9075.1944918494337</v>
      </c>
      <c r="P22" s="727">
        <f>PL!F$44/P17</f>
        <v>9021.4055893105378</v>
      </c>
      <c r="Q22" s="716"/>
      <c r="R22" s="727">
        <f>PL!H$44/R17</f>
        <v>9514.4866516966067</v>
      </c>
      <c r="S22" s="716"/>
      <c r="T22" s="727">
        <f>PL!J$44/T17</f>
        <v>9285.0492116565383</v>
      </c>
      <c r="U22" s="717"/>
      <c r="V22" s="727">
        <f>PL!L$44/V17</f>
        <v>9668.5092510430295</v>
      </c>
      <c r="W22" s="716"/>
      <c r="X22" s="727">
        <f>PL!N$44/X17</f>
        <v>9827.3154331655041</v>
      </c>
      <c r="Y22" s="716"/>
      <c r="Z22" s="727">
        <f>PL!P$44/Z17</f>
        <v>10070.25158103707</v>
      </c>
      <c r="AA22" s="716"/>
      <c r="AB22" s="727">
        <f>PL!R$44/AB17</f>
        <v>10329.948434089099</v>
      </c>
      <c r="AC22" s="718"/>
      <c r="AD22" s="727">
        <f>PL!L$162/AD17</f>
        <v>9668.5092510430295</v>
      </c>
      <c r="AE22" s="716"/>
      <c r="AF22" s="727">
        <f>PL!N$162/AF17</f>
        <v>9844.587315989229</v>
      </c>
      <c r="AG22" s="716"/>
      <c r="AH22" s="727">
        <f>PL!P$162/AH17</f>
        <v>10190.189418816355</v>
      </c>
      <c r="AI22" s="716"/>
      <c r="AJ22" s="727">
        <f>PL!R$162/AJ17</f>
        <v>10482.277726712353</v>
      </c>
    </row>
    <row r="23" spans="1:36" s="363" customFormat="1" ht="15.9" customHeight="1" x14ac:dyDescent="0.35">
      <c r="B23" s="391" t="s">
        <v>407</v>
      </c>
      <c r="C23" s="379" t="s">
        <v>407</v>
      </c>
      <c r="D23" s="382"/>
      <c r="E23" s="382"/>
      <c r="F23" s="382"/>
      <c r="G23" s="382"/>
      <c r="H23" s="382"/>
      <c r="I23" s="382"/>
      <c r="J23" s="382">
        <v>5.1057067654936006E-2</v>
      </c>
      <c r="K23" s="382">
        <v>2.2544651727822052E-2</v>
      </c>
      <c r="L23" s="382">
        <v>-3.942715313284606E-3</v>
      </c>
      <c r="M23" s="382">
        <v>2.8084299794256751E-2</v>
      </c>
      <c r="N23" s="354"/>
      <c r="O23" s="719"/>
      <c r="P23" s="719">
        <f>(+P22-O22)/O22</f>
        <v>-5.9270247692437298E-3</v>
      </c>
      <c r="Q23" s="716"/>
      <c r="R23" s="719" t="e">
        <f>(+R22-Q22)/Q22</f>
        <v>#DIV/0!</v>
      </c>
      <c r="S23" s="716"/>
      <c r="T23" s="719">
        <f>(+T22-P22)/P22</f>
        <v>2.9224228944810082E-2</v>
      </c>
      <c r="U23" s="717"/>
      <c r="V23" s="719">
        <f>(+V22-T22)/T22</f>
        <v>4.1298654497715727E-2</v>
      </c>
      <c r="W23" s="716"/>
      <c r="X23" s="719">
        <f>(+X22-V22)/V22</f>
        <v>1.6425094913711004E-2</v>
      </c>
      <c r="Y23" s="716"/>
      <c r="Z23" s="719">
        <f>(+Z22-X22)/X22</f>
        <v>2.4720499664811577E-2</v>
      </c>
      <c r="AA23" s="716"/>
      <c r="AB23" s="719">
        <f>(+AB22-Z22)/Z22</f>
        <v>2.5788516896743243E-2</v>
      </c>
      <c r="AC23" s="718"/>
      <c r="AD23" s="719">
        <f>(+AD22-T22)/T22</f>
        <v>4.1298654497715727E-2</v>
      </c>
      <c r="AE23" s="716"/>
      <c r="AF23" s="719">
        <f>(+AF22-AD22)/AD22</f>
        <v>1.8211500901982827E-2</v>
      </c>
      <c r="AG23" s="716"/>
      <c r="AH23" s="719">
        <f>(+AH22-AF22)/AF22</f>
        <v>3.5105798926259861E-2</v>
      </c>
      <c r="AI23" s="716"/>
      <c r="AJ23" s="719">
        <f>(+AJ22-AH22)/AH22</f>
        <v>2.8663677964283162E-2</v>
      </c>
    </row>
    <row r="24" spans="1:36" s="363" customFormat="1" ht="15.75" customHeight="1" x14ac:dyDescent="0.35">
      <c r="B24" s="373" t="s">
        <v>408</v>
      </c>
      <c r="C24" s="383" t="s">
        <v>408</v>
      </c>
      <c r="D24" s="384"/>
      <c r="E24" s="384"/>
      <c r="F24" s="384"/>
      <c r="G24" s="384"/>
      <c r="H24" s="384"/>
      <c r="I24" s="384"/>
      <c r="J24" s="384"/>
      <c r="K24" s="384"/>
      <c r="L24" s="384"/>
      <c r="M24" s="385"/>
      <c r="N24" s="354"/>
      <c r="O24" s="705"/>
      <c r="P24" s="706"/>
      <c r="Q24" s="706"/>
      <c r="R24" s="706"/>
      <c r="S24" s="706"/>
      <c r="T24" s="706"/>
      <c r="U24" s="707"/>
      <c r="V24" s="706"/>
      <c r="W24" s="706"/>
      <c r="X24" s="706"/>
      <c r="Y24" s="706"/>
      <c r="Z24" s="706"/>
      <c r="AA24" s="706"/>
      <c r="AB24" s="706"/>
      <c r="AC24" s="708"/>
      <c r="AD24" s="706"/>
      <c r="AE24" s="706"/>
      <c r="AF24" s="706"/>
      <c r="AG24" s="706"/>
      <c r="AH24" s="706"/>
      <c r="AI24" s="706"/>
      <c r="AJ24" s="709"/>
    </row>
    <row r="25" spans="1:36" s="363" customFormat="1" ht="15.9" customHeight="1" x14ac:dyDescent="0.35">
      <c r="B25" s="378" t="s">
        <v>331</v>
      </c>
      <c r="C25" s="379" t="s">
        <v>332</v>
      </c>
      <c r="D25" s="389" t="s">
        <v>388</v>
      </c>
      <c r="E25" s="389" t="s">
        <v>388</v>
      </c>
      <c r="F25" s="389" t="s">
        <v>388</v>
      </c>
      <c r="G25" s="389" t="s">
        <v>388</v>
      </c>
      <c r="H25" s="389" t="s">
        <v>388</v>
      </c>
      <c r="I25" s="380">
        <v>387.02</v>
      </c>
      <c r="J25" s="380">
        <v>400.09999999999997</v>
      </c>
      <c r="K25" s="380">
        <v>405.44999999999987</v>
      </c>
      <c r="L25" s="380">
        <v>408.65999999999991</v>
      </c>
      <c r="M25" s="380">
        <v>422.35000000000008</v>
      </c>
      <c r="N25" s="354"/>
      <c r="O25" s="722">
        <f>+STAFF!E18</f>
        <v>400.09999999999997</v>
      </c>
      <c r="P25" s="722">
        <f>+STAFF!F18</f>
        <v>411.89000000000004</v>
      </c>
      <c r="Q25" s="716"/>
      <c r="R25" s="722">
        <f>+STAFF!H18</f>
        <v>422.35000000000008</v>
      </c>
      <c r="S25" s="716"/>
      <c r="T25" s="720"/>
      <c r="U25" s="717"/>
      <c r="V25" s="722">
        <f>+STAFF!L18</f>
        <v>438.2</v>
      </c>
      <c r="W25" s="716"/>
      <c r="X25" s="722">
        <f>+STAFF!N18</f>
        <v>438.2</v>
      </c>
      <c r="Y25" s="716"/>
      <c r="Z25" s="722">
        <f>+STAFF!P18</f>
        <v>438.2</v>
      </c>
      <c r="AA25" s="716"/>
      <c r="AB25" s="722">
        <f>+STAFF!R18</f>
        <v>439.2</v>
      </c>
      <c r="AC25" s="718"/>
      <c r="AD25" s="726">
        <f>+STAFF!L57</f>
        <v>438.2</v>
      </c>
      <c r="AE25" s="716"/>
      <c r="AF25" s="726">
        <f>+STAFF!N57</f>
        <v>438.2</v>
      </c>
      <c r="AG25" s="716"/>
      <c r="AH25" s="726">
        <f>+STAFF!P57</f>
        <v>440.2</v>
      </c>
      <c r="AI25" s="716"/>
      <c r="AJ25" s="726">
        <f>+STAFF!R57</f>
        <v>439.2</v>
      </c>
    </row>
    <row r="26" spans="1:36" s="363" customFormat="1" ht="15.9" customHeight="1" x14ac:dyDescent="0.35">
      <c r="B26" s="378" t="s">
        <v>325</v>
      </c>
      <c r="C26" s="379" t="s">
        <v>325</v>
      </c>
      <c r="D26" s="389" t="s">
        <v>388</v>
      </c>
      <c r="E26" s="389" t="s">
        <v>388</v>
      </c>
      <c r="F26" s="389" t="s">
        <v>388</v>
      </c>
      <c r="G26" s="389" t="s">
        <v>388</v>
      </c>
      <c r="H26" s="389" t="s">
        <v>388</v>
      </c>
      <c r="I26" s="380">
        <v>33.130000000000003</v>
      </c>
      <c r="J26" s="380">
        <v>38.4</v>
      </c>
      <c r="K26" s="380">
        <v>55.06</v>
      </c>
      <c r="L26" s="380">
        <v>49.500000000000007</v>
      </c>
      <c r="M26" s="380">
        <v>53.81</v>
      </c>
      <c r="N26" s="354"/>
      <c r="O26" s="722">
        <f>+STAFF!E12</f>
        <v>38.4</v>
      </c>
      <c r="P26" s="722">
        <f>+STAFF!F12</f>
        <v>43.789999999999985</v>
      </c>
      <c r="Q26" s="716"/>
      <c r="R26" s="722">
        <f>+STAFF!H12</f>
        <v>53.81</v>
      </c>
      <c r="S26" s="716"/>
      <c r="T26" s="720"/>
      <c r="U26" s="717"/>
      <c r="V26" s="722">
        <f>+STAFF!L12</f>
        <v>50.5</v>
      </c>
      <c r="W26" s="716"/>
      <c r="X26" s="722">
        <f>+STAFF!N12</f>
        <v>50.5</v>
      </c>
      <c r="Y26" s="716"/>
      <c r="Z26" s="722">
        <f>+STAFF!P12</f>
        <v>50.5</v>
      </c>
      <c r="AA26" s="716"/>
      <c r="AB26" s="722">
        <f>+STAFF!R12</f>
        <v>50.5</v>
      </c>
      <c r="AC26" s="718"/>
      <c r="AD26" s="726">
        <f>+STAFF!L51</f>
        <v>50.5</v>
      </c>
      <c r="AE26" s="716"/>
      <c r="AF26" s="726">
        <f>+STAFF!N51</f>
        <v>50.5</v>
      </c>
      <c r="AG26" s="716"/>
      <c r="AH26" s="726">
        <f>+STAFF!P51</f>
        <v>50.5</v>
      </c>
      <c r="AI26" s="716"/>
      <c r="AJ26" s="726">
        <f>+STAFF!R51</f>
        <v>50.5</v>
      </c>
    </row>
    <row r="27" spans="1:36" s="363" customFormat="1" ht="15.9" hidden="1" customHeight="1" outlineLevel="1" x14ac:dyDescent="0.35">
      <c r="B27" s="378" t="s">
        <v>327</v>
      </c>
      <c r="C27" s="396" t="s">
        <v>327</v>
      </c>
      <c r="D27" s="380"/>
      <c r="E27" s="380"/>
      <c r="F27" s="380"/>
      <c r="G27" s="380"/>
      <c r="H27" s="380"/>
      <c r="I27" s="380">
        <v>0</v>
      </c>
      <c r="J27" s="380">
        <v>0</v>
      </c>
      <c r="K27" s="380">
        <v>0</v>
      </c>
      <c r="L27" s="380">
        <v>0</v>
      </c>
      <c r="M27" s="380">
        <v>0</v>
      </c>
      <c r="N27" s="354"/>
      <c r="O27" s="548"/>
      <c r="P27" s="548"/>
      <c r="Q27" s="544"/>
      <c r="R27" s="548"/>
      <c r="S27" s="544"/>
      <c r="T27" s="547"/>
      <c r="U27" s="545"/>
      <c r="V27" s="544"/>
      <c r="W27" s="544"/>
      <c r="X27" s="544"/>
      <c r="Y27" s="544"/>
      <c r="Z27" s="544"/>
      <c r="AA27" s="544"/>
      <c r="AB27" s="544"/>
      <c r="AC27" s="546"/>
      <c r="AD27" s="544"/>
      <c r="AE27" s="544"/>
      <c r="AF27" s="544"/>
      <c r="AG27" s="544"/>
      <c r="AH27" s="544"/>
      <c r="AI27" s="544"/>
      <c r="AJ27" s="544"/>
    </row>
    <row r="28" spans="1:36" s="363" customFormat="1" ht="15.9" hidden="1" customHeight="1" outlineLevel="1" x14ac:dyDescent="0.35">
      <c r="B28" s="387" t="s">
        <v>329</v>
      </c>
      <c r="C28" s="396" t="s">
        <v>329</v>
      </c>
      <c r="D28" s="380"/>
      <c r="E28" s="380"/>
      <c r="F28" s="380"/>
      <c r="G28" s="380"/>
      <c r="H28" s="380"/>
      <c r="I28" s="380">
        <v>0</v>
      </c>
      <c r="J28" s="380">
        <v>0</v>
      </c>
      <c r="K28" s="380">
        <v>0</v>
      </c>
      <c r="L28" s="380">
        <v>0</v>
      </c>
      <c r="M28" s="380">
        <v>0</v>
      </c>
      <c r="N28" s="354"/>
      <c r="O28" s="548"/>
      <c r="P28" s="548"/>
      <c r="Q28" s="544"/>
      <c r="R28" s="548"/>
      <c r="S28" s="544"/>
      <c r="T28" s="547"/>
      <c r="U28" s="545"/>
      <c r="V28" s="544"/>
      <c r="W28" s="544"/>
      <c r="X28" s="544"/>
      <c r="Y28" s="544"/>
      <c r="Z28" s="544"/>
      <c r="AA28" s="544"/>
      <c r="AB28" s="544"/>
      <c r="AC28" s="546"/>
      <c r="AD28" s="544"/>
      <c r="AE28" s="544"/>
      <c r="AF28" s="544"/>
      <c r="AG28" s="544"/>
      <c r="AH28" s="544"/>
      <c r="AI28" s="544"/>
      <c r="AJ28" s="544"/>
    </row>
    <row r="29" spans="1:36" s="363" customFormat="1" ht="15.9" hidden="1" customHeight="1" outlineLevel="1" x14ac:dyDescent="0.35">
      <c r="B29" s="378" t="s">
        <v>330</v>
      </c>
      <c r="C29" s="396" t="s">
        <v>330</v>
      </c>
      <c r="D29" s="380"/>
      <c r="E29" s="380"/>
      <c r="F29" s="380"/>
      <c r="G29" s="380"/>
      <c r="H29" s="380"/>
      <c r="I29" s="380">
        <v>0</v>
      </c>
      <c r="J29" s="380">
        <v>0</v>
      </c>
      <c r="K29" s="380">
        <v>0</v>
      </c>
      <c r="L29" s="380">
        <v>0</v>
      </c>
      <c r="M29" s="380">
        <v>0</v>
      </c>
      <c r="N29" s="354"/>
      <c r="O29" s="548"/>
      <c r="P29" s="548"/>
      <c r="Q29" s="544"/>
      <c r="R29" s="548"/>
      <c r="S29" s="544"/>
      <c r="T29" s="547"/>
      <c r="U29" s="545"/>
      <c r="V29" s="544"/>
      <c r="W29" s="544"/>
      <c r="X29" s="544"/>
      <c r="Y29" s="544"/>
      <c r="Z29" s="544"/>
      <c r="AA29" s="544"/>
      <c r="AB29" s="544"/>
      <c r="AC29" s="546"/>
      <c r="AD29" s="544"/>
      <c r="AE29" s="544"/>
      <c r="AF29" s="544"/>
      <c r="AG29" s="544"/>
      <c r="AH29" s="544"/>
      <c r="AI29" s="544"/>
      <c r="AJ29" s="544"/>
    </row>
    <row r="30" spans="1:36" s="363" customFormat="1" ht="14.1" customHeight="1" collapsed="1" x14ac:dyDescent="0.35">
      <c r="B30" s="373" t="s">
        <v>409</v>
      </c>
      <c r="C30" s="383" t="s">
        <v>409</v>
      </c>
      <c r="D30" s="384"/>
      <c r="E30" s="384"/>
      <c r="F30" s="384"/>
      <c r="G30" s="384"/>
      <c r="H30" s="384"/>
      <c r="I30" s="384"/>
      <c r="J30" s="384"/>
      <c r="K30" s="384"/>
      <c r="L30" s="384"/>
      <c r="M30" s="385"/>
      <c r="N30" s="354"/>
      <c r="O30" s="705"/>
      <c r="P30" s="706"/>
      <c r="Q30" s="706"/>
      <c r="R30" s="706"/>
      <c r="S30" s="706"/>
      <c r="T30" s="706"/>
      <c r="U30" s="707"/>
      <c r="V30" s="706"/>
      <c r="W30" s="706"/>
      <c r="X30" s="706"/>
      <c r="Y30" s="706"/>
      <c r="Z30" s="706"/>
      <c r="AA30" s="706"/>
      <c r="AB30" s="706"/>
      <c r="AC30" s="708"/>
      <c r="AD30" s="706"/>
      <c r="AE30" s="706"/>
      <c r="AF30" s="706"/>
      <c r="AG30" s="706"/>
      <c r="AH30" s="706"/>
      <c r="AI30" s="706"/>
      <c r="AJ30" s="709"/>
    </row>
    <row r="31" spans="1:36" s="363" customFormat="1" ht="15.9" customHeight="1" x14ac:dyDescent="0.35">
      <c r="A31" s="377" t="s">
        <v>410</v>
      </c>
      <c r="B31" s="378" t="s">
        <v>411</v>
      </c>
      <c r="C31" s="379" t="s">
        <v>412</v>
      </c>
      <c r="D31" s="389" t="s">
        <v>388</v>
      </c>
      <c r="E31" s="389" t="s">
        <v>388</v>
      </c>
      <c r="F31" s="389" t="s">
        <v>388</v>
      </c>
      <c r="G31" s="389" t="s">
        <v>388</v>
      </c>
      <c r="H31" s="389" t="s">
        <v>388</v>
      </c>
      <c r="I31" s="388">
        <v>4.9790353436095174</v>
      </c>
      <c r="J31" s="388">
        <v>5.0005164816095125</v>
      </c>
      <c r="K31" s="388">
        <v>5.0964753380623895</v>
      </c>
      <c r="L31" s="388">
        <v>5.0281208482646997</v>
      </c>
      <c r="M31" s="388">
        <v>5.2623616914852702</v>
      </c>
      <c r="N31" s="354"/>
      <c r="O31" s="720">
        <f>SUM(O25:O26)/(O17/100)</f>
        <v>5.4804460814440636</v>
      </c>
      <c r="P31" s="720">
        <f>SUM(P25:P26)/(P17/100)</f>
        <v>5.3755788521728904</v>
      </c>
      <c r="Q31" s="716"/>
      <c r="R31" s="720">
        <f>SUM(R25:R26)/(R17/100)</f>
        <v>5.9401197604790434</v>
      </c>
      <c r="S31" s="716"/>
      <c r="T31" s="720">
        <f>SUM(T25:T26)/(T17/100)</f>
        <v>0</v>
      </c>
      <c r="U31" s="717"/>
      <c r="V31" s="720">
        <f>SUM(V25:V26)/(V17/100)</f>
        <v>5.8971222121166926</v>
      </c>
      <c r="W31" s="716"/>
      <c r="X31" s="720">
        <f>SUM(X25:X26)/(X17/100)</f>
        <v>5.9155009397740566</v>
      </c>
      <c r="Y31" s="716"/>
      <c r="Z31" s="720">
        <f>SUM(Z25:Z26)/(Z17/100)</f>
        <v>5.933595437630677</v>
      </c>
      <c r="AA31" s="716"/>
      <c r="AB31" s="720">
        <f>SUM(AB25:AB26)/(AB17/100)</f>
        <v>5.9635832620745006</v>
      </c>
      <c r="AC31" s="718"/>
      <c r="AD31" s="720">
        <f>SUM(AD25:AD26)/(AD17/100)</f>
        <v>5.8971222121166926</v>
      </c>
      <c r="AE31" s="716"/>
      <c r="AF31" s="720">
        <f>SUM(AF25:AF26)/(AF17/100)</f>
        <v>5.9155009397740566</v>
      </c>
      <c r="AG31" s="716"/>
      <c r="AH31" s="720">
        <f>SUM(AH25:AH26)/(AH17/100)</f>
        <v>5.9509859567471333</v>
      </c>
      <c r="AI31" s="716"/>
      <c r="AJ31" s="720">
        <f>SUM(AJ25:AJ26)/(AJ17/100)</f>
        <v>5.9567438361695535</v>
      </c>
    </row>
    <row r="32" spans="1:36" s="363" customFormat="1" ht="15.9" customHeight="1" x14ac:dyDescent="0.35">
      <c r="A32" s="377" t="s">
        <v>413</v>
      </c>
      <c r="B32" s="397" t="s">
        <v>414</v>
      </c>
      <c r="C32" s="379" t="s">
        <v>415</v>
      </c>
      <c r="D32" s="389" t="s">
        <v>388</v>
      </c>
      <c r="E32" s="389" t="s">
        <v>388</v>
      </c>
      <c r="F32" s="389" t="s">
        <v>388</v>
      </c>
      <c r="G32" s="389" t="s">
        <v>388</v>
      </c>
      <c r="H32" s="389" t="s">
        <v>388</v>
      </c>
      <c r="I32" s="382">
        <v>0.21479759953613708</v>
      </c>
      <c r="J32" s="382">
        <v>0.2122694514546071</v>
      </c>
      <c r="K32" s="382">
        <v>0.20634112884246869</v>
      </c>
      <c r="L32" s="382">
        <v>0.20816141365130941</v>
      </c>
      <c r="M32" s="382">
        <v>0.20928452347344878</v>
      </c>
      <c r="N32" s="354"/>
      <c r="O32" s="719"/>
      <c r="P32" s="719"/>
      <c r="Q32" s="716"/>
      <c r="R32" s="719"/>
      <c r="S32" s="716"/>
      <c r="T32" s="719"/>
      <c r="U32" s="717"/>
      <c r="V32" s="716"/>
      <c r="W32" s="716"/>
      <c r="X32" s="716"/>
      <c r="Y32" s="716"/>
      <c r="Z32" s="716"/>
      <c r="AA32" s="716"/>
      <c r="AB32" s="716"/>
      <c r="AC32" s="718"/>
      <c r="AD32" s="716"/>
      <c r="AE32" s="716"/>
      <c r="AF32" s="716"/>
      <c r="AG32" s="716"/>
      <c r="AH32" s="716"/>
      <c r="AI32" s="716"/>
      <c r="AJ32" s="716"/>
    </row>
    <row r="33" spans="1:36" s="363" customFormat="1" ht="15.9" customHeight="1" x14ac:dyDescent="0.35">
      <c r="A33" s="377" t="s">
        <v>416</v>
      </c>
      <c r="B33" s="397" t="s">
        <v>417</v>
      </c>
      <c r="C33" s="379" t="s">
        <v>418</v>
      </c>
      <c r="D33" s="389" t="s">
        <v>388</v>
      </c>
      <c r="E33" s="389" t="s">
        <v>388</v>
      </c>
      <c r="F33" s="389" t="s">
        <v>388</v>
      </c>
      <c r="G33" s="389" t="s">
        <v>388</v>
      </c>
      <c r="H33" s="389" t="s">
        <v>388</v>
      </c>
      <c r="I33" s="382">
        <v>3.1037663702211549E-2</v>
      </c>
      <c r="J33" s="382">
        <v>3.0384172757431598E-2</v>
      </c>
      <c r="K33" s="382">
        <v>3.0358475002944033E-2</v>
      </c>
      <c r="L33" s="382">
        <v>3.3576541201335304E-2</v>
      </c>
      <c r="M33" s="382">
        <v>3.2548712538036477E-2</v>
      </c>
      <c r="N33" s="354"/>
      <c r="O33" s="719">
        <f>+Payer!C59/Payer!C$54</f>
        <v>-3.0384172800042415E-2</v>
      </c>
      <c r="P33" s="719">
        <f>+Payer!D59/Payer!D$54</f>
        <v>-2.8987424919069998E-2</v>
      </c>
      <c r="Q33" s="716"/>
      <c r="R33" s="719">
        <f>+Payer!F59/Payer!F$54</f>
        <v>-3.2549679403999027E-2</v>
      </c>
      <c r="S33" s="716"/>
      <c r="T33" s="719">
        <f>+Payer!H59/Payer!H$54</f>
        <v>-6.1755739726690392E-3</v>
      </c>
      <c r="U33" s="717"/>
      <c r="V33" s="719">
        <f>+Payer!J59/Payer!J$54</f>
        <v>-3.0749258184969534E-2</v>
      </c>
      <c r="W33" s="716"/>
      <c r="X33" s="719">
        <f>+Payer!L59/Payer!L$54</f>
        <v>-2.9999999197912453E-2</v>
      </c>
      <c r="Y33" s="716"/>
      <c r="Z33" s="719">
        <f>+Payer!N59/Payer!N$54</f>
        <v>-3.0000002817209537E-2</v>
      </c>
      <c r="AA33" s="716"/>
      <c r="AB33" s="719">
        <f>+Payer!P59/Payer!P$54</f>
        <v>-2.9999997729162616E-2</v>
      </c>
      <c r="AC33" s="718"/>
      <c r="AD33" s="719">
        <f>+Payer!J217/Payer!J$212</f>
        <v>-3.0749258184969534E-2</v>
      </c>
      <c r="AE33" s="718"/>
      <c r="AF33" s="719">
        <f>+Payer!L217/Payer!L$212</f>
        <v>-2.9999999197912453E-2</v>
      </c>
      <c r="AG33" s="716"/>
      <c r="AH33" s="719">
        <f>+Payer!N217/Payer!N$212</f>
        <v>-3.0000003053435427E-2</v>
      </c>
      <c r="AI33" s="716"/>
      <c r="AJ33" s="719">
        <f>+Payer!P217/Payer!P$212</f>
        <v>-2.9999999302082136E-2</v>
      </c>
    </row>
    <row r="34" spans="1:36" s="363" customFormat="1" ht="15.9" customHeight="1" x14ac:dyDescent="0.35">
      <c r="A34" s="377" t="s">
        <v>419</v>
      </c>
      <c r="B34" s="397" t="s">
        <v>420</v>
      </c>
      <c r="C34" s="379" t="s">
        <v>421</v>
      </c>
      <c r="D34" s="389" t="s">
        <v>388</v>
      </c>
      <c r="E34" s="389" t="s">
        <v>388</v>
      </c>
      <c r="F34" s="389" t="s">
        <v>388</v>
      </c>
      <c r="G34" s="389" t="s">
        <v>388</v>
      </c>
      <c r="H34" s="389" t="s">
        <v>388</v>
      </c>
      <c r="I34" s="382">
        <v>2.1191012482083924E-2</v>
      </c>
      <c r="J34" s="382">
        <v>1.8471407785467554E-2</v>
      </c>
      <c r="K34" s="382">
        <v>1.8828911864688307E-2</v>
      </c>
      <c r="L34" s="382">
        <v>2.4338837051316394E-2</v>
      </c>
      <c r="M34" s="382">
        <v>2.0164280563609929E-2</v>
      </c>
      <c r="N34" s="354"/>
      <c r="O34" s="719">
        <f>+Payer!C58/Payer!C$54</f>
        <v>-1.8471407811371892E-2</v>
      </c>
      <c r="P34" s="719">
        <f>+Payer!D58/Payer!D$54</f>
        <v>-2.2996250808336467E-2</v>
      </c>
      <c r="Q34" s="716"/>
      <c r="R34" s="719">
        <f>+Payer!F58/Payer!F$54</f>
        <v>-2.0165898550663166E-2</v>
      </c>
      <c r="S34" s="716"/>
      <c r="T34" s="719">
        <f>+Payer!H58/Payer!H$54</f>
        <v>-2.5357753985430935E-2</v>
      </c>
      <c r="U34" s="717"/>
      <c r="V34" s="719">
        <f>+Payer!J58/Payer!J$54</f>
        <v>-2.0116558618366111E-2</v>
      </c>
      <c r="W34" s="716"/>
      <c r="X34" s="719">
        <f>+Payer!L58/Payer!L$54</f>
        <v>-1.4999999598956227E-2</v>
      </c>
      <c r="Y34" s="716"/>
      <c r="Z34" s="719">
        <f>+Payer!N58/Payer!N$54</f>
        <v>-1.4999998411573345E-2</v>
      </c>
      <c r="AA34" s="716"/>
      <c r="AB34" s="719">
        <f>+Payer!P58/Payer!P$54</f>
        <v>-1.4999998864581308E-2</v>
      </c>
      <c r="AC34" s="718"/>
      <c r="AD34" s="719">
        <f>+Payer!J216/Payer!J$212</f>
        <v>-2.0116558618366111E-2</v>
      </c>
      <c r="AE34" s="718"/>
      <c r="AF34" s="719">
        <f>+Payer!L216/Payer!L$212</f>
        <v>-1.4999999598956227E-2</v>
      </c>
      <c r="AG34" s="716"/>
      <c r="AH34" s="719">
        <f>+Payer!N216/Payer!N$212</f>
        <v>-1.5000001526717714E-2</v>
      </c>
      <c r="AI34" s="716"/>
      <c r="AJ34" s="719">
        <f>+Payer!P216/Payer!P$212</f>
        <v>-1.4999999651041068E-2</v>
      </c>
    </row>
    <row r="35" spans="1:36" ht="15.6" x14ac:dyDescent="0.3">
      <c r="T35" s="398"/>
      <c r="U35" s="540"/>
      <c r="AC35" s="541"/>
      <c r="AD35" s="541"/>
      <c r="AE35" s="541"/>
    </row>
    <row r="36" spans="1:36" ht="15.6" x14ac:dyDescent="0.3">
      <c r="U36" s="540"/>
      <c r="AC36" s="541"/>
      <c r="AD36" s="541"/>
      <c r="AE36" s="541"/>
    </row>
    <row r="37" spans="1:36" ht="15.6" x14ac:dyDescent="0.3">
      <c r="U37" s="540"/>
      <c r="AC37" s="541"/>
      <c r="AD37" s="541"/>
      <c r="AE37" s="541"/>
    </row>
    <row r="38" spans="1:36" ht="15.6" x14ac:dyDescent="0.3">
      <c r="U38" s="540"/>
      <c r="AC38" s="541"/>
      <c r="AD38" s="541"/>
      <c r="AE38" s="541"/>
    </row>
    <row r="39" spans="1:36" ht="15.6" x14ac:dyDescent="0.3">
      <c r="AC39" s="541"/>
      <c r="AD39" s="541"/>
      <c r="AE39" s="541"/>
    </row>
    <row r="40" spans="1:36" ht="15.6" x14ac:dyDescent="0.3">
      <c r="AC40" s="541"/>
      <c r="AD40" s="541"/>
      <c r="AE40" s="541"/>
    </row>
    <row r="41" spans="1:36" ht="15.6" x14ac:dyDescent="0.3">
      <c r="AC41" s="541"/>
      <c r="AD41" s="541"/>
      <c r="AE41" s="541"/>
    </row>
    <row r="42" spans="1:36" ht="15.6" x14ac:dyDescent="0.3">
      <c r="AC42" s="541"/>
      <c r="AD42" s="541"/>
      <c r="AE42" s="541"/>
    </row>
    <row r="43" spans="1:36" ht="15.6" x14ac:dyDescent="0.3">
      <c r="AC43" s="541"/>
      <c r="AD43" s="541"/>
      <c r="AE43" s="541"/>
    </row>
    <row r="44" spans="1:36" ht="15.6" x14ac:dyDescent="0.3">
      <c r="AC44" s="541"/>
      <c r="AD44" s="541"/>
      <c r="AE44" s="541"/>
    </row>
    <row r="45" spans="1:36" ht="15.6" x14ac:dyDescent="0.3">
      <c r="AC45" s="541"/>
      <c r="AD45" s="541"/>
      <c r="AE45" s="541"/>
    </row>
  </sheetData>
  <mergeCells count="2">
    <mergeCell ref="C2:M2"/>
    <mergeCell ref="D4:H4"/>
  </mergeCells>
  <pageMargins left="0.7" right="0.7" top="0.75" bottom="0.75" header="0.3" footer="0.05"/>
  <pageSetup scale="55" fitToWidth="2" orientation="landscape" r:id="rId1"/>
  <headerFooter differentFirst="1">
    <oddFooter>&amp;L&amp;D&amp;CGreen Mountain Care Board&amp;R&amp;P</oddFooter>
    <firstFooter>&amp;L&amp;14&amp;D</firstFooter>
  </headerFooter>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L43" sqref="L43"/>
    </sheetView>
  </sheetViews>
  <sheetFormatPr defaultRowHeight="13.2" x14ac:dyDescent="0.25"/>
  <cols>
    <col min="1" max="1" width="12.44140625" customWidth="1"/>
  </cols>
  <sheetData>
    <row r="2" spans="1:2" ht="12.75" customHeight="1" x14ac:dyDescent="0.25">
      <c r="A2" t="s">
        <v>45</v>
      </c>
    </row>
    <row r="3" spans="1:2" ht="12.75" customHeight="1" x14ac:dyDescent="0.25">
      <c r="A3" t="s">
        <v>25</v>
      </c>
      <c r="B3" t="s">
        <v>63</v>
      </c>
    </row>
    <row r="4" spans="1:2" ht="12.75" customHeight="1" x14ac:dyDescent="0.25"/>
    <row r="5" spans="1:2" ht="12.75" customHeight="1" x14ac:dyDescent="0.25">
      <c r="A5" t="s">
        <v>26</v>
      </c>
      <c r="B5" t="s">
        <v>143</v>
      </c>
    </row>
    <row r="6" spans="1:2" ht="12.75" customHeight="1" x14ac:dyDescent="0.25">
      <c r="A6" t="s">
        <v>27</v>
      </c>
      <c r="B6" t="s">
        <v>28</v>
      </c>
    </row>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showGridLines="0" workbookViewId="0">
      <selection activeCell="I2" sqref="I2"/>
    </sheetView>
  </sheetViews>
  <sheetFormatPr defaultRowHeight="13.2" x14ac:dyDescent="0.25"/>
  <cols>
    <col min="1" max="1" width="1.33203125" style="147" customWidth="1"/>
    <col min="2" max="2" width="44.5546875" style="147" customWidth="1"/>
    <col min="3" max="3" width="0.88671875" style="147" customWidth="1"/>
    <col min="4" max="4" width="12.6640625" style="147" hidden="1" customWidth="1"/>
    <col min="5" max="5" width="9.6640625" style="147" hidden="1" customWidth="1"/>
    <col min="6" max="6" width="1.109375" style="147" hidden="1" customWidth="1"/>
    <col min="7" max="7" width="9.6640625" style="147" customWidth="1"/>
    <col min="8" max="8" width="9.6640625" style="147" hidden="1" customWidth="1"/>
    <col min="9" max="9" width="8.6640625" style="147" customWidth="1"/>
    <col min="10" max="10" width="0.88671875" style="147" customWidth="1"/>
    <col min="11" max="11" width="8.6640625" style="147" customWidth="1"/>
    <col min="12" max="12" width="0.88671875" style="147" customWidth="1"/>
    <col min="13" max="13" width="8.6640625" style="147" customWidth="1"/>
    <col min="14" max="14" width="1" style="147" customWidth="1"/>
    <col min="15" max="15" width="8.6640625" style="147" customWidth="1"/>
    <col min="16" max="16" width="1" style="147" customWidth="1"/>
    <col min="17" max="17" width="8.6640625" style="147" customWidth="1"/>
    <col min="18" max="18" width="1.44140625" style="147" customWidth="1"/>
    <col min="19" max="19" width="8.6640625" style="147" customWidth="1"/>
    <col min="20" max="20" width="0.88671875" style="147" customWidth="1"/>
    <col min="21" max="21" width="8.6640625" style="147" customWidth="1"/>
    <col min="22" max="22" width="0.5546875" style="147" customWidth="1"/>
    <col min="23" max="23" width="8.6640625" style="147" customWidth="1"/>
    <col min="24" max="24" width="1" style="147" customWidth="1"/>
    <col min="25" max="25" width="8.6640625" style="147" customWidth="1"/>
    <col min="26" max="26" width="1" style="147" customWidth="1"/>
    <col min="27" max="262" width="9.109375" style="147"/>
    <col min="263" max="263" width="1.33203125" style="147" customWidth="1"/>
    <col min="264" max="264" width="32.33203125" style="147" customWidth="1"/>
    <col min="265" max="266" width="0.88671875" style="147" customWidth="1"/>
    <col min="267" max="267" width="8.6640625" style="147" customWidth="1"/>
    <col min="268" max="268" width="1" style="147" customWidth="1"/>
    <col min="269" max="269" width="9.109375" style="147"/>
    <col min="270" max="270" width="0.88671875" style="147" customWidth="1"/>
    <col min="271" max="271" width="8.6640625" style="147" customWidth="1"/>
    <col min="272" max="272" width="0.88671875" style="147" customWidth="1"/>
    <col min="273" max="273" width="8.6640625" style="147" customWidth="1"/>
    <col min="274" max="274" width="1" style="147" customWidth="1"/>
    <col min="275" max="275" width="8.6640625" style="147" customWidth="1"/>
    <col min="276" max="276" width="1.44140625" style="147" customWidth="1"/>
    <col min="277" max="277" width="8.6640625" style="147" customWidth="1"/>
    <col min="278" max="278" width="0.88671875" style="147" customWidth="1"/>
    <col min="279" max="279" width="8.6640625" style="147" customWidth="1"/>
    <col min="280" max="280" width="1" style="147" customWidth="1"/>
    <col min="281" max="281" width="8.6640625" style="147" customWidth="1"/>
    <col min="282" max="282" width="1" style="147" customWidth="1"/>
    <col min="283" max="518" width="9.109375" style="147"/>
    <col min="519" max="519" width="1.33203125" style="147" customWidth="1"/>
    <col min="520" max="520" width="32.33203125" style="147" customWidth="1"/>
    <col min="521" max="522" width="0.88671875" style="147" customWidth="1"/>
    <col min="523" max="523" width="8.6640625" style="147" customWidth="1"/>
    <col min="524" max="524" width="1" style="147" customWidth="1"/>
    <col min="525" max="525" width="9.109375" style="147"/>
    <col min="526" max="526" width="0.88671875" style="147" customWidth="1"/>
    <col min="527" max="527" width="8.6640625" style="147" customWidth="1"/>
    <col min="528" max="528" width="0.88671875" style="147" customWidth="1"/>
    <col min="529" max="529" width="8.6640625" style="147" customWidth="1"/>
    <col min="530" max="530" width="1" style="147" customWidth="1"/>
    <col min="531" max="531" width="8.6640625" style="147" customWidth="1"/>
    <col min="532" max="532" width="1.44140625" style="147" customWidth="1"/>
    <col min="533" max="533" width="8.6640625" style="147" customWidth="1"/>
    <col min="534" max="534" width="0.88671875" style="147" customWidth="1"/>
    <col min="535" max="535" width="8.6640625" style="147" customWidth="1"/>
    <col min="536" max="536" width="1" style="147" customWidth="1"/>
    <col min="537" max="537" width="8.6640625" style="147" customWidth="1"/>
    <col min="538" max="538" width="1" style="147" customWidth="1"/>
    <col min="539" max="774" width="9.109375" style="147"/>
    <col min="775" max="775" width="1.33203125" style="147" customWidth="1"/>
    <col min="776" max="776" width="32.33203125" style="147" customWidth="1"/>
    <col min="777" max="778" width="0.88671875" style="147" customWidth="1"/>
    <col min="779" max="779" width="8.6640625" style="147" customWidth="1"/>
    <col min="780" max="780" width="1" style="147" customWidth="1"/>
    <col min="781" max="781" width="9.109375" style="147"/>
    <col min="782" max="782" width="0.88671875" style="147" customWidth="1"/>
    <col min="783" max="783" width="8.6640625" style="147" customWidth="1"/>
    <col min="784" max="784" width="0.88671875" style="147" customWidth="1"/>
    <col min="785" max="785" width="8.6640625" style="147" customWidth="1"/>
    <col min="786" max="786" width="1" style="147" customWidth="1"/>
    <col min="787" max="787" width="8.6640625" style="147" customWidth="1"/>
    <col min="788" max="788" width="1.44140625" style="147" customWidth="1"/>
    <col min="789" max="789" width="8.6640625" style="147" customWidth="1"/>
    <col min="790" max="790" width="0.88671875" style="147" customWidth="1"/>
    <col min="791" max="791" width="8.6640625" style="147" customWidth="1"/>
    <col min="792" max="792" width="1" style="147" customWidth="1"/>
    <col min="793" max="793" width="8.6640625" style="147" customWidth="1"/>
    <col min="794" max="794" width="1" style="147" customWidth="1"/>
    <col min="795" max="1030" width="9.109375" style="147"/>
    <col min="1031" max="1031" width="1.33203125" style="147" customWidth="1"/>
    <col min="1032" max="1032" width="32.33203125" style="147" customWidth="1"/>
    <col min="1033" max="1034" width="0.88671875" style="147" customWidth="1"/>
    <col min="1035" max="1035" width="8.6640625" style="147" customWidth="1"/>
    <col min="1036" max="1036" width="1" style="147" customWidth="1"/>
    <col min="1037" max="1037" width="9.109375" style="147"/>
    <col min="1038" max="1038" width="0.88671875" style="147" customWidth="1"/>
    <col min="1039" max="1039" width="8.6640625" style="147" customWidth="1"/>
    <col min="1040" max="1040" width="0.88671875" style="147" customWidth="1"/>
    <col min="1041" max="1041" width="8.6640625" style="147" customWidth="1"/>
    <col min="1042" max="1042" width="1" style="147" customWidth="1"/>
    <col min="1043" max="1043" width="8.6640625" style="147" customWidth="1"/>
    <col min="1044" max="1044" width="1.44140625" style="147" customWidth="1"/>
    <col min="1045" max="1045" width="8.6640625" style="147" customWidth="1"/>
    <col min="1046" max="1046" width="0.88671875" style="147" customWidth="1"/>
    <col min="1047" max="1047" width="8.6640625" style="147" customWidth="1"/>
    <col min="1048" max="1048" width="1" style="147" customWidth="1"/>
    <col min="1049" max="1049" width="8.6640625" style="147" customWidth="1"/>
    <col min="1050" max="1050" width="1" style="147" customWidth="1"/>
    <col min="1051" max="1286" width="9.109375" style="147"/>
    <col min="1287" max="1287" width="1.33203125" style="147" customWidth="1"/>
    <col min="1288" max="1288" width="32.33203125" style="147" customWidth="1"/>
    <col min="1289" max="1290" width="0.88671875" style="147" customWidth="1"/>
    <col min="1291" max="1291" width="8.6640625" style="147" customWidth="1"/>
    <col min="1292" max="1292" width="1" style="147" customWidth="1"/>
    <col min="1293" max="1293" width="9.109375" style="147"/>
    <col min="1294" max="1294" width="0.88671875" style="147" customWidth="1"/>
    <col min="1295" max="1295" width="8.6640625" style="147" customWidth="1"/>
    <col min="1296" max="1296" width="0.88671875" style="147" customWidth="1"/>
    <col min="1297" max="1297" width="8.6640625" style="147" customWidth="1"/>
    <col min="1298" max="1298" width="1" style="147" customWidth="1"/>
    <col min="1299" max="1299" width="8.6640625" style="147" customWidth="1"/>
    <col min="1300" max="1300" width="1.44140625" style="147" customWidth="1"/>
    <col min="1301" max="1301" width="8.6640625" style="147" customWidth="1"/>
    <col min="1302" max="1302" width="0.88671875" style="147" customWidth="1"/>
    <col min="1303" max="1303" width="8.6640625" style="147" customWidth="1"/>
    <col min="1304" max="1304" width="1" style="147" customWidth="1"/>
    <col min="1305" max="1305" width="8.6640625" style="147" customWidth="1"/>
    <col min="1306" max="1306" width="1" style="147" customWidth="1"/>
    <col min="1307" max="1542" width="9.109375" style="147"/>
    <col min="1543" max="1543" width="1.33203125" style="147" customWidth="1"/>
    <col min="1544" max="1544" width="32.33203125" style="147" customWidth="1"/>
    <col min="1545" max="1546" width="0.88671875" style="147" customWidth="1"/>
    <col min="1547" max="1547" width="8.6640625" style="147" customWidth="1"/>
    <col min="1548" max="1548" width="1" style="147" customWidth="1"/>
    <col min="1549" max="1549" width="9.109375" style="147"/>
    <col min="1550" max="1550" width="0.88671875" style="147" customWidth="1"/>
    <col min="1551" max="1551" width="8.6640625" style="147" customWidth="1"/>
    <col min="1552" max="1552" width="0.88671875" style="147" customWidth="1"/>
    <col min="1553" max="1553" width="8.6640625" style="147" customWidth="1"/>
    <col min="1554" max="1554" width="1" style="147" customWidth="1"/>
    <col min="1555" max="1555" width="8.6640625" style="147" customWidth="1"/>
    <col min="1556" max="1556" width="1.44140625" style="147" customWidth="1"/>
    <col min="1557" max="1557" width="8.6640625" style="147" customWidth="1"/>
    <col min="1558" max="1558" width="0.88671875" style="147" customWidth="1"/>
    <col min="1559" max="1559" width="8.6640625" style="147" customWidth="1"/>
    <col min="1560" max="1560" width="1" style="147" customWidth="1"/>
    <col min="1561" max="1561" width="8.6640625" style="147" customWidth="1"/>
    <col min="1562" max="1562" width="1" style="147" customWidth="1"/>
    <col min="1563" max="1798" width="9.109375" style="147"/>
    <col min="1799" max="1799" width="1.33203125" style="147" customWidth="1"/>
    <col min="1800" max="1800" width="32.33203125" style="147" customWidth="1"/>
    <col min="1801" max="1802" width="0.88671875" style="147" customWidth="1"/>
    <col min="1803" max="1803" width="8.6640625" style="147" customWidth="1"/>
    <col min="1804" max="1804" width="1" style="147" customWidth="1"/>
    <col min="1805" max="1805" width="9.109375" style="147"/>
    <col min="1806" max="1806" width="0.88671875" style="147" customWidth="1"/>
    <col min="1807" max="1807" width="8.6640625" style="147" customWidth="1"/>
    <col min="1808" max="1808" width="0.88671875" style="147" customWidth="1"/>
    <col min="1809" max="1809" width="8.6640625" style="147" customWidth="1"/>
    <col min="1810" max="1810" width="1" style="147" customWidth="1"/>
    <col min="1811" max="1811" width="8.6640625" style="147" customWidth="1"/>
    <col min="1812" max="1812" width="1.44140625" style="147" customWidth="1"/>
    <col min="1813" max="1813" width="8.6640625" style="147" customWidth="1"/>
    <col min="1814" max="1814" width="0.88671875" style="147" customWidth="1"/>
    <col min="1815" max="1815" width="8.6640625" style="147" customWidth="1"/>
    <col min="1816" max="1816" width="1" style="147" customWidth="1"/>
    <col min="1817" max="1817" width="8.6640625" style="147" customWidth="1"/>
    <col min="1818" max="1818" width="1" style="147" customWidth="1"/>
    <col min="1819" max="2054" width="9.109375" style="147"/>
    <col min="2055" max="2055" width="1.33203125" style="147" customWidth="1"/>
    <col min="2056" max="2056" width="32.33203125" style="147" customWidth="1"/>
    <col min="2057" max="2058" width="0.88671875" style="147" customWidth="1"/>
    <col min="2059" max="2059" width="8.6640625" style="147" customWidth="1"/>
    <col min="2060" max="2060" width="1" style="147" customWidth="1"/>
    <col min="2061" max="2061" width="9.109375" style="147"/>
    <col min="2062" max="2062" width="0.88671875" style="147" customWidth="1"/>
    <col min="2063" max="2063" width="8.6640625" style="147" customWidth="1"/>
    <col min="2064" max="2064" width="0.88671875" style="147" customWidth="1"/>
    <col min="2065" max="2065" width="8.6640625" style="147" customWidth="1"/>
    <col min="2066" max="2066" width="1" style="147" customWidth="1"/>
    <col min="2067" max="2067" width="8.6640625" style="147" customWidth="1"/>
    <col min="2068" max="2068" width="1.44140625" style="147" customWidth="1"/>
    <col min="2069" max="2069" width="8.6640625" style="147" customWidth="1"/>
    <col min="2070" max="2070" width="0.88671875" style="147" customWidth="1"/>
    <col min="2071" max="2071" width="8.6640625" style="147" customWidth="1"/>
    <col min="2072" max="2072" width="1" style="147" customWidth="1"/>
    <col min="2073" max="2073" width="8.6640625" style="147" customWidth="1"/>
    <col min="2074" max="2074" width="1" style="147" customWidth="1"/>
    <col min="2075" max="2310" width="9.109375" style="147"/>
    <col min="2311" max="2311" width="1.33203125" style="147" customWidth="1"/>
    <col min="2312" max="2312" width="32.33203125" style="147" customWidth="1"/>
    <col min="2313" max="2314" width="0.88671875" style="147" customWidth="1"/>
    <col min="2315" max="2315" width="8.6640625" style="147" customWidth="1"/>
    <col min="2316" max="2316" width="1" style="147" customWidth="1"/>
    <col min="2317" max="2317" width="9.109375" style="147"/>
    <col min="2318" max="2318" width="0.88671875" style="147" customWidth="1"/>
    <col min="2319" max="2319" width="8.6640625" style="147" customWidth="1"/>
    <col min="2320" max="2320" width="0.88671875" style="147" customWidth="1"/>
    <col min="2321" max="2321" width="8.6640625" style="147" customWidth="1"/>
    <col min="2322" max="2322" width="1" style="147" customWidth="1"/>
    <col min="2323" max="2323" width="8.6640625" style="147" customWidth="1"/>
    <col min="2324" max="2324" width="1.44140625" style="147" customWidth="1"/>
    <col min="2325" max="2325" width="8.6640625" style="147" customWidth="1"/>
    <col min="2326" max="2326" width="0.88671875" style="147" customWidth="1"/>
    <col min="2327" max="2327" width="8.6640625" style="147" customWidth="1"/>
    <col min="2328" max="2328" width="1" style="147" customWidth="1"/>
    <col min="2329" max="2329" width="8.6640625" style="147" customWidth="1"/>
    <col min="2330" max="2330" width="1" style="147" customWidth="1"/>
    <col min="2331" max="2566" width="9.109375" style="147"/>
    <col min="2567" max="2567" width="1.33203125" style="147" customWidth="1"/>
    <col min="2568" max="2568" width="32.33203125" style="147" customWidth="1"/>
    <col min="2569" max="2570" width="0.88671875" style="147" customWidth="1"/>
    <col min="2571" max="2571" width="8.6640625" style="147" customWidth="1"/>
    <col min="2572" max="2572" width="1" style="147" customWidth="1"/>
    <col min="2573" max="2573" width="9.109375" style="147"/>
    <col min="2574" max="2574" width="0.88671875" style="147" customWidth="1"/>
    <col min="2575" max="2575" width="8.6640625" style="147" customWidth="1"/>
    <col min="2576" max="2576" width="0.88671875" style="147" customWidth="1"/>
    <col min="2577" max="2577" width="8.6640625" style="147" customWidth="1"/>
    <col min="2578" max="2578" width="1" style="147" customWidth="1"/>
    <col min="2579" max="2579" width="8.6640625" style="147" customWidth="1"/>
    <col min="2580" max="2580" width="1.44140625" style="147" customWidth="1"/>
    <col min="2581" max="2581" width="8.6640625" style="147" customWidth="1"/>
    <col min="2582" max="2582" width="0.88671875" style="147" customWidth="1"/>
    <col min="2583" max="2583" width="8.6640625" style="147" customWidth="1"/>
    <col min="2584" max="2584" width="1" style="147" customWidth="1"/>
    <col min="2585" max="2585" width="8.6640625" style="147" customWidth="1"/>
    <col min="2586" max="2586" width="1" style="147" customWidth="1"/>
    <col min="2587" max="2822" width="9.109375" style="147"/>
    <col min="2823" max="2823" width="1.33203125" style="147" customWidth="1"/>
    <col min="2824" max="2824" width="32.33203125" style="147" customWidth="1"/>
    <col min="2825" max="2826" width="0.88671875" style="147" customWidth="1"/>
    <col min="2827" max="2827" width="8.6640625" style="147" customWidth="1"/>
    <col min="2828" max="2828" width="1" style="147" customWidth="1"/>
    <col min="2829" max="2829" width="9.109375" style="147"/>
    <col min="2830" max="2830" width="0.88671875" style="147" customWidth="1"/>
    <col min="2831" max="2831" width="8.6640625" style="147" customWidth="1"/>
    <col min="2832" max="2832" width="0.88671875" style="147" customWidth="1"/>
    <col min="2833" max="2833" width="8.6640625" style="147" customWidth="1"/>
    <col min="2834" max="2834" width="1" style="147" customWidth="1"/>
    <col min="2835" max="2835" width="8.6640625" style="147" customWidth="1"/>
    <col min="2836" max="2836" width="1.44140625" style="147" customWidth="1"/>
    <col min="2837" max="2837" width="8.6640625" style="147" customWidth="1"/>
    <col min="2838" max="2838" width="0.88671875" style="147" customWidth="1"/>
    <col min="2839" max="2839" width="8.6640625" style="147" customWidth="1"/>
    <col min="2840" max="2840" width="1" style="147" customWidth="1"/>
    <col min="2841" max="2841" width="8.6640625" style="147" customWidth="1"/>
    <col min="2842" max="2842" width="1" style="147" customWidth="1"/>
    <col min="2843" max="3078" width="9.109375" style="147"/>
    <col min="3079" max="3079" width="1.33203125" style="147" customWidth="1"/>
    <col min="3080" max="3080" width="32.33203125" style="147" customWidth="1"/>
    <col min="3081" max="3082" width="0.88671875" style="147" customWidth="1"/>
    <col min="3083" max="3083" width="8.6640625" style="147" customWidth="1"/>
    <col min="3084" max="3084" width="1" style="147" customWidth="1"/>
    <col min="3085" max="3085" width="9.109375" style="147"/>
    <col min="3086" max="3086" width="0.88671875" style="147" customWidth="1"/>
    <col min="3087" max="3087" width="8.6640625" style="147" customWidth="1"/>
    <col min="3088" max="3088" width="0.88671875" style="147" customWidth="1"/>
    <col min="3089" max="3089" width="8.6640625" style="147" customWidth="1"/>
    <col min="3090" max="3090" width="1" style="147" customWidth="1"/>
    <col min="3091" max="3091" width="8.6640625" style="147" customWidth="1"/>
    <col min="3092" max="3092" width="1.44140625" style="147" customWidth="1"/>
    <col min="3093" max="3093" width="8.6640625" style="147" customWidth="1"/>
    <col min="3094" max="3094" width="0.88671875" style="147" customWidth="1"/>
    <col min="3095" max="3095" width="8.6640625" style="147" customWidth="1"/>
    <col min="3096" max="3096" width="1" style="147" customWidth="1"/>
    <col min="3097" max="3097" width="8.6640625" style="147" customWidth="1"/>
    <col min="3098" max="3098" width="1" style="147" customWidth="1"/>
    <col min="3099" max="3334" width="9.109375" style="147"/>
    <col min="3335" max="3335" width="1.33203125" style="147" customWidth="1"/>
    <col min="3336" max="3336" width="32.33203125" style="147" customWidth="1"/>
    <col min="3337" max="3338" width="0.88671875" style="147" customWidth="1"/>
    <col min="3339" max="3339" width="8.6640625" style="147" customWidth="1"/>
    <col min="3340" max="3340" width="1" style="147" customWidth="1"/>
    <col min="3341" max="3341" width="9.109375" style="147"/>
    <col min="3342" max="3342" width="0.88671875" style="147" customWidth="1"/>
    <col min="3343" max="3343" width="8.6640625" style="147" customWidth="1"/>
    <col min="3344" max="3344" width="0.88671875" style="147" customWidth="1"/>
    <col min="3345" max="3345" width="8.6640625" style="147" customWidth="1"/>
    <col min="3346" max="3346" width="1" style="147" customWidth="1"/>
    <col min="3347" max="3347" width="8.6640625" style="147" customWidth="1"/>
    <col min="3348" max="3348" width="1.44140625" style="147" customWidth="1"/>
    <col min="3349" max="3349" width="8.6640625" style="147" customWidth="1"/>
    <col min="3350" max="3350" width="0.88671875" style="147" customWidth="1"/>
    <col min="3351" max="3351" width="8.6640625" style="147" customWidth="1"/>
    <col min="3352" max="3352" width="1" style="147" customWidth="1"/>
    <col min="3353" max="3353" width="8.6640625" style="147" customWidth="1"/>
    <col min="3354" max="3354" width="1" style="147" customWidth="1"/>
    <col min="3355" max="3590" width="9.109375" style="147"/>
    <col min="3591" max="3591" width="1.33203125" style="147" customWidth="1"/>
    <col min="3592" max="3592" width="32.33203125" style="147" customWidth="1"/>
    <col min="3593" max="3594" width="0.88671875" style="147" customWidth="1"/>
    <col min="3595" max="3595" width="8.6640625" style="147" customWidth="1"/>
    <col min="3596" max="3596" width="1" style="147" customWidth="1"/>
    <col min="3597" max="3597" width="9.109375" style="147"/>
    <col min="3598" max="3598" width="0.88671875" style="147" customWidth="1"/>
    <col min="3599" max="3599" width="8.6640625" style="147" customWidth="1"/>
    <col min="3600" max="3600" width="0.88671875" style="147" customWidth="1"/>
    <col min="3601" max="3601" width="8.6640625" style="147" customWidth="1"/>
    <col min="3602" max="3602" width="1" style="147" customWidth="1"/>
    <col min="3603" max="3603" width="8.6640625" style="147" customWidth="1"/>
    <col min="3604" max="3604" width="1.44140625" style="147" customWidth="1"/>
    <col min="3605" max="3605" width="8.6640625" style="147" customWidth="1"/>
    <col min="3606" max="3606" width="0.88671875" style="147" customWidth="1"/>
    <col min="3607" max="3607" width="8.6640625" style="147" customWidth="1"/>
    <col min="3608" max="3608" width="1" style="147" customWidth="1"/>
    <col min="3609" max="3609" width="8.6640625" style="147" customWidth="1"/>
    <col min="3610" max="3610" width="1" style="147" customWidth="1"/>
    <col min="3611" max="3846" width="9.109375" style="147"/>
    <col min="3847" max="3847" width="1.33203125" style="147" customWidth="1"/>
    <col min="3848" max="3848" width="32.33203125" style="147" customWidth="1"/>
    <col min="3849" max="3850" width="0.88671875" style="147" customWidth="1"/>
    <col min="3851" max="3851" width="8.6640625" style="147" customWidth="1"/>
    <col min="3852" max="3852" width="1" style="147" customWidth="1"/>
    <col min="3853" max="3853" width="9.109375" style="147"/>
    <col min="3854" max="3854" width="0.88671875" style="147" customWidth="1"/>
    <col min="3855" max="3855" width="8.6640625" style="147" customWidth="1"/>
    <col min="3856" max="3856" width="0.88671875" style="147" customWidth="1"/>
    <col min="3857" max="3857" width="8.6640625" style="147" customWidth="1"/>
    <col min="3858" max="3858" width="1" style="147" customWidth="1"/>
    <col min="3859" max="3859" width="8.6640625" style="147" customWidth="1"/>
    <col min="3860" max="3860" width="1.44140625" style="147" customWidth="1"/>
    <col min="3861" max="3861" width="8.6640625" style="147" customWidth="1"/>
    <col min="3862" max="3862" width="0.88671875" style="147" customWidth="1"/>
    <col min="3863" max="3863" width="8.6640625" style="147" customWidth="1"/>
    <col min="3864" max="3864" width="1" style="147" customWidth="1"/>
    <col min="3865" max="3865" width="8.6640625" style="147" customWidth="1"/>
    <col min="3866" max="3866" width="1" style="147" customWidth="1"/>
    <col min="3867" max="4102" width="9.109375" style="147"/>
    <col min="4103" max="4103" width="1.33203125" style="147" customWidth="1"/>
    <col min="4104" max="4104" width="32.33203125" style="147" customWidth="1"/>
    <col min="4105" max="4106" width="0.88671875" style="147" customWidth="1"/>
    <col min="4107" max="4107" width="8.6640625" style="147" customWidth="1"/>
    <col min="4108" max="4108" width="1" style="147" customWidth="1"/>
    <col min="4109" max="4109" width="9.109375" style="147"/>
    <col min="4110" max="4110" width="0.88671875" style="147" customWidth="1"/>
    <col min="4111" max="4111" width="8.6640625" style="147" customWidth="1"/>
    <col min="4112" max="4112" width="0.88671875" style="147" customWidth="1"/>
    <col min="4113" max="4113" width="8.6640625" style="147" customWidth="1"/>
    <col min="4114" max="4114" width="1" style="147" customWidth="1"/>
    <col min="4115" max="4115" width="8.6640625" style="147" customWidth="1"/>
    <col min="4116" max="4116" width="1.44140625" style="147" customWidth="1"/>
    <col min="4117" max="4117" width="8.6640625" style="147" customWidth="1"/>
    <col min="4118" max="4118" width="0.88671875" style="147" customWidth="1"/>
    <col min="4119" max="4119" width="8.6640625" style="147" customWidth="1"/>
    <col min="4120" max="4120" width="1" style="147" customWidth="1"/>
    <col min="4121" max="4121" width="8.6640625" style="147" customWidth="1"/>
    <col min="4122" max="4122" width="1" style="147" customWidth="1"/>
    <col min="4123" max="4358" width="9.109375" style="147"/>
    <col min="4359" max="4359" width="1.33203125" style="147" customWidth="1"/>
    <col min="4360" max="4360" width="32.33203125" style="147" customWidth="1"/>
    <col min="4361" max="4362" width="0.88671875" style="147" customWidth="1"/>
    <col min="4363" max="4363" width="8.6640625" style="147" customWidth="1"/>
    <col min="4364" max="4364" width="1" style="147" customWidth="1"/>
    <col min="4365" max="4365" width="9.109375" style="147"/>
    <col min="4366" max="4366" width="0.88671875" style="147" customWidth="1"/>
    <col min="4367" max="4367" width="8.6640625" style="147" customWidth="1"/>
    <col min="4368" max="4368" width="0.88671875" style="147" customWidth="1"/>
    <col min="4369" max="4369" width="8.6640625" style="147" customWidth="1"/>
    <col min="4370" max="4370" width="1" style="147" customWidth="1"/>
    <col min="4371" max="4371" width="8.6640625" style="147" customWidth="1"/>
    <col min="4372" max="4372" width="1.44140625" style="147" customWidth="1"/>
    <col min="4373" max="4373" width="8.6640625" style="147" customWidth="1"/>
    <col min="4374" max="4374" width="0.88671875" style="147" customWidth="1"/>
    <col min="4375" max="4375" width="8.6640625" style="147" customWidth="1"/>
    <col min="4376" max="4376" width="1" style="147" customWidth="1"/>
    <col min="4377" max="4377" width="8.6640625" style="147" customWidth="1"/>
    <col min="4378" max="4378" width="1" style="147" customWidth="1"/>
    <col min="4379" max="4614" width="9.109375" style="147"/>
    <col min="4615" max="4615" width="1.33203125" style="147" customWidth="1"/>
    <col min="4616" max="4616" width="32.33203125" style="147" customWidth="1"/>
    <col min="4617" max="4618" width="0.88671875" style="147" customWidth="1"/>
    <col min="4619" max="4619" width="8.6640625" style="147" customWidth="1"/>
    <col min="4620" max="4620" width="1" style="147" customWidth="1"/>
    <col min="4621" max="4621" width="9.109375" style="147"/>
    <col min="4622" max="4622" width="0.88671875" style="147" customWidth="1"/>
    <col min="4623" max="4623" width="8.6640625" style="147" customWidth="1"/>
    <col min="4624" max="4624" width="0.88671875" style="147" customWidth="1"/>
    <col min="4625" max="4625" width="8.6640625" style="147" customWidth="1"/>
    <col min="4626" max="4626" width="1" style="147" customWidth="1"/>
    <col min="4627" max="4627" width="8.6640625" style="147" customWidth="1"/>
    <col min="4628" max="4628" width="1.44140625" style="147" customWidth="1"/>
    <col min="4629" max="4629" width="8.6640625" style="147" customWidth="1"/>
    <col min="4630" max="4630" width="0.88671875" style="147" customWidth="1"/>
    <col min="4631" max="4631" width="8.6640625" style="147" customWidth="1"/>
    <col min="4632" max="4632" width="1" style="147" customWidth="1"/>
    <col min="4633" max="4633" width="8.6640625" style="147" customWidth="1"/>
    <col min="4634" max="4634" width="1" style="147" customWidth="1"/>
    <col min="4635" max="4870" width="9.109375" style="147"/>
    <col min="4871" max="4871" width="1.33203125" style="147" customWidth="1"/>
    <col min="4872" max="4872" width="32.33203125" style="147" customWidth="1"/>
    <col min="4873" max="4874" width="0.88671875" style="147" customWidth="1"/>
    <col min="4875" max="4875" width="8.6640625" style="147" customWidth="1"/>
    <col min="4876" max="4876" width="1" style="147" customWidth="1"/>
    <col min="4877" max="4877" width="9.109375" style="147"/>
    <col min="4878" max="4878" width="0.88671875" style="147" customWidth="1"/>
    <col min="4879" max="4879" width="8.6640625" style="147" customWidth="1"/>
    <col min="4880" max="4880" width="0.88671875" style="147" customWidth="1"/>
    <col min="4881" max="4881" width="8.6640625" style="147" customWidth="1"/>
    <col min="4882" max="4882" width="1" style="147" customWidth="1"/>
    <col min="4883" max="4883" width="8.6640625" style="147" customWidth="1"/>
    <col min="4884" max="4884" width="1.44140625" style="147" customWidth="1"/>
    <col min="4885" max="4885" width="8.6640625" style="147" customWidth="1"/>
    <col min="4886" max="4886" width="0.88671875" style="147" customWidth="1"/>
    <col min="4887" max="4887" width="8.6640625" style="147" customWidth="1"/>
    <col min="4888" max="4888" width="1" style="147" customWidth="1"/>
    <col min="4889" max="4889" width="8.6640625" style="147" customWidth="1"/>
    <col min="4890" max="4890" width="1" style="147" customWidth="1"/>
    <col min="4891" max="5126" width="9.109375" style="147"/>
    <col min="5127" max="5127" width="1.33203125" style="147" customWidth="1"/>
    <col min="5128" max="5128" width="32.33203125" style="147" customWidth="1"/>
    <col min="5129" max="5130" width="0.88671875" style="147" customWidth="1"/>
    <col min="5131" max="5131" width="8.6640625" style="147" customWidth="1"/>
    <col min="5132" max="5132" width="1" style="147" customWidth="1"/>
    <col min="5133" max="5133" width="9.109375" style="147"/>
    <col min="5134" max="5134" width="0.88671875" style="147" customWidth="1"/>
    <col min="5135" max="5135" width="8.6640625" style="147" customWidth="1"/>
    <col min="5136" max="5136" width="0.88671875" style="147" customWidth="1"/>
    <col min="5137" max="5137" width="8.6640625" style="147" customWidth="1"/>
    <col min="5138" max="5138" width="1" style="147" customWidth="1"/>
    <col min="5139" max="5139" width="8.6640625" style="147" customWidth="1"/>
    <col min="5140" max="5140" width="1.44140625" style="147" customWidth="1"/>
    <col min="5141" max="5141" width="8.6640625" style="147" customWidth="1"/>
    <col min="5142" max="5142" width="0.88671875" style="147" customWidth="1"/>
    <col min="5143" max="5143" width="8.6640625" style="147" customWidth="1"/>
    <col min="5144" max="5144" width="1" style="147" customWidth="1"/>
    <col min="5145" max="5145" width="8.6640625" style="147" customWidth="1"/>
    <col min="5146" max="5146" width="1" style="147" customWidth="1"/>
    <col min="5147" max="5382" width="9.109375" style="147"/>
    <col min="5383" max="5383" width="1.33203125" style="147" customWidth="1"/>
    <col min="5384" max="5384" width="32.33203125" style="147" customWidth="1"/>
    <col min="5385" max="5386" width="0.88671875" style="147" customWidth="1"/>
    <col min="5387" max="5387" width="8.6640625" style="147" customWidth="1"/>
    <col min="5388" max="5388" width="1" style="147" customWidth="1"/>
    <col min="5389" max="5389" width="9.109375" style="147"/>
    <col min="5390" max="5390" width="0.88671875" style="147" customWidth="1"/>
    <col min="5391" max="5391" width="8.6640625" style="147" customWidth="1"/>
    <col min="5392" max="5392" width="0.88671875" style="147" customWidth="1"/>
    <col min="5393" max="5393" width="8.6640625" style="147" customWidth="1"/>
    <col min="5394" max="5394" width="1" style="147" customWidth="1"/>
    <col min="5395" max="5395" width="8.6640625" style="147" customWidth="1"/>
    <col min="5396" max="5396" width="1.44140625" style="147" customWidth="1"/>
    <col min="5397" max="5397" width="8.6640625" style="147" customWidth="1"/>
    <col min="5398" max="5398" width="0.88671875" style="147" customWidth="1"/>
    <col min="5399" max="5399" width="8.6640625" style="147" customWidth="1"/>
    <col min="5400" max="5400" width="1" style="147" customWidth="1"/>
    <col min="5401" max="5401" width="8.6640625" style="147" customWidth="1"/>
    <col min="5402" max="5402" width="1" style="147" customWidth="1"/>
    <col min="5403" max="5638" width="9.109375" style="147"/>
    <col min="5639" max="5639" width="1.33203125" style="147" customWidth="1"/>
    <col min="5640" max="5640" width="32.33203125" style="147" customWidth="1"/>
    <col min="5641" max="5642" width="0.88671875" style="147" customWidth="1"/>
    <col min="5643" max="5643" width="8.6640625" style="147" customWidth="1"/>
    <col min="5644" max="5644" width="1" style="147" customWidth="1"/>
    <col min="5645" max="5645" width="9.109375" style="147"/>
    <col min="5646" max="5646" width="0.88671875" style="147" customWidth="1"/>
    <col min="5647" max="5647" width="8.6640625" style="147" customWidth="1"/>
    <col min="5648" max="5648" width="0.88671875" style="147" customWidth="1"/>
    <col min="5649" max="5649" width="8.6640625" style="147" customWidth="1"/>
    <col min="5650" max="5650" width="1" style="147" customWidth="1"/>
    <col min="5651" max="5651" width="8.6640625" style="147" customWidth="1"/>
    <col min="5652" max="5652" width="1.44140625" style="147" customWidth="1"/>
    <col min="5653" max="5653" width="8.6640625" style="147" customWidth="1"/>
    <col min="5654" max="5654" width="0.88671875" style="147" customWidth="1"/>
    <col min="5655" max="5655" width="8.6640625" style="147" customWidth="1"/>
    <col min="5656" max="5656" width="1" style="147" customWidth="1"/>
    <col min="5657" max="5657" width="8.6640625" style="147" customWidth="1"/>
    <col min="5658" max="5658" width="1" style="147" customWidth="1"/>
    <col min="5659" max="5894" width="9.109375" style="147"/>
    <col min="5895" max="5895" width="1.33203125" style="147" customWidth="1"/>
    <col min="5896" max="5896" width="32.33203125" style="147" customWidth="1"/>
    <col min="5897" max="5898" width="0.88671875" style="147" customWidth="1"/>
    <col min="5899" max="5899" width="8.6640625" style="147" customWidth="1"/>
    <col min="5900" max="5900" width="1" style="147" customWidth="1"/>
    <col min="5901" max="5901" width="9.109375" style="147"/>
    <col min="5902" max="5902" width="0.88671875" style="147" customWidth="1"/>
    <col min="5903" max="5903" width="8.6640625" style="147" customWidth="1"/>
    <col min="5904" max="5904" width="0.88671875" style="147" customWidth="1"/>
    <col min="5905" max="5905" width="8.6640625" style="147" customWidth="1"/>
    <col min="5906" max="5906" width="1" style="147" customWidth="1"/>
    <col min="5907" max="5907" width="8.6640625" style="147" customWidth="1"/>
    <col min="5908" max="5908" width="1.44140625" style="147" customWidth="1"/>
    <col min="5909" max="5909" width="8.6640625" style="147" customWidth="1"/>
    <col min="5910" max="5910" width="0.88671875" style="147" customWidth="1"/>
    <col min="5911" max="5911" width="8.6640625" style="147" customWidth="1"/>
    <col min="5912" max="5912" width="1" style="147" customWidth="1"/>
    <col min="5913" max="5913" width="8.6640625" style="147" customWidth="1"/>
    <col min="5914" max="5914" width="1" style="147" customWidth="1"/>
    <col min="5915" max="6150" width="9.109375" style="147"/>
    <col min="6151" max="6151" width="1.33203125" style="147" customWidth="1"/>
    <col min="6152" max="6152" width="32.33203125" style="147" customWidth="1"/>
    <col min="6153" max="6154" width="0.88671875" style="147" customWidth="1"/>
    <col min="6155" max="6155" width="8.6640625" style="147" customWidth="1"/>
    <col min="6156" max="6156" width="1" style="147" customWidth="1"/>
    <col min="6157" max="6157" width="9.109375" style="147"/>
    <col min="6158" max="6158" width="0.88671875" style="147" customWidth="1"/>
    <col min="6159" max="6159" width="8.6640625" style="147" customWidth="1"/>
    <col min="6160" max="6160" width="0.88671875" style="147" customWidth="1"/>
    <col min="6161" max="6161" width="8.6640625" style="147" customWidth="1"/>
    <col min="6162" max="6162" width="1" style="147" customWidth="1"/>
    <col min="6163" max="6163" width="8.6640625" style="147" customWidth="1"/>
    <col min="6164" max="6164" width="1.44140625" style="147" customWidth="1"/>
    <col min="6165" max="6165" width="8.6640625" style="147" customWidth="1"/>
    <col min="6166" max="6166" width="0.88671875" style="147" customWidth="1"/>
    <col min="6167" max="6167" width="8.6640625" style="147" customWidth="1"/>
    <col min="6168" max="6168" width="1" style="147" customWidth="1"/>
    <col min="6169" max="6169" width="8.6640625" style="147" customWidth="1"/>
    <col min="6170" max="6170" width="1" style="147" customWidth="1"/>
    <col min="6171" max="6406" width="9.109375" style="147"/>
    <col min="6407" max="6407" width="1.33203125" style="147" customWidth="1"/>
    <col min="6408" max="6408" width="32.33203125" style="147" customWidth="1"/>
    <col min="6409" max="6410" width="0.88671875" style="147" customWidth="1"/>
    <col min="6411" max="6411" width="8.6640625" style="147" customWidth="1"/>
    <col min="6412" max="6412" width="1" style="147" customWidth="1"/>
    <col min="6413" max="6413" width="9.109375" style="147"/>
    <col min="6414" max="6414" width="0.88671875" style="147" customWidth="1"/>
    <col min="6415" max="6415" width="8.6640625" style="147" customWidth="1"/>
    <col min="6416" max="6416" width="0.88671875" style="147" customWidth="1"/>
    <col min="6417" max="6417" width="8.6640625" style="147" customWidth="1"/>
    <col min="6418" max="6418" width="1" style="147" customWidth="1"/>
    <col min="6419" max="6419" width="8.6640625" style="147" customWidth="1"/>
    <col min="6420" max="6420" width="1.44140625" style="147" customWidth="1"/>
    <col min="6421" max="6421" width="8.6640625" style="147" customWidth="1"/>
    <col min="6422" max="6422" width="0.88671875" style="147" customWidth="1"/>
    <col min="6423" max="6423" width="8.6640625" style="147" customWidth="1"/>
    <col min="6424" max="6424" width="1" style="147" customWidth="1"/>
    <col min="6425" max="6425" width="8.6640625" style="147" customWidth="1"/>
    <col min="6426" max="6426" width="1" style="147" customWidth="1"/>
    <col min="6427" max="6662" width="9.109375" style="147"/>
    <col min="6663" max="6663" width="1.33203125" style="147" customWidth="1"/>
    <col min="6664" max="6664" width="32.33203125" style="147" customWidth="1"/>
    <col min="6665" max="6666" width="0.88671875" style="147" customWidth="1"/>
    <col min="6667" max="6667" width="8.6640625" style="147" customWidth="1"/>
    <col min="6668" max="6668" width="1" style="147" customWidth="1"/>
    <col min="6669" max="6669" width="9.109375" style="147"/>
    <col min="6670" max="6670" width="0.88671875" style="147" customWidth="1"/>
    <col min="6671" max="6671" width="8.6640625" style="147" customWidth="1"/>
    <col min="6672" max="6672" width="0.88671875" style="147" customWidth="1"/>
    <col min="6673" max="6673" width="8.6640625" style="147" customWidth="1"/>
    <col min="6674" max="6674" width="1" style="147" customWidth="1"/>
    <col min="6675" max="6675" width="8.6640625" style="147" customWidth="1"/>
    <col min="6676" max="6676" width="1.44140625" style="147" customWidth="1"/>
    <col min="6677" max="6677" width="8.6640625" style="147" customWidth="1"/>
    <col min="6678" max="6678" width="0.88671875" style="147" customWidth="1"/>
    <col min="6679" max="6679" width="8.6640625" style="147" customWidth="1"/>
    <col min="6680" max="6680" width="1" style="147" customWidth="1"/>
    <col min="6681" max="6681" width="8.6640625" style="147" customWidth="1"/>
    <col min="6682" max="6682" width="1" style="147" customWidth="1"/>
    <col min="6683" max="6918" width="9.109375" style="147"/>
    <col min="6919" max="6919" width="1.33203125" style="147" customWidth="1"/>
    <col min="6920" max="6920" width="32.33203125" style="147" customWidth="1"/>
    <col min="6921" max="6922" width="0.88671875" style="147" customWidth="1"/>
    <col min="6923" max="6923" width="8.6640625" style="147" customWidth="1"/>
    <col min="6924" max="6924" width="1" style="147" customWidth="1"/>
    <col min="6925" max="6925" width="9.109375" style="147"/>
    <col min="6926" max="6926" width="0.88671875" style="147" customWidth="1"/>
    <col min="6927" max="6927" width="8.6640625" style="147" customWidth="1"/>
    <col min="6928" max="6928" width="0.88671875" style="147" customWidth="1"/>
    <col min="6929" max="6929" width="8.6640625" style="147" customWidth="1"/>
    <col min="6930" max="6930" width="1" style="147" customWidth="1"/>
    <col min="6931" max="6931" width="8.6640625" style="147" customWidth="1"/>
    <col min="6932" max="6932" width="1.44140625" style="147" customWidth="1"/>
    <col min="6933" max="6933" width="8.6640625" style="147" customWidth="1"/>
    <col min="6934" max="6934" width="0.88671875" style="147" customWidth="1"/>
    <col min="6935" max="6935" width="8.6640625" style="147" customWidth="1"/>
    <col min="6936" max="6936" width="1" style="147" customWidth="1"/>
    <col min="6937" max="6937" width="8.6640625" style="147" customWidth="1"/>
    <col min="6938" max="6938" width="1" style="147" customWidth="1"/>
    <col min="6939" max="7174" width="9.109375" style="147"/>
    <col min="7175" max="7175" width="1.33203125" style="147" customWidth="1"/>
    <col min="7176" max="7176" width="32.33203125" style="147" customWidth="1"/>
    <col min="7177" max="7178" width="0.88671875" style="147" customWidth="1"/>
    <col min="7179" max="7179" width="8.6640625" style="147" customWidth="1"/>
    <col min="7180" max="7180" width="1" style="147" customWidth="1"/>
    <col min="7181" max="7181" width="9.109375" style="147"/>
    <col min="7182" max="7182" width="0.88671875" style="147" customWidth="1"/>
    <col min="7183" max="7183" width="8.6640625" style="147" customWidth="1"/>
    <col min="7184" max="7184" width="0.88671875" style="147" customWidth="1"/>
    <col min="7185" max="7185" width="8.6640625" style="147" customWidth="1"/>
    <col min="7186" max="7186" width="1" style="147" customWidth="1"/>
    <col min="7187" max="7187" width="8.6640625" style="147" customWidth="1"/>
    <col min="7188" max="7188" width="1.44140625" style="147" customWidth="1"/>
    <col min="7189" max="7189" width="8.6640625" style="147" customWidth="1"/>
    <col min="7190" max="7190" width="0.88671875" style="147" customWidth="1"/>
    <col min="7191" max="7191" width="8.6640625" style="147" customWidth="1"/>
    <col min="7192" max="7192" width="1" style="147" customWidth="1"/>
    <col min="7193" max="7193" width="8.6640625" style="147" customWidth="1"/>
    <col min="7194" max="7194" width="1" style="147" customWidth="1"/>
    <col min="7195" max="7430" width="9.109375" style="147"/>
    <col min="7431" max="7431" width="1.33203125" style="147" customWidth="1"/>
    <col min="7432" max="7432" width="32.33203125" style="147" customWidth="1"/>
    <col min="7433" max="7434" width="0.88671875" style="147" customWidth="1"/>
    <col min="7435" max="7435" width="8.6640625" style="147" customWidth="1"/>
    <col min="7436" max="7436" width="1" style="147" customWidth="1"/>
    <col min="7437" max="7437" width="9.109375" style="147"/>
    <col min="7438" max="7438" width="0.88671875" style="147" customWidth="1"/>
    <col min="7439" max="7439" width="8.6640625" style="147" customWidth="1"/>
    <col min="7440" max="7440" width="0.88671875" style="147" customWidth="1"/>
    <col min="7441" max="7441" width="8.6640625" style="147" customWidth="1"/>
    <col min="7442" max="7442" width="1" style="147" customWidth="1"/>
    <col min="7443" max="7443" width="8.6640625" style="147" customWidth="1"/>
    <col min="7444" max="7444" width="1.44140625" style="147" customWidth="1"/>
    <col min="7445" max="7445" width="8.6640625" style="147" customWidth="1"/>
    <col min="7446" max="7446" width="0.88671875" style="147" customWidth="1"/>
    <col min="7447" max="7447" width="8.6640625" style="147" customWidth="1"/>
    <col min="7448" max="7448" width="1" style="147" customWidth="1"/>
    <col min="7449" max="7449" width="8.6640625" style="147" customWidth="1"/>
    <col min="7450" max="7450" width="1" style="147" customWidth="1"/>
    <col min="7451" max="7686" width="9.109375" style="147"/>
    <col min="7687" max="7687" width="1.33203125" style="147" customWidth="1"/>
    <col min="7688" max="7688" width="32.33203125" style="147" customWidth="1"/>
    <col min="7689" max="7690" width="0.88671875" style="147" customWidth="1"/>
    <col min="7691" max="7691" width="8.6640625" style="147" customWidth="1"/>
    <col min="7692" max="7692" width="1" style="147" customWidth="1"/>
    <col min="7693" max="7693" width="9.109375" style="147"/>
    <col min="7694" max="7694" width="0.88671875" style="147" customWidth="1"/>
    <col min="7695" max="7695" width="8.6640625" style="147" customWidth="1"/>
    <col min="7696" max="7696" width="0.88671875" style="147" customWidth="1"/>
    <col min="7697" max="7697" width="8.6640625" style="147" customWidth="1"/>
    <col min="7698" max="7698" width="1" style="147" customWidth="1"/>
    <col min="7699" max="7699" width="8.6640625" style="147" customWidth="1"/>
    <col min="7700" max="7700" width="1.44140625" style="147" customWidth="1"/>
    <col min="7701" max="7701" width="8.6640625" style="147" customWidth="1"/>
    <col min="7702" max="7702" width="0.88671875" style="147" customWidth="1"/>
    <col min="7703" max="7703" width="8.6640625" style="147" customWidth="1"/>
    <col min="7704" max="7704" width="1" style="147" customWidth="1"/>
    <col min="7705" max="7705" width="8.6640625" style="147" customWidth="1"/>
    <col min="7706" max="7706" width="1" style="147" customWidth="1"/>
    <col min="7707" max="7942" width="9.109375" style="147"/>
    <col min="7943" max="7943" width="1.33203125" style="147" customWidth="1"/>
    <col min="7944" max="7944" width="32.33203125" style="147" customWidth="1"/>
    <col min="7945" max="7946" width="0.88671875" style="147" customWidth="1"/>
    <col min="7947" max="7947" width="8.6640625" style="147" customWidth="1"/>
    <col min="7948" max="7948" width="1" style="147" customWidth="1"/>
    <col min="7949" max="7949" width="9.109375" style="147"/>
    <col min="7950" max="7950" width="0.88671875" style="147" customWidth="1"/>
    <col min="7951" max="7951" width="8.6640625" style="147" customWidth="1"/>
    <col min="7952" max="7952" width="0.88671875" style="147" customWidth="1"/>
    <col min="7953" max="7953" width="8.6640625" style="147" customWidth="1"/>
    <col min="7954" max="7954" width="1" style="147" customWidth="1"/>
    <col min="7955" max="7955" width="8.6640625" style="147" customWidth="1"/>
    <col min="7956" max="7956" width="1.44140625" style="147" customWidth="1"/>
    <col min="7957" max="7957" width="8.6640625" style="147" customWidth="1"/>
    <col min="7958" max="7958" width="0.88671875" style="147" customWidth="1"/>
    <col min="7959" max="7959" width="8.6640625" style="147" customWidth="1"/>
    <col min="7960" max="7960" width="1" style="147" customWidth="1"/>
    <col min="7961" max="7961" width="8.6640625" style="147" customWidth="1"/>
    <col min="7962" max="7962" width="1" style="147" customWidth="1"/>
    <col min="7963" max="8198" width="9.109375" style="147"/>
    <col min="8199" max="8199" width="1.33203125" style="147" customWidth="1"/>
    <col min="8200" max="8200" width="32.33203125" style="147" customWidth="1"/>
    <col min="8201" max="8202" width="0.88671875" style="147" customWidth="1"/>
    <col min="8203" max="8203" width="8.6640625" style="147" customWidth="1"/>
    <col min="8204" max="8204" width="1" style="147" customWidth="1"/>
    <col min="8205" max="8205" width="9.109375" style="147"/>
    <col min="8206" max="8206" width="0.88671875" style="147" customWidth="1"/>
    <col min="8207" max="8207" width="8.6640625" style="147" customWidth="1"/>
    <col min="8208" max="8208" width="0.88671875" style="147" customWidth="1"/>
    <col min="8209" max="8209" width="8.6640625" style="147" customWidth="1"/>
    <col min="8210" max="8210" width="1" style="147" customWidth="1"/>
    <col min="8211" max="8211" width="8.6640625" style="147" customWidth="1"/>
    <col min="8212" max="8212" width="1.44140625" style="147" customWidth="1"/>
    <col min="8213" max="8213" width="8.6640625" style="147" customWidth="1"/>
    <col min="8214" max="8214" width="0.88671875" style="147" customWidth="1"/>
    <col min="8215" max="8215" width="8.6640625" style="147" customWidth="1"/>
    <col min="8216" max="8216" width="1" style="147" customWidth="1"/>
    <col min="8217" max="8217" width="8.6640625" style="147" customWidth="1"/>
    <col min="8218" max="8218" width="1" style="147" customWidth="1"/>
    <col min="8219" max="8454" width="9.109375" style="147"/>
    <col min="8455" max="8455" width="1.33203125" style="147" customWidth="1"/>
    <col min="8456" max="8456" width="32.33203125" style="147" customWidth="1"/>
    <col min="8457" max="8458" width="0.88671875" style="147" customWidth="1"/>
    <col min="8459" max="8459" width="8.6640625" style="147" customWidth="1"/>
    <col min="8460" max="8460" width="1" style="147" customWidth="1"/>
    <col min="8461" max="8461" width="9.109375" style="147"/>
    <col min="8462" max="8462" width="0.88671875" style="147" customWidth="1"/>
    <col min="8463" max="8463" width="8.6640625" style="147" customWidth="1"/>
    <col min="8464" max="8464" width="0.88671875" style="147" customWidth="1"/>
    <col min="8465" max="8465" width="8.6640625" style="147" customWidth="1"/>
    <col min="8466" max="8466" width="1" style="147" customWidth="1"/>
    <col min="8467" max="8467" width="8.6640625" style="147" customWidth="1"/>
    <col min="8468" max="8468" width="1.44140625" style="147" customWidth="1"/>
    <col min="8469" max="8469" width="8.6640625" style="147" customWidth="1"/>
    <col min="8470" max="8470" width="0.88671875" style="147" customWidth="1"/>
    <col min="8471" max="8471" width="8.6640625" style="147" customWidth="1"/>
    <col min="8472" max="8472" width="1" style="147" customWidth="1"/>
    <col min="8473" max="8473" width="8.6640625" style="147" customWidth="1"/>
    <col min="8474" max="8474" width="1" style="147" customWidth="1"/>
    <col min="8475" max="8710" width="9.109375" style="147"/>
    <col min="8711" max="8711" width="1.33203125" style="147" customWidth="1"/>
    <col min="8712" max="8712" width="32.33203125" style="147" customWidth="1"/>
    <col min="8713" max="8714" width="0.88671875" style="147" customWidth="1"/>
    <col min="8715" max="8715" width="8.6640625" style="147" customWidth="1"/>
    <col min="8716" max="8716" width="1" style="147" customWidth="1"/>
    <col min="8717" max="8717" width="9.109375" style="147"/>
    <col min="8718" max="8718" width="0.88671875" style="147" customWidth="1"/>
    <col min="8719" max="8719" width="8.6640625" style="147" customWidth="1"/>
    <col min="8720" max="8720" width="0.88671875" style="147" customWidth="1"/>
    <col min="8721" max="8721" width="8.6640625" style="147" customWidth="1"/>
    <col min="8722" max="8722" width="1" style="147" customWidth="1"/>
    <col min="8723" max="8723" width="8.6640625" style="147" customWidth="1"/>
    <col min="8724" max="8724" width="1.44140625" style="147" customWidth="1"/>
    <col min="8725" max="8725" width="8.6640625" style="147" customWidth="1"/>
    <col min="8726" max="8726" width="0.88671875" style="147" customWidth="1"/>
    <col min="8727" max="8727" width="8.6640625" style="147" customWidth="1"/>
    <col min="8728" max="8728" width="1" style="147" customWidth="1"/>
    <col min="8729" max="8729" width="8.6640625" style="147" customWidth="1"/>
    <col min="8730" max="8730" width="1" style="147" customWidth="1"/>
    <col min="8731" max="8966" width="9.109375" style="147"/>
    <col min="8967" max="8967" width="1.33203125" style="147" customWidth="1"/>
    <col min="8968" max="8968" width="32.33203125" style="147" customWidth="1"/>
    <col min="8969" max="8970" width="0.88671875" style="147" customWidth="1"/>
    <col min="8971" max="8971" width="8.6640625" style="147" customWidth="1"/>
    <col min="8972" max="8972" width="1" style="147" customWidth="1"/>
    <col min="8973" max="8973" width="9.109375" style="147"/>
    <col min="8974" max="8974" width="0.88671875" style="147" customWidth="1"/>
    <col min="8975" max="8975" width="8.6640625" style="147" customWidth="1"/>
    <col min="8976" max="8976" width="0.88671875" style="147" customWidth="1"/>
    <col min="8977" max="8977" width="8.6640625" style="147" customWidth="1"/>
    <col min="8978" max="8978" width="1" style="147" customWidth="1"/>
    <col min="8979" max="8979" width="8.6640625" style="147" customWidth="1"/>
    <col min="8980" max="8980" width="1.44140625" style="147" customWidth="1"/>
    <col min="8981" max="8981" width="8.6640625" style="147" customWidth="1"/>
    <col min="8982" max="8982" width="0.88671875" style="147" customWidth="1"/>
    <col min="8983" max="8983" width="8.6640625" style="147" customWidth="1"/>
    <col min="8984" max="8984" width="1" style="147" customWidth="1"/>
    <col min="8985" max="8985" width="8.6640625" style="147" customWidth="1"/>
    <col min="8986" max="8986" width="1" style="147" customWidth="1"/>
    <col min="8987" max="9222" width="9.109375" style="147"/>
    <col min="9223" max="9223" width="1.33203125" style="147" customWidth="1"/>
    <col min="9224" max="9224" width="32.33203125" style="147" customWidth="1"/>
    <col min="9225" max="9226" width="0.88671875" style="147" customWidth="1"/>
    <col min="9227" max="9227" width="8.6640625" style="147" customWidth="1"/>
    <col min="9228" max="9228" width="1" style="147" customWidth="1"/>
    <col min="9229" max="9229" width="9.109375" style="147"/>
    <col min="9230" max="9230" width="0.88671875" style="147" customWidth="1"/>
    <col min="9231" max="9231" width="8.6640625" style="147" customWidth="1"/>
    <col min="9232" max="9232" width="0.88671875" style="147" customWidth="1"/>
    <col min="9233" max="9233" width="8.6640625" style="147" customWidth="1"/>
    <col min="9234" max="9234" width="1" style="147" customWidth="1"/>
    <col min="9235" max="9235" width="8.6640625" style="147" customWidth="1"/>
    <col min="9236" max="9236" width="1.44140625" style="147" customWidth="1"/>
    <col min="9237" max="9237" width="8.6640625" style="147" customWidth="1"/>
    <col min="9238" max="9238" width="0.88671875" style="147" customWidth="1"/>
    <col min="9239" max="9239" width="8.6640625" style="147" customWidth="1"/>
    <col min="9240" max="9240" width="1" style="147" customWidth="1"/>
    <col min="9241" max="9241" width="8.6640625" style="147" customWidth="1"/>
    <col min="9242" max="9242" width="1" style="147" customWidth="1"/>
    <col min="9243" max="9478" width="9.109375" style="147"/>
    <col min="9479" max="9479" width="1.33203125" style="147" customWidth="1"/>
    <col min="9480" max="9480" width="32.33203125" style="147" customWidth="1"/>
    <col min="9481" max="9482" width="0.88671875" style="147" customWidth="1"/>
    <col min="9483" max="9483" width="8.6640625" style="147" customWidth="1"/>
    <col min="9484" max="9484" width="1" style="147" customWidth="1"/>
    <col min="9485" max="9485" width="9.109375" style="147"/>
    <col min="9486" max="9486" width="0.88671875" style="147" customWidth="1"/>
    <col min="9487" max="9487" width="8.6640625" style="147" customWidth="1"/>
    <col min="9488" max="9488" width="0.88671875" style="147" customWidth="1"/>
    <col min="9489" max="9489" width="8.6640625" style="147" customWidth="1"/>
    <col min="9490" max="9490" width="1" style="147" customWidth="1"/>
    <col min="9491" max="9491" width="8.6640625" style="147" customWidth="1"/>
    <col min="9492" max="9492" width="1.44140625" style="147" customWidth="1"/>
    <col min="9493" max="9493" width="8.6640625" style="147" customWidth="1"/>
    <col min="9494" max="9494" width="0.88671875" style="147" customWidth="1"/>
    <col min="9495" max="9495" width="8.6640625" style="147" customWidth="1"/>
    <col min="9496" max="9496" width="1" style="147" customWidth="1"/>
    <col min="9497" max="9497" width="8.6640625" style="147" customWidth="1"/>
    <col min="9498" max="9498" width="1" style="147" customWidth="1"/>
    <col min="9499" max="9734" width="9.109375" style="147"/>
    <col min="9735" max="9735" width="1.33203125" style="147" customWidth="1"/>
    <col min="9736" max="9736" width="32.33203125" style="147" customWidth="1"/>
    <col min="9737" max="9738" width="0.88671875" style="147" customWidth="1"/>
    <col min="9739" max="9739" width="8.6640625" style="147" customWidth="1"/>
    <col min="9740" max="9740" width="1" style="147" customWidth="1"/>
    <col min="9741" max="9741" width="9.109375" style="147"/>
    <col min="9742" max="9742" width="0.88671875" style="147" customWidth="1"/>
    <col min="9743" max="9743" width="8.6640625" style="147" customWidth="1"/>
    <col min="9744" max="9744" width="0.88671875" style="147" customWidth="1"/>
    <col min="9745" max="9745" width="8.6640625" style="147" customWidth="1"/>
    <col min="9746" max="9746" width="1" style="147" customWidth="1"/>
    <col min="9747" max="9747" width="8.6640625" style="147" customWidth="1"/>
    <col min="9748" max="9748" width="1.44140625" style="147" customWidth="1"/>
    <col min="9749" max="9749" width="8.6640625" style="147" customWidth="1"/>
    <col min="9750" max="9750" width="0.88671875" style="147" customWidth="1"/>
    <col min="9751" max="9751" width="8.6640625" style="147" customWidth="1"/>
    <col min="9752" max="9752" width="1" style="147" customWidth="1"/>
    <col min="9753" max="9753" width="8.6640625" style="147" customWidth="1"/>
    <col min="9754" max="9754" width="1" style="147" customWidth="1"/>
    <col min="9755" max="9990" width="9.109375" style="147"/>
    <col min="9991" max="9991" width="1.33203125" style="147" customWidth="1"/>
    <col min="9992" max="9992" width="32.33203125" style="147" customWidth="1"/>
    <col min="9993" max="9994" width="0.88671875" style="147" customWidth="1"/>
    <col min="9995" max="9995" width="8.6640625" style="147" customWidth="1"/>
    <col min="9996" max="9996" width="1" style="147" customWidth="1"/>
    <col min="9997" max="9997" width="9.109375" style="147"/>
    <col min="9998" max="9998" width="0.88671875" style="147" customWidth="1"/>
    <col min="9999" max="9999" width="8.6640625" style="147" customWidth="1"/>
    <col min="10000" max="10000" width="0.88671875" style="147" customWidth="1"/>
    <col min="10001" max="10001" width="8.6640625" style="147" customWidth="1"/>
    <col min="10002" max="10002" width="1" style="147" customWidth="1"/>
    <col min="10003" max="10003" width="8.6640625" style="147" customWidth="1"/>
    <col min="10004" max="10004" width="1.44140625" style="147" customWidth="1"/>
    <col min="10005" max="10005" width="8.6640625" style="147" customWidth="1"/>
    <col min="10006" max="10006" width="0.88671875" style="147" customWidth="1"/>
    <col min="10007" max="10007" width="8.6640625" style="147" customWidth="1"/>
    <col min="10008" max="10008" width="1" style="147" customWidth="1"/>
    <col min="10009" max="10009" width="8.6640625" style="147" customWidth="1"/>
    <col min="10010" max="10010" width="1" style="147" customWidth="1"/>
    <col min="10011" max="10246" width="9.109375" style="147"/>
    <col min="10247" max="10247" width="1.33203125" style="147" customWidth="1"/>
    <col min="10248" max="10248" width="32.33203125" style="147" customWidth="1"/>
    <col min="10249" max="10250" width="0.88671875" style="147" customWidth="1"/>
    <col min="10251" max="10251" width="8.6640625" style="147" customWidth="1"/>
    <col min="10252" max="10252" width="1" style="147" customWidth="1"/>
    <col min="10253" max="10253" width="9.109375" style="147"/>
    <col min="10254" max="10254" width="0.88671875" style="147" customWidth="1"/>
    <col min="10255" max="10255" width="8.6640625" style="147" customWidth="1"/>
    <col min="10256" max="10256" width="0.88671875" style="147" customWidth="1"/>
    <col min="10257" max="10257" width="8.6640625" style="147" customWidth="1"/>
    <col min="10258" max="10258" width="1" style="147" customWidth="1"/>
    <col min="10259" max="10259" width="8.6640625" style="147" customWidth="1"/>
    <col min="10260" max="10260" width="1.44140625" style="147" customWidth="1"/>
    <col min="10261" max="10261" width="8.6640625" style="147" customWidth="1"/>
    <col min="10262" max="10262" width="0.88671875" style="147" customWidth="1"/>
    <col min="10263" max="10263" width="8.6640625" style="147" customWidth="1"/>
    <col min="10264" max="10264" width="1" style="147" customWidth="1"/>
    <col min="10265" max="10265" width="8.6640625" style="147" customWidth="1"/>
    <col min="10266" max="10266" width="1" style="147" customWidth="1"/>
    <col min="10267" max="10502" width="9.109375" style="147"/>
    <col min="10503" max="10503" width="1.33203125" style="147" customWidth="1"/>
    <col min="10504" max="10504" width="32.33203125" style="147" customWidth="1"/>
    <col min="10505" max="10506" width="0.88671875" style="147" customWidth="1"/>
    <col min="10507" max="10507" width="8.6640625" style="147" customWidth="1"/>
    <col min="10508" max="10508" width="1" style="147" customWidth="1"/>
    <col min="10509" max="10509" width="9.109375" style="147"/>
    <col min="10510" max="10510" width="0.88671875" style="147" customWidth="1"/>
    <col min="10511" max="10511" width="8.6640625" style="147" customWidth="1"/>
    <col min="10512" max="10512" width="0.88671875" style="147" customWidth="1"/>
    <col min="10513" max="10513" width="8.6640625" style="147" customWidth="1"/>
    <col min="10514" max="10514" width="1" style="147" customWidth="1"/>
    <col min="10515" max="10515" width="8.6640625" style="147" customWidth="1"/>
    <col min="10516" max="10516" width="1.44140625" style="147" customWidth="1"/>
    <col min="10517" max="10517" width="8.6640625" style="147" customWidth="1"/>
    <col min="10518" max="10518" width="0.88671875" style="147" customWidth="1"/>
    <col min="10519" max="10519" width="8.6640625" style="147" customWidth="1"/>
    <col min="10520" max="10520" width="1" style="147" customWidth="1"/>
    <col min="10521" max="10521" width="8.6640625" style="147" customWidth="1"/>
    <col min="10522" max="10522" width="1" style="147" customWidth="1"/>
    <col min="10523" max="10758" width="9.109375" style="147"/>
    <col min="10759" max="10759" width="1.33203125" style="147" customWidth="1"/>
    <col min="10760" max="10760" width="32.33203125" style="147" customWidth="1"/>
    <col min="10761" max="10762" width="0.88671875" style="147" customWidth="1"/>
    <col min="10763" max="10763" width="8.6640625" style="147" customWidth="1"/>
    <col min="10764" max="10764" width="1" style="147" customWidth="1"/>
    <col min="10765" max="10765" width="9.109375" style="147"/>
    <col min="10766" max="10766" width="0.88671875" style="147" customWidth="1"/>
    <col min="10767" max="10767" width="8.6640625" style="147" customWidth="1"/>
    <col min="10768" max="10768" width="0.88671875" style="147" customWidth="1"/>
    <col min="10769" max="10769" width="8.6640625" style="147" customWidth="1"/>
    <col min="10770" max="10770" width="1" style="147" customWidth="1"/>
    <col min="10771" max="10771" width="8.6640625" style="147" customWidth="1"/>
    <col min="10772" max="10772" width="1.44140625" style="147" customWidth="1"/>
    <col min="10773" max="10773" width="8.6640625" style="147" customWidth="1"/>
    <col min="10774" max="10774" width="0.88671875" style="147" customWidth="1"/>
    <col min="10775" max="10775" width="8.6640625" style="147" customWidth="1"/>
    <col min="10776" max="10776" width="1" style="147" customWidth="1"/>
    <col min="10777" max="10777" width="8.6640625" style="147" customWidth="1"/>
    <col min="10778" max="10778" width="1" style="147" customWidth="1"/>
    <col min="10779" max="11014" width="9.109375" style="147"/>
    <col min="11015" max="11015" width="1.33203125" style="147" customWidth="1"/>
    <col min="11016" max="11016" width="32.33203125" style="147" customWidth="1"/>
    <col min="11017" max="11018" width="0.88671875" style="147" customWidth="1"/>
    <col min="11019" max="11019" width="8.6640625" style="147" customWidth="1"/>
    <col min="11020" max="11020" width="1" style="147" customWidth="1"/>
    <col min="11021" max="11021" width="9.109375" style="147"/>
    <col min="11022" max="11022" width="0.88671875" style="147" customWidth="1"/>
    <col min="11023" max="11023" width="8.6640625" style="147" customWidth="1"/>
    <col min="11024" max="11024" width="0.88671875" style="147" customWidth="1"/>
    <col min="11025" max="11025" width="8.6640625" style="147" customWidth="1"/>
    <col min="11026" max="11026" width="1" style="147" customWidth="1"/>
    <col min="11027" max="11027" width="8.6640625" style="147" customWidth="1"/>
    <col min="11028" max="11028" width="1.44140625" style="147" customWidth="1"/>
    <col min="11029" max="11029" width="8.6640625" style="147" customWidth="1"/>
    <col min="11030" max="11030" width="0.88671875" style="147" customWidth="1"/>
    <col min="11031" max="11031" width="8.6640625" style="147" customWidth="1"/>
    <col min="11032" max="11032" width="1" style="147" customWidth="1"/>
    <col min="11033" max="11033" width="8.6640625" style="147" customWidth="1"/>
    <col min="11034" max="11034" width="1" style="147" customWidth="1"/>
    <col min="11035" max="11270" width="9.109375" style="147"/>
    <col min="11271" max="11271" width="1.33203125" style="147" customWidth="1"/>
    <col min="11272" max="11272" width="32.33203125" style="147" customWidth="1"/>
    <col min="11273" max="11274" width="0.88671875" style="147" customWidth="1"/>
    <col min="11275" max="11275" width="8.6640625" style="147" customWidth="1"/>
    <col min="11276" max="11276" width="1" style="147" customWidth="1"/>
    <col min="11277" max="11277" width="9.109375" style="147"/>
    <col min="11278" max="11278" width="0.88671875" style="147" customWidth="1"/>
    <col min="11279" max="11279" width="8.6640625" style="147" customWidth="1"/>
    <col min="11280" max="11280" width="0.88671875" style="147" customWidth="1"/>
    <col min="11281" max="11281" width="8.6640625" style="147" customWidth="1"/>
    <col min="11282" max="11282" width="1" style="147" customWidth="1"/>
    <col min="11283" max="11283" width="8.6640625" style="147" customWidth="1"/>
    <col min="11284" max="11284" width="1.44140625" style="147" customWidth="1"/>
    <col min="11285" max="11285" width="8.6640625" style="147" customWidth="1"/>
    <col min="11286" max="11286" width="0.88671875" style="147" customWidth="1"/>
    <col min="11287" max="11287" width="8.6640625" style="147" customWidth="1"/>
    <col min="11288" max="11288" width="1" style="147" customWidth="1"/>
    <col min="11289" max="11289" width="8.6640625" style="147" customWidth="1"/>
    <col min="11290" max="11290" width="1" style="147" customWidth="1"/>
    <col min="11291" max="11526" width="9.109375" style="147"/>
    <col min="11527" max="11527" width="1.33203125" style="147" customWidth="1"/>
    <col min="11528" max="11528" width="32.33203125" style="147" customWidth="1"/>
    <col min="11529" max="11530" width="0.88671875" style="147" customWidth="1"/>
    <col min="11531" max="11531" width="8.6640625" style="147" customWidth="1"/>
    <col min="11532" max="11532" width="1" style="147" customWidth="1"/>
    <col min="11533" max="11533" width="9.109375" style="147"/>
    <col min="11534" max="11534" width="0.88671875" style="147" customWidth="1"/>
    <col min="11535" max="11535" width="8.6640625" style="147" customWidth="1"/>
    <col min="11536" max="11536" width="0.88671875" style="147" customWidth="1"/>
    <col min="11537" max="11537" width="8.6640625" style="147" customWidth="1"/>
    <col min="11538" max="11538" width="1" style="147" customWidth="1"/>
    <col min="11539" max="11539" width="8.6640625" style="147" customWidth="1"/>
    <col min="11540" max="11540" width="1.44140625" style="147" customWidth="1"/>
    <col min="11541" max="11541" width="8.6640625" style="147" customWidth="1"/>
    <col min="11542" max="11542" width="0.88671875" style="147" customWidth="1"/>
    <col min="11543" max="11543" width="8.6640625" style="147" customWidth="1"/>
    <col min="11544" max="11544" width="1" style="147" customWidth="1"/>
    <col min="11545" max="11545" width="8.6640625" style="147" customWidth="1"/>
    <col min="11546" max="11546" width="1" style="147" customWidth="1"/>
    <col min="11547" max="11782" width="9.109375" style="147"/>
    <col min="11783" max="11783" width="1.33203125" style="147" customWidth="1"/>
    <col min="11784" max="11784" width="32.33203125" style="147" customWidth="1"/>
    <col min="11785" max="11786" width="0.88671875" style="147" customWidth="1"/>
    <col min="11787" max="11787" width="8.6640625" style="147" customWidth="1"/>
    <col min="11788" max="11788" width="1" style="147" customWidth="1"/>
    <col min="11789" max="11789" width="9.109375" style="147"/>
    <col min="11790" max="11790" width="0.88671875" style="147" customWidth="1"/>
    <col min="11791" max="11791" width="8.6640625" style="147" customWidth="1"/>
    <col min="11792" max="11792" width="0.88671875" style="147" customWidth="1"/>
    <col min="11793" max="11793" width="8.6640625" style="147" customWidth="1"/>
    <col min="11794" max="11794" width="1" style="147" customWidth="1"/>
    <col min="11795" max="11795" width="8.6640625" style="147" customWidth="1"/>
    <col min="11796" max="11796" width="1.44140625" style="147" customWidth="1"/>
    <col min="11797" max="11797" width="8.6640625" style="147" customWidth="1"/>
    <col min="11798" max="11798" width="0.88671875" style="147" customWidth="1"/>
    <col min="11799" max="11799" width="8.6640625" style="147" customWidth="1"/>
    <col min="11800" max="11800" width="1" style="147" customWidth="1"/>
    <col min="11801" max="11801" width="8.6640625" style="147" customWidth="1"/>
    <col min="11802" max="11802" width="1" style="147" customWidth="1"/>
    <col min="11803" max="12038" width="9.109375" style="147"/>
    <col min="12039" max="12039" width="1.33203125" style="147" customWidth="1"/>
    <col min="12040" max="12040" width="32.33203125" style="147" customWidth="1"/>
    <col min="12041" max="12042" width="0.88671875" style="147" customWidth="1"/>
    <col min="12043" max="12043" width="8.6640625" style="147" customWidth="1"/>
    <col min="12044" max="12044" width="1" style="147" customWidth="1"/>
    <col min="12045" max="12045" width="9.109375" style="147"/>
    <col min="12046" max="12046" width="0.88671875" style="147" customWidth="1"/>
    <col min="12047" max="12047" width="8.6640625" style="147" customWidth="1"/>
    <col min="12048" max="12048" width="0.88671875" style="147" customWidth="1"/>
    <col min="12049" max="12049" width="8.6640625" style="147" customWidth="1"/>
    <col min="12050" max="12050" width="1" style="147" customWidth="1"/>
    <col min="12051" max="12051" width="8.6640625" style="147" customWidth="1"/>
    <col min="12052" max="12052" width="1.44140625" style="147" customWidth="1"/>
    <col min="12053" max="12053" width="8.6640625" style="147" customWidth="1"/>
    <col min="12054" max="12054" width="0.88671875" style="147" customWidth="1"/>
    <col min="12055" max="12055" width="8.6640625" style="147" customWidth="1"/>
    <col min="12056" max="12056" width="1" style="147" customWidth="1"/>
    <col min="12057" max="12057" width="8.6640625" style="147" customWidth="1"/>
    <col min="12058" max="12058" width="1" style="147" customWidth="1"/>
    <col min="12059" max="12294" width="9.109375" style="147"/>
    <col min="12295" max="12295" width="1.33203125" style="147" customWidth="1"/>
    <col min="12296" max="12296" width="32.33203125" style="147" customWidth="1"/>
    <col min="12297" max="12298" width="0.88671875" style="147" customWidth="1"/>
    <col min="12299" max="12299" width="8.6640625" style="147" customWidth="1"/>
    <col min="12300" max="12300" width="1" style="147" customWidth="1"/>
    <col min="12301" max="12301" width="9.109375" style="147"/>
    <col min="12302" max="12302" width="0.88671875" style="147" customWidth="1"/>
    <col min="12303" max="12303" width="8.6640625" style="147" customWidth="1"/>
    <col min="12304" max="12304" width="0.88671875" style="147" customWidth="1"/>
    <col min="12305" max="12305" width="8.6640625" style="147" customWidth="1"/>
    <col min="12306" max="12306" width="1" style="147" customWidth="1"/>
    <col min="12307" max="12307" width="8.6640625" style="147" customWidth="1"/>
    <col min="12308" max="12308" width="1.44140625" style="147" customWidth="1"/>
    <col min="12309" max="12309" width="8.6640625" style="147" customWidth="1"/>
    <col min="12310" max="12310" width="0.88671875" style="147" customWidth="1"/>
    <col min="12311" max="12311" width="8.6640625" style="147" customWidth="1"/>
    <col min="12312" max="12312" width="1" style="147" customWidth="1"/>
    <col min="12313" max="12313" width="8.6640625" style="147" customWidth="1"/>
    <col min="12314" max="12314" width="1" style="147" customWidth="1"/>
    <col min="12315" max="12550" width="9.109375" style="147"/>
    <col min="12551" max="12551" width="1.33203125" style="147" customWidth="1"/>
    <col min="12552" max="12552" width="32.33203125" style="147" customWidth="1"/>
    <col min="12553" max="12554" width="0.88671875" style="147" customWidth="1"/>
    <col min="12555" max="12555" width="8.6640625" style="147" customWidth="1"/>
    <col min="12556" max="12556" width="1" style="147" customWidth="1"/>
    <col min="12557" max="12557" width="9.109375" style="147"/>
    <col min="12558" max="12558" width="0.88671875" style="147" customWidth="1"/>
    <col min="12559" max="12559" width="8.6640625" style="147" customWidth="1"/>
    <col min="12560" max="12560" width="0.88671875" style="147" customWidth="1"/>
    <col min="12561" max="12561" width="8.6640625" style="147" customWidth="1"/>
    <col min="12562" max="12562" width="1" style="147" customWidth="1"/>
    <col min="12563" max="12563" width="8.6640625" style="147" customWidth="1"/>
    <col min="12564" max="12564" width="1.44140625" style="147" customWidth="1"/>
    <col min="12565" max="12565" width="8.6640625" style="147" customWidth="1"/>
    <col min="12566" max="12566" width="0.88671875" style="147" customWidth="1"/>
    <col min="12567" max="12567" width="8.6640625" style="147" customWidth="1"/>
    <col min="12568" max="12568" width="1" style="147" customWidth="1"/>
    <col min="12569" max="12569" width="8.6640625" style="147" customWidth="1"/>
    <col min="12570" max="12570" width="1" style="147" customWidth="1"/>
    <col min="12571" max="12806" width="9.109375" style="147"/>
    <col min="12807" max="12807" width="1.33203125" style="147" customWidth="1"/>
    <col min="12808" max="12808" width="32.33203125" style="147" customWidth="1"/>
    <col min="12809" max="12810" width="0.88671875" style="147" customWidth="1"/>
    <col min="12811" max="12811" width="8.6640625" style="147" customWidth="1"/>
    <col min="12812" max="12812" width="1" style="147" customWidth="1"/>
    <col min="12813" max="12813" width="9.109375" style="147"/>
    <col min="12814" max="12814" width="0.88671875" style="147" customWidth="1"/>
    <col min="12815" max="12815" width="8.6640625" style="147" customWidth="1"/>
    <col min="12816" max="12816" width="0.88671875" style="147" customWidth="1"/>
    <col min="12817" max="12817" width="8.6640625" style="147" customWidth="1"/>
    <col min="12818" max="12818" width="1" style="147" customWidth="1"/>
    <col min="12819" max="12819" width="8.6640625" style="147" customWidth="1"/>
    <col min="12820" max="12820" width="1.44140625" style="147" customWidth="1"/>
    <col min="12821" max="12821" width="8.6640625" style="147" customWidth="1"/>
    <col min="12822" max="12822" width="0.88671875" style="147" customWidth="1"/>
    <col min="12823" max="12823" width="8.6640625" style="147" customWidth="1"/>
    <col min="12824" max="12824" width="1" style="147" customWidth="1"/>
    <col min="12825" max="12825" width="8.6640625" style="147" customWidth="1"/>
    <col min="12826" max="12826" width="1" style="147" customWidth="1"/>
    <col min="12827" max="13062" width="9.109375" style="147"/>
    <col min="13063" max="13063" width="1.33203125" style="147" customWidth="1"/>
    <col min="13064" max="13064" width="32.33203125" style="147" customWidth="1"/>
    <col min="13065" max="13066" width="0.88671875" style="147" customWidth="1"/>
    <col min="13067" max="13067" width="8.6640625" style="147" customWidth="1"/>
    <col min="13068" max="13068" width="1" style="147" customWidth="1"/>
    <col min="13069" max="13069" width="9.109375" style="147"/>
    <col min="13070" max="13070" width="0.88671875" style="147" customWidth="1"/>
    <col min="13071" max="13071" width="8.6640625" style="147" customWidth="1"/>
    <col min="13072" max="13072" width="0.88671875" style="147" customWidth="1"/>
    <col min="13073" max="13073" width="8.6640625" style="147" customWidth="1"/>
    <col min="13074" max="13074" width="1" style="147" customWidth="1"/>
    <col min="13075" max="13075" width="8.6640625" style="147" customWidth="1"/>
    <col min="13076" max="13076" width="1.44140625" style="147" customWidth="1"/>
    <col min="13077" max="13077" width="8.6640625" style="147" customWidth="1"/>
    <col min="13078" max="13078" width="0.88671875" style="147" customWidth="1"/>
    <col min="13079" max="13079" width="8.6640625" style="147" customWidth="1"/>
    <col min="13080" max="13080" width="1" style="147" customWidth="1"/>
    <col min="13081" max="13081" width="8.6640625" style="147" customWidth="1"/>
    <col min="13082" max="13082" width="1" style="147" customWidth="1"/>
    <col min="13083" max="13318" width="9.109375" style="147"/>
    <col min="13319" max="13319" width="1.33203125" style="147" customWidth="1"/>
    <col min="13320" max="13320" width="32.33203125" style="147" customWidth="1"/>
    <col min="13321" max="13322" width="0.88671875" style="147" customWidth="1"/>
    <col min="13323" max="13323" width="8.6640625" style="147" customWidth="1"/>
    <col min="13324" max="13324" width="1" style="147" customWidth="1"/>
    <col min="13325" max="13325" width="9.109375" style="147"/>
    <col min="13326" max="13326" width="0.88671875" style="147" customWidth="1"/>
    <col min="13327" max="13327" width="8.6640625" style="147" customWidth="1"/>
    <col min="13328" max="13328" width="0.88671875" style="147" customWidth="1"/>
    <col min="13329" max="13329" width="8.6640625" style="147" customWidth="1"/>
    <col min="13330" max="13330" width="1" style="147" customWidth="1"/>
    <col min="13331" max="13331" width="8.6640625" style="147" customWidth="1"/>
    <col min="13332" max="13332" width="1.44140625" style="147" customWidth="1"/>
    <col min="13333" max="13333" width="8.6640625" style="147" customWidth="1"/>
    <col min="13334" max="13334" width="0.88671875" style="147" customWidth="1"/>
    <col min="13335" max="13335" width="8.6640625" style="147" customWidth="1"/>
    <col min="13336" max="13336" width="1" style="147" customWidth="1"/>
    <col min="13337" max="13337" width="8.6640625" style="147" customWidth="1"/>
    <col min="13338" max="13338" width="1" style="147" customWidth="1"/>
    <col min="13339" max="13574" width="9.109375" style="147"/>
    <col min="13575" max="13575" width="1.33203125" style="147" customWidth="1"/>
    <col min="13576" max="13576" width="32.33203125" style="147" customWidth="1"/>
    <col min="13577" max="13578" width="0.88671875" style="147" customWidth="1"/>
    <col min="13579" max="13579" width="8.6640625" style="147" customWidth="1"/>
    <col min="13580" max="13580" width="1" style="147" customWidth="1"/>
    <col min="13581" max="13581" width="9.109375" style="147"/>
    <col min="13582" max="13582" width="0.88671875" style="147" customWidth="1"/>
    <col min="13583" max="13583" width="8.6640625" style="147" customWidth="1"/>
    <col min="13584" max="13584" width="0.88671875" style="147" customWidth="1"/>
    <col min="13585" max="13585" width="8.6640625" style="147" customWidth="1"/>
    <col min="13586" max="13586" width="1" style="147" customWidth="1"/>
    <col min="13587" max="13587" width="8.6640625" style="147" customWidth="1"/>
    <col min="13588" max="13588" width="1.44140625" style="147" customWidth="1"/>
    <col min="13589" max="13589" width="8.6640625" style="147" customWidth="1"/>
    <col min="13590" max="13590" width="0.88671875" style="147" customWidth="1"/>
    <col min="13591" max="13591" width="8.6640625" style="147" customWidth="1"/>
    <col min="13592" max="13592" width="1" style="147" customWidth="1"/>
    <col min="13593" max="13593" width="8.6640625" style="147" customWidth="1"/>
    <col min="13594" max="13594" width="1" style="147" customWidth="1"/>
    <col min="13595" max="13830" width="9.109375" style="147"/>
    <col min="13831" max="13831" width="1.33203125" style="147" customWidth="1"/>
    <col min="13832" max="13832" width="32.33203125" style="147" customWidth="1"/>
    <col min="13833" max="13834" width="0.88671875" style="147" customWidth="1"/>
    <col min="13835" max="13835" width="8.6640625" style="147" customWidth="1"/>
    <col min="13836" max="13836" width="1" style="147" customWidth="1"/>
    <col min="13837" max="13837" width="9.109375" style="147"/>
    <col min="13838" max="13838" width="0.88671875" style="147" customWidth="1"/>
    <col min="13839" max="13839" width="8.6640625" style="147" customWidth="1"/>
    <col min="13840" max="13840" width="0.88671875" style="147" customWidth="1"/>
    <col min="13841" max="13841" width="8.6640625" style="147" customWidth="1"/>
    <col min="13842" max="13842" width="1" style="147" customWidth="1"/>
    <col min="13843" max="13843" width="8.6640625" style="147" customWidth="1"/>
    <col min="13844" max="13844" width="1.44140625" style="147" customWidth="1"/>
    <col min="13845" max="13845" width="8.6640625" style="147" customWidth="1"/>
    <col min="13846" max="13846" width="0.88671875" style="147" customWidth="1"/>
    <col min="13847" max="13847" width="8.6640625" style="147" customWidth="1"/>
    <col min="13848" max="13848" width="1" style="147" customWidth="1"/>
    <col min="13849" max="13849" width="8.6640625" style="147" customWidth="1"/>
    <col min="13850" max="13850" width="1" style="147" customWidth="1"/>
    <col min="13851" max="14086" width="9.109375" style="147"/>
    <col min="14087" max="14087" width="1.33203125" style="147" customWidth="1"/>
    <col min="14088" max="14088" width="32.33203125" style="147" customWidth="1"/>
    <col min="14089" max="14090" width="0.88671875" style="147" customWidth="1"/>
    <col min="14091" max="14091" width="8.6640625" style="147" customWidth="1"/>
    <col min="14092" max="14092" width="1" style="147" customWidth="1"/>
    <col min="14093" max="14093" width="9.109375" style="147"/>
    <col min="14094" max="14094" width="0.88671875" style="147" customWidth="1"/>
    <col min="14095" max="14095" width="8.6640625" style="147" customWidth="1"/>
    <col min="14096" max="14096" width="0.88671875" style="147" customWidth="1"/>
    <col min="14097" max="14097" width="8.6640625" style="147" customWidth="1"/>
    <col min="14098" max="14098" width="1" style="147" customWidth="1"/>
    <col min="14099" max="14099" width="8.6640625" style="147" customWidth="1"/>
    <col min="14100" max="14100" width="1.44140625" style="147" customWidth="1"/>
    <col min="14101" max="14101" width="8.6640625" style="147" customWidth="1"/>
    <col min="14102" max="14102" width="0.88671875" style="147" customWidth="1"/>
    <col min="14103" max="14103" width="8.6640625" style="147" customWidth="1"/>
    <col min="14104" max="14104" width="1" style="147" customWidth="1"/>
    <col min="14105" max="14105" width="8.6640625" style="147" customWidth="1"/>
    <col min="14106" max="14106" width="1" style="147" customWidth="1"/>
    <col min="14107" max="14342" width="9.109375" style="147"/>
    <col min="14343" max="14343" width="1.33203125" style="147" customWidth="1"/>
    <col min="14344" max="14344" width="32.33203125" style="147" customWidth="1"/>
    <col min="14345" max="14346" width="0.88671875" style="147" customWidth="1"/>
    <col min="14347" max="14347" width="8.6640625" style="147" customWidth="1"/>
    <col min="14348" max="14348" width="1" style="147" customWidth="1"/>
    <col min="14349" max="14349" width="9.109375" style="147"/>
    <col min="14350" max="14350" width="0.88671875" style="147" customWidth="1"/>
    <col min="14351" max="14351" width="8.6640625" style="147" customWidth="1"/>
    <col min="14352" max="14352" width="0.88671875" style="147" customWidth="1"/>
    <col min="14353" max="14353" width="8.6640625" style="147" customWidth="1"/>
    <col min="14354" max="14354" width="1" style="147" customWidth="1"/>
    <col min="14355" max="14355" width="8.6640625" style="147" customWidth="1"/>
    <col min="14356" max="14356" width="1.44140625" style="147" customWidth="1"/>
    <col min="14357" max="14357" width="8.6640625" style="147" customWidth="1"/>
    <col min="14358" max="14358" width="0.88671875" style="147" customWidth="1"/>
    <col min="14359" max="14359" width="8.6640625" style="147" customWidth="1"/>
    <col min="14360" max="14360" width="1" style="147" customWidth="1"/>
    <col min="14361" max="14361" width="8.6640625" style="147" customWidth="1"/>
    <col min="14362" max="14362" width="1" style="147" customWidth="1"/>
    <col min="14363" max="14598" width="9.109375" style="147"/>
    <col min="14599" max="14599" width="1.33203125" style="147" customWidth="1"/>
    <col min="14600" max="14600" width="32.33203125" style="147" customWidth="1"/>
    <col min="14601" max="14602" width="0.88671875" style="147" customWidth="1"/>
    <col min="14603" max="14603" width="8.6640625" style="147" customWidth="1"/>
    <col min="14604" max="14604" width="1" style="147" customWidth="1"/>
    <col min="14605" max="14605" width="9.109375" style="147"/>
    <col min="14606" max="14606" width="0.88671875" style="147" customWidth="1"/>
    <col min="14607" max="14607" width="8.6640625" style="147" customWidth="1"/>
    <col min="14608" max="14608" width="0.88671875" style="147" customWidth="1"/>
    <col min="14609" max="14609" width="8.6640625" style="147" customWidth="1"/>
    <col min="14610" max="14610" width="1" style="147" customWidth="1"/>
    <col min="14611" max="14611" width="8.6640625" style="147" customWidth="1"/>
    <col min="14612" max="14612" width="1.44140625" style="147" customWidth="1"/>
    <col min="14613" max="14613" width="8.6640625" style="147" customWidth="1"/>
    <col min="14614" max="14614" width="0.88671875" style="147" customWidth="1"/>
    <col min="14615" max="14615" width="8.6640625" style="147" customWidth="1"/>
    <col min="14616" max="14616" width="1" style="147" customWidth="1"/>
    <col min="14617" max="14617" width="8.6640625" style="147" customWidth="1"/>
    <col min="14618" max="14618" width="1" style="147" customWidth="1"/>
    <col min="14619" max="14854" width="9.109375" style="147"/>
    <col min="14855" max="14855" width="1.33203125" style="147" customWidth="1"/>
    <col min="14856" max="14856" width="32.33203125" style="147" customWidth="1"/>
    <col min="14857" max="14858" width="0.88671875" style="147" customWidth="1"/>
    <col min="14859" max="14859" width="8.6640625" style="147" customWidth="1"/>
    <col min="14860" max="14860" width="1" style="147" customWidth="1"/>
    <col min="14861" max="14861" width="9.109375" style="147"/>
    <col min="14862" max="14862" width="0.88671875" style="147" customWidth="1"/>
    <col min="14863" max="14863" width="8.6640625" style="147" customWidth="1"/>
    <col min="14864" max="14864" width="0.88671875" style="147" customWidth="1"/>
    <col min="14865" max="14865" width="8.6640625" style="147" customWidth="1"/>
    <col min="14866" max="14866" width="1" style="147" customWidth="1"/>
    <col min="14867" max="14867" width="8.6640625" style="147" customWidth="1"/>
    <col min="14868" max="14868" width="1.44140625" style="147" customWidth="1"/>
    <col min="14869" max="14869" width="8.6640625" style="147" customWidth="1"/>
    <col min="14870" max="14870" width="0.88671875" style="147" customWidth="1"/>
    <col min="14871" max="14871" width="8.6640625" style="147" customWidth="1"/>
    <col min="14872" max="14872" width="1" style="147" customWidth="1"/>
    <col min="14873" max="14873" width="8.6640625" style="147" customWidth="1"/>
    <col min="14874" max="14874" width="1" style="147" customWidth="1"/>
    <col min="14875" max="15110" width="9.109375" style="147"/>
    <col min="15111" max="15111" width="1.33203125" style="147" customWidth="1"/>
    <col min="15112" max="15112" width="32.33203125" style="147" customWidth="1"/>
    <col min="15113" max="15114" width="0.88671875" style="147" customWidth="1"/>
    <col min="15115" max="15115" width="8.6640625" style="147" customWidth="1"/>
    <col min="15116" max="15116" width="1" style="147" customWidth="1"/>
    <col min="15117" max="15117" width="9.109375" style="147"/>
    <col min="15118" max="15118" width="0.88671875" style="147" customWidth="1"/>
    <col min="15119" max="15119" width="8.6640625" style="147" customWidth="1"/>
    <col min="15120" max="15120" width="0.88671875" style="147" customWidth="1"/>
    <col min="15121" max="15121" width="8.6640625" style="147" customWidth="1"/>
    <col min="15122" max="15122" width="1" style="147" customWidth="1"/>
    <col min="15123" max="15123" width="8.6640625" style="147" customWidth="1"/>
    <col min="15124" max="15124" width="1.44140625" style="147" customWidth="1"/>
    <col min="15125" max="15125" width="8.6640625" style="147" customWidth="1"/>
    <col min="15126" max="15126" width="0.88671875" style="147" customWidth="1"/>
    <col min="15127" max="15127" width="8.6640625" style="147" customWidth="1"/>
    <col min="15128" max="15128" width="1" style="147" customWidth="1"/>
    <col min="15129" max="15129" width="8.6640625" style="147" customWidth="1"/>
    <col min="15130" max="15130" width="1" style="147" customWidth="1"/>
    <col min="15131" max="15366" width="9.109375" style="147"/>
    <col min="15367" max="15367" width="1.33203125" style="147" customWidth="1"/>
    <col min="15368" max="15368" width="32.33203125" style="147" customWidth="1"/>
    <col min="15369" max="15370" width="0.88671875" style="147" customWidth="1"/>
    <col min="15371" max="15371" width="8.6640625" style="147" customWidth="1"/>
    <col min="15372" max="15372" width="1" style="147" customWidth="1"/>
    <col min="15373" max="15373" width="9.109375" style="147"/>
    <col min="15374" max="15374" width="0.88671875" style="147" customWidth="1"/>
    <col min="15375" max="15375" width="8.6640625" style="147" customWidth="1"/>
    <col min="15376" max="15376" width="0.88671875" style="147" customWidth="1"/>
    <col min="15377" max="15377" width="8.6640625" style="147" customWidth="1"/>
    <col min="15378" max="15378" width="1" style="147" customWidth="1"/>
    <col min="15379" max="15379" width="8.6640625" style="147" customWidth="1"/>
    <col min="15380" max="15380" width="1.44140625" style="147" customWidth="1"/>
    <col min="15381" max="15381" width="8.6640625" style="147" customWidth="1"/>
    <col min="15382" max="15382" width="0.88671875" style="147" customWidth="1"/>
    <col min="15383" max="15383" width="8.6640625" style="147" customWidth="1"/>
    <col min="15384" max="15384" width="1" style="147" customWidth="1"/>
    <col min="15385" max="15385" width="8.6640625" style="147" customWidth="1"/>
    <col min="15386" max="15386" width="1" style="147" customWidth="1"/>
    <col min="15387" max="15622" width="9.109375" style="147"/>
    <col min="15623" max="15623" width="1.33203125" style="147" customWidth="1"/>
    <col min="15624" max="15624" width="32.33203125" style="147" customWidth="1"/>
    <col min="15625" max="15626" width="0.88671875" style="147" customWidth="1"/>
    <col min="15627" max="15627" width="8.6640625" style="147" customWidth="1"/>
    <col min="15628" max="15628" width="1" style="147" customWidth="1"/>
    <col min="15629" max="15629" width="9.109375" style="147"/>
    <col min="15630" max="15630" width="0.88671875" style="147" customWidth="1"/>
    <col min="15631" max="15631" width="8.6640625" style="147" customWidth="1"/>
    <col min="15632" max="15632" width="0.88671875" style="147" customWidth="1"/>
    <col min="15633" max="15633" width="8.6640625" style="147" customWidth="1"/>
    <col min="15634" max="15634" width="1" style="147" customWidth="1"/>
    <col min="15635" max="15635" width="8.6640625" style="147" customWidth="1"/>
    <col min="15636" max="15636" width="1.44140625" style="147" customWidth="1"/>
    <col min="15637" max="15637" width="8.6640625" style="147" customWidth="1"/>
    <col min="15638" max="15638" width="0.88671875" style="147" customWidth="1"/>
    <col min="15639" max="15639" width="8.6640625" style="147" customWidth="1"/>
    <col min="15640" max="15640" width="1" style="147" customWidth="1"/>
    <col min="15641" max="15641" width="8.6640625" style="147" customWidth="1"/>
    <col min="15642" max="15642" width="1" style="147" customWidth="1"/>
    <col min="15643" max="15878" width="9.109375" style="147"/>
    <col min="15879" max="15879" width="1.33203125" style="147" customWidth="1"/>
    <col min="15880" max="15880" width="32.33203125" style="147" customWidth="1"/>
    <col min="15881" max="15882" width="0.88671875" style="147" customWidth="1"/>
    <col min="15883" max="15883" width="8.6640625" style="147" customWidth="1"/>
    <col min="15884" max="15884" width="1" style="147" customWidth="1"/>
    <col min="15885" max="15885" width="9.109375" style="147"/>
    <col min="15886" max="15886" width="0.88671875" style="147" customWidth="1"/>
    <col min="15887" max="15887" width="8.6640625" style="147" customWidth="1"/>
    <col min="15888" max="15888" width="0.88671875" style="147" customWidth="1"/>
    <col min="15889" max="15889" width="8.6640625" style="147" customWidth="1"/>
    <col min="15890" max="15890" width="1" style="147" customWidth="1"/>
    <col min="15891" max="15891" width="8.6640625" style="147" customWidth="1"/>
    <col min="15892" max="15892" width="1.44140625" style="147" customWidth="1"/>
    <col min="15893" max="15893" width="8.6640625" style="147" customWidth="1"/>
    <col min="15894" max="15894" width="0.88671875" style="147" customWidth="1"/>
    <col min="15895" max="15895" width="8.6640625" style="147" customWidth="1"/>
    <col min="15896" max="15896" width="1" style="147" customWidth="1"/>
    <col min="15897" max="15897" width="8.6640625" style="147" customWidth="1"/>
    <col min="15898" max="15898" width="1" style="147" customWidth="1"/>
    <col min="15899" max="16134" width="9.109375" style="147"/>
    <col min="16135" max="16135" width="1.33203125" style="147" customWidth="1"/>
    <col min="16136" max="16136" width="32.33203125" style="147" customWidth="1"/>
    <col min="16137" max="16138" width="0.88671875" style="147" customWidth="1"/>
    <col min="16139" max="16139" width="8.6640625" style="147" customWidth="1"/>
    <col min="16140" max="16140" width="1" style="147" customWidth="1"/>
    <col min="16141" max="16141" width="9.109375" style="147"/>
    <col min="16142" max="16142" width="0.88671875" style="147" customWidth="1"/>
    <col min="16143" max="16143" width="8.6640625" style="147" customWidth="1"/>
    <col min="16144" max="16144" width="0.88671875" style="147" customWidth="1"/>
    <col min="16145" max="16145" width="8.6640625" style="147" customWidth="1"/>
    <col min="16146" max="16146" width="1" style="147" customWidth="1"/>
    <col min="16147" max="16147" width="8.6640625" style="147" customWidth="1"/>
    <col min="16148" max="16148" width="1.44140625" style="147" customWidth="1"/>
    <col min="16149" max="16149" width="8.6640625" style="147" customWidth="1"/>
    <col min="16150" max="16150" width="0.88671875" style="147" customWidth="1"/>
    <col min="16151" max="16151" width="8.6640625" style="147" customWidth="1"/>
    <col min="16152" max="16152" width="1" style="147" customWidth="1"/>
    <col min="16153" max="16153" width="8.6640625" style="147" customWidth="1"/>
    <col min="16154" max="16154" width="1" style="147" customWidth="1"/>
    <col min="16155" max="16384" width="9.109375" style="147"/>
  </cols>
  <sheetData>
    <row r="1" spans="1:25" ht="17.399999999999999" x14ac:dyDescent="0.3">
      <c r="B1" s="585" t="s">
        <v>529</v>
      </c>
      <c r="C1" s="585"/>
      <c r="D1" s="585"/>
      <c r="E1" s="585"/>
      <c r="F1" s="585"/>
      <c r="G1" s="585"/>
      <c r="H1" s="585"/>
      <c r="I1" s="585"/>
      <c r="J1" s="585"/>
      <c r="K1" s="585"/>
      <c r="L1" s="585"/>
      <c r="M1" s="585"/>
      <c r="N1" s="585"/>
      <c r="O1" s="585"/>
      <c r="P1" s="585"/>
      <c r="Q1" s="585"/>
      <c r="R1" s="585"/>
      <c r="S1" s="585"/>
      <c r="T1" s="585"/>
      <c r="U1" s="585"/>
      <c r="V1" s="585"/>
      <c r="W1" s="585"/>
      <c r="X1" s="585"/>
      <c r="Y1" s="585"/>
    </row>
    <row r="6" spans="1:25" ht="13.8" x14ac:dyDescent="0.3">
      <c r="D6" s="230"/>
      <c r="E6" s="230"/>
      <c r="F6" s="230"/>
      <c r="G6" s="230"/>
      <c r="H6" s="230"/>
      <c r="I6" s="230"/>
      <c r="J6" s="230"/>
      <c r="K6" s="694" t="s">
        <v>472</v>
      </c>
      <c r="L6" s="695"/>
      <c r="M6" s="695"/>
      <c r="N6" s="695"/>
      <c r="O6" s="695"/>
      <c r="P6" s="695"/>
      <c r="Q6" s="696"/>
      <c r="R6" s="230"/>
      <c r="S6" s="694" t="s">
        <v>473</v>
      </c>
      <c r="T6" s="695"/>
      <c r="U6" s="695"/>
      <c r="V6" s="695"/>
      <c r="W6" s="695"/>
      <c r="X6" s="695"/>
      <c r="Y6" s="696"/>
    </row>
    <row r="7" spans="1:25" x14ac:dyDescent="0.25">
      <c r="D7" s="230"/>
      <c r="E7" s="230"/>
      <c r="F7" s="230"/>
      <c r="G7" s="230"/>
      <c r="H7" s="230"/>
      <c r="I7" s="420"/>
      <c r="J7" s="230"/>
      <c r="K7" s="420" t="s">
        <v>474</v>
      </c>
      <c r="L7" s="420"/>
      <c r="M7" s="420" t="s">
        <v>474</v>
      </c>
      <c r="N7" s="420"/>
      <c r="O7" s="420" t="s">
        <v>474</v>
      </c>
      <c r="P7" s="420"/>
      <c r="Q7" s="420" t="s">
        <v>474</v>
      </c>
      <c r="R7" s="230"/>
      <c r="S7" s="420" t="s">
        <v>474</v>
      </c>
      <c r="T7" s="420"/>
      <c r="U7" s="420" t="s">
        <v>474</v>
      </c>
      <c r="V7" s="420"/>
      <c r="W7" s="420" t="s">
        <v>474</v>
      </c>
      <c r="X7" s="420"/>
      <c r="Y7" s="420" t="s">
        <v>474</v>
      </c>
    </row>
    <row r="8" spans="1:25" x14ac:dyDescent="0.25">
      <c r="D8" s="129" t="s">
        <v>429</v>
      </c>
      <c r="E8" s="129" t="s">
        <v>429</v>
      </c>
      <c r="F8" s="420"/>
      <c r="G8" s="129" t="s">
        <v>430</v>
      </c>
      <c r="H8" s="420"/>
      <c r="I8" s="129" t="s">
        <v>429</v>
      </c>
      <c r="J8" s="420"/>
      <c r="K8" s="420" t="s">
        <v>475</v>
      </c>
      <c r="L8" s="420"/>
      <c r="M8" s="420" t="s">
        <v>476</v>
      </c>
      <c r="N8" s="420"/>
      <c r="O8" s="420" t="s">
        <v>477</v>
      </c>
      <c r="P8" s="420"/>
      <c r="Q8" s="420" t="s">
        <v>487</v>
      </c>
      <c r="R8" s="230"/>
      <c r="S8" s="420" t="s">
        <v>475</v>
      </c>
      <c r="T8" s="420"/>
      <c r="U8" s="420" t="s">
        <v>476</v>
      </c>
      <c r="V8" s="420"/>
      <c r="W8" s="420" t="s">
        <v>477</v>
      </c>
      <c r="X8" s="420"/>
      <c r="Y8" s="420" t="s">
        <v>487</v>
      </c>
    </row>
    <row r="9" spans="1:25" x14ac:dyDescent="0.25">
      <c r="D9" s="447">
        <v>2014</v>
      </c>
      <c r="E9" s="447">
        <f>+D9+1</f>
        <v>2015</v>
      </c>
      <c r="F9" s="421"/>
      <c r="G9" s="447">
        <v>2016</v>
      </c>
      <c r="H9" s="421"/>
      <c r="I9" s="421">
        <f>+E9+1</f>
        <v>2016</v>
      </c>
      <c r="J9" s="230"/>
      <c r="K9" s="421">
        <f>I9+1</f>
        <v>2017</v>
      </c>
      <c r="L9" s="421"/>
      <c r="M9" s="421">
        <f>K9+1</f>
        <v>2018</v>
      </c>
      <c r="N9" s="421"/>
      <c r="O9" s="421">
        <f>M9+1</f>
        <v>2019</v>
      </c>
      <c r="P9" s="421"/>
      <c r="Q9" s="421">
        <f>+O9+1</f>
        <v>2020</v>
      </c>
      <c r="R9" s="230"/>
      <c r="S9" s="421">
        <f>+K9</f>
        <v>2017</v>
      </c>
      <c r="T9" s="421"/>
      <c r="U9" s="421">
        <f>S9+1</f>
        <v>2018</v>
      </c>
      <c r="V9" s="421"/>
      <c r="W9" s="421">
        <f>U9+1</f>
        <v>2019</v>
      </c>
      <c r="X9" s="421"/>
      <c r="Y9" s="421">
        <f>W9+1</f>
        <v>2020</v>
      </c>
    </row>
    <row r="10" spans="1:25" x14ac:dyDescent="0.25">
      <c r="A10" s="30" t="s">
        <v>478</v>
      </c>
    </row>
    <row r="11" spans="1:25" x14ac:dyDescent="0.25">
      <c r="B11" s="147" t="s">
        <v>479</v>
      </c>
      <c r="D11" s="422">
        <f>+PL!E164/PL!E148</f>
        <v>3.5819762641505687E-2</v>
      </c>
      <c r="E11" s="422">
        <f>+PL!F164/PL!F148</f>
        <v>2.7912863467331954E-2</v>
      </c>
      <c r="F11" s="423"/>
      <c r="G11" s="422">
        <f>+PL!H164/PL!H148</f>
        <v>-2.1240118397529328E-4</v>
      </c>
      <c r="H11" s="423"/>
      <c r="I11" s="422">
        <f>+PL!J164/PL!J148</f>
        <v>-5.7853441449210643E-3</v>
      </c>
      <c r="J11" s="423"/>
      <c r="K11" s="424">
        <f>+PL!L46/PL!L30</f>
        <v>1.9664878081567471E-3</v>
      </c>
      <c r="L11" s="424"/>
      <c r="M11" s="424">
        <f>+PL!N46/PL!N30</f>
        <v>1.8270335684630139E-2</v>
      </c>
      <c r="N11" s="423"/>
      <c r="O11" s="424">
        <f>+PL!P46/PL!P30</f>
        <v>2.3909288342629932E-2</v>
      </c>
      <c r="P11" s="423"/>
      <c r="Q11" s="424">
        <f>+PL!R46/PL!R30</f>
        <v>2.1325079419148837E-2</v>
      </c>
      <c r="R11" s="423"/>
      <c r="S11" s="424">
        <f>+PL!L164/PL!L148</f>
        <v>1.9664878081567471E-3</v>
      </c>
      <c r="T11" s="423"/>
      <c r="U11" s="424">
        <f>+PL!N164/PL!N148</f>
        <v>1.6544896350769708E-2</v>
      </c>
      <c r="V11" s="424"/>
      <c r="W11" s="424">
        <f>+PL!P164/PL!P148</f>
        <v>1.2202882036487136E-2</v>
      </c>
      <c r="X11" s="423"/>
      <c r="Y11" s="424">
        <f>+PL!R164/PL!R148</f>
        <v>6.8182925395494079E-3</v>
      </c>
    </row>
    <row r="12" spans="1:25" x14ac:dyDescent="0.25">
      <c r="B12" s="147" t="s">
        <v>480</v>
      </c>
      <c r="D12" s="422">
        <f>(+PL!E164+PL!E156)/PL!E148</f>
        <v>8.956475852662539E-2</v>
      </c>
      <c r="E12" s="422">
        <f>(+PL!F164+PL!F156)/PL!F148</f>
        <v>8.2141810003488011E-2</v>
      </c>
      <c r="F12" s="423"/>
      <c r="G12" s="422">
        <f>(+PL!H164+PL!H156)/PL!H148</f>
        <v>5.7119905779695092E-2</v>
      </c>
      <c r="H12" s="423"/>
      <c r="I12" s="422">
        <f>(+PL!J164+PL!J156)/PL!J148</f>
        <v>5.1729922687695343E-2</v>
      </c>
      <c r="J12" s="423"/>
      <c r="K12" s="422">
        <f>('MOR Ratios'!M12+PL!L46+PL!L38)/PL!L30</f>
        <v>5.6917026111686322E-2</v>
      </c>
      <c r="L12" s="423"/>
      <c r="M12" s="422">
        <f>('MOR Ratios'!O12+PL!N46+PL!N38)/PL!N30</f>
        <v>7.0526776524629298E-2</v>
      </c>
      <c r="N12" s="423"/>
      <c r="O12" s="422">
        <f>('MOR Ratios'!Q12+PL!P46+PL!P38)/PL!P30</f>
        <v>7.3348416263819077E-2</v>
      </c>
      <c r="P12" s="423"/>
      <c r="Q12" s="422">
        <f>('MOR Ratios'!S12+PL!R46+PL!R38)/PL!R30</f>
        <v>6.9619920470689933E-2</v>
      </c>
      <c r="R12" s="423"/>
      <c r="S12" s="422">
        <f>(+PL!L164+PL!L156)/PL!L148</f>
        <v>5.6917025233195091E-2</v>
      </c>
      <c r="T12" s="423"/>
      <c r="U12" s="422">
        <f>(+PL!N164+PL!N156)/PL!N148</f>
        <v>6.8281371269899332E-2</v>
      </c>
      <c r="V12" s="422"/>
      <c r="W12" s="422">
        <f>(+PL!P164+PL!P156)/PL!P148</f>
        <v>7.0396318576553638E-2</v>
      </c>
      <c r="X12" s="423"/>
      <c r="Y12" s="422">
        <f>(+PL!R164+PL!R156)/PL!R148</f>
        <v>6.6739428897205716E-2</v>
      </c>
    </row>
    <row r="13" spans="1:25" x14ac:dyDescent="0.25">
      <c r="B13" s="147" t="s">
        <v>481</v>
      </c>
      <c r="D13" s="422">
        <f>+PL!E168/PL!E148</f>
        <v>0.12196310677657628</v>
      </c>
      <c r="E13" s="422">
        <f>+PL!F168/PL!F148</f>
        <v>4.0884360922568613E-2</v>
      </c>
      <c r="F13" s="423"/>
      <c r="G13" s="422">
        <f>+PL!H168/PL!H148</f>
        <v>9.4132962852651238E-3</v>
      </c>
      <c r="H13" s="423"/>
      <c r="I13" s="422">
        <f>+PL!J168/PL!J148</f>
        <v>2.3450913629004509E-2</v>
      </c>
      <c r="J13" s="423"/>
      <c r="K13" s="422">
        <f>PL!L50/PL!L30</f>
        <v>9.223446018363236E-3</v>
      </c>
      <c r="L13" s="423"/>
      <c r="M13" s="422">
        <f>PL!N50/PL!N30</f>
        <v>1.9874877156601408E-2</v>
      </c>
      <c r="N13" s="423"/>
      <c r="O13" s="422">
        <f>PL!P50/PL!P30</f>
        <v>2.6033453213572273E-2</v>
      </c>
      <c r="P13" s="423"/>
      <c r="Q13" s="422">
        <f>PL!R50/PL!R30</f>
        <v>2.3846656648214535E-2</v>
      </c>
      <c r="R13" s="423"/>
      <c r="S13" s="422">
        <f>+PL!L168/PL!L148</f>
        <v>9.223446018363236E-3</v>
      </c>
      <c r="T13" s="423"/>
      <c r="U13" s="422">
        <f>+PL!N168/PL!N148</f>
        <v>1.7845064452041801E-2</v>
      </c>
      <c r="V13" s="422"/>
      <c r="W13" s="422">
        <f>+PL!P168/PL!P148</f>
        <v>1.3583267703687179E-2</v>
      </c>
      <c r="X13" s="423"/>
      <c r="Y13" s="422">
        <f>+PL!R168/PL!R148</f>
        <v>8.5917465714076841E-3</v>
      </c>
    </row>
    <row r="14" spans="1:25" ht="5.0999999999999996" customHeight="1" x14ac:dyDescent="0.25">
      <c r="D14" s="423"/>
      <c r="E14" s="423"/>
      <c r="F14" s="423"/>
      <c r="G14" s="423"/>
      <c r="H14" s="423"/>
      <c r="I14" s="423"/>
      <c r="J14" s="423"/>
      <c r="K14" s="423"/>
      <c r="L14" s="423"/>
      <c r="M14" s="423"/>
      <c r="N14" s="423"/>
      <c r="O14" s="423"/>
      <c r="P14" s="423"/>
      <c r="Q14" s="423"/>
      <c r="R14" s="423"/>
      <c r="S14" s="423"/>
      <c r="T14" s="423"/>
      <c r="U14" s="423"/>
      <c r="V14" s="423"/>
      <c r="W14" s="423"/>
      <c r="X14" s="423"/>
      <c r="Y14" s="423"/>
    </row>
    <row r="15" spans="1:25" x14ac:dyDescent="0.25">
      <c r="A15" s="30" t="s">
        <v>372</v>
      </c>
      <c r="D15" s="423"/>
      <c r="E15" s="423"/>
      <c r="F15" s="423"/>
      <c r="G15" s="423"/>
      <c r="H15" s="423"/>
      <c r="I15" s="423"/>
      <c r="J15" s="423"/>
      <c r="K15" s="423"/>
      <c r="L15" s="423"/>
      <c r="M15" s="423"/>
      <c r="N15" s="423"/>
      <c r="O15" s="423"/>
      <c r="P15" s="423"/>
      <c r="Q15" s="423"/>
      <c r="R15" s="423"/>
      <c r="S15" s="423"/>
      <c r="T15" s="423"/>
      <c r="U15" s="423"/>
      <c r="V15" s="423"/>
      <c r="W15" s="423"/>
      <c r="X15" s="423"/>
      <c r="Y15" s="423"/>
    </row>
    <row r="16" spans="1:25" x14ac:dyDescent="0.25">
      <c r="B16" s="147" t="s">
        <v>482</v>
      </c>
      <c r="D16" s="425">
        <f>(+BalSht!E161+BalSht!E170)/((PL!E162-PL!E156)/365)</f>
        <v>166.86453173164807</v>
      </c>
      <c r="E16" s="425">
        <f>(+BalSht!F161+BalSht!F170)/((PL!F162-PL!F156)/365)</f>
        <v>191.32610087191267</v>
      </c>
      <c r="F16" s="423"/>
      <c r="G16" s="425">
        <f>(+BalSht!H161+BalSht!H170)/((PL!H162-PL!H156)/365)</f>
        <v>184.54605107908981</v>
      </c>
      <c r="H16" s="423"/>
      <c r="I16" s="425">
        <f>(+BalSht!J161+BalSht!J170)/((PL!J162-PL!J156)/365)</f>
        <v>223.75966433723679</v>
      </c>
      <c r="J16" s="423"/>
      <c r="K16" s="425">
        <f>(+BalSht!L$13+BalSht!L$22)/((PL!L44-PL!L38)/365)</f>
        <v>192.7658960539998</v>
      </c>
      <c r="L16" s="423"/>
      <c r="M16" s="425">
        <f>(+BalSht!N13+BalSht!N22)/((PL!N44-PL!N38)/365)</f>
        <v>195.23030809378091</v>
      </c>
      <c r="N16" s="423"/>
      <c r="O16" s="425">
        <f>(+BalSht!P13+BalSht!P22)/((PL!P44-PL!P38)/365)</f>
        <v>211.76386257346468</v>
      </c>
      <c r="P16" s="423"/>
      <c r="Q16" s="425">
        <f>(+BalSht!R13+BalSht!R22)/((PL!R44-PL!R38)/365)</f>
        <v>222.88166553709993</v>
      </c>
      <c r="R16" s="423"/>
      <c r="S16" s="425">
        <f>(+BalSht!L161+BalSht!L170)/((PL!L162-PL!L156)/365)</f>
        <v>168.49612827831754</v>
      </c>
      <c r="T16" s="423"/>
      <c r="U16" s="425">
        <f>(+BalSht!N161+BalSht!N170)/((PL!N162-PL!N156)/365)</f>
        <v>131.73146398742827</v>
      </c>
      <c r="V16" s="426"/>
      <c r="W16" s="425">
        <f>(+BalSht!P161+BalSht!P170)/((PL!P162-PL!P156)/365)</f>
        <v>144.59736414453567</v>
      </c>
      <c r="X16" s="423"/>
      <c r="Y16" s="425">
        <f>(+BalSht!R161+BalSht!R170)/((PL!R162-PL!R156)/365)</f>
        <v>151.07589560617197</v>
      </c>
    </row>
    <row r="17" spans="1:25" x14ac:dyDescent="0.25">
      <c r="B17" s="230" t="s">
        <v>499</v>
      </c>
      <c r="D17" s="427">
        <f>(+BalSht!E$161+BalSht!E$170)/BalSht!E214</f>
        <v>3.4294484165320309</v>
      </c>
      <c r="E17" s="427">
        <f>(+BalSht!F$161+BalSht!F$170)/BalSht!F214</f>
        <v>4.3396673452799019</v>
      </c>
      <c r="F17" s="423"/>
      <c r="G17" s="427">
        <f>(+BalSht!H$161+BalSht!H$170)/BalSht!H214</f>
        <v>4.4021941435977139</v>
      </c>
      <c r="H17" s="423"/>
      <c r="I17" s="427">
        <f>(+BalSht!J$161+BalSht!J$170)/BalSht!J214</f>
        <v>4.1800643573086118</v>
      </c>
      <c r="J17" s="423"/>
      <c r="K17" s="427">
        <f>(+BalSht!L$13+BalSht!L$22)/BalSht!L66</f>
        <v>4.7822242277578297</v>
      </c>
      <c r="L17" s="423"/>
      <c r="M17" s="427">
        <f>(+BalSht!N$13+BalSht!N$22)/BalSht!N66</f>
        <v>5.6007175545440351</v>
      </c>
      <c r="N17" s="423"/>
      <c r="O17" s="427">
        <f>(+BalSht!P$13+BalSht!P$22)/BalSht!P66</f>
        <v>7.1592970295881466</v>
      </c>
      <c r="P17" s="423"/>
      <c r="Q17" s="427">
        <f>(+BalSht!R$13+BalSht!R$22)/BalSht!R66</f>
        <v>9.1107457491517554</v>
      </c>
      <c r="R17" s="423"/>
      <c r="S17" s="427">
        <f>(+BalSht!L$161+BalSht!L$170)/BalSht!L214</f>
        <v>4.2188009714825849</v>
      </c>
      <c r="T17" s="423"/>
      <c r="U17" s="427">
        <f>(+BalSht!N$161+BalSht!N$170)/BalSht!N214</f>
        <v>1.6551569590801996</v>
      </c>
      <c r="V17" s="428"/>
      <c r="W17" s="427">
        <f>(+BalSht!P$161+BalSht!P$170)/BalSht!P214</f>
        <v>2.0163819482975471</v>
      </c>
      <c r="X17" s="423"/>
      <c r="Y17" s="427">
        <f>(+BalSht!R$161+BalSht!R$170)/BalSht!R214</f>
        <v>2.3525672049680897</v>
      </c>
    </row>
    <row r="18" spans="1:25" x14ac:dyDescent="0.25">
      <c r="B18" s="147" t="s">
        <v>483</v>
      </c>
      <c r="D18" s="429">
        <f>SUM(BalSht!E$162:E$163)/(PL!E144/365)</f>
        <v>29.998762463728756</v>
      </c>
      <c r="E18" s="429">
        <f>SUM(BalSht!F$162:F$163)/(PL!F144/365)</f>
        <v>25.359902808737768</v>
      </c>
      <c r="F18" s="423"/>
      <c r="G18" s="429">
        <f>SUM(BalSht!H$162:H$163)/(PL!H144/365)</f>
        <v>28.758524175366048</v>
      </c>
      <c r="H18" s="423"/>
      <c r="I18" s="429">
        <f>SUM(BalSht!J$162:J$163)/(PL!J144/365)</f>
        <v>29.549628667134755</v>
      </c>
      <c r="J18" s="423"/>
      <c r="K18" s="429">
        <f>SUM(BalSht!L$14:L$15)/(PL!L26/365)</f>
        <v>28.440971745436237</v>
      </c>
      <c r="L18" s="423"/>
      <c r="M18" s="429">
        <f>SUM(BalSht!N$14:N$15)/(PL!N26/365)</f>
        <v>30.285799939529547</v>
      </c>
      <c r="N18" s="423"/>
      <c r="O18" s="429">
        <f>SUM(BalSht!P$14:P$15)/(PL!P26/365)</f>
        <v>30.285773640034037</v>
      </c>
      <c r="P18" s="423"/>
      <c r="Q18" s="429">
        <f>SUM(BalSht!R$14:R$15)/(PL!R26/365)</f>
        <v>30.205212894480329</v>
      </c>
      <c r="R18" s="423"/>
      <c r="S18" s="429">
        <f>SUM(BalSht!L$162:L$163)/(PL!L144/365)</f>
        <v>28.440971745436237</v>
      </c>
      <c r="T18" s="423"/>
      <c r="U18" s="429">
        <f>SUM(BalSht!N$162:N$163)/(PL!N144/365)</f>
        <v>30.000000253226361</v>
      </c>
      <c r="V18" s="429"/>
      <c r="W18" s="429">
        <f>SUM(BalSht!P$162:P$163)/(PL!P144/365)</f>
        <v>29.999998893363948</v>
      </c>
      <c r="X18" s="423"/>
      <c r="Y18" s="429">
        <f>SUM(BalSht!R$162:R$163)/(PL!R144/365)</f>
        <v>29.918032642721755</v>
      </c>
    </row>
    <row r="19" spans="1:25" ht="5.0999999999999996" customHeight="1" x14ac:dyDescent="0.25">
      <c r="D19" s="423"/>
      <c r="E19" s="423"/>
      <c r="F19" s="423"/>
      <c r="G19" s="423"/>
      <c r="H19" s="423"/>
      <c r="I19" s="423"/>
      <c r="J19" s="423"/>
      <c r="K19" s="423"/>
      <c r="L19" s="423"/>
      <c r="M19" s="423"/>
      <c r="N19" s="423"/>
      <c r="O19" s="423"/>
      <c r="P19" s="423"/>
      <c r="Q19" s="423"/>
      <c r="R19" s="423"/>
      <c r="S19" s="423"/>
      <c r="T19" s="423"/>
      <c r="U19" s="423"/>
      <c r="V19" s="423"/>
      <c r="W19" s="423"/>
      <c r="X19" s="423"/>
      <c r="Y19" s="423"/>
    </row>
    <row r="20" spans="1:25" x14ac:dyDescent="0.25">
      <c r="A20" s="30" t="s">
        <v>484</v>
      </c>
      <c r="D20" s="423"/>
      <c r="E20" s="423"/>
      <c r="F20" s="423"/>
      <c r="G20" s="423"/>
      <c r="H20" s="423"/>
      <c r="I20" s="423"/>
      <c r="J20" s="423"/>
      <c r="K20" s="423"/>
      <c r="L20" s="423"/>
      <c r="M20" s="423"/>
      <c r="N20" s="423"/>
      <c r="O20" s="423"/>
      <c r="P20" s="423"/>
      <c r="Q20" s="423"/>
      <c r="R20" s="423"/>
      <c r="S20" s="423"/>
      <c r="T20" s="423"/>
      <c r="U20" s="423"/>
      <c r="V20" s="423"/>
      <c r="W20" s="423"/>
      <c r="X20" s="423"/>
      <c r="Y20" s="423"/>
    </row>
    <row r="21" spans="1:25" x14ac:dyDescent="0.25">
      <c r="B21" s="147" t="s">
        <v>485</v>
      </c>
      <c r="D21" s="422">
        <f>+BalSht!E214/(BalSht!E220+BalSht!E214)</f>
        <v>0.14894363738726843</v>
      </c>
      <c r="E21" s="422">
        <f>+BalSht!F214/(BalSht!F220+BalSht!F214)</f>
        <v>0.13506892462524875</v>
      </c>
      <c r="F21" s="423"/>
      <c r="G21" s="422">
        <f>+BalSht!H214/(BalSht!H220+BalSht!H214)</f>
        <v>0.13388285953656193</v>
      </c>
      <c r="H21" s="423"/>
      <c r="I21" s="422">
        <f>+BalSht!J214/(BalSht!J220+BalSht!J214)</f>
        <v>0.15414254906349015</v>
      </c>
      <c r="J21" s="423"/>
      <c r="K21" s="422">
        <f>+BalSht!L66/(BalSht!L66+BalSht!L72)</f>
        <v>0.13050854836016179</v>
      </c>
      <c r="L21" s="423"/>
      <c r="M21" s="422">
        <f>+BalSht!N66/(BalSht!N66+BalSht!N72)</f>
        <v>0.11217109545236305</v>
      </c>
      <c r="N21" s="423"/>
      <c r="O21" s="422">
        <f>+BalSht!P66/(BalSht!P66+BalSht!P72)</f>
        <v>9.4633792382862347E-2</v>
      </c>
      <c r="P21" s="423"/>
      <c r="Q21" s="422">
        <f>+BalSht!R66/(BalSht!R66+BalSht!R72)</f>
        <v>7.8018733898769371E-2</v>
      </c>
      <c r="R21" s="423"/>
      <c r="S21" s="422">
        <f>+BalSht!L214/(BalSht!L220+BalSht!L214)</f>
        <v>0.12946710882022716</v>
      </c>
      <c r="T21" s="423"/>
      <c r="U21" s="422">
        <f>+BalSht!N214/(BalSht!N220+BalSht!N214)</f>
        <v>0.22709452803215979</v>
      </c>
      <c r="V21" s="422"/>
      <c r="W21" s="422">
        <f>+BalSht!P214/(BalSht!P220+BalSht!P214)</f>
        <v>0.21030505632493829</v>
      </c>
      <c r="X21" s="423"/>
      <c r="Y21" s="422">
        <f>+BalSht!R214/(BalSht!R220+BalSht!R214)</f>
        <v>0.19428324408901271</v>
      </c>
    </row>
    <row r="22" spans="1:25" x14ac:dyDescent="0.25">
      <c r="B22" s="147" t="s">
        <v>486</v>
      </c>
      <c r="D22" s="430">
        <f>SUM(PL!E168,PL!E156)/(+PL!E157+BalSht!E131)</f>
        <v>54.623453757343484</v>
      </c>
      <c r="E22" s="430">
        <f>SUM(PL!F168,PL!F156)/(+PL!F157+BalSht!F131)</f>
        <v>32.230234744712334</v>
      </c>
      <c r="F22" s="423"/>
      <c r="G22" s="430">
        <f>SUM(PL!H168,PL!H156)/(+PL!H157+BalSht!H131)</f>
        <v>20.374875896746094</v>
      </c>
      <c r="H22" s="423"/>
      <c r="I22" s="430">
        <f>SUM(PL!J168,PL!J156)/(+PL!J157+BalSht!J131)</f>
        <v>31.981039311166377</v>
      </c>
      <c r="J22" s="423"/>
      <c r="K22" s="430">
        <f>SUM(PL!L50,PL!L38)/(+PL!L39+BalSht!L57)</f>
        <v>4.7162572741811308</v>
      </c>
      <c r="L22" s="423"/>
      <c r="M22" s="430">
        <f>SUM(PL!N50,PL!N38)/(+PL!N39+BalSht!N57)</f>
        <v>5.4636305932589169</v>
      </c>
      <c r="N22" s="423"/>
      <c r="O22" s="430">
        <f>SUM(PL!P50,PL!P38)/(+PL!P39+BalSht!P57)</f>
        <v>5.8724756192482026</v>
      </c>
      <c r="P22" s="423"/>
      <c r="Q22" s="430">
        <f>SUM(PL!R50,PL!R38)/(+PL!R39+BalSht!R57)</f>
        <v>5.7242339934872621</v>
      </c>
      <c r="R22" s="423"/>
      <c r="S22" s="430">
        <f>SUM(PL!L$168,PL!$J156)/(+PL!L157+BalSht!L131)</f>
        <v>30.743281778637023</v>
      </c>
      <c r="T22" s="423"/>
      <c r="U22" s="430">
        <f>SUM(PL!N$168,PL!$J156)/(+PL!N157+BalSht!N131)</f>
        <v>9.2141147322339698</v>
      </c>
      <c r="V22" s="431"/>
      <c r="W22" s="430">
        <f>SUM(PL!P$168,PL!$J156)/(+PL!P157+BalSht!P131)</f>
        <v>8.1015328405907603</v>
      </c>
      <c r="X22" s="423"/>
      <c r="Y22" s="430">
        <f>SUM(PL!R$168,PL!$J156)/(+PL!R157+BalSht!R131)</f>
        <v>7.6765526803610991</v>
      </c>
    </row>
    <row r="23" spans="1:25" ht="5.0999999999999996" customHeight="1" x14ac:dyDescent="0.25"/>
    <row r="24" spans="1:25" x14ac:dyDescent="0.25">
      <c r="A24" s="30" t="s">
        <v>524</v>
      </c>
      <c r="E24" s="550">
        <f>(PL!F26-PL!E26)/PL!E26</f>
        <v>5.9152333266322091E-2</v>
      </c>
      <c r="G24" s="550">
        <f>(PL!H26-PL!F26)/PL!F26</f>
        <v>-2.4382067657280515E-2</v>
      </c>
      <c r="I24" s="550">
        <f>(PL!J26-PL!F26)/PL!F26</f>
        <v>-3.4078472284934165E-2</v>
      </c>
      <c r="K24" s="550">
        <f>(PL!L26-PL!J26)/PL!J26</f>
        <v>4.4379699289998895E-2</v>
      </c>
      <c r="M24" s="550">
        <f>(PL!N26-PL!L26)/PL!L26</f>
        <v>3.3662540552366005E-2</v>
      </c>
      <c r="O24" s="550">
        <f>(PL!P26-PL!N26)/PL!N26</f>
        <v>2.855626031264339E-2</v>
      </c>
      <c r="Q24" s="550">
        <f>(PL!R26-PL!P26)/PL!P26</f>
        <v>2.070890540135881E-2</v>
      </c>
      <c r="S24" s="550">
        <f>(PL!L144-PL!H144)/PL!H144</f>
        <v>3.3999889926607949E-2</v>
      </c>
      <c r="U24" s="550">
        <f>(PL!N144-PL!L144)/PL!L144</f>
        <v>3.3662527464836028E-2</v>
      </c>
      <c r="W24" s="550">
        <f>(PL!P144-PL!N144)/PL!N144</f>
        <v>2.9713986270497234E-2</v>
      </c>
      <c r="Y24" s="550">
        <f>(PL!R144-PL!P144)/PL!P144</f>
        <v>2.0704521152985413E-2</v>
      </c>
    </row>
  </sheetData>
  <mergeCells count="3">
    <mergeCell ref="K6:Q6"/>
    <mergeCell ref="S6:Y6"/>
    <mergeCell ref="B1:Y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showGridLines="0" workbookViewId="0">
      <selection activeCell="A2" sqref="A2:D2"/>
    </sheetView>
  </sheetViews>
  <sheetFormatPr defaultRowHeight="13.2" x14ac:dyDescent="0.25"/>
  <cols>
    <col min="1" max="1" width="121" style="527" customWidth="1"/>
    <col min="2" max="2" width="10.88671875" customWidth="1"/>
    <col min="3" max="3" width="10" customWidth="1"/>
    <col min="4" max="4" width="11.109375" customWidth="1"/>
  </cols>
  <sheetData>
    <row r="1" spans="1:5" ht="39" customHeight="1" x14ac:dyDescent="0.3">
      <c r="A1" s="585" t="s">
        <v>528</v>
      </c>
      <c r="B1" s="585"/>
      <c r="C1" s="585"/>
      <c r="D1" s="585"/>
    </row>
    <row r="2" spans="1:5" s="27" customFormat="1" ht="15.6" x14ac:dyDescent="0.3">
      <c r="A2" s="584" t="str">
        <f>UPPER(+'Report Info'!B5)</f>
        <v>BRATTLEBORO MEMORIAL HOSPITAL</v>
      </c>
      <c r="B2" s="584"/>
      <c r="C2" s="584"/>
      <c r="D2" s="584"/>
    </row>
    <row r="3" spans="1:5" s="27" customFormat="1" x14ac:dyDescent="0.25">
      <c r="A3" s="583" t="str">
        <f>+PL!D4</f>
        <v>Modernization Project</v>
      </c>
      <c r="B3" s="583"/>
      <c r="C3" s="583"/>
      <c r="D3" s="583"/>
    </row>
    <row r="4" spans="1:5" s="27" customFormat="1" x14ac:dyDescent="0.25">
      <c r="A4" s="527"/>
    </row>
    <row r="5" spans="1:5" ht="26.4" x14ac:dyDescent="0.25">
      <c r="B5" s="15" t="s">
        <v>50</v>
      </c>
      <c r="C5" s="15" t="s">
        <v>51</v>
      </c>
      <c r="D5" s="15" t="s">
        <v>52</v>
      </c>
    </row>
    <row r="6" spans="1:5" s="76" customFormat="1" x14ac:dyDescent="0.25">
      <c r="A6" s="528" t="s">
        <v>141</v>
      </c>
      <c r="B6" s="30"/>
      <c r="C6" s="30"/>
      <c r="D6" s="30"/>
      <c r="E6" s="30"/>
    </row>
    <row r="7" spans="1:5" s="76" customFormat="1" ht="39.6" x14ac:dyDescent="0.25">
      <c r="A7" s="528" t="s">
        <v>503</v>
      </c>
      <c r="B7" s="30"/>
      <c r="C7" s="30"/>
      <c r="D7" s="30"/>
      <c r="E7" s="30"/>
    </row>
    <row r="8" spans="1:5" s="76" customFormat="1" x14ac:dyDescent="0.25">
      <c r="A8" s="528"/>
      <c r="B8" s="30"/>
      <c r="C8" s="30"/>
      <c r="D8" s="30"/>
      <c r="E8" s="30"/>
    </row>
    <row r="9" spans="1:5" s="76" customFormat="1" x14ac:dyDescent="0.25">
      <c r="A9" s="528"/>
      <c r="B9" s="30"/>
      <c r="C9" s="30"/>
      <c r="D9" s="30"/>
      <c r="E9" s="30"/>
    </row>
    <row r="10" spans="1:5" s="76" customFormat="1" x14ac:dyDescent="0.25">
      <c r="A10" s="528"/>
      <c r="B10" s="30"/>
      <c r="C10" s="30"/>
      <c r="D10" s="30"/>
      <c r="E10" s="30"/>
    </row>
    <row r="11" spans="1:5" s="76" customFormat="1" x14ac:dyDescent="0.25">
      <c r="A11" s="528" t="s">
        <v>142</v>
      </c>
      <c r="B11" s="30"/>
      <c r="C11" s="30"/>
      <c r="D11" s="30"/>
      <c r="E11" s="30"/>
    </row>
    <row r="12" spans="1:5" s="76" customFormat="1" ht="39.6" x14ac:dyDescent="0.25">
      <c r="A12" s="528" t="s">
        <v>493</v>
      </c>
      <c r="B12" s="30"/>
      <c r="C12" s="30"/>
      <c r="D12" s="30"/>
      <c r="E12" s="30"/>
    </row>
    <row r="13" spans="1:5" s="76" customFormat="1" x14ac:dyDescent="0.25">
      <c r="A13" s="528"/>
      <c r="B13" s="30"/>
      <c r="C13" s="30"/>
      <c r="D13" s="30"/>
      <c r="E13" s="30"/>
    </row>
    <row r="14" spans="1:5" s="76" customFormat="1" x14ac:dyDescent="0.25">
      <c r="A14" s="528"/>
      <c r="B14" s="30"/>
      <c r="C14" s="30"/>
      <c r="D14" s="30"/>
      <c r="E14" s="30"/>
    </row>
    <row r="15" spans="1:5" s="76" customFormat="1" x14ac:dyDescent="0.25">
      <c r="A15" s="528"/>
      <c r="B15" s="30"/>
      <c r="C15" s="30"/>
      <c r="D15" s="30"/>
      <c r="E15" s="30"/>
    </row>
    <row r="16" spans="1:5" s="76" customFormat="1" x14ac:dyDescent="0.25">
      <c r="A16" s="528" t="str">
        <f>+PL!D6</f>
        <v>INCOME STATEMENT- Table 3</v>
      </c>
    </row>
    <row r="17" spans="1:1" s="76" customFormat="1" x14ac:dyDescent="0.25">
      <c r="A17" s="528"/>
    </row>
    <row r="18" spans="1:1" s="76" customFormat="1" ht="15.6" x14ac:dyDescent="0.25">
      <c r="A18" s="697" t="s">
        <v>495</v>
      </c>
    </row>
    <row r="19" spans="1:1" s="76" customFormat="1" ht="15" x14ac:dyDescent="0.25">
      <c r="A19" s="698"/>
    </row>
    <row r="20" spans="1:1" s="76" customFormat="1" ht="15.6" x14ac:dyDescent="0.25">
      <c r="A20" s="699"/>
    </row>
    <row r="21" spans="1:1" s="76" customFormat="1" ht="15.6" x14ac:dyDescent="0.25">
      <c r="A21" s="699"/>
    </row>
    <row r="22" spans="1:1" s="76" customFormat="1" ht="15.6" x14ac:dyDescent="0.25">
      <c r="A22" s="699"/>
    </row>
    <row r="23" spans="1:1" s="76" customFormat="1" x14ac:dyDescent="0.25">
      <c r="A23" s="528" t="str">
        <f>+BalSht!D5</f>
        <v>Balance Sheet-Table 4</v>
      </c>
    </row>
    <row r="24" spans="1:1" s="76" customFormat="1" ht="15.6" x14ac:dyDescent="0.25">
      <c r="A24" s="700" t="s">
        <v>518</v>
      </c>
    </row>
    <row r="25" spans="1:1" s="76" customFormat="1" x14ac:dyDescent="0.25">
      <c r="A25" s="701"/>
    </row>
    <row r="26" spans="1:1" s="76" customFormat="1" ht="15.6" x14ac:dyDescent="0.25">
      <c r="A26" s="702"/>
    </row>
    <row r="27" spans="1:1" s="76" customFormat="1" ht="15.6" x14ac:dyDescent="0.25">
      <c r="A27" s="702"/>
    </row>
    <row r="28" spans="1:1" s="76" customFormat="1" x14ac:dyDescent="0.25">
      <c r="A28" s="528"/>
    </row>
    <row r="29" spans="1:1" s="76" customFormat="1" x14ac:dyDescent="0.25">
      <c r="A29" s="528" t="str">
        <f>+Cashflow!E5</f>
        <v xml:space="preserve"> CASH FLOWS-Table 5</v>
      </c>
    </row>
    <row r="30" spans="1:1" s="76" customFormat="1" ht="31.2" x14ac:dyDescent="0.25">
      <c r="A30" s="699" t="s">
        <v>498</v>
      </c>
    </row>
    <row r="31" spans="1:1" s="76" customFormat="1" x14ac:dyDescent="0.25">
      <c r="A31" s="528"/>
    </row>
    <row r="32" spans="1:1" s="76" customFormat="1" x14ac:dyDescent="0.25">
      <c r="A32" s="528"/>
    </row>
    <row r="33" spans="1:1" s="76" customFormat="1" x14ac:dyDescent="0.25">
      <c r="A33" s="528"/>
    </row>
    <row r="34" spans="1:1" s="76" customFormat="1" x14ac:dyDescent="0.25">
      <c r="A34" s="528" t="str">
        <f>+Payer!B5</f>
        <v>PAYER REVENUE REPORT-Table 6</v>
      </c>
    </row>
    <row r="35" spans="1:1" s="76" customFormat="1" ht="15.6" x14ac:dyDescent="0.25">
      <c r="A35" s="699" t="s">
        <v>500</v>
      </c>
    </row>
    <row r="36" spans="1:1" s="76" customFormat="1" ht="15.6" x14ac:dyDescent="0.25">
      <c r="A36" s="699" t="s">
        <v>501</v>
      </c>
    </row>
    <row r="37" spans="1:1" s="76" customFormat="1" ht="15.6" x14ac:dyDescent="0.25">
      <c r="A37" s="699" t="s">
        <v>526</v>
      </c>
    </row>
    <row r="38" spans="1:1" s="147" customFormat="1" ht="15.6" x14ac:dyDescent="0.25">
      <c r="A38" s="699" t="s">
        <v>516</v>
      </c>
    </row>
    <row r="39" spans="1:1" s="147" customFormat="1" ht="15.6" x14ac:dyDescent="0.25">
      <c r="A39" s="699" t="s">
        <v>527</v>
      </c>
    </row>
    <row r="40" spans="1:1" s="147" customFormat="1" x14ac:dyDescent="0.25">
      <c r="A40" s="230"/>
    </row>
    <row r="41" spans="1:1" s="147" customFormat="1" ht="15.6" x14ac:dyDescent="0.25">
      <c r="A41" s="699"/>
    </row>
    <row r="42" spans="1:1" s="147" customFormat="1" ht="15.6" x14ac:dyDescent="0.25">
      <c r="A42" s="699"/>
    </row>
    <row r="43" spans="1:1" s="76" customFormat="1" x14ac:dyDescent="0.25">
      <c r="A43" s="528"/>
    </row>
    <row r="44" spans="1:1" s="76" customFormat="1" x14ac:dyDescent="0.25">
      <c r="A44" s="528" t="str">
        <f>+Util_Statistics!C4</f>
        <v>UTILIZATION PROJECTIONS--TABLE 7</v>
      </c>
    </row>
    <row r="45" spans="1:1" s="76" customFormat="1" ht="31.2" x14ac:dyDescent="0.25">
      <c r="A45" s="699" t="s">
        <v>496</v>
      </c>
    </row>
    <row r="46" spans="1:1" s="76" customFormat="1" ht="15.6" x14ac:dyDescent="0.25">
      <c r="A46" s="699" t="s">
        <v>497</v>
      </c>
    </row>
    <row r="47" spans="1:1" s="76" customFormat="1" x14ac:dyDescent="0.25">
      <c r="A47" s="528"/>
    </row>
    <row r="48" spans="1:1" s="76" customFormat="1" x14ac:dyDescent="0.25">
      <c r="A48" s="528"/>
    </row>
    <row r="49" spans="1:5" s="76" customFormat="1" x14ac:dyDescent="0.25">
      <c r="A49" s="528" t="str">
        <f>+STAFF!D5</f>
        <v xml:space="preserve"> STAFFING REPORT- Table 8</v>
      </c>
    </row>
    <row r="50" spans="1:5" s="76" customFormat="1" x14ac:dyDescent="0.25">
      <c r="A50" s="528"/>
    </row>
    <row r="51" spans="1:5" ht="26.4" x14ac:dyDescent="0.25">
      <c r="A51" s="528" t="s">
        <v>517</v>
      </c>
      <c r="B51" s="30"/>
      <c r="C51" s="76"/>
      <c r="D51" s="76"/>
      <c r="E51" s="76"/>
    </row>
    <row r="52" spans="1:5" x14ac:dyDescent="0.25">
      <c r="A52" s="703"/>
    </row>
    <row r="55" spans="1:5" x14ac:dyDescent="0.25">
      <c r="A55" s="528"/>
    </row>
    <row r="56" spans="1:5" s="76" customFormat="1" x14ac:dyDescent="0.25">
      <c r="A56" s="527"/>
    </row>
    <row r="57" spans="1:5" s="76" customFormat="1" x14ac:dyDescent="0.25">
      <c r="A57" s="527"/>
    </row>
  </sheetData>
  <mergeCells count="3">
    <mergeCell ref="A3:D3"/>
    <mergeCell ref="A2:D2"/>
    <mergeCell ref="A1:D1"/>
  </mergeCells>
  <pageMargins left="0.7" right="0.7" top="0.75" bottom="0.75" header="0.3" footer="0.3"/>
  <pageSetup scale="54" orientation="landscape" r:id="rId1"/>
  <headerFooter>
    <oddFooter>&amp;L&amp;D&amp;CGMCB&amp;R&amp;A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zoomScale="75" zoomScaleNormal="75" workbookViewId="0">
      <selection activeCell="A6" sqref="A6:XFD7"/>
    </sheetView>
  </sheetViews>
  <sheetFormatPr defaultColWidth="9.109375" defaultRowHeight="13.2" x14ac:dyDescent="0.25"/>
  <cols>
    <col min="1" max="1" width="8" style="76" customWidth="1"/>
    <col min="2" max="2" width="7.88671875" style="76" customWidth="1"/>
    <col min="3" max="3" width="36.5546875" style="76" customWidth="1"/>
    <col min="4" max="4" width="2.88671875" style="76" customWidth="1"/>
    <col min="5" max="5" width="16.88671875" style="76" customWidth="1"/>
    <col min="6" max="6" width="4.6640625" style="76" customWidth="1"/>
    <col min="7" max="7" width="9.109375" style="76"/>
    <col min="8" max="8" width="14.6640625" style="76" customWidth="1"/>
    <col min="9" max="9" width="16" style="76" customWidth="1"/>
    <col min="10" max="14" width="9.109375" style="76"/>
    <col min="15" max="15" width="12.33203125" style="76" bestFit="1" customWidth="1"/>
    <col min="16" max="16384" width="9.109375" style="76"/>
  </cols>
  <sheetData>
    <row r="1" spans="1:8" s="78" customFormat="1" ht="13.8" x14ac:dyDescent="0.25">
      <c r="A1" s="588" t="str">
        <f>+Assumptions!A2</f>
        <v>BRATTLEBORO MEMORIAL HOSPITAL</v>
      </c>
      <c r="B1" s="588"/>
      <c r="C1" s="588"/>
      <c r="D1" s="588"/>
      <c r="E1" s="588"/>
      <c r="F1" s="588"/>
      <c r="G1" s="588"/>
    </row>
    <row r="2" spans="1:8" s="78" customFormat="1" ht="15.6" x14ac:dyDescent="0.3">
      <c r="A2" s="587" t="str">
        <f>+PL!D4</f>
        <v>Modernization Project</v>
      </c>
      <c r="B2" s="587"/>
      <c r="C2" s="587"/>
      <c r="D2" s="587"/>
      <c r="E2" s="587"/>
      <c r="F2" s="587"/>
      <c r="G2" s="587"/>
    </row>
    <row r="3" spans="1:8" s="78" customFormat="1" ht="13.8" x14ac:dyDescent="0.25">
      <c r="A3" s="586" t="s">
        <v>66</v>
      </c>
      <c r="B3" s="586"/>
      <c r="C3" s="586"/>
      <c r="D3" s="586"/>
      <c r="E3" s="586"/>
      <c r="F3" s="586"/>
    </row>
    <row r="4" spans="1:8" s="78" customFormat="1" ht="13.8" x14ac:dyDescent="0.25">
      <c r="A4" s="586" t="s">
        <v>67</v>
      </c>
      <c r="B4" s="586"/>
      <c r="C4" s="586"/>
      <c r="D4" s="586"/>
      <c r="E4" s="586"/>
      <c r="F4" s="586"/>
    </row>
    <row r="5" spans="1:8" ht="6.9" customHeight="1" x14ac:dyDescent="0.3">
      <c r="A5" s="587"/>
      <c r="B5" s="587"/>
      <c r="C5" s="587"/>
      <c r="D5" s="587"/>
      <c r="E5" s="587"/>
      <c r="F5" s="587"/>
    </row>
    <row r="6" spans="1:8" ht="5.0999999999999996" customHeight="1" x14ac:dyDescent="0.25"/>
    <row r="7" spans="1:8" ht="5.0999999999999996" customHeight="1" x14ac:dyDescent="0.25"/>
    <row r="8" spans="1:8" ht="15.6" x14ac:dyDescent="0.3">
      <c r="A8" s="79" t="s">
        <v>68</v>
      </c>
      <c r="B8" s="80"/>
      <c r="C8" s="80"/>
      <c r="D8" s="80"/>
      <c r="E8" s="81"/>
    </row>
    <row r="9" spans="1:8" ht="15" x14ac:dyDescent="0.25">
      <c r="A9" s="82" t="s">
        <v>69</v>
      </c>
      <c r="B9" s="83" t="s">
        <v>70</v>
      </c>
      <c r="C9" s="84"/>
      <c r="D9" s="84"/>
      <c r="E9" s="85">
        <f>12616740-E11</f>
        <v>12044188</v>
      </c>
      <c r="G9" s="230"/>
    </row>
    <row r="10" spans="1:8" ht="15" x14ac:dyDescent="0.25">
      <c r="A10" s="82" t="s">
        <v>71</v>
      </c>
      <c r="B10" s="83" t="s">
        <v>72</v>
      </c>
      <c r="C10" s="84"/>
      <c r="D10" s="84"/>
      <c r="E10" s="86">
        <v>1905688</v>
      </c>
      <c r="G10" s="230"/>
    </row>
    <row r="11" spans="1:8" ht="15" x14ac:dyDescent="0.25">
      <c r="A11" s="82" t="s">
        <v>73</v>
      </c>
      <c r="B11" s="83" t="s">
        <v>74</v>
      </c>
      <c r="C11" s="84"/>
      <c r="D11" s="84"/>
      <c r="E11" s="87">
        <v>572552</v>
      </c>
      <c r="G11" s="230"/>
    </row>
    <row r="12" spans="1:8" ht="15" x14ac:dyDescent="0.25">
      <c r="A12" s="82" t="s">
        <v>75</v>
      </c>
      <c r="B12" s="83" t="s">
        <v>76</v>
      </c>
      <c r="C12" s="84"/>
      <c r="D12" s="84"/>
      <c r="E12" s="87">
        <v>506165</v>
      </c>
      <c r="G12" s="230"/>
    </row>
    <row r="13" spans="1:8" ht="15" x14ac:dyDescent="0.25">
      <c r="A13" s="82" t="s">
        <v>77</v>
      </c>
      <c r="B13" s="83" t="s">
        <v>78</v>
      </c>
      <c r="C13" s="84"/>
      <c r="D13" s="84"/>
      <c r="E13" s="86">
        <v>726119</v>
      </c>
      <c r="G13" s="230"/>
    </row>
    <row r="14" spans="1:8" ht="15" x14ac:dyDescent="0.25">
      <c r="A14" s="82" t="s">
        <v>79</v>
      </c>
      <c r="B14" s="83" t="s">
        <v>80</v>
      </c>
      <c r="C14" s="84"/>
      <c r="D14" s="84"/>
      <c r="E14" s="86">
        <v>1524855</v>
      </c>
      <c r="G14" s="230"/>
    </row>
    <row r="15" spans="1:8" ht="15" x14ac:dyDescent="0.25">
      <c r="A15" s="82" t="s">
        <v>81</v>
      </c>
      <c r="B15" s="83" t="s">
        <v>82</v>
      </c>
      <c r="C15" s="84"/>
      <c r="D15" s="84"/>
      <c r="E15" s="87">
        <v>461269</v>
      </c>
      <c r="G15" s="230"/>
      <c r="H15" s="230" t="s">
        <v>525</v>
      </c>
    </row>
    <row r="16" spans="1:8" ht="15" x14ac:dyDescent="0.25">
      <c r="A16" s="82" t="s">
        <v>83</v>
      </c>
      <c r="B16" s="83" t="s">
        <v>84</v>
      </c>
      <c r="C16" s="84"/>
      <c r="D16" s="84"/>
      <c r="E16" s="88">
        <v>0</v>
      </c>
      <c r="H16" s="230" t="s">
        <v>525</v>
      </c>
    </row>
    <row r="17" spans="1:8" ht="15" x14ac:dyDescent="0.25">
      <c r="A17" s="89"/>
      <c r="B17" s="84"/>
      <c r="C17" s="90" t="s">
        <v>85</v>
      </c>
      <c r="D17" s="84"/>
      <c r="E17" s="91">
        <f>SUM(E9:E16)</f>
        <v>17740836</v>
      </c>
      <c r="H17" s="230" t="s">
        <v>525</v>
      </c>
    </row>
    <row r="18" spans="1:8" ht="5.0999999999999996" customHeight="1" x14ac:dyDescent="0.25">
      <c r="A18" s="89"/>
      <c r="B18" s="84"/>
      <c r="C18" s="84"/>
      <c r="D18" s="84"/>
      <c r="E18" s="92"/>
      <c r="H18" s="230" t="s">
        <v>525</v>
      </c>
    </row>
    <row r="19" spans="1:8" ht="15.6" x14ac:dyDescent="0.3">
      <c r="A19" s="93" t="s">
        <v>86</v>
      </c>
      <c r="B19" s="84"/>
      <c r="C19" s="84"/>
      <c r="D19" s="84"/>
      <c r="E19" s="92"/>
      <c r="H19" s="230" t="s">
        <v>525</v>
      </c>
    </row>
    <row r="20" spans="1:8" ht="15" x14ac:dyDescent="0.25">
      <c r="A20" s="82" t="s">
        <v>69</v>
      </c>
      <c r="B20" s="83" t="s">
        <v>87</v>
      </c>
      <c r="C20" s="83"/>
      <c r="D20" s="84"/>
      <c r="E20" s="85">
        <v>1705130</v>
      </c>
      <c r="G20" s="230"/>
      <c r="H20" s="230" t="s">
        <v>525</v>
      </c>
    </row>
    <row r="21" spans="1:8" ht="15" x14ac:dyDescent="0.25">
      <c r="A21" s="82" t="s">
        <v>71</v>
      </c>
      <c r="B21" s="83" t="s">
        <v>88</v>
      </c>
      <c r="C21" s="83"/>
      <c r="D21" s="84"/>
      <c r="E21" s="86"/>
      <c r="H21" s="230" t="s">
        <v>525</v>
      </c>
    </row>
    <row r="22" spans="1:8" ht="15" x14ac:dyDescent="0.25">
      <c r="A22" s="82" t="s">
        <v>73</v>
      </c>
      <c r="B22" s="83" t="s">
        <v>89</v>
      </c>
      <c r="C22" s="83"/>
      <c r="D22" s="84"/>
      <c r="E22" s="86">
        <v>2160394</v>
      </c>
      <c r="G22" s="550">
        <f>+E22/E17</f>
        <v>0.1217752083385473</v>
      </c>
      <c r="H22" s="230" t="s">
        <v>525</v>
      </c>
    </row>
    <row r="23" spans="1:8" ht="15" x14ac:dyDescent="0.25">
      <c r="A23" s="82" t="s">
        <v>75</v>
      </c>
      <c r="B23" s="83" t="s">
        <v>90</v>
      </c>
      <c r="C23" s="83"/>
      <c r="D23" s="84"/>
      <c r="E23" s="87"/>
    </row>
    <row r="24" spans="1:8" ht="15" x14ac:dyDescent="0.25">
      <c r="A24" s="82" t="s">
        <v>77</v>
      </c>
      <c r="B24" s="83" t="s">
        <v>91</v>
      </c>
      <c r="C24" s="83"/>
      <c r="D24" s="84"/>
      <c r="E24" s="87"/>
    </row>
    <row r="25" spans="1:8" ht="15" x14ac:dyDescent="0.25">
      <c r="A25" s="82" t="s">
        <v>79</v>
      </c>
      <c r="B25" s="83" t="s">
        <v>92</v>
      </c>
      <c r="C25" s="83"/>
      <c r="D25" s="84"/>
      <c r="E25" s="86">
        <v>703096</v>
      </c>
      <c r="G25" s="11"/>
      <c r="H25" s="230" t="s">
        <v>525</v>
      </c>
    </row>
    <row r="26" spans="1:8" ht="15" x14ac:dyDescent="0.25">
      <c r="A26" s="94" t="s">
        <v>81</v>
      </c>
      <c r="B26" s="84" t="s">
        <v>93</v>
      </c>
      <c r="C26" s="84"/>
      <c r="D26" s="84"/>
      <c r="E26" s="95">
        <f>E52</f>
        <v>383333</v>
      </c>
      <c r="G26" s="96"/>
      <c r="H26" s="11"/>
    </row>
    <row r="27" spans="1:8" ht="15" x14ac:dyDescent="0.25">
      <c r="A27" s="82" t="s">
        <v>83</v>
      </c>
      <c r="B27" s="83" t="s">
        <v>94</v>
      </c>
      <c r="C27" s="83"/>
      <c r="D27" s="84"/>
      <c r="E27" s="87">
        <v>0</v>
      </c>
      <c r="G27" s="11"/>
      <c r="H27" s="11"/>
    </row>
    <row r="28" spans="1:8" ht="15" x14ac:dyDescent="0.25">
      <c r="A28" s="82" t="s">
        <v>95</v>
      </c>
      <c r="B28" s="83" t="s">
        <v>96</v>
      </c>
      <c r="C28" s="83"/>
      <c r="D28" s="84"/>
      <c r="E28" s="87">
        <v>0</v>
      </c>
    </row>
    <row r="29" spans="1:8" ht="15" x14ac:dyDescent="0.25">
      <c r="A29" s="82" t="s">
        <v>97</v>
      </c>
      <c r="B29" s="83" t="s">
        <v>84</v>
      </c>
      <c r="C29" s="83"/>
      <c r="D29" s="84"/>
      <c r="E29" s="87">
        <v>0</v>
      </c>
    </row>
    <row r="30" spans="1:8" ht="15" x14ac:dyDescent="0.25">
      <c r="A30" s="82"/>
      <c r="B30" s="83"/>
      <c r="C30" s="83"/>
      <c r="D30" s="84"/>
      <c r="E30" s="87">
        <v>0</v>
      </c>
    </row>
    <row r="31" spans="1:8" ht="15" x14ac:dyDescent="0.25">
      <c r="A31" s="82"/>
      <c r="B31" s="83"/>
      <c r="C31" s="83"/>
      <c r="D31" s="84"/>
      <c r="E31" s="87">
        <v>0</v>
      </c>
    </row>
    <row r="32" spans="1:8" ht="15" x14ac:dyDescent="0.25">
      <c r="A32" s="89"/>
      <c r="B32" s="84"/>
      <c r="C32" s="90" t="s">
        <v>85</v>
      </c>
      <c r="D32" s="84"/>
      <c r="E32" s="91">
        <f>SUM(E20:E31)</f>
        <v>4951953</v>
      </c>
    </row>
    <row r="33" spans="1:15" ht="15" x14ac:dyDescent="0.25">
      <c r="A33" s="89"/>
      <c r="B33" s="84"/>
      <c r="C33" s="84"/>
      <c r="D33" s="84"/>
      <c r="E33" s="92"/>
      <c r="I33" s="230" t="s">
        <v>494</v>
      </c>
    </row>
    <row r="34" spans="1:15" ht="16.2" thickBot="1" x14ac:dyDescent="0.35">
      <c r="A34" s="93" t="s">
        <v>98</v>
      </c>
      <c r="B34" s="84"/>
      <c r="C34" s="84"/>
      <c r="D34" s="84"/>
      <c r="E34" s="97">
        <f>E17+E32</f>
        <v>22692789</v>
      </c>
      <c r="H34" s="524"/>
      <c r="I34" s="525">
        <v>22692789</v>
      </c>
      <c r="J34" s="526">
        <f>+E34-I34</f>
        <v>0</v>
      </c>
    </row>
    <row r="35" spans="1:15" ht="13.8" thickTop="1" x14ac:dyDescent="0.25">
      <c r="A35" s="98"/>
      <c r="B35" s="99"/>
      <c r="C35" s="99"/>
      <c r="D35" s="99"/>
      <c r="E35" s="100"/>
      <c r="F35" s="11"/>
      <c r="G35" s="11"/>
    </row>
    <row r="36" spans="1:15" ht="5.0999999999999996" customHeight="1" thickBot="1" x14ac:dyDescent="0.3">
      <c r="A36" s="101"/>
      <c r="B36" s="101"/>
      <c r="C36" s="101"/>
      <c r="D36" s="101"/>
      <c r="E36" s="101"/>
      <c r="F36" s="11"/>
    </row>
    <row r="37" spans="1:15" ht="5.0999999999999996" customHeight="1" x14ac:dyDescent="0.25">
      <c r="F37" s="11"/>
      <c r="O37" s="102"/>
    </row>
    <row r="38" spans="1:15" ht="15.6" x14ac:dyDescent="0.3">
      <c r="A38" s="79" t="s">
        <v>99</v>
      </c>
      <c r="B38" s="80"/>
      <c r="C38" s="80"/>
      <c r="D38" s="80"/>
      <c r="E38" s="81"/>
      <c r="O38" s="102"/>
    </row>
    <row r="39" spans="1:15" ht="15" x14ac:dyDescent="0.25">
      <c r="A39" s="82" t="s">
        <v>69</v>
      </c>
      <c r="B39" s="83" t="s">
        <v>100</v>
      </c>
      <c r="C39" s="84"/>
      <c r="D39" s="84"/>
      <c r="E39" s="85">
        <f>187500</f>
        <v>187500</v>
      </c>
      <c r="H39" s="230" t="s">
        <v>525</v>
      </c>
    </row>
    <row r="40" spans="1:15" ht="15" x14ac:dyDescent="0.25">
      <c r="A40" s="82" t="s">
        <v>71</v>
      </c>
      <c r="B40" s="83" t="s">
        <v>101</v>
      </c>
      <c r="C40" s="84"/>
      <c r="D40" s="84"/>
      <c r="E40" s="87">
        <v>0</v>
      </c>
    </row>
    <row r="41" spans="1:15" ht="15" x14ac:dyDescent="0.25">
      <c r="A41" s="82" t="s">
        <v>73</v>
      </c>
      <c r="B41" s="83" t="s">
        <v>102</v>
      </c>
      <c r="C41" s="84"/>
      <c r="D41" s="84"/>
      <c r="E41" s="87">
        <f>10000000*0.02</f>
        <v>200000</v>
      </c>
      <c r="H41" s="230" t="s">
        <v>525</v>
      </c>
    </row>
    <row r="42" spans="1:15" ht="15" x14ac:dyDescent="0.25">
      <c r="A42" s="82" t="s">
        <v>75</v>
      </c>
      <c r="B42" s="83" t="s">
        <v>103</v>
      </c>
      <c r="C42" s="84"/>
      <c r="D42" s="84"/>
      <c r="E42" s="88">
        <v>0</v>
      </c>
    </row>
    <row r="43" spans="1:15" ht="15" x14ac:dyDescent="0.25">
      <c r="A43" s="89"/>
      <c r="B43" s="84"/>
      <c r="C43" s="84" t="s">
        <v>85</v>
      </c>
      <c r="D43" s="84"/>
      <c r="E43" s="103">
        <f>SUM(E39:E42)</f>
        <v>387500</v>
      </c>
    </row>
    <row r="44" spans="1:15" ht="5.0999999999999996" customHeight="1" x14ac:dyDescent="0.25">
      <c r="A44" s="89"/>
      <c r="B44" s="84"/>
      <c r="C44" s="84"/>
      <c r="D44" s="84"/>
      <c r="E44" s="92"/>
    </row>
    <row r="45" spans="1:15" ht="15.6" x14ac:dyDescent="0.3">
      <c r="A45" s="93" t="s">
        <v>104</v>
      </c>
      <c r="B45" s="84"/>
      <c r="C45" s="84"/>
      <c r="D45" s="84"/>
      <c r="E45" s="92"/>
    </row>
    <row r="46" spans="1:15" ht="15" x14ac:dyDescent="0.25">
      <c r="A46" s="82" t="s">
        <v>69</v>
      </c>
      <c r="B46" s="83" t="s">
        <v>105</v>
      </c>
      <c r="C46" s="84"/>
      <c r="D46" s="84"/>
      <c r="E46" s="85">
        <v>0</v>
      </c>
    </row>
    <row r="47" spans="1:15" ht="15" x14ac:dyDescent="0.25">
      <c r="A47" s="82" t="s">
        <v>71</v>
      </c>
      <c r="B47" s="83" t="s">
        <v>106</v>
      </c>
      <c r="C47" s="84"/>
      <c r="D47" s="84"/>
      <c r="E47" s="87">
        <v>0</v>
      </c>
    </row>
    <row r="48" spans="1:15" ht="15" x14ac:dyDescent="0.25">
      <c r="A48" s="82" t="s">
        <v>73</v>
      </c>
      <c r="B48" s="83" t="s">
        <v>107</v>
      </c>
      <c r="C48" s="84"/>
      <c r="D48" s="84"/>
      <c r="E48" s="87">
        <v>4167</v>
      </c>
      <c r="H48" s="230" t="s">
        <v>525</v>
      </c>
    </row>
    <row r="49" spans="1:5" ht="15" x14ac:dyDescent="0.25">
      <c r="A49" s="82" t="s">
        <v>75</v>
      </c>
      <c r="B49" s="83" t="s">
        <v>103</v>
      </c>
      <c r="C49" s="84"/>
      <c r="D49" s="84"/>
      <c r="E49" s="88">
        <v>0</v>
      </c>
    </row>
    <row r="50" spans="1:5" ht="15" x14ac:dyDescent="0.25">
      <c r="A50" s="89"/>
      <c r="B50" s="84"/>
      <c r="C50" s="84" t="s">
        <v>85</v>
      </c>
      <c r="D50" s="84"/>
      <c r="E50" s="104">
        <f>SUM(E46:E49)</f>
        <v>4167</v>
      </c>
    </row>
    <row r="51" spans="1:5" ht="5.0999999999999996" customHeight="1" x14ac:dyDescent="0.25">
      <c r="A51" s="89"/>
      <c r="B51" s="84"/>
      <c r="C51" s="84"/>
      <c r="D51" s="84"/>
      <c r="E51" s="92"/>
    </row>
    <row r="52" spans="1:5" ht="16.2" thickBot="1" x14ac:dyDescent="0.35">
      <c r="A52" s="93" t="s">
        <v>108</v>
      </c>
      <c r="B52" s="84"/>
      <c r="C52" s="84"/>
      <c r="D52" s="84"/>
      <c r="E52" s="97">
        <f>E43-E50</f>
        <v>383333</v>
      </c>
    </row>
    <row r="53" spans="1:5" ht="13.8" thickTop="1" x14ac:dyDescent="0.25">
      <c r="A53" s="98"/>
      <c r="B53" s="99" t="s">
        <v>109</v>
      </c>
      <c r="C53" s="99"/>
      <c r="D53" s="99"/>
      <c r="E53" s="100"/>
    </row>
    <row r="56" spans="1:5" x14ac:dyDescent="0.25">
      <c r="A56" s="76" t="s">
        <v>110</v>
      </c>
    </row>
  </sheetData>
  <mergeCells count="5">
    <mergeCell ref="A3:F3"/>
    <mergeCell ref="A4:F4"/>
    <mergeCell ref="A5:F5"/>
    <mergeCell ref="A1:G1"/>
    <mergeCell ref="A2:G2"/>
  </mergeCells>
  <printOptions horizontalCentered="1"/>
  <pageMargins left="0.25" right="0.25" top="0.79" bottom="0.75" header="0.5" footer="0.5"/>
  <pageSetup orientation="portrait" r:id="rId1"/>
  <headerFooter alignWithMargins="0">
    <oddHeader>&amp;L&amp;"Arial,Italic"&amp;11NOTE: When completing this table make entries in the shaded fields only.</oddHeader>
    <oddFooter>&amp;L&amp;D
Health Care Administration&amp;R&amp;F,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activeCell="G39" sqref="G39"/>
    </sheetView>
  </sheetViews>
  <sheetFormatPr defaultColWidth="9.109375" defaultRowHeight="13.2" x14ac:dyDescent="0.25"/>
  <cols>
    <col min="1" max="1" width="8" style="76" customWidth="1"/>
    <col min="2" max="2" width="4.44140625" style="76" customWidth="1"/>
    <col min="3" max="3" width="17.109375" style="76" customWidth="1"/>
    <col min="4" max="4" width="9.88671875" style="76" customWidth="1"/>
    <col min="5" max="5" width="4.88671875" style="76" customWidth="1"/>
    <col min="6" max="6" width="9.44140625" style="76" customWidth="1"/>
    <col min="7" max="7" width="15.88671875" style="76" customWidth="1"/>
    <col min="8" max="8" width="9.109375" style="76"/>
    <col min="9" max="9" width="13.6640625" style="76" customWidth="1"/>
    <col min="10" max="16384" width="9.109375" style="76"/>
  </cols>
  <sheetData>
    <row r="1" spans="1:11" s="78" customFormat="1" ht="13.8" x14ac:dyDescent="0.25">
      <c r="A1" s="588" t="str">
        <f>+Assumptions!A2</f>
        <v>BRATTLEBORO MEMORIAL HOSPITAL</v>
      </c>
      <c r="B1" s="588"/>
      <c r="C1" s="588"/>
      <c r="D1" s="588"/>
      <c r="E1" s="588"/>
      <c r="F1" s="588"/>
      <c r="G1" s="588"/>
      <c r="H1" s="105"/>
      <c r="I1" s="105"/>
      <c r="J1" s="105"/>
      <c r="K1" s="105"/>
    </row>
    <row r="2" spans="1:11" s="78" customFormat="1" ht="15.6" x14ac:dyDescent="0.3">
      <c r="A2" s="587" t="str">
        <f>+PL!D4</f>
        <v>Modernization Project</v>
      </c>
      <c r="B2" s="587"/>
      <c r="C2" s="587"/>
      <c r="D2" s="587"/>
      <c r="E2" s="587"/>
      <c r="F2" s="587"/>
      <c r="G2" s="587"/>
      <c r="H2" s="105"/>
      <c r="I2" s="105"/>
      <c r="J2" s="105"/>
      <c r="K2" s="105"/>
    </row>
    <row r="3" spans="1:11" s="78" customFormat="1" ht="13.8" x14ac:dyDescent="0.25">
      <c r="A3" s="586" t="s">
        <v>111</v>
      </c>
      <c r="B3" s="586"/>
      <c r="C3" s="586"/>
      <c r="D3" s="586"/>
      <c r="E3" s="586"/>
      <c r="F3" s="586"/>
      <c r="G3" s="586"/>
      <c r="H3" s="105"/>
      <c r="I3" s="105"/>
      <c r="J3" s="105"/>
      <c r="K3" s="105"/>
    </row>
    <row r="4" spans="1:11" s="78" customFormat="1" ht="13.8" x14ac:dyDescent="0.25">
      <c r="A4" s="589" t="s">
        <v>112</v>
      </c>
      <c r="B4" s="589"/>
      <c r="C4" s="589"/>
      <c r="D4" s="589"/>
      <c r="E4" s="589"/>
      <c r="F4" s="589"/>
      <c r="G4" s="589"/>
      <c r="H4" s="105"/>
      <c r="I4" s="105"/>
      <c r="J4" s="105"/>
      <c r="K4" s="105"/>
    </row>
    <row r="5" spans="1:11" ht="15.75" customHeight="1" x14ac:dyDescent="0.25">
      <c r="A5" s="11"/>
      <c r="B5" s="11"/>
      <c r="C5" s="11"/>
      <c r="D5" s="11"/>
      <c r="E5" s="11"/>
      <c r="F5" s="11"/>
      <c r="G5" s="11"/>
      <c r="H5" s="11"/>
      <c r="I5" s="11"/>
      <c r="J5" s="11"/>
      <c r="K5" s="11"/>
    </row>
    <row r="6" spans="1:11" ht="15.75" customHeight="1" x14ac:dyDescent="0.25"/>
    <row r="7" spans="1:11" ht="15.75" customHeight="1" x14ac:dyDescent="0.3">
      <c r="A7" s="79" t="s">
        <v>113</v>
      </c>
      <c r="B7" s="106"/>
      <c r="C7" s="106"/>
      <c r="D7" s="106"/>
      <c r="E7" s="106"/>
      <c r="F7" s="106"/>
      <c r="G7" s="107"/>
    </row>
    <row r="8" spans="1:11" ht="15.75" customHeight="1" x14ac:dyDescent="0.25">
      <c r="A8" s="108"/>
      <c r="B8" s="11"/>
      <c r="C8" s="11"/>
      <c r="D8" s="11"/>
      <c r="E8" s="11"/>
      <c r="F8" s="11"/>
      <c r="G8" s="109"/>
    </row>
    <row r="9" spans="1:11" ht="15.75" customHeight="1" x14ac:dyDescent="0.25">
      <c r="A9" s="110" t="s">
        <v>69</v>
      </c>
      <c r="B9" s="111" t="s">
        <v>114</v>
      </c>
      <c r="C9" s="11"/>
      <c r="D9" s="112" t="s">
        <v>115</v>
      </c>
      <c r="E9" s="11"/>
      <c r="F9" s="11"/>
      <c r="G9" s="109"/>
    </row>
    <row r="10" spans="1:11" ht="15.75" customHeight="1" x14ac:dyDescent="0.25">
      <c r="A10" s="113"/>
      <c r="B10" s="114" t="s">
        <v>116</v>
      </c>
      <c r="C10" s="111" t="s">
        <v>117</v>
      </c>
      <c r="D10" s="115">
        <v>2.5000000000000001E-2</v>
      </c>
      <c r="E10" s="11"/>
      <c r="F10" s="11"/>
      <c r="G10" s="116"/>
    </row>
    <row r="11" spans="1:11" ht="15.75" customHeight="1" x14ac:dyDescent="0.25">
      <c r="A11" s="113"/>
      <c r="B11" s="114" t="s">
        <v>118</v>
      </c>
      <c r="C11" s="111" t="s">
        <v>119</v>
      </c>
      <c r="D11" s="117">
        <f>DATE(2017,12,1)</f>
        <v>43070</v>
      </c>
      <c r="E11" s="118" t="s">
        <v>120</v>
      </c>
      <c r="F11" s="119">
        <f>EOMONTH(D11,25*12)</f>
        <v>52231</v>
      </c>
      <c r="G11" s="116"/>
    </row>
    <row r="12" spans="1:11" ht="15.75" customHeight="1" x14ac:dyDescent="0.25">
      <c r="A12" s="113"/>
      <c r="B12" s="114" t="s">
        <v>121</v>
      </c>
      <c r="C12" s="111" t="s">
        <v>122</v>
      </c>
      <c r="D12" s="11"/>
      <c r="E12" s="11"/>
      <c r="F12" s="11"/>
      <c r="G12" s="120">
        <v>10000000</v>
      </c>
    </row>
    <row r="13" spans="1:11" ht="15.75" customHeight="1" x14ac:dyDescent="0.25">
      <c r="A13" s="110" t="s">
        <v>71</v>
      </c>
      <c r="B13" s="111" t="s">
        <v>123</v>
      </c>
      <c r="C13" s="11"/>
      <c r="D13" s="11"/>
      <c r="E13" s="11"/>
      <c r="F13" s="11"/>
      <c r="G13" s="121">
        <f>+'Table 1'!E34-'Table 2'!G12</f>
        <v>12692789</v>
      </c>
    </row>
    <row r="14" spans="1:11" ht="15.75" customHeight="1" x14ac:dyDescent="0.25">
      <c r="A14" s="110" t="s">
        <v>73</v>
      </c>
      <c r="B14" s="111" t="s">
        <v>124</v>
      </c>
      <c r="C14" s="11"/>
      <c r="D14" s="11"/>
      <c r="E14" s="11"/>
      <c r="F14" s="11"/>
      <c r="G14" s="122"/>
    </row>
    <row r="15" spans="1:11" ht="15.75" customHeight="1" x14ac:dyDescent="0.25">
      <c r="A15" s="123"/>
      <c r="B15" s="124" t="s">
        <v>116</v>
      </c>
      <c r="C15" s="111" t="s">
        <v>96</v>
      </c>
      <c r="D15" s="125"/>
      <c r="E15" s="126"/>
      <c r="F15" s="11"/>
      <c r="G15" s="121">
        <v>0</v>
      </c>
    </row>
    <row r="16" spans="1:11" ht="15.75" customHeight="1" x14ac:dyDescent="0.25">
      <c r="A16" s="123"/>
      <c r="B16" s="124" t="s">
        <v>118</v>
      </c>
      <c r="C16" s="111" t="s">
        <v>125</v>
      </c>
      <c r="D16" s="127"/>
      <c r="E16" s="126"/>
      <c r="F16" s="11"/>
      <c r="G16" s="121">
        <v>0</v>
      </c>
    </row>
    <row r="17" spans="1:9" ht="15.75" customHeight="1" x14ac:dyDescent="0.25">
      <c r="A17" s="123"/>
      <c r="B17" s="124" t="s">
        <v>121</v>
      </c>
      <c r="C17" s="111" t="s">
        <v>126</v>
      </c>
      <c r="D17" s="128"/>
      <c r="E17" s="129"/>
      <c r="F17" s="111"/>
      <c r="G17" s="121">
        <v>0</v>
      </c>
    </row>
    <row r="18" spans="1:9" ht="15.75" customHeight="1" x14ac:dyDescent="0.25">
      <c r="A18" s="123"/>
      <c r="B18" s="124" t="s">
        <v>127</v>
      </c>
      <c r="C18" s="111" t="s">
        <v>103</v>
      </c>
      <c r="D18" s="11"/>
      <c r="E18" s="11"/>
      <c r="F18" s="11"/>
      <c r="G18" s="130">
        <v>0</v>
      </c>
    </row>
    <row r="19" spans="1:9" ht="15.75" customHeight="1" x14ac:dyDescent="0.25">
      <c r="A19" s="113"/>
      <c r="B19" s="11"/>
      <c r="C19" s="11"/>
      <c r="D19" s="11"/>
      <c r="E19" s="11"/>
      <c r="F19" s="11"/>
      <c r="G19" s="116"/>
    </row>
    <row r="20" spans="1:9" ht="15.75" customHeight="1" thickBot="1" x14ac:dyDescent="0.3">
      <c r="A20" s="108" t="s">
        <v>128</v>
      </c>
      <c r="B20" s="11"/>
      <c r="C20" s="11"/>
      <c r="D20" s="11"/>
      <c r="E20" s="11"/>
      <c r="F20" s="11"/>
      <c r="G20" s="131">
        <f>SUM(G12:G18)</f>
        <v>22692789</v>
      </c>
    </row>
    <row r="21" spans="1:9" ht="15.75" customHeight="1" thickTop="1" x14ac:dyDescent="0.25">
      <c r="A21" s="98"/>
      <c r="B21" s="99"/>
      <c r="C21" s="99"/>
      <c r="D21" s="99"/>
      <c r="E21" s="99"/>
      <c r="F21" s="99"/>
      <c r="G21" s="100"/>
    </row>
    <row r="22" spans="1:9" ht="15.75" customHeight="1" x14ac:dyDescent="0.25"/>
    <row r="23" spans="1:9" ht="15.75" customHeight="1" x14ac:dyDescent="0.3">
      <c r="A23" s="79" t="s">
        <v>129</v>
      </c>
      <c r="B23" s="106"/>
      <c r="C23" s="106"/>
      <c r="D23" s="106"/>
      <c r="E23" s="106"/>
      <c r="F23" s="106"/>
      <c r="G23" s="107"/>
    </row>
    <row r="24" spans="1:9" ht="15.75" customHeight="1" x14ac:dyDescent="0.25">
      <c r="A24" s="108"/>
      <c r="B24" s="11"/>
      <c r="C24" s="11"/>
      <c r="D24" s="11"/>
      <c r="E24" s="11"/>
      <c r="F24" s="11"/>
      <c r="G24" s="109"/>
    </row>
    <row r="25" spans="1:9" ht="15.75" customHeight="1" x14ac:dyDescent="0.25">
      <c r="A25" s="132" t="s">
        <v>130</v>
      </c>
      <c r="B25" s="11"/>
      <c r="C25" s="11"/>
      <c r="D25" s="11"/>
      <c r="E25" s="11"/>
      <c r="F25" s="11"/>
      <c r="G25" s="109"/>
      <c r="I25" s="133" t="s">
        <v>131</v>
      </c>
    </row>
    <row r="26" spans="1:9" ht="15.75" customHeight="1" x14ac:dyDescent="0.25">
      <c r="A26" s="134" t="s">
        <v>69</v>
      </c>
      <c r="B26" s="11" t="s">
        <v>70</v>
      </c>
      <c r="C26" s="11"/>
      <c r="D26" s="11"/>
      <c r="E26" s="11"/>
      <c r="F26" s="11"/>
      <c r="G26" s="135">
        <f>'Table 1'!E9</f>
        <v>12044188</v>
      </c>
      <c r="I26" s="136">
        <f>G26-'Table 1'!E9</f>
        <v>0</v>
      </c>
    </row>
    <row r="27" spans="1:9" ht="15.75" customHeight="1" x14ac:dyDescent="0.25">
      <c r="A27" s="134" t="s">
        <v>71</v>
      </c>
      <c r="B27" s="11" t="s">
        <v>72</v>
      </c>
      <c r="C27" s="11"/>
      <c r="D27" s="11"/>
      <c r="E27" s="11"/>
      <c r="F27" s="11"/>
      <c r="G27" s="137">
        <f>'Table 1'!E10</f>
        <v>1905688</v>
      </c>
      <c r="I27" s="136">
        <f>G27-'Table 1'!E10</f>
        <v>0</v>
      </c>
    </row>
    <row r="28" spans="1:9" ht="15.75" customHeight="1" x14ac:dyDescent="0.25">
      <c r="A28" s="134" t="s">
        <v>73</v>
      </c>
      <c r="B28" s="11" t="s">
        <v>74</v>
      </c>
      <c r="C28" s="11"/>
      <c r="D28" s="11"/>
      <c r="E28" s="11"/>
      <c r="F28" s="11"/>
      <c r="G28" s="137">
        <f>'Table 1'!E11</f>
        <v>572552</v>
      </c>
      <c r="I28" s="136">
        <f>G28-'Table 1'!E11</f>
        <v>0</v>
      </c>
    </row>
    <row r="29" spans="1:9" ht="15.75" customHeight="1" x14ac:dyDescent="0.25">
      <c r="A29" s="134" t="s">
        <v>75</v>
      </c>
      <c r="B29" s="11" t="s">
        <v>76</v>
      </c>
      <c r="C29" s="11"/>
      <c r="D29" s="11"/>
      <c r="E29" s="11"/>
      <c r="F29" s="11"/>
      <c r="G29" s="137">
        <f>'Table 1'!E12</f>
        <v>506165</v>
      </c>
      <c r="I29" s="136">
        <f>G29-'Table 1'!E12</f>
        <v>0</v>
      </c>
    </row>
    <row r="30" spans="1:9" ht="15.75" customHeight="1" x14ac:dyDescent="0.25">
      <c r="A30" s="134" t="s">
        <v>77</v>
      </c>
      <c r="B30" s="11" t="s">
        <v>78</v>
      </c>
      <c r="C30" s="11"/>
      <c r="D30" s="11"/>
      <c r="E30" s="11"/>
      <c r="F30" s="11"/>
      <c r="G30" s="137">
        <f>'Table 1'!E13</f>
        <v>726119</v>
      </c>
      <c r="I30" s="136">
        <f>G30-'Table 1'!E13</f>
        <v>0</v>
      </c>
    </row>
    <row r="31" spans="1:9" ht="15.75" customHeight="1" x14ac:dyDescent="0.25">
      <c r="A31" s="134" t="s">
        <v>79</v>
      </c>
      <c r="B31" s="11" t="s">
        <v>80</v>
      </c>
      <c r="C31" s="11"/>
      <c r="D31" s="11"/>
      <c r="E31" s="11"/>
      <c r="F31" s="11"/>
      <c r="G31" s="137">
        <f>'Table 1'!E14</f>
        <v>1524855</v>
      </c>
      <c r="I31" s="136">
        <f>G31-'Table 1'!E14</f>
        <v>0</v>
      </c>
    </row>
    <row r="32" spans="1:9" ht="15.75" customHeight="1" x14ac:dyDescent="0.25">
      <c r="A32" s="134" t="s">
        <v>81</v>
      </c>
      <c r="B32" s="11" t="s">
        <v>82</v>
      </c>
      <c r="C32" s="11"/>
      <c r="D32" s="11"/>
      <c r="E32" s="11"/>
      <c r="F32" s="11"/>
      <c r="G32" s="137">
        <f>'Table 1'!E15</f>
        <v>461269</v>
      </c>
      <c r="I32" s="136">
        <f>G32-'Table 1'!E15</f>
        <v>0</v>
      </c>
    </row>
    <row r="33" spans="1:9" ht="15.75" customHeight="1" x14ac:dyDescent="0.25">
      <c r="A33" s="134" t="s">
        <v>83</v>
      </c>
      <c r="B33" s="11" t="s">
        <v>87</v>
      </c>
      <c r="C33" s="11"/>
      <c r="D33" s="11"/>
      <c r="E33" s="11"/>
      <c r="F33" s="11"/>
      <c r="G33" s="137">
        <f>'Table 1'!E20</f>
        <v>1705130</v>
      </c>
      <c r="I33" s="136">
        <f>G33-'Table 1'!E20</f>
        <v>0</v>
      </c>
    </row>
    <row r="34" spans="1:9" ht="15.75" customHeight="1" x14ac:dyDescent="0.25">
      <c r="A34" s="134" t="s">
        <v>95</v>
      </c>
      <c r="B34" s="11" t="s">
        <v>88</v>
      </c>
      <c r="C34" s="11"/>
      <c r="D34" s="11"/>
      <c r="E34" s="11"/>
      <c r="F34" s="11"/>
      <c r="G34" s="137">
        <f>'Table 1'!E21</f>
        <v>0</v>
      </c>
      <c r="I34" s="136">
        <f>G34-'Table 1'!E21</f>
        <v>0</v>
      </c>
    </row>
    <row r="35" spans="1:9" ht="15.75" customHeight="1" x14ac:dyDescent="0.25">
      <c r="A35" s="134" t="s">
        <v>97</v>
      </c>
      <c r="B35" s="11" t="s">
        <v>89</v>
      </c>
      <c r="C35" s="11"/>
      <c r="D35" s="11"/>
      <c r="E35" s="11"/>
      <c r="F35" s="11"/>
      <c r="G35" s="137">
        <f>'Table 1'!E22</f>
        <v>2160394</v>
      </c>
      <c r="I35" s="136">
        <f>G35-'Table 1'!E22</f>
        <v>0</v>
      </c>
    </row>
    <row r="36" spans="1:9" ht="15.75" customHeight="1" x14ac:dyDescent="0.25">
      <c r="A36" s="134" t="s">
        <v>132</v>
      </c>
      <c r="B36" s="11" t="s">
        <v>90</v>
      </c>
      <c r="C36" s="11"/>
      <c r="D36" s="11"/>
      <c r="E36" s="11"/>
      <c r="F36" s="11"/>
      <c r="G36" s="137">
        <f>'Table 1'!E23</f>
        <v>0</v>
      </c>
      <c r="I36" s="136">
        <f>G36-'Table 1'!E23</f>
        <v>0</v>
      </c>
    </row>
    <row r="37" spans="1:9" ht="15.75" customHeight="1" x14ac:dyDescent="0.25">
      <c r="A37" s="134" t="s">
        <v>133</v>
      </c>
      <c r="B37" s="11" t="s">
        <v>91</v>
      </c>
      <c r="C37" s="11"/>
      <c r="D37" s="11"/>
      <c r="E37" s="11"/>
      <c r="F37" s="11"/>
      <c r="G37" s="137">
        <f>'Table 1'!E24</f>
        <v>0</v>
      </c>
      <c r="I37" s="136">
        <f>G37-'Table 1'!E24</f>
        <v>0</v>
      </c>
    </row>
    <row r="38" spans="1:9" ht="15.75" customHeight="1" x14ac:dyDescent="0.25">
      <c r="A38" s="134" t="s">
        <v>134</v>
      </c>
      <c r="B38" s="11" t="s">
        <v>92</v>
      </c>
      <c r="C38" s="11"/>
      <c r="D38" s="11"/>
      <c r="E38" s="11"/>
      <c r="F38" s="11"/>
      <c r="G38" s="137">
        <f>'Table 1'!E25</f>
        <v>703096</v>
      </c>
      <c r="I38" s="136">
        <f>G38-'Table 1'!E25</f>
        <v>0</v>
      </c>
    </row>
    <row r="39" spans="1:9" ht="15.75" customHeight="1" x14ac:dyDescent="0.25">
      <c r="A39" s="134" t="s">
        <v>135</v>
      </c>
      <c r="B39" s="11" t="s">
        <v>99</v>
      </c>
      <c r="C39" s="11"/>
      <c r="D39" s="11"/>
      <c r="E39" s="11"/>
      <c r="F39" s="11"/>
      <c r="G39" s="137">
        <f>'Table 1'!E26</f>
        <v>383333</v>
      </c>
      <c r="I39" s="136">
        <f>G39-'Table 1'!E26</f>
        <v>0</v>
      </c>
    </row>
    <row r="40" spans="1:9" ht="15.75" customHeight="1" x14ac:dyDescent="0.25">
      <c r="A40" s="134" t="s">
        <v>136</v>
      </c>
      <c r="B40" s="11" t="s">
        <v>94</v>
      </c>
      <c r="C40" s="11"/>
      <c r="D40" s="11"/>
      <c r="E40" s="11"/>
      <c r="F40" s="11"/>
      <c r="G40" s="137">
        <f>'Table 1'!E27</f>
        <v>0</v>
      </c>
      <c r="I40" s="136">
        <f>G40-'Table 1'!E27</f>
        <v>0</v>
      </c>
    </row>
    <row r="41" spans="1:9" ht="15.75" customHeight="1" x14ac:dyDescent="0.25">
      <c r="A41" s="134" t="s">
        <v>137</v>
      </c>
      <c r="B41" s="11" t="s">
        <v>96</v>
      </c>
      <c r="C41" s="11"/>
      <c r="D41" s="11"/>
      <c r="E41" s="11"/>
      <c r="F41" s="11"/>
      <c r="G41" s="137">
        <f>'Table 1'!E28</f>
        <v>0</v>
      </c>
      <c r="I41" s="136">
        <f>G41-'Table 1'!E28</f>
        <v>0</v>
      </c>
    </row>
    <row r="42" spans="1:9" ht="15.75" customHeight="1" x14ac:dyDescent="0.25">
      <c r="A42" s="134" t="s">
        <v>138</v>
      </c>
      <c r="B42" s="11" t="s">
        <v>84</v>
      </c>
      <c r="C42" s="11"/>
      <c r="D42" s="11"/>
      <c r="E42" s="11"/>
      <c r="F42" s="11"/>
      <c r="G42" s="138">
        <f>'Table 1'!E16+'Table 1'!E29+'Table 1'!E30+'Table 1'!E31</f>
        <v>0</v>
      </c>
      <c r="I42" s="136">
        <f>G42-'Table 1'!E29-'Table 1'!E16-'Table 1'!E30-'Table 1'!E31</f>
        <v>0</v>
      </c>
    </row>
    <row r="43" spans="1:9" ht="15.75" customHeight="1" x14ac:dyDescent="0.25">
      <c r="A43" s="113"/>
      <c r="B43" s="11"/>
      <c r="C43" s="11"/>
      <c r="D43" s="11"/>
      <c r="E43" s="11"/>
      <c r="F43" s="11"/>
      <c r="G43" s="109"/>
      <c r="I43" s="139"/>
    </row>
    <row r="44" spans="1:9" ht="15.75" customHeight="1" thickBot="1" x14ac:dyDescent="0.3">
      <c r="A44" s="140" t="s">
        <v>139</v>
      </c>
      <c r="B44" s="11"/>
      <c r="C44" s="11"/>
      <c r="D44" s="11"/>
      <c r="E44" s="11"/>
      <c r="F44" s="11"/>
      <c r="G44" s="141">
        <f>SUM(G26:G42)</f>
        <v>22692789</v>
      </c>
      <c r="I44" s="142">
        <f>G44-G20</f>
        <v>0</v>
      </c>
    </row>
    <row r="45" spans="1:9" ht="15.75" customHeight="1" thickTop="1" x14ac:dyDescent="0.25">
      <c r="A45" s="98"/>
      <c r="B45" s="99"/>
      <c r="C45" s="99"/>
      <c r="D45" s="99"/>
      <c r="E45" s="99"/>
      <c r="F45" s="99"/>
      <c r="G45" s="100"/>
    </row>
    <row r="46" spans="1:9" ht="20.25" customHeight="1" x14ac:dyDescent="0.25">
      <c r="A46" s="143" t="s">
        <v>140</v>
      </c>
    </row>
    <row r="49" spans="1:1" x14ac:dyDescent="0.25">
      <c r="A49" s="76" t="s">
        <v>110</v>
      </c>
    </row>
  </sheetData>
  <mergeCells count="4">
    <mergeCell ref="A1:G1"/>
    <mergeCell ref="A2:G2"/>
    <mergeCell ref="A3:G3"/>
    <mergeCell ref="A4:G4"/>
  </mergeCells>
  <printOptions horizontalCentered="1"/>
  <pageMargins left="0.25" right="0.25" top="0.75" bottom="0.75" header="0.5" footer="0.5"/>
  <pageSetup orientation="portrait" r:id="rId1"/>
  <headerFooter alignWithMargins="0">
    <oddHeader>&amp;L&amp;"Arial,Italic"&amp;11NOTE: When completing this table make entries in the shaded fields only.</oddHeader>
    <oddFooter>&amp;L&amp;D
Health Care Administration&amp;R&amp;F,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4"/>
  <sheetViews>
    <sheetView showGridLines="0" zoomScale="55" zoomScaleNormal="55" workbookViewId="0">
      <pane xSplit="4" ySplit="11" topLeftCell="E12" activePane="bottomRight" state="frozen"/>
      <selection activeCell="D1" sqref="D1"/>
      <selection pane="topRight" activeCell="E1" sqref="E1"/>
      <selection pane="bottomLeft" activeCell="D12" sqref="D12"/>
      <selection pane="bottomRight" activeCell="E31" sqref="E31"/>
    </sheetView>
  </sheetViews>
  <sheetFormatPr defaultColWidth="9.109375" defaultRowHeight="13.2" outlineLevelRow="1" outlineLevelCol="1" x14ac:dyDescent="0.25"/>
  <cols>
    <col min="1" max="1" width="40.44140625" style="2" customWidth="1" outlineLevel="1"/>
    <col min="2" max="2" width="8.109375" style="2" customWidth="1" outlineLevel="1"/>
    <col min="3" max="3" width="9.109375" style="2" customWidth="1" outlineLevel="1"/>
    <col min="4" max="4" width="44.33203125" style="2" customWidth="1"/>
    <col min="5" max="5" width="20.33203125" style="4" customWidth="1"/>
    <col min="6" max="6" width="21.109375" style="8" customWidth="1" outlineLevel="1"/>
    <col min="7" max="7" width="12" style="8" customWidth="1" outlineLevel="1"/>
    <col min="8" max="8" width="18.44140625" style="8" customWidth="1" outlineLevel="1"/>
    <col min="9" max="9" width="11.88671875" style="8" customWidth="1" outlineLevel="1"/>
    <col min="10" max="10" width="18.33203125" style="8" customWidth="1"/>
    <col min="11" max="11" width="14.109375" style="8" customWidth="1"/>
    <col min="12" max="12" width="15.6640625" style="8" customWidth="1"/>
    <col min="13" max="13" width="13.109375" style="8" customWidth="1"/>
    <col min="14" max="14" width="15.6640625" style="8" customWidth="1"/>
    <col min="15" max="15" width="13" style="8" customWidth="1"/>
    <col min="16" max="16" width="15.6640625" style="8" customWidth="1"/>
    <col min="17" max="17" width="13.5546875" style="8" customWidth="1"/>
    <col min="18" max="18" width="15.6640625" style="8" customWidth="1"/>
    <col min="19" max="19" width="14.33203125" style="8" customWidth="1"/>
    <col min="20" max="20" width="3.109375" style="8" customWidth="1"/>
    <col min="21" max="16384" width="9.109375" style="8"/>
  </cols>
  <sheetData>
    <row r="1" spans="1:24" ht="40.5" customHeight="1" x14ac:dyDescent="0.4">
      <c r="D1" s="602" t="str">
        <f>UPPER('Report Info'!B5)</f>
        <v>BRATTLEBORO MEMORIAL HOSPITAL</v>
      </c>
      <c r="E1" s="603"/>
      <c r="F1" s="603"/>
      <c r="G1" s="603"/>
      <c r="H1" s="603"/>
      <c r="I1" s="603"/>
      <c r="J1" s="603"/>
      <c r="K1" s="603"/>
      <c r="L1" s="603"/>
      <c r="M1" s="603"/>
      <c r="N1" s="603"/>
      <c r="O1" s="603"/>
      <c r="P1" s="603"/>
      <c r="Q1" s="604"/>
      <c r="R1" s="604"/>
      <c r="S1" s="605"/>
    </row>
    <row r="2" spans="1:24" ht="22.8" hidden="1" x14ac:dyDescent="0.4">
      <c r="D2" s="17"/>
      <c r="E2" s="17"/>
      <c r="F2" s="17"/>
      <c r="G2" s="26"/>
      <c r="H2" s="534"/>
      <c r="I2" s="534"/>
      <c r="J2" s="17"/>
      <c r="K2" s="26"/>
      <c r="L2" s="75"/>
      <c r="M2" s="26"/>
      <c r="N2" s="17"/>
      <c r="O2" s="26"/>
      <c r="P2" s="17"/>
      <c r="Q2" s="417"/>
      <c r="R2" s="417"/>
      <c r="S2" s="417"/>
    </row>
    <row r="3" spans="1:24" ht="17.25" customHeight="1" x14ac:dyDescent="0.4">
      <c r="C3" s="432"/>
      <c r="D3" s="433"/>
      <c r="E3" s="434"/>
      <c r="F3" s="417"/>
      <c r="G3" s="417"/>
      <c r="H3" s="534"/>
      <c r="I3" s="534"/>
      <c r="J3" s="417"/>
      <c r="K3" s="417"/>
      <c r="L3" s="417"/>
      <c r="M3" s="417"/>
      <c r="N3" s="417"/>
      <c r="O3" s="417"/>
      <c r="P3" s="417"/>
      <c r="Q3" s="417"/>
      <c r="R3" s="417"/>
      <c r="S3" s="417"/>
      <c r="T3" s="435"/>
    </row>
    <row r="4" spans="1:24" ht="25.5" customHeight="1" x14ac:dyDescent="0.25">
      <c r="C4" s="436"/>
      <c r="D4" s="598" t="s">
        <v>470</v>
      </c>
      <c r="E4" s="599"/>
      <c r="F4" s="599"/>
      <c r="G4" s="599"/>
      <c r="H4" s="599"/>
      <c r="I4" s="599"/>
      <c r="J4" s="599"/>
      <c r="K4" s="599"/>
      <c r="L4" s="599"/>
      <c r="M4" s="599"/>
      <c r="N4" s="599"/>
      <c r="O4" s="599"/>
      <c r="P4" s="599"/>
      <c r="Q4" s="599"/>
      <c r="R4" s="600"/>
      <c r="S4" s="600"/>
      <c r="T4" s="601"/>
    </row>
    <row r="5" spans="1:24" x14ac:dyDescent="0.25">
      <c r="C5" s="436"/>
      <c r="D5" s="8"/>
      <c r="E5" s="9"/>
      <c r="N5" s="529">
        <f>+N20-N138</f>
        <v>0</v>
      </c>
      <c r="T5" s="437"/>
    </row>
    <row r="6" spans="1:24" ht="21" x14ac:dyDescent="0.4">
      <c r="C6" s="436"/>
      <c r="D6" s="590" t="s">
        <v>426</v>
      </c>
      <c r="E6" s="590"/>
      <c r="F6" s="590"/>
      <c r="G6" s="590"/>
      <c r="H6" s="590"/>
      <c r="I6" s="590"/>
      <c r="J6" s="590"/>
      <c r="K6" s="590"/>
      <c r="L6" s="590"/>
      <c r="M6" s="590"/>
      <c r="N6" s="590"/>
      <c r="O6" s="590"/>
      <c r="P6" s="590"/>
      <c r="Q6" s="590"/>
      <c r="R6" s="591"/>
      <c r="S6" s="591"/>
      <c r="T6" s="437"/>
    </row>
    <row r="7" spans="1:24" s="16" customFormat="1" ht="16.5" customHeight="1" thickBot="1" x14ac:dyDescent="0.3">
      <c r="A7" s="28"/>
      <c r="B7" s="28"/>
      <c r="C7" s="438"/>
      <c r="D7" s="592"/>
      <c r="E7" s="593"/>
      <c r="F7" s="593"/>
      <c r="G7" s="593"/>
      <c r="H7" s="593"/>
      <c r="I7" s="593"/>
      <c r="J7" s="593"/>
      <c r="K7" s="593"/>
      <c r="L7" s="593"/>
      <c r="M7" s="593"/>
      <c r="N7" s="593"/>
      <c r="O7" s="593"/>
      <c r="P7" s="593"/>
      <c r="Q7" s="593"/>
      <c r="R7" s="594"/>
      <c r="S7" s="594"/>
      <c r="T7" s="439"/>
    </row>
    <row r="8" spans="1:24" ht="16.2" thickBot="1" x14ac:dyDescent="0.35">
      <c r="C8" s="436"/>
      <c r="D8" s="606" t="s">
        <v>47</v>
      </c>
      <c r="E8" s="607"/>
      <c r="F8" s="607"/>
      <c r="G8" s="607"/>
      <c r="H8" s="607"/>
      <c r="I8" s="607"/>
      <c r="J8" s="607"/>
      <c r="K8" s="607"/>
      <c r="L8" s="607"/>
      <c r="M8" s="607"/>
      <c r="N8" s="607"/>
      <c r="O8" s="607"/>
      <c r="P8" s="607"/>
      <c r="Q8" s="607"/>
      <c r="R8" s="608"/>
      <c r="S8" s="609"/>
      <c r="T8" s="437"/>
    </row>
    <row r="9" spans="1:24" ht="35.25" customHeight="1" x14ac:dyDescent="0.3">
      <c r="B9" s="3"/>
      <c r="C9" s="436"/>
      <c r="D9" s="38"/>
      <c r="E9" s="416"/>
      <c r="F9" s="39"/>
      <c r="G9" s="39"/>
      <c r="H9" s="39"/>
      <c r="I9" s="39"/>
      <c r="J9" s="39"/>
      <c r="K9" s="39"/>
      <c r="L9" s="40" t="s">
        <v>50</v>
      </c>
      <c r="M9" s="40"/>
      <c r="N9" s="40" t="s">
        <v>51</v>
      </c>
      <c r="O9" s="40"/>
      <c r="P9" s="40" t="s">
        <v>52</v>
      </c>
      <c r="Q9" s="40"/>
      <c r="R9" s="40" t="s">
        <v>471</v>
      </c>
      <c r="S9" s="41"/>
      <c r="T9" s="437"/>
      <c r="X9" s="25"/>
    </row>
    <row r="10" spans="1:24" ht="26.25" customHeight="1" x14ac:dyDescent="0.3">
      <c r="A10" s="3" t="s">
        <v>29</v>
      </c>
      <c r="C10" s="436"/>
      <c r="D10" s="38"/>
      <c r="E10" s="416" t="s">
        <v>39</v>
      </c>
      <c r="F10" s="416" t="s">
        <v>55</v>
      </c>
      <c r="G10" s="42"/>
      <c r="H10" s="533" t="s">
        <v>65</v>
      </c>
      <c r="I10" s="533"/>
      <c r="J10" s="416" t="s">
        <v>65</v>
      </c>
      <c r="K10" s="42"/>
      <c r="L10" s="43">
        <v>2017</v>
      </c>
      <c r="M10" s="48"/>
      <c r="N10" s="43">
        <v>2018</v>
      </c>
      <c r="O10" s="48"/>
      <c r="P10" s="43">
        <v>2019</v>
      </c>
      <c r="Q10" s="48"/>
      <c r="R10" s="43">
        <v>2020</v>
      </c>
      <c r="S10" s="48"/>
      <c r="T10" s="437"/>
    </row>
    <row r="11" spans="1:24" ht="45" customHeight="1" x14ac:dyDescent="0.3">
      <c r="A11" s="3"/>
      <c r="C11" s="436"/>
      <c r="D11" s="38"/>
      <c r="E11" s="416" t="s">
        <v>429</v>
      </c>
      <c r="F11" s="416" t="s">
        <v>429</v>
      </c>
      <c r="G11" s="42" t="s">
        <v>57</v>
      </c>
      <c r="H11" s="533" t="s">
        <v>430</v>
      </c>
      <c r="I11" s="42" t="s">
        <v>57</v>
      </c>
      <c r="J11" s="416" t="s">
        <v>429</v>
      </c>
      <c r="K11" s="48" t="s">
        <v>523</v>
      </c>
      <c r="L11" s="47"/>
      <c r="M11" s="48" t="s">
        <v>519</v>
      </c>
      <c r="N11" s="47"/>
      <c r="O11" s="48" t="s">
        <v>522</v>
      </c>
      <c r="P11" s="47"/>
      <c r="Q11" s="48" t="s">
        <v>522</v>
      </c>
      <c r="R11" s="47"/>
      <c r="S11" s="48" t="s">
        <v>522</v>
      </c>
      <c r="T11" s="437"/>
    </row>
    <row r="12" spans="1:24" s="16" customFormat="1" ht="15.6" x14ac:dyDescent="0.3">
      <c r="A12" s="32"/>
      <c r="B12" s="28"/>
      <c r="C12" s="438"/>
      <c r="D12" s="44"/>
      <c r="E12" s="45"/>
      <c r="F12" s="45"/>
      <c r="G12" s="46"/>
      <c r="H12" s="45"/>
      <c r="I12" s="45"/>
      <c r="J12" s="45"/>
      <c r="K12" s="46"/>
      <c r="L12" s="47"/>
      <c r="M12" s="48"/>
      <c r="N12" s="47"/>
      <c r="O12" s="48"/>
      <c r="P12" s="47"/>
      <c r="Q12" s="48"/>
      <c r="R12" s="47"/>
      <c r="S12" s="48"/>
      <c r="T12" s="439"/>
    </row>
    <row r="13" spans="1:24" ht="15.6" x14ac:dyDescent="0.3">
      <c r="A13" s="8" t="s">
        <v>2</v>
      </c>
      <c r="C13" s="436"/>
      <c r="D13" s="49" t="s">
        <v>30</v>
      </c>
      <c r="E13" s="50"/>
      <c r="F13" s="51"/>
      <c r="G13" s="51"/>
      <c r="H13" s="51"/>
      <c r="I13" s="51"/>
      <c r="J13" s="51"/>
      <c r="K13" s="51"/>
      <c r="L13" s="51"/>
      <c r="M13" s="51"/>
      <c r="N13" s="51"/>
      <c r="O13" s="51"/>
      <c r="P13" s="51"/>
      <c r="Q13" s="51"/>
      <c r="R13" s="51"/>
      <c r="S13" s="51"/>
      <c r="T13" s="437"/>
    </row>
    <row r="14" spans="1:24" ht="15" x14ac:dyDescent="0.25">
      <c r="A14" s="11" t="s">
        <v>40</v>
      </c>
      <c r="C14" s="436"/>
      <c r="D14" s="38" t="str">
        <f>"  "&amp;UPPER(TRIM(A14))</f>
        <v xml:space="preserve">  INPATIENT CARE REVENUE</v>
      </c>
      <c r="E14" s="50">
        <v>27716232</v>
      </c>
      <c r="F14" s="50">
        <v>28331883</v>
      </c>
      <c r="G14" s="473">
        <f>IF(E14=0,"n/a",+(F14/E14)-1)</f>
        <v>2.2212651416686047E-2</v>
      </c>
      <c r="H14" s="469">
        <v>29415276</v>
      </c>
      <c r="I14" s="473">
        <f>IF(F14=0,"n/a",+(H14/F14)-1)</f>
        <v>3.8239357405224439E-2</v>
      </c>
      <c r="J14" s="409">
        <v>29309983</v>
      </c>
      <c r="K14" s="473">
        <f>IF(F14=0,"n/a",+(J14/F14)-1)</f>
        <v>3.4522943639150316E-2</v>
      </c>
      <c r="L14" s="409">
        <v>29795555</v>
      </c>
      <c r="M14" s="473">
        <f>IF(J14=0,"n/a",+(L14/J14)-1)</f>
        <v>1.6566778629656609E-2</v>
      </c>
      <c r="N14" s="409">
        <v>30762160</v>
      </c>
      <c r="O14" s="473">
        <f>IF(L14=0,"n/a",+(N14/L14)-1)</f>
        <v>3.2441248367415909E-2</v>
      </c>
      <c r="P14" s="409">
        <v>31761453</v>
      </c>
      <c r="Q14" s="473">
        <f>IF(N14=0,"n/a",+(P14/N14)-1)</f>
        <v>3.2484487435212595E-2</v>
      </c>
      <c r="R14" s="409">
        <v>32794560</v>
      </c>
      <c r="S14" s="473">
        <f>IF(P14=0,"n/a",+(R14/P14)-1)</f>
        <v>3.2527069841546519E-2</v>
      </c>
      <c r="T14" s="437"/>
    </row>
    <row r="15" spans="1:24" ht="15" x14ac:dyDescent="0.25">
      <c r="A15" s="11" t="s">
        <v>41</v>
      </c>
      <c r="C15" s="436"/>
      <c r="D15" s="38" t="str">
        <f t="shared" ref="D15:D18" si="0">"  "&amp;UPPER(TRIM(A15))</f>
        <v xml:space="preserve">  OUTPATIENT CARE REVENUE</v>
      </c>
      <c r="E15" s="50">
        <v>97279717</v>
      </c>
      <c r="F15" s="50">
        <v>105642092.00000001</v>
      </c>
      <c r="G15" s="473">
        <f t="shared" ref="G15:G50" si="1">IF(E15=0,"n/a",+(F15/E15)-1)</f>
        <v>8.5962164137463715E-2</v>
      </c>
      <c r="H15" s="469">
        <v>105345791</v>
      </c>
      <c r="I15" s="473">
        <f>IF(F15=0,"n/a",+(H15/F15)-1)</f>
        <v>-2.8047627076527304E-3</v>
      </c>
      <c r="J15" s="409">
        <v>104288252</v>
      </c>
      <c r="K15" s="473">
        <f t="shared" ref="K15:K50" si="2">IF(F15=0,"n/a",+(J15/F15)-1)</f>
        <v>-1.2815346367809677E-2</v>
      </c>
      <c r="L15" s="409">
        <v>110296413</v>
      </c>
      <c r="M15" s="473">
        <f>IF(J15=0,"n/a",+(L15/J15)-1)</f>
        <v>5.7611100816993277E-2</v>
      </c>
      <c r="N15" s="409">
        <v>113817317</v>
      </c>
      <c r="O15" s="473">
        <f>IF(L15=0,"n/a",+(N15/L15)-1)</f>
        <v>3.1922198594073858E-2</v>
      </c>
      <c r="P15" s="409">
        <v>117456698</v>
      </c>
      <c r="Q15" s="473">
        <f>IF(N15=0,"n/a",+(P15/N15)-1)</f>
        <v>3.1975635131163749E-2</v>
      </c>
      <c r="R15" s="409">
        <v>121218643</v>
      </c>
      <c r="S15" s="473">
        <f>IF(P15=0,"n/a",+(R15/P15)-1)</f>
        <v>3.2028356526760282E-2</v>
      </c>
      <c r="T15" s="437"/>
    </row>
    <row r="16" spans="1:24" ht="15" x14ac:dyDescent="0.25">
      <c r="A16" s="11" t="s">
        <v>44</v>
      </c>
      <c r="C16" s="436"/>
      <c r="D16" s="38" t="str">
        <f t="shared" si="0"/>
        <v xml:space="preserve">  OUTPATIENT CARE REVENUE - PHYSICIAN</v>
      </c>
      <c r="E16" s="50">
        <v>17616516</v>
      </c>
      <c r="F16" s="50">
        <v>19095019.999999996</v>
      </c>
      <c r="G16" s="473">
        <f t="shared" si="1"/>
        <v>8.3927151089352447E-2</v>
      </c>
      <c r="H16" s="469">
        <v>19656798</v>
      </c>
      <c r="I16" s="473">
        <f>IF(F16=0,"n/a",+(H16/F16)-1)</f>
        <v>2.9420131531677107E-2</v>
      </c>
      <c r="J16" s="409">
        <v>15393747</v>
      </c>
      <c r="K16" s="473">
        <f t="shared" si="2"/>
        <v>-0.19383446574028185</v>
      </c>
      <c r="L16" s="409">
        <v>17381587</v>
      </c>
      <c r="M16" s="473">
        <f>IF(J16=0,"n/a",+(L16/J16)-1)</f>
        <v>0.12913295249038459</v>
      </c>
      <c r="N16" s="409">
        <v>17497594</v>
      </c>
      <c r="O16" s="473">
        <f>IF(L16=0,"n/a",+(N16/L16)-1)</f>
        <v>6.6741316543765805E-3</v>
      </c>
      <c r="P16" s="409">
        <v>17613601</v>
      </c>
      <c r="Q16" s="473">
        <f>IF(N16=0,"n/a",+(P16/N16)-1)</f>
        <v>6.6298829427633432E-3</v>
      </c>
      <c r="R16" s="409">
        <v>17729608</v>
      </c>
      <c r="S16" s="473">
        <f>IF(P16=0,"n/a",+(R16/P16)-1)</f>
        <v>6.5862170943919995E-3</v>
      </c>
      <c r="T16" s="437"/>
    </row>
    <row r="17" spans="1:20" ht="15" x14ac:dyDescent="0.25">
      <c r="A17" s="11" t="s">
        <v>42</v>
      </c>
      <c r="C17" s="436"/>
      <c r="D17" s="38" t="str">
        <f t="shared" si="0"/>
        <v xml:space="preserve">  CHRONIC/SNF PT CARE REVENUE</v>
      </c>
      <c r="E17" s="50">
        <v>0</v>
      </c>
      <c r="F17" s="50">
        <v>0</v>
      </c>
      <c r="G17" s="473" t="str">
        <f t="shared" si="1"/>
        <v>n/a</v>
      </c>
      <c r="H17" s="469"/>
      <c r="I17" s="473" t="str">
        <f>IF(F17=0,"n/a",+(H17/F17)-1)</f>
        <v>n/a</v>
      </c>
      <c r="J17" s="409"/>
      <c r="K17" s="473" t="str">
        <f t="shared" si="2"/>
        <v>n/a</v>
      </c>
      <c r="L17" s="409"/>
      <c r="M17" s="473" t="str">
        <f>IF(J17=0,"n/a",+(L17/J17)-1)</f>
        <v>n/a</v>
      </c>
      <c r="N17" s="409"/>
      <c r="O17" s="473" t="str">
        <f>IF(L17=0,"n/a",+(N17/L17)-1)</f>
        <v>n/a</v>
      </c>
      <c r="P17" s="409"/>
      <c r="Q17" s="473" t="str">
        <f>IF(N17=0,"n/a",+(P17/N17)-1)</f>
        <v>n/a</v>
      </c>
      <c r="R17" s="409"/>
      <c r="S17" s="473" t="str">
        <f>IF(P17=0,"n/a",+(R17/P17)-1)</f>
        <v>n/a</v>
      </c>
      <c r="T17" s="437"/>
    </row>
    <row r="18" spans="1:20" ht="13.5" customHeight="1" x14ac:dyDescent="0.25">
      <c r="A18" s="11" t="s">
        <v>43</v>
      </c>
      <c r="C18" s="436"/>
      <c r="D18" s="38" t="str">
        <f t="shared" si="0"/>
        <v xml:space="preserve">  SWING BEDS PT CARE REVENUE</v>
      </c>
      <c r="E18" s="50">
        <v>0</v>
      </c>
      <c r="F18" s="50">
        <v>0</v>
      </c>
      <c r="G18" s="473" t="str">
        <f t="shared" si="1"/>
        <v>n/a</v>
      </c>
      <c r="H18" s="469"/>
      <c r="I18" s="473" t="str">
        <f>IF(F18=0,"n/a",+(H18/F18)-1)</f>
        <v>n/a</v>
      </c>
      <c r="J18" s="409"/>
      <c r="K18" s="473" t="str">
        <f t="shared" si="2"/>
        <v>n/a</v>
      </c>
      <c r="L18" s="409"/>
      <c r="M18" s="473" t="str">
        <f>IF(J18=0,"n/a",+(L18/J18)-1)</f>
        <v>n/a</v>
      </c>
      <c r="N18" s="409"/>
      <c r="O18" s="473" t="str">
        <f>IF(L18=0,"n/a",+(N18/L18)-1)</f>
        <v>n/a</v>
      </c>
      <c r="P18" s="409"/>
      <c r="Q18" s="473" t="str">
        <f>IF(N18=0,"n/a",+(P18/N18)-1)</f>
        <v>n/a</v>
      </c>
      <c r="R18" s="409"/>
      <c r="S18" s="473" t="str">
        <f>IF(P18=0,"n/a",+(R18/P18)-1)</f>
        <v>n/a</v>
      </c>
      <c r="T18" s="437"/>
    </row>
    <row r="19" spans="1:20" ht="15" x14ac:dyDescent="0.25">
      <c r="C19" s="436"/>
      <c r="D19" s="38"/>
      <c r="E19" s="50"/>
      <c r="F19" s="50"/>
      <c r="G19" s="569" t="str">
        <f t="shared" si="1"/>
        <v>n/a</v>
      </c>
      <c r="H19" s="469"/>
      <c r="I19" s="74"/>
      <c r="J19" s="410"/>
      <c r="K19" s="569" t="str">
        <f t="shared" si="2"/>
        <v>n/a</v>
      </c>
      <c r="L19" s="410"/>
      <c r="M19" s="74"/>
      <c r="N19" s="410"/>
      <c r="O19" s="74"/>
      <c r="P19" s="410"/>
      <c r="Q19" s="74"/>
      <c r="R19" s="410"/>
      <c r="S19" s="74"/>
      <c r="T19" s="437"/>
    </row>
    <row r="20" spans="1:20" ht="15" x14ac:dyDescent="0.25">
      <c r="A20" s="5" t="s">
        <v>3</v>
      </c>
      <c r="B20" s="5"/>
      <c r="C20" s="432"/>
      <c r="D20" s="56" t="s">
        <v>31</v>
      </c>
      <c r="E20" s="57">
        <v>142612465</v>
      </c>
      <c r="F20" s="57">
        <v>153068995</v>
      </c>
      <c r="G20" s="473">
        <f t="shared" si="1"/>
        <v>7.3321290673995509E-2</v>
      </c>
      <c r="H20" s="555">
        <f t="shared" ref="H20" si="3">SUM(H14:H19)</f>
        <v>154417865</v>
      </c>
      <c r="I20" s="473">
        <f>IF(F20=0,"n/a",+(H20/F20)-1)</f>
        <v>8.8121699629635231E-3</v>
      </c>
      <c r="J20" s="411">
        <f t="shared" ref="J20:L20" si="4">SUM(J14:J19)</f>
        <v>148991982</v>
      </c>
      <c r="K20" s="473">
        <f t="shared" si="2"/>
        <v>-2.6635132738671241E-2</v>
      </c>
      <c r="L20" s="411">
        <f t="shared" si="4"/>
        <v>157473555</v>
      </c>
      <c r="M20" s="473">
        <f>IF(J20=0,"n/a",+(L20/J20)-1)</f>
        <v>5.6926372051349761E-2</v>
      </c>
      <c r="N20" s="411">
        <f t="shared" ref="N20:P20" si="5">SUM(N14:N19)</f>
        <v>162077071</v>
      </c>
      <c r="O20" s="473">
        <f>IF(L20=0,"n/a",+(N20/L20)-1)</f>
        <v>2.9233581473409931E-2</v>
      </c>
      <c r="P20" s="411">
        <f t="shared" si="5"/>
        <v>166831752</v>
      </c>
      <c r="Q20" s="473">
        <f>IF(N20=0,"n/a",+(P20/N20)-1)</f>
        <v>2.9335926239683729E-2</v>
      </c>
      <c r="R20" s="411">
        <f t="shared" ref="R20" si="6">SUM(R14:R19)</f>
        <v>171742811</v>
      </c>
      <c r="S20" s="473">
        <f>IF(P20=0,"n/a",+(R20/P20)-1)</f>
        <v>2.943719610401252E-2</v>
      </c>
      <c r="T20" s="437"/>
    </row>
    <row r="21" spans="1:20" ht="15" x14ac:dyDescent="0.25">
      <c r="C21" s="436"/>
      <c r="D21" s="38"/>
      <c r="E21" s="50"/>
      <c r="F21" s="50"/>
      <c r="G21" s="570"/>
      <c r="H21" s="469"/>
      <c r="I21" s="71"/>
      <c r="J21" s="410"/>
      <c r="K21" s="570" t="str">
        <f t="shared" si="2"/>
        <v>n/a</v>
      </c>
      <c r="L21" s="410"/>
      <c r="M21" s="71"/>
      <c r="N21" s="410"/>
      <c r="O21" s="71"/>
      <c r="P21" s="410"/>
      <c r="Q21" s="71"/>
      <c r="R21" s="410"/>
      <c r="S21" s="71"/>
      <c r="T21" s="437"/>
    </row>
    <row r="22" spans="1:20" ht="15" x14ac:dyDescent="0.25">
      <c r="A22" s="2" t="s">
        <v>4</v>
      </c>
      <c r="C22" s="436"/>
      <c r="D22" s="38" t="str">
        <f t="shared" ref="D22:D23" si="7">"  "&amp;UPPER(TRIM(A22))</f>
        <v xml:space="preserve">  DISPROPORTIONATE SHARE PAYMENTS</v>
      </c>
      <c r="E22" s="50">
        <v>936015.42000000027</v>
      </c>
      <c r="F22" s="50">
        <v>1050745.9999999998</v>
      </c>
      <c r="G22" s="473">
        <f t="shared" si="1"/>
        <v>0.12257338666493278</v>
      </c>
      <c r="H22" s="469">
        <v>889343</v>
      </c>
      <c r="I22" s="473">
        <f>IF(F22=0,"n/a",+(H22/F22)-1)</f>
        <v>-0.15360800802477459</v>
      </c>
      <c r="J22" s="409">
        <v>918389</v>
      </c>
      <c r="K22" s="473">
        <f t="shared" si="2"/>
        <v>-0.12596479072963385</v>
      </c>
      <c r="L22" s="409">
        <v>976889</v>
      </c>
      <c r="M22" s="473">
        <f>IF(J22=0,"n/a",+(L22/J22)-1)</f>
        <v>6.3698498130966286E-2</v>
      </c>
      <c r="N22" s="409">
        <v>754085</v>
      </c>
      <c r="O22" s="473">
        <f>IF(L22=0,"n/a",+(N22/L22)-1)</f>
        <v>-0.22807504230265674</v>
      </c>
      <c r="P22" s="409">
        <v>776207</v>
      </c>
      <c r="Q22" s="473">
        <f>IF(N22=0,"n/a",+(P22/N22)-1)</f>
        <v>2.9336215413381828E-2</v>
      </c>
      <c r="R22" s="409">
        <v>799056</v>
      </c>
      <c r="S22" s="473">
        <f>IF(P22=0,"n/a",+(R22/P22)-1)</f>
        <v>2.9436735303855821E-2</v>
      </c>
      <c r="T22" s="437"/>
    </row>
    <row r="23" spans="1:20" ht="15" x14ac:dyDescent="0.25">
      <c r="A23" s="10" t="s">
        <v>5</v>
      </c>
      <c r="C23" s="436"/>
      <c r="D23" s="38" t="str">
        <f t="shared" si="7"/>
        <v xml:space="preserve">  BAD DEBT FREE CARE</v>
      </c>
      <c r="E23" s="50">
        <v>-6967414.7800000003</v>
      </c>
      <c r="F23" s="50">
        <v>-7957089</v>
      </c>
      <c r="G23" s="473">
        <f t="shared" si="1"/>
        <v>0.14204324720854355</v>
      </c>
      <c r="H23" s="469">
        <v>-8140227</v>
      </c>
      <c r="I23" s="473">
        <f>IF(F23=0,"n/a",+(H23/F23)-1)</f>
        <v>2.3015703355837802E-2</v>
      </c>
      <c r="J23" s="409">
        <v>-4698213</v>
      </c>
      <c r="K23" s="473">
        <f t="shared" si="2"/>
        <v>-0.40955630884611194</v>
      </c>
      <c r="L23" s="409">
        <v>-8010021</v>
      </c>
      <c r="M23" s="473">
        <f>IF(J23=0,"n/a",+(L23/J23)-1)</f>
        <v>0.70490801502613865</v>
      </c>
      <c r="N23" s="409">
        <f>-7293468+1</f>
        <v>-7293467</v>
      </c>
      <c r="O23" s="473">
        <f>IF(L23=0,"n/a",+(N23/L23)-1)</f>
        <v>-8.945719368276317E-2</v>
      </c>
      <c r="P23" s="409">
        <v>-7507429</v>
      </c>
      <c r="Q23" s="473">
        <f>IF(N23=0,"n/a",+(P23/N23)-1)</f>
        <v>2.9336116828937442E-2</v>
      </c>
      <c r="R23" s="409">
        <f>-7728427+1</f>
        <v>-7728426</v>
      </c>
      <c r="S23" s="473">
        <f>IF(P23=0,"n/a",+(R23/P23)-1)</f>
        <v>2.9437108229728226E-2</v>
      </c>
      <c r="T23" s="437"/>
    </row>
    <row r="24" spans="1:20" ht="15" x14ac:dyDescent="0.25">
      <c r="A24" s="2" t="s">
        <v>6</v>
      </c>
      <c r="C24" s="436"/>
      <c r="D24" s="38" t="str">
        <f>"  "&amp;UPPER(TRIM(A24))</f>
        <v xml:space="preserve">  DEDUCTIONS FROM REVENUE</v>
      </c>
      <c r="E24" s="50">
        <v>-65068293</v>
      </c>
      <c r="F24" s="50">
        <v>-70419732.000000015</v>
      </c>
      <c r="G24" s="473">
        <f t="shared" si="1"/>
        <v>8.2243420770236275E-2</v>
      </c>
      <c r="H24" s="469">
        <v>-73270830</v>
      </c>
      <c r="I24" s="473">
        <f>IF(F24=0,"n/a",+(H24/F24)-1)</f>
        <v>4.0487203217416168E-2</v>
      </c>
      <c r="J24" s="409">
        <v>-72050441</v>
      </c>
      <c r="K24" s="473">
        <f t="shared" si="2"/>
        <v>2.3156989577864051E-2</v>
      </c>
      <c r="L24" s="409">
        <v>-74031811</v>
      </c>
      <c r="M24" s="473">
        <f>IF(J24=0,"n/a",+(L24/J24)-1)</f>
        <v>2.7499762284591611E-2</v>
      </c>
      <c r="N24" s="409">
        <v>-76556969</v>
      </c>
      <c r="O24" s="473">
        <f>IF(L24=0,"n/a",+(N24/L24)-1)</f>
        <v>3.4109093994742379E-2</v>
      </c>
      <c r="P24" s="409">
        <v>-78864416</v>
      </c>
      <c r="Q24" s="473">
        <f>IF(N24=0,"n/a",+(P24/N24)-1)</f>
        <v>3.0140260646943862E-2</v>
      </c>
      <c r="R24" s="409">
        <v>-81895016</v>
      </c>
      <c r="S24" s="473">
        <f>IF(P24=0,"n/a",+(R24/P24)-1)</f>
        <v>3.8427977454369211E-2</v>
      </c>
      <c r="T24" s="437"/>
    </row>
    <row r="25" spans="1:20" ht="15" hidden="1" outlineLevel="1" x14ac:dyDescent="0.25">
      <c r="A25" s="77" t="s">
        <v>56</v>
      </c>
      <c r="C25" s="436"/>
      <c r="D25" s="38"/>
      <c r="E25" s="50"/>
      <c r="F25" s="50"/>
      <c r="G25" s="473" t="str">
        <f t="shared" si="1"/>
        <v>n/a</v>
      </c>
      <c r="H25" s="469"/>
      <c r="I25" s="470" t="e">
        <f t="shared" ref="I25" si="8">+(H25/F25)-1</f>
        <v>#DIV/0!</v>
      </c>
      <c r="J25" s="409"/>
      <c r="K25" s="473" t="str">
        <f t="shared" si="2"/>
        <v>n/a</v>
      </c>
      <c r="L25" s="409"/>
      <c r="M25" s="470" t="e">
        <f t="shared" ref="M25:S25" si="9">+(L25/J25)-1</f>
        <v>#DIV/0!</v>
      </c>
      <c r="N25" s="409"/>
      <c r="O25" s="470" t="e">
        <f t="shared" si="9"/>
        <v>#DIV/0!</v>
      </c>
      <c r="P25" s="409"/>
      <c r="Q25" s="470" t="e">
        <f t="shared" si="9"/>
        <v>#DIV/0!</v>
      </c>
      <c r="R25" s="409"/>
      <c r="S25" s="470" t="e">
        <f t="shared" si="9"/>
        <v>#DIV/0!</v>
      </c>
      <c r="T25" s="437"/>
    </row>
    <row r="26" spans="1:20" ht="15.6" collapsed="1" x14ac:dyDescent="0.3">
      <c r="A26" s="5"/>
      <c r="B26" s="5"/>
      <c r="C26" s="432"/>
      <c r="D26" s="59" t="s">
        <v>33</v>
      </c>
      <c r="E26" s="57">
        <v>71512772.639999986</v>
      </c>
      <c r="F26" s="57">
        <v>75742919.999999985</v>
      </c>
      <c r="G26" s="474">
        <f t="shared" si="1"/>
        <v>5.9152333266322188E-2</v>
      </c>
      <c r="H26" s="555">
        <f t="shared" ref="H26" si="10">SUM(H20:H25)</f>
        <v>73896151</v>
      </c>
      <c r="I26" s="474">
        <f>IF(F26=0,"n/a",+(H26/F26)-1)</f>
        <v>-2.438206765728046E-2</v>
      </c>
      <c r="J26" s="411">
        <f t="shared" ref="J26:L26" si="11">SUM(J20:J25)</f>
        <v>73161717</v>
      </c>
      <c r="K26" s="474">
        <f t="shared" si="2"/>
        <v>-3.4078472284934214E-2</v>
      </c>
      <c r="L26" s="411">
        <f t="shared" si="11"/>
        <v>76408612</v>
      </c>
      <c r="M26" s="474">
        <f>IF(J26=0,"n/a",+(L26/J26)-1)</f>
        <v>4.4379699289998964E-2</v>
      </c>
      <c r="N26" s="411">
        <f t="shared" ref="N26:P26" si="12">SUM(N20:N25)</f>
        <v>78980720</v>
      </c>
      <c r="O26" s="474">
        <f>IF(L26=0,"n/a",+(N26/L26)-1)</f>
        <v>3.366254055236606E-2</v>
      </c>
      <c r="P26" s="411">
        <f t="shared" si="12"/>
        <v>81236114</v>
      </c>
      <c r="Q26" s="474">
        <f>IF(N26=0,"n/a",+(P26/N26)-1)</f>
        <v>2.8556260312643467E-2</v>
      </c>
      <c r="R26" s="411">
        <f t="shared" ref="R26" si="13">SUM(R20:R25)</f>
        <v>82918425</v>
      </c>
      <c r="S26" s="474">
        <f>IF(P26=0,"n/a",+(R26/P26)-1)</f>
        <v>2.0708905401358724E-2</v>
      </c>
      <c r="T26" s="437"/>
    </row>
    <row r="27" spans="1:20" ht="15" x14ac:dyDescent="0.25">
      <c r="C27" s="436"/>
      <c r="D27" s="38"/>
      <c r="E27" s="50"/>
      <c r="F27" s="50"/>
      <c r="G27" s="570"/>
      <c r="H27" s="469"/>
      <c r="I27" s="71"/>
      <c r="J27" s="410"/>
      <c r="K27" s="570" t="str">
        <f t="shared" si="2"/>
        <v>n/a</v>
      </c>
      <c r="L27" s="410"/>
      <c r="M27" s="71"/>
      <c r="N27" s="410"/>
      <c r="O27" s="71"/>
      <c r="P27" s="410"/>
      <c r="Q27" s="71"/>
      <c r="R27" s="410"/>
      <c r="S27" s="71"/>
      <c r="T27" s="437"/>
    </row>
    <row r="28" spans="1:20" ht="15" x14ac:dyDescent="0.25">
      <c r="A28" s="10" t="s">
        <v>8</v>
      </c>
      <c r="B28" s="8"/>
      <c r="C28" s="436"/>
      <c r="D28" s="38" t="s">
        <v>32</v>
      </c>
      <c r="E28" s="50">
        <v>3797011.7100000004</v>
      </c>
      <c r="F28" s="50">
        <v>2926100.56</v>
      </c>
      <c r="G28" s="473">
        <f t="shared" si="1"/>
        <v>-0.22936751754184093</v>
      </c>
      <c r="H28" s="469">
        <v>2355778</v>
      </c>
      <c r="I28" s="473">
        <f>IF(F28=0,"n/a",+(H28/F28)-1)</f>
        <v>-0.19490873546738263</v>
      </c>
      <c r="J28" s="409">
        <v>2438280</v>
      </c>
      <c r="K28" s="473">
        <f t="shared" si="2"/>
        <v>-0.16671353222392327</v>
      </c>
      <c r="L28" s="409">
        <v>3873096</v>
      </c>
      <c r="M28" s="473">
        <f>IF(J28=0,"n/a",+(L28/J28)-1)</f>
        <v>0.58845415620847485</v>
      </c>
      <c r="N28" s="409">
        <v>3717049</v>
      </c>
      <c r="O28" s="473">
        <f>IF(L28=0,"n/a",+(N28/L28)-1)</f>
        <v>-4.0289990230038208E-2</v>
      </c>
      <c r="P28" s="409">
        <v>3735633</v>
      </c>
      <c r="Q28" s="473">
        <f>IF(N28=0,"n/a",+(P28/N28)-1)</f>
        <v>4.9996650568771006E-3</v>
      </c>
      <c r="R28" s="409">
        <v>3754312</v>
      </c>
      <c r="S28" s="473">
        <f>IF(P28=0,"n/a",+(R28/P28)-1)</f>
        <v>5.0002235230282022E-3</v>
      </c>
      <c r="T28" s="437"/>
    </row>
    <row r="29" spans="1:20" ht="15" x14ac:dyDescent="0.25">
      <c r="A29" s="8"/>
      <c r="B29" s="8"/>
      <c r="C29" s="436"/>
      <c r="D29" s="38"/>
      <c r="E29" s="50"/>
      <c r="F29" s="50"/>
      <c r="G29" s="570"/>
      <c r="H29" s="469"/>
      <c r="I29" s="71"/>
      <c r="J29" s="410"/>
      <c r="K29" s="570" t="str">
        <f t="shared" si="2"/>
        <v>n/a</v>
      </c>
      <c r="L29" s="410"/>
      <c r="M29" s="71"/>
      <c r="N29" s="410"/>
      <c r="O29" s="71"/>
      <c r="P29" s="410"/>
      <c r="Q29" s="71"/>
      <c r="R29" s="410"/>
      <c r="S29" s="71"/>
      <c r="T29" s="437"/>
    </row>
    <row r="30" spans="1:20" ht="15.6" x14ac:dyDescent="0.3">
      <c r="A30" s="6"/>
      <c r="B30" s="6"/>
      <c r="C30" s="440"/>
      <c r="D30" s="60" t="s">
        <v>34</v>
      </c>
      <c r="E30" s="55">
        <v>75309784.349999979</v>
      </c>
      <c r="F30" s="55">
        <v>78669020.559999987</v>
      </c>
      <c r="G30" s="475">
        <f t="shared" si="1"/>
        <v>4.4605574680549598E-2</v>
      </c>
      <c r="H30" s="556">
        <f t="shared" ref="H30" si="14">H26+H28</f>
        <v>76251929</v>
      </c>
      <c r="I30" s="475">
        <f>IF(F30=0,"n/a",+(H30/F30)-1)</f>
        <v>-3.0724820809946429E-2</v>
      </c>
      <c r="J30" s="412">
        <f t="shared" ref="J30:L30" si="15">J26+J28</f>
        <v>75599997</v>
      </c>
      <c r="K30" s="475">
        <f t="shared" si="2"/>
        <v>-3.9011844028988274E-2</v>
      </c>
      <c r="L30" s="412">
        <f t="shared" si="15"/>
        <v>80281708</v>
      </c>
      <c r="M30" s="475">
        <f>IF(J30=0,"n/a",+(L30/J30)-1)</f>
        <v>6.1927396637330601E-2</v>
      </c>
      <c r="N30" s="412">
        <f t="shared" ref="N30:P30" si="16">N26+N28</f>
        <v>82697769</v>
      </c>
      <c r="O30" s="475">
        <f>IF(L30=0,"n/a",+(N30/L30)-1)</f>
        <v>3.0094788217510215E-2</v>
      </c>
      <c r="P30" s="412">
        <f t="shared" si="16"/>
        <v>84971747</v>
      </c>
      <c r="Q30" s="475">
        <f>IF(N30=0,"n/a",+(P30/N30)-1)</f>
        <v>2.7497452803110001E-2</v>
      </c>
      <c r="R30" s="412">
        <f t="shared" ref="R30" si="17">R26+R28</f>
        <v>86672737</v>
      </c>
      <c r="S30" s="475">
        <f>IF(P30=0,"n/a",+(R30/P30)-1)</f>
        <v>2.0018300906535336E-2</v>
      </c>
      <c r="T30" s="437"/>
    </row>
    <row r="31" spans="1:20" ht="15" x14ac:dyDescent="0.25">
      <c r="C31" s="436"/>
      <c r="D31" s="38"/>
      <c r="E31" s="50"/>
      <c r="F31" s="50"/>
      <c r="G31" s="570"/>
      <c r="H31" s="469"/>
      <c r="I31" s="71"/>
      <c r="J31" s="410"/>
      <c r="K31" s="570" t="str">
        <f t="shared" si="2"/>
        <v>n/a</v>
      </c>
      <c r="L31" s="410"/>
      <c r="M31" s="71"/>
      <c r="N31" s="410"/>
      <c r="O31" s="71"/>
      <c r="P31" s="410"/>
      <c r="Q31" s="71"/>
      <c r="R31" s="410"/>
      <c r="S31" s="71"/>
      <c r="T31" s="437"/>
    </row>
    <row r="32" spans="1:20" ht="15.6" x14ac:dyDescent="0.3">
      <c r="A32" s="2" t="s">
        <v>10</v>
      </c>
      <c r="C32" s="436"/>
      <c r="D32" s="49" t="s">
        <v>35</v>
      </c>
      <c r="E32" s="50"/>
      <c r="F32" s="50"/>
      <c r="G32" s="570"/>
      <c r="H32" s="469"/>
      <c r="I32" s="71"/>
      <c r="J32" s="410"/>
      <c r="K32" s="570" t="str">
        <f t="shared" si="2"/>
        <v>n/a</v>
      </c>
      <c r="L32" s="410"/>
      <c r="M32" s="71"/>
      <c r="N32" s="410"/>
      <c r="O32" s="71"/>
      <c r="P32" s="410"/>
      <c r="Q32" s="71"/>
      <c r="R32" s="410"/>
      <c r="S32" s="71"/>
      <c r="T32" s="437"/>
    </row>
    <row r="33" spans="1:20" ht="15" x14ac:dyDescent="0.25">
      <c r="A33" s="2" t="s">
        <v>11</v>
      </c>
      <c r="C33" s="436"/>
      <c r="D33" s="38" t="str">
        <f t="shared" ref="D33:D38" si="18">"  "&amp;UPPER(TRIM(A33))</f>
        <v xml:space="preserve">  SALARIES NON MD</v>
      </c>
      <c r="E33" s="50">
        <v>22803623.240000006</v>
      </c>
      <c r="F33" s="50">
        <v>23623798.369999994</v>
      </c>
      <c r="G33" s="473">
        <f t="shared" si="1"/>
        <v>3.5966877779374684E-2</v>
      </c>
      <c r="H33" s="469">
        <v>24466788</v>
      </c>
      <c r="I33" s="473">
        <f t="shared" ref="I33:I39" si="19">IF(F33=0,"n/a",+(H33/F33)-1)</f>
        <v>3.568391571909646E-2</v>
      </c>
      <c r="J33" s="409">
        <v>24134813</v>
      </c>
      <c r="K33" s="473">
        <f t="shared" si="2"/>
        <v>2.1631349116530973E-2</v>
      </c>
      <c r="L33" s="409">
        <v>25111884</v>
      </c>
      <c r="M33" s="473">
        <f t="shared" ref="M33:M39" si="20">IF(J33=0,"n/a",+(L33/J33)-1)</f>
        <v>4.0483885249079865E-2</v>
      </c>
      <c r="N33" s="409">
        <v>25279155</v>
      </c>
      <c r="O33" s="473">
        <f t="shared" ref="O33:O39" si="21">IF(L33=0,"n/a",+(N33/L33)-1)</f>
        <v>6.6610294950391058E-3</v>
      </c>
      <c r="P33" s="409">
        <v>26037530</v>
      </c>
      <c r="Q33" s="473">
        <f t="shared" ref="Q33:Q39" si="22">IF(N33=0,"n/a",+(P33/N33)-1)</f>
        <v>3.000001384539952E-2</v>
      </c>
      <c r="R33" s="409">
        <v>26818656</v>
      </c>
      <c r="S33" s="473">
        <f t="shared" ref="S33:S39" si="23">IF(P33=0,"n/a",+(R33/P33)-1)</f>
        <v>3.0000003840610079E-2</v>
      </c>
      <c r="T33" s="437"/>
    </row>
    <row r="34" spans="1:20" ht="15" x14ac:dyDescent="0.25">
      <c r="A34" s="2" t="s">
        <v>12</v>
      </c>
      <c r="C34" s="436"/>
      <c r="D34" s="38" t="str">
        <f t="shared" si="18"/>
        <v xml:space="preserve">  FRINGE BENEFITS NON MD</v>
      </c>
      <c r="E34" s="50">
        <v>6996139.9599999981</v>
      </c>
      <c r="F34" s="50">
        <v>7268954.3699999982</v>
      </c>
      <c r="G34" s="473">
        <f t="shared" si="1"/>
        <v>3.899499031748932E-2</v>
      </c>
      <c r="H34" s="469">
        <v>7432385</v>
      </c>
      <c r="I34" s="473">
        <f t="shared" si="19"/>
        <v>2.2483375418409945E-2</v>
      </c>
      <c r="J34" s="409">
        <v>6650684</v>
      </c>
      <c r="K34" s="473">
        <f t="shared" si="2"/>
        <v>-8.5056300883066149E-2</v>
      </c>
      <c r="L34" s="409">
        <v>6982929</v>
      </c>
      <c r="M34" s="473">
        <f t="shared" si="20"/>
        <v>4.9956515750861019E-2</v>
      </c>
      <c r="N34" s="409">
        <v>7029442</v>
      </c>
      <c r="O34" s="473">
        <f t="shared" si="21"/>
        <v>6.6609584602679295E-3</v>
      </c>
      <c r="P34" s="409">
        <v>7240325</v>
      </c>
      <c r="Q34" s="473">
        <f t="shared" si="22"/>
        <v>2.9999963012711461E-2</v>
      </c>
      <c r="R34" s="409">
        <v>7457538</v>
      </c>
      <c r="S34" s="473">
        <f t="shared" si="23"/>
        <v>3.0000448874877961E-2</v>
      </c>
      <c r="T34" s="437"/>
    </row>
    <row r="35" spans="1:20" ht="15" x14ac:dyDescent="0.25">
      <c r="A35" s="2" t="s">
        <v>13</v>
      </c>
      <c r="C35" s="436"/>
      <c r="D35" s="38" t="str">
        <f t="shared" si="18"/>
        <v xml:space="preserve">  FRINGE BENEFITS MD</v>
      </c>
      <c r="E35" s="50">
        <v>0</v>
      </c>
      <c r="F35" s="50">
        <v>0</v>
      </c>
      <c r="G35" s="473" t="str">
        <f t="shared" si="1"/>
        <v>n/a</v>
      </c>
      <c r="H35" s="469"/>
      <c r="I35" s="473" t="str">
        <f t="shared" si="19"/>
        <v>n/a</v>
      </c>
      <c r="J35" s="409"/>
      <c r="K35" s="473" t="str">
        <f t="shared" si="2"/>
        <v>n/a</v>
      </c>
      <c r="L35" s="409"/>
      <c r="M35" s="473" t="str">
        <f t="shared" si="20"/>
        <v>n/a</v>
      </c>
      <c r="N35" s="409"/>
      <c r="O35" s="473" t="str">
        <f t="shared" si="21"/>
        <v>n/a</v>
      </c>
      <c r="P35" s="409"/>
      <c r="Q35" s="473" t="str">
        <f t="shared" si="22"/>
        <v>n/a</v>
      </c>
      <c r="R35" s="409"/>
      <c r="S35" s="473" t="str">
        <f t="shared" si="23"/>
        <v>n/a</v>
      </c>
      <c r="T35" s="437"/>
    </row>
    <row r="36" spans="1:20" ht="15" x14ac:dyDescent="0.25">
      <c r="A36" s="31" t="s">
        <v>14</v>
      </c>
      <c r="C36" s="436"/>
      <c r="D36" s="38" t="str">
        <f t="shared" si="18"/>
        <v xml:space="preserve">  PHYSICIAN FEES SALARIES CONTRACTS &amp; FRINGES</v>
      </c>
      <c r="E36" s="50">
        <v>12780964.789999997</v>
      </c>
      <c r="F36" s="50">
        <v>14258726.119999997</v>
      </c>
      <c r="G36" s="473">
        <f t="shared" si="1"/>
        <v>0.11562204843535917</v>
      </c>
      <c r="H36" s="469">
        <v>14909036</v>
      </c>
      <c r="I36" s="473">
        <f t="shared" si="19"/>
        <v>4.5607852659982351E-2</v>
      </c>
      <c r="J36" s="409">
        <v>15720286</v>
      </c>
      <c r="K36" s="473">
        <f t="shared" si="2"/>
        <v>0.10250283704867202</v>
      </c>
      <c r="L36" s="409">
        <v>16299836</v>
      </c>
      <c r="M36" s="473">
        <f t="shared" si="20"/>
        <v>3.686637762188294E-2</v>
      </c>
      <c r="N36" s="409">
        <v>16708832</v>
      </c>
      <c r="O36" s="473">
        <f t="shared" si="21"/>
        <v>2.5092031600808751E-2</v>
      </c>
      <c r="P36" s="409">
        <v>17128098</v>
      </c>
      <c r="Q36" s="473">
        <f t="shared" si="22"/>
        <v>2.5092478037962218E-2</v>
      </c>
      <c r="R36" s="409">
        <v>17557891</v>
      </c>
      <c r="S36" s="473">
        <f t="shared" si="23"/>
        <v>2.5092862032900509E-2</v>
      </c>
      <c r="T36" s="437"/>
    </row>
    <row r="37" spans="1:20" ht="15" x14ac:dyDescent="0.25">
      <c r="A37" s="2" t="s">
        <v>15</v>
      </c>
      <c r="C37" s="436"/>
      <c r="D37" s="38" t="str">
        <f t="shared" si="18"/>
        <v xml:space="preserve">  HEALTH CARE PROVIDER TAX</v>
      </c>
      <c r="E37" s="50">
        <v>4169495.0399999996</v>
      </c>
      <c r="F37" s="50">
        <v>4312811.1900000004</v>
      </c>
      <c r="G37" s="473">
        <f t="shared" si="1"/>
        <v>3.4372543587436688E-2</v>
      </c>
      <c r="H37" s="469">
        <v>4284133</v>
      </c>
      <c r="I37" s="473">
        <f t="shared" si="19"/>
        <v>-6.649535242000848E-3</v>
      </c>
      <c r="J37" s="409">
        <v>4568419</v>
      </c>
      <c r="K37" s="473">
        <f t="shared" si="2"/>
        <v>5.9267099517982702E-2</v>
      </c>
      <c r="L37" s="409">
        <v>4379509</v>
      </c>
      <c r="M37" s="473">
        <f t="shared" si="20"/>
        <v>-4.1351285860600773E-2</v>
      </c>
      <c r="N37" s="409">
        <v>4584517</v>
      </c>
      <c r="O37" s="473">
        <f t="shared" si="21"/>
        <v>4.6810726955921256E-2</v>
      </c>
      <c r="P37" s="409">
        <v>4738843</v>
      </c>
      <c r="Q37" s="473">
        <f t="shared" si="22"/>
        <v>3.3662433796188385E-2</v>
      </c>
      <c r="R37" s="409">
        <v>4874167</v>
      </c>
      <c r="S37" s="473">
        <f t="shared" si="23"/>
        <v>2.8556337485753369E-2</v>
      </c>
      <c r="T37" s="437"/>
    </row>
    <row r="38" spans="1:20" ht="15" x14ac:dyDescent="0.25">
      <c r="A38" s="2" t="s">
        <v>16</v>
      </c>
      <c r="C38" s="436"/>
      <c r="D38" s="38" t="str">
        <f t="shared" si="18"/>
        <v xml:space="preserve">  DEPRECIATION AMORTIZATION</v>
      </c>
      <c r="E38" s="50">
        <v>4047524.0500000003</v>
      </c>
      <c r="F38" s="50">
        <v>4266138.1100000003</v>
      </c>
      <c r="G38" s="473">
        <f t="shared" si="1"/>
        <v>5.4011800127537146E-2</v>
      </c>
      <c r="H38" s="469">
        <v>4371699</v>
      </c>
      <c r="I38" s="473">
        <f t="shared" si="19"/>
        <v>2.474389887954187E-2</v>
      </c>
      <c r="J38" s="409">
        <v>4348154</v>
      </c>
      <c r="K38" s="473">
        <f t="shared" si="2"/>
        <v>1.9224855802898455E-2</v>
      </c>
      <c r="L38" s="409">
        <v>4411523</v>
      </c>
      <c r="M38" s="473">
        <f t="shared" si="20"/>
        <v>1.4573770846202816E-2</v>
      </c>
      <c r="N38" s="409">
        <v>4321491</v>
      </c>
      <c r="O38" s="473">
        <f t="shared" si="21"/>
        <v>-2.0408371439976647E-2</v>
      </c>
      <c r="P38" s="409">
        <v>4200929</v>
      </c>
      <c r="Q38" s="473">
        <f t="shared" si="22"/>
        <v>-2.7898241602261842E-2</v>
      </c>
      <c r="R38" s="409">
        <v>4185846</v>
      </c>
      <c r="S38" s="473">
        <f t="shared" si="23"/>
        <v>-3.5903963147199125E-3</v>
      </c>
      <c r="T38" s="437"/>
    </row>
    <row r="39" spans="1:20" ht="15" x14ac:dyDescent="0.25">
      <c r="A39" s="2" t="s">
        <v>17</v>
      </c>
      <c r="C39" s="436"/>
      <c r="D39" s="38" t="s">
        <v>64</v>
      </c>
      <c r="E39" s="50">
        <v>242250.13999999996</v>
      </c>
      <c r="F39" s="50">
        <v>232156.87999999995</v>
      </c>
      <c r="G39" s="473">
        <f t="shared" si="1"/>
        <v>-4.1664619884223875E-2</v>
      </c>
      <c r="H39" s="469">
        <v>249792</v>
      </c>
      <c r="I39" s="473">
        <f t="shared" si="19"/>
        <v>7.5962082192007729E-2</v>
      </c>
      <c r="J39" s="409">
        <v>191396</v>
      </c>
      <c r="K39" s="473">
        <f t="shared" si="2"/>
        <v>-0.17557472343701364</v>
      </c>
      <c r="L39" s="409">
        <v>165520</v>
      </c>
      <c r="M39" s="473">
        <f t="shared" si="20"/>
        <v>-0.13519613785032081</v>
      </c>
      <c r="N39" s="409">
        <v>149192</v>
      </c>
      <c r="O39" s="473">
        <f t="shared" si="21"/>
        <v>-9.8646689221846273E-2</v>
      </c>
      <c r="P39" s="409">
        <v>133472</v>
      </c>
      <c r="Q39" s="473">
        <f t="shared" si="22"/>
        <v>-0.10536758003110092</v>
      </c>
      <c r="R39" s="409">
        <v>117485</v>
      </c>
      <c r="S39" s="473">
        <f t="shared" si="23"/>
        <v>-0.11977793095181011</v>
      </c>
      <c r="T39" s="437"/>
    </row>
    <row r="40" spans="1:20" ht="15" hidden="1" outlineLevel="1" x14ac:dyDescent="0.25">
      <c r="A40" s="2" t="s">
        <v>18</v>
      </c>
      <c r="C40" s="436"/>
      <c r="D40" s="38"/>
      <c r="E40" s="50"/>
      <c r="F40" s="50"/>
      <c r="G40" s="473" t="str">
        <f t="shared" si="1"/>
        <v>n/a</v>
      </c>
      <c r="H40" s="469"/>
      <c r="I40" s="470"/>
      <c r="J40" s="409"/>
      <c r="K40" s="473" t="str">
        <f t="shared" si="2"/>
        <v>n/a</v>
      </c>
      <c r="L40" s="409"/>
      <c r="M40" s="470"/>
      <c r="N40" s="409"/>
      <c r="O40" s="470"/>
      <c r="P40" s="409"/>
      <c r="Q40" s="470"/>
      <c r="R40" s="409"/>
      <c r="S40" s="470"/>
      <c r="T40" s="437"/>
    </row>
    <row r="41" spans="1:20" ht="15" collapsed="1" x14ac:dyDescent="0.25">
      <c r="A41" s="2" t="s">
        <v>19</v>
      </c>
      <c r="C41" s="436"/>
      <c r="D41" s="38" t="str">
        <f>"  "&amp;UPPER(TRIM(A41))</f>
        <v xml:space="preserve">  OTHER OPERATING EXPENSE</v>
      </c>
      <c r="E41" s="50">
        <v>21572208.530000001</v>
      </c>
      <c r="F41" s="50">
        <v>22510557.889999997</v>
      </c>
      <c r="G41" s="473">
        <f t="shared" si="1"/>
        <v>4.3498066444845218E-2</v>
      </c>
      <c r="H41" s="469">
        <v>20554292</v>
      </c>
      <c r="I41" s="473">
        <f>IF(F41=0,"n/a",+(H41/F41)-1)</f>
        <v>-8.6904371697915206E-2</v>
      </c>
      <c r="J41" s="409">
        <f>6410515+14013102</f>
        <v>20423617</v>
      </c>
      <c r="K41" s="473">
        <f t="shared" si="2"/>
        <v>-9.2709425514819976E-2</v>
      </c>
      <c r="L41" s="409">
        <f>7039252+15733382</f>
        <v>22772634</v>
      </c>
      <c r="M41" s="473">
        <f>IF(J41=0,"n/a",+(L41/J41)-1)</f>
        <v>0.11501474004335277</v>
      </c>
      <c r="N41" s="409">
        <f>7144841+15969383</f>
        <v>23114224</v>
      </c>
      <c r="O41" s="473">
        <f>IF(L41=0,"n/a",+(N41/L41)-1)</f>
        <v>1.5000021517054263E-2</v>
      </c>
      <c r="P41" s="409">
        <f>7252013+16208923</f>
        <v>23460936</v>
      </c>
      <c r="Q41" s="473">
        <f>IF(N41=0,"n/a",+(P41/N41)-1)</f>
        <v>1.4999941161771169E-2</v>
      </c>
      <c r="R41" s="409">
        <f>7360794+16452057</f>
        <v>23812851</v>
      </c>
      <c r="S41" s="473">
        <f>IF(P41=0,"n/a",+(R41/P41)-1)</f>
        <v>1.5000040919083579E-2</v>
      </c>
      <c r="T41" s="437"/>
    </row>
    <row r="42" spans="1:20" ht="15" hidden="1" outlineLevel="1" x14ac:dyDescent="0.25">
      <c r="A42" s="2" t="s">
        <v>20</v>
      </c>
      <c r="C42" s="436"/>
      <c r="D42" s="38" t="str">
        <f>"  "&amp;UPPER(TRIM(A42))</f>
        <v xml:space="preserve">  BAD DEBT</v>
      </c>
      <c r="E42" s="50">
        <v>0</v>
      </c>
      <c r="F42" s="50">
        <v>0</v>
      </c>
      <c r="G42" s="570" t="str">
        <f t="shared" si="1"/>
        <v>n/a</v>
      </c>
      <c r="H42" s="469"/>
      <c r="I42" s="71"/>
      <c r="J42" s="409"/>
      <c r="K42" s="570" t="str">
        <f t="shared" si="2"/>
        <v>n/a</v>
      </c>
      <c r="L42" s="409"/>
      <c r="M42" s="71"/>
      <c r="N42" s="409"/>
      <c r="O42" s="71"/>
      <c r="P42" s="409"/>
      <c r="Q42" s="71"/>
      <c r="R42" s="409"/>
      <c r="S42" s="71"/>
      <c r="T42" s="437"/>
    </row>
    <row r="43" spans="1:20" ht="15" collapsed="1" x14ac:dyDescent="0.25">
      <c r="C43" s="436"/>
      <c r="D43" s="38"/>
      <c r="E43" s="50"/>
      <c r="F43" s="50"/>
      <c r="G43" s="473" t="str">
        <f t="shared" si="1"/>
        <v>n/a</v>
      </c>
      <c r="H43" s="469"/>
      <c r="I43" s="473" t="str">
        <f>IF(F43=0,"n/a",+(H43/F43)-1)</f>
        <v>n/a</v>
      </c>
      <c r="J43" s="409"/>
      <c r="K43" s="473" t="str">
        <f t="shared" si="2"/>
        <v>n/a</v>
      </c>
      <c r="L43" s="409"/>
      <c r="M43" s="473" t="str">
        <f>IF(J43=0,"n/a",+(L43/J43)-1)</f>
        <v>n/a</v>
      </c>
      <c r="N43" s="409"/>
      <c r="O43" s="473" t="str">
        <f>IF(L43=0,"n/a",+(N43/L43)-1)</f>
        <v>n/a</v>
      </c>
      <c r="P43" s="409"/>
      <c r="Q43" s="473" t="str">
        <f>IF(N43=0,"n/a",+(P43/N43)-1)</f>
        <v>n/a</v>
      </c>
      <c r="R43" s="409"/>
      <c r="S43" s="473" t="str">
        <f>IF(P43=0,"n/a",+(R43/P43)-1)</f>
        <v>n/a</v>
      </c>
      <c r="T43" s="437"/>
    </row>
    <row r="44" spans="1:20" ht="15.6" x14ac:dyDescent="0.3">
      <c r="A44" s="5"/>
      <c r="B44" s="5"/>
      <c r="C44" s="432"/>
      <c r="D44" s="59" t="s">
        <v>36</v>
      </c>
      <c r="E44" s="57">
        <v>72612205.75</v>
      </c>
      <c r="F44" s="57">
        <v>76473142.929999977</v>
      </c>
      <c r="G44" s="474">
        <f t="shared" si="1"/>
        <v>5.3172013439351851E-2</v>
      </c>
      <c r="H44" s="555">
        <f t="shared" ref="H44" si="24">SUM(H33:H43)</f>
        <v>76268125</v>
      </c>
      <c r="I44" s="474">
        <f>IF(F44=0,"n/a",+(H44/F44)-1)</f>
        <v>-2.6809141372369227E-3</v>
      </c>
      <c r="J44" s="411">
        <f t="shared" ref="J44:L44" si="25">SUM(J33:J43)</f>
        <v>76037369</v>
      </c>
      <c r="K44" s="474">
        <f t="shared" si="2"/>
        <v>-5.6983917922514005E-3</v>
      </c>
      <c r="L44" s="411">
        <f t="shared" si="25"/>
        <v>80123835</v>
      </c>
      <c r="M44" s="474">
        <f>IF(J44=0,"n/a",+(L44/J44)-1)</f>
        <v>5.3742864248761624E-2</v>
      </c>
      <c r="N44" s="411">
        <f t="shared" ref="N44:P44" si="26">SUM(N33:N43)</f>
        <v>81186853</v>
      </c>
      <c r="O44" s="474">
        <f>IF(L44=0,"n/a",+(N44/L44)-1)</f>
        <v>1.3267188221831816E-2</v>
      </c>
      <c r="P44" s="411">
        <f t="shared" si="26"/>
        <v>82940133</v>
      </c>
      <c r="Q44" s="474">
        <f>IF(N44=0,"n/a",+(P44/N44)-1)</f>
        <v>2.1595614748116887E-2</v>
      </c>
      <c r="R44" s="411">
        <f t="shared" ref="R44" si="27">SUM(R33:R43)</f>
        <v>84824434</v>
      </c>
      <c r="S44" s="474">
        <f>IF(P44=0,"n/a",+(R44/P44)-1)</f>
        <v>2.2718808516981825E-2</v>
      </c>
      <c r="T44" s="437"/>
    </row>
    <row r="45" spans="1:20" ht="15" x14ac:dyDescent="0.25">
      <c r="C45" s="436"/>
      <c r="D45" s="38"/>
      <c r="E45" s="50"/>
      <c r="F45" s="50"/>
      <c r="G45" s="570"/>
      <c r="H45" s="469"/>
      <c r="I45" s="71"/>
      <c r="J45" s="410"/>
      <c r="K45" s="570" t="str">
        <f t="shared" si="2"/>
        <v>n/a</v>
      </c>
      <c r="L45" s="410"/>
      <c r="M45" s="71"/>
      <c r="N45" s="410"/>
      <c r="O45" s="71"/>
      <c r="P45" s="410"/>
      <c r="Q45" s="71"/>
      <c r="R45" s="410"/>
      <c r="S45" s="71"/>
      <c r="T45" s="437"/>
    </row>
    <row r="46" spans="1:20" ht="15" x14ac:dyDescent="0.25">
      <c r="C46" s="436"/>
      <c r="D46" s="38" t="s">
        <v>37</v>
      </c>
      <c r="E46" s="50">
        <v>2697578.5999999791</v>
      </c>
      <c r="F46" s="50">
        <v>2195877.6300000101</v>
      </c>
      <c r="G46" s="473">
        <f t="shared" si="1"/>
        <v>-0.18598196545597334</v>
      </c>
      <c r="H46" s="557">
        <f t="shared" ref="H46" si="28">H30-H44</f>
        <v>-16196</v>
      </c>
      <c r="I46" s="473">
        <f>IF(F46=0,"n/a",+(H46/F46)-1)</f>
        <v>-1.0073756386871158</v>
      </c>
      <c r="J46" s="413">
        <f t="shared" ref="J46:L46" si="29">J30-J44</f>
        <v>-437372</v>
      </c>
      <c r="K46" s="473">
        <f t="shared" si="2"/>
        <v>-1.1991786764547521</v>
      </c>
      <c r="L46" s="413">
        <f t="shared" si="29"/>
        <v>157873</v>
      </c>
      <c r="M46" s="473">
        <f>IF(J46=0,"n/a",+(L46/J46)-1)</f>
        <v>-1.3609581774782109</v>
      </c>
      <c r="N46" s="413">
        <f t="shared" ref="N46:P46" si="30">N30-N44</f>
        <v>1510916</v>
      </c>
      <c r="O46" s="473">
        <f>IF(L46=0,"n/a",+(N46/L46)-1)</f>
        <v>8.5704521989193854</v>
      </c>
      <c r="P46" s="413">
        <f t="shared" si="30"/>
        <v>2031614</v>
      </c>
      <c r="Q46" s="473">
        <f>IF(N46=0,"n/a",+(P46/N46)-1)</f>
        <v>0.34462405587074341</v>
      </c>
      <c r="R46" s="413">
        <f t="shared" ref="R46" si="31">R30-R44</f>
        <v>1848303</v>
      </c>
      <c r="S46" s="473">
        <f>IF(P46=0,"n/a",+(R46/P46)-1)</f>
        <v>-9.022924630367779E-2</v>
      </c>
      <c r="T46" s="437"/>
    </row>
    <row r="47" spans="1:20" ht="15" x14ac:dyDescent="0.25">
      <c r="C47" s="436"/>
      <c r="D47" s="38"/>
      <c r="E47" s="50"/>
      <c r="F47" s="50"/>
      <c r="G47" s="570"/>
      <c r="H47" s="469"/>
      <c r="I47" s="71"/>
      <c r="J47" s="410"/>
      <c r="K47" s="570" t="str">
        <f t="shared" si="2"/>
        <v>n/a</v>
      </c>
      <c r="L47" s="410"/>
      <c r="M47" s="71"/>
      <c r="N47" s="410"/>
      <c r="O47" s="71"/>
      <c r="P47" s="410"/>
      <c r="Q47" s="71"/>
      <c r="R47" s="410"/>
      <c r="S47" s="71"/>
      <c r="T47" s="437"/>
    </row>
    <row r="48" spans="1:20" ht="15" x14ac:dyDescent="0.25">
      <c r="A48" s="2" t="s">
        <v>23</v>
      </c>
      <c r="C48" s="436"/>
      <c r="D48" s="38" t="str">
        <f>UPPER(TRIM(A48))</f>
        <v>NON-OPERATING REVENUE</v>
      </c>
      <c r="E48" s="50">
        <v>6487436.6700000009</v>
      </c>
      <c r="F48" s="50">
        <v>1020454.9999999999</v>
      </c>
      <c r="G48" s="473">
        <f t="shared" si="1"/>
        <v>-0.84270289608854099</v>
      </c>
      <c r="H48" s="557">
        <f>733978</f>
        <v>733978</v>
      </c>
      <c r="I48" s="473">
        <f>IF(F48=0,"n/a",+(H48/F48)-1)</f>
        <v>-0.28073457428304027</v>
      </c>
      <c r="J48" s="414">
        <v>2210261</v>
      </c>
      <c r="K48" s="473">
        <f t="shared" si="2"/>
        <v>1.165956362602957</v>
      </c>
      <c r="L48" s="414">
        <v>582601</v>
      </c>
      <c r="M48" s="473">
        <f>IF(J48=0,"n/a",+(L48/J48)-1)</f>
        <v>-0.73641076777810399</v>
      </c>
      <c r="N48" s="414">
        <f>132692</f>
        <v>132692</v>
      </c>
      <c r="O48" s="473">
        <f>IF(L48=0,"n/a",+(N48/L48)-1)</f>
        <v>-0.77224206618251601</v>
      </c>
      <c r="P48" s="414">
        <f>180494</f>
        <v>180494</v>
      </c>
      <c r="Q48" s="473">
        <f>IF(N48=0,"n/a",+(P48/N48)-1)</f>
        <v>0.36024779187893774</v>
      </c>
      <c r="R48" s="414">
        <f>218552</f>
        <v>218552</v>
      </c>
      <c r="S48" s="473">
        <f>IF(P48=0,"n/a",+(R48/P48)-1)</f>
        <v>0.21085465444834739</v>
      </c>
      <c r="T48" s="437"/>
    </row>
    <row r="49" spans="1:20" ht="15" x14ac:dyDescent="0.25">
      <c r="A49" s="5"/>
      <c r="B49" s="5"/>
      <c r="C49" s="432"/>
      <c r="D49" s="56"/>
      <c r="E49" s="57"/>
      <c r="F49" s="57"/>
      <c r="G49" s="571"/>
      <c r="H49" s="411"/>
      <c r="I49" s="73"/>
      <c r="J49" s="411"/>
      <c r="K49" s="571" t="str">
        <f t="shared" si="2"/>
        <v>n/a</v>
      </c>
      <c r="L49" s="411"/>
      <c r="M49" s="73"/>
      <c r="N49" s="411"/>
      <c r="O49" s="73"/>
      <c r="P49" s="411"/>
      <c r="Q49" s="73"/>
      <c r="R49" s="411"/>
      <c r="S49" s="73"/>
      <c r="T49" s="437"/>
    </row>
    <row r="50" spans="1:20" ht="16.2" thickBot="1" x14ac:dyDescent="0.35">
      <c r="A50" s="7"/>
      <c r="B50" s="7"/>
      <c r="C50" s="441"/>
      <c r="D50" s="62" t="s">
        <v>38</v>
      </c>
      <c r="E50" s="63">
        <v>9185015.2699999809</v>
      </c>
      <c r="F50" s="63">
        <v>3216332.6300000101</v>
      </c>
      <c r="G50" s="476">
        <f t="shared" si="1"/>
        <v>-0.64982827622451889</v>
      </c>
      <c r="H50" s="415">
        <f t="shared" ref="H50" si="32">H46+H48</f>
        <v>717782</v>
      </c>
      <c r="I50" s="64">
        <f t="shared" ref="I50" si="33">+(H50/F50)-1</f>
        <v>-0.77683216179043091</v>
      </c>
      <c r="J50" s="415">
        <f t="shared" ref="J50:L50" si="34">J46+J48</f>
        <v>1772889</v>
      </c>
      <c r="K50" s="476">
        <f t="shared" si="2"/>
        <v>-0.44878555673515819</v>
      </c>
      <c r="L50" s="415">
        <f t="shared" si="34"/>
        <v>740474</v>
      </c>
      <c r="M50" s="64">
        <f t="shared" ref="M50:S50" si="35">+(L50/J50)-1</f>
        <v>-0.58233482186420016</v>
      </c>
      <c r="N50" s="415">
        <f t="shared" ref="N50:P50" si="36">N46+N48</f>
        <v>1643608</v>
      </c>
      <c r="O50" s="64">
        <f t="shared" si="35"/>
        <v>1.2196701032041637</v>
      </c>
      <c r="P50" s="415">
        <f t="shared" si="36"/>
        <v>2212108</v>
      </c>
      <c r="Q50" s="64">
        <f t="shared" si="35"/>
        <v>0.34588539359750015</v>
      </c>
      <c r="R50" s="415">
        <f t="shared" ref="R50" si="37">R46+R48</f>
        <v>2066855</v>
      </c>
      <c r="S50" s="64">
        <f t="shared" si="35"/>
        <v>-6.5662707245758289E-2</v>
      </c>
      <c r="T50" s="437"/>
    </row>
    <row r="51" spans="1:20" ht="15.6" thickTop="1" x14ac:dyDescent="0.25">
      <c r="C51" s="440"/>
      <c r="D51" s="442"/>
      <c r="E51" s="55"/>
      <c r="F51" s="443"/>
      <c r="G51" s="443"/>
      <c r="H51" s="444">
        <f>717782-H50</f>
        <v>0</v>
      </c>
      <c r="I51" s="444"/>
      <c r="J51" s="444">
        <f>1772889-J50</f>
        <v>0</v>
      </c>
      <c r="K51" s="55"/>
      <c r="L51" s="444">
        <f>740474-L50</f>
        <v>0</v>
      </c>
      <c r="M51" s="55"/>
      <c r="N51" s="444">
        <f>1643608-N50</f>
        <v>0</v>
      </c>
      <c r="O51" s="443"/>
      <c r="P51" s="444">
        <f>2212108-P50</f>
        <v>0</v>
      </c>
      <c r="Q51" s="443"/>
      <c r="R51" s="444">
        <f>2066855-R50</f>
        <v>0</v>
      </c>
      <c r="S51" s="445"/>
      <c r="T51" s="446"/>
    </row>
    <row r="52" spans="1:20" ht="3.75" customHeight="1" x14ac:dyDescent="0.25">
      <c r="D52" s="51"/>
      <c r="E52" s="50"/>
      <c r="F52" s="51"/>
      <c r="G52" s="51"/>
      <c r="H52" s="51"/>
      <c r="I52" s="51"/>
      <c r="J52" s="51"/>
      <c r="K52" s="50"/>
      <c r="L52" s="51"/>
      <c r="M52" s="50"/>
      <c r="N52" s="51"/>
      <c r="O52" s="51"/>
      <c r="P52" s="51"/>
      <c r="Q52" s="51"/>
      <c r="R52" s="51"/>
      <c r="S52" s="51"/>
    </row>
    <row r="53" spans="1:20" s="34" customFormat="1" ht="15" x14ac:dyDescent="0.25">
      <c r="A53" s="33"/>
      <c r="B53" s="33"/>
      <c r="C53" s="33"/>
      <c r="D53" s="51" t="s">
        <v>59</v>
      </c>
      <c r="E53" s="53">
        <f>+E46/E30</f>
        <v>3.5819762641505687E-2</v>
      </c>
      <c r="F53" s="53">
        <f>+F46/F30</f>
        <v>2.7912863467331954E-2</v>
      </c>
      <c r="G53" s="53"/>
      <c r="H53" s="53">
        <f>+H46/H30</f>
        <v>-2.1240118397529328E-4</v>
      </c>
      <c r="I53" s="53"/>
      <c r="J53" s="53">
        <f>+J46/J30</f>
        <v>-5.7853441449210643E-3</v>
      </c>
      <c r="K53" s="53"/>
      <c r="L53" s="53">
        <f>+L46/L30</f>
        <v>1.9664878081567471E-3</v>
      </c>
      <c r="M53" s="53"/>
      <c r="N53" s="53">
        <f>+N46/N30</f>
        <v>1.8270335684630139E-2</v>
      </c>
      <c r="O53" s="53"/>
      <c r="P53" s="53">
        <f>+P46/P30</f>
        <v>2.3909288342629932E-2</v>
      </c>
      <c r="R53" s="53">
        <f>+R46/R30</f>
        <v>2.1325079419148837E-2</v>
      </c>
      <c r="T53" s="35"/>
    </row>
    <row r="54" spans="1:20" s="34" customFormat="1" ht="15" x14ac:dyDescent="0.25">
      <c r="A54" s="33"/>
      <c r="B54" s="33"/>
      <c r="C54" s="33"/>
      <c r="D54" s="51" t="s">
        <v>60</v>
      </c>
      <c r="E54" s="53">
        <f>-E23/E20</f>
        <v>4.8855580611414297E-2</v>
      </c>
      <c r="F54" s="53">
        <f>-F23/F20</f>
        <v>5.1983675727406455E-2</v>
      </c>
      <c r="G54" s="53"/>
      <c r="H54" s="53">
        <f>-H23/H20</f>
        <v>5.2715577954662175E-2</v>
      </c>
      <c r="I54" s="53"/>
      <c r="J54" s="53">
        <f>-J23/J20</f>
        <v>3.1533327746455508E-2</v>
      </c>
      <c r="K54" s="53"/>
      <c r="L54" s="53">
        <f>-L23/L20</f>
        <v>5.0865816803335649E-2</v>
      </c>
      <c r="M54" s="53"/>
      <c r="N54" s="53">
        <f>-N23/N20</f>
        <v>4.499999262696449E-2</v>
      </c>
      <c r="O54" s="53"/>
      <c r="P54" s="53">
        <f>-P23/P20</f>
        <v>4.5000000959050046E-2</v>
      </c>
      <c r="R54" s="53">
        <f>-R23/R20</f>
        <v>4.499999711778329E-2</v>
      </c>
    </row>
    <row r="55" spans="1:20" s="34" customFormat="1" ht="15" x14ac:dyDescent="0.25">
      <c r="A55" s="33"/>
      <c r="B55" s="33"/>
      <c r="C55" s="33"/>
      <c r="D55" s="51" t="s">
        <v>61</v>
      </c>
      <c r="E55" s="53">
        <f>SUM(E33:E36)/E44</f>
        <v>0.58641281517604915</v>
      </c>
      <c r="F55" s="53">
        <f>SUM(F33:F36)/F44</f>
        <v>0.590422691288229</v>
      </c>
      <c r="G55" s="51"/>
      <c r="H55" s="53">
        <f>SUM(H33:H36)/H44</f>
        <v>0.61373226364224898</v>
      </c>
      <c r="I55" s="53"/>
      <c r="J55" s="53">
        <f>SUM(J33:J36)/J44</f>
        <v>0.61161746666957928</v>
      </c>
      <c r="K55" s="50"/>
      <c r="L55" s="53">
        <f>SUM(L33:L36)/L44</f>
        <v>0.60399816109650772</v>
      </c>
      <c r="M55" s="53"/>
      <c r="N55" s="53">
        <f>SUM(N33:N36)/N44</f>
        <v>0.60376067292570146</v>
      </c>
      <c r="O55" s="53"/>
      <c r="P55" s="53">
        <f>SUM(P33:P36)/P44</f>
        <v>0.60773899410072085</v>
      </c>
      <c r="R55" s="53">
        <f>SUM(R33:R36)/R44</f>
        <v>0.61107492918844586</v>
      </c>
    </row>
    <row r="56" spans="1:20" s="34" customFormat="1" ht="15" x14ac:dyDescent="0.25">
      <c r="A56" s="33"/>
      <c r="B56" s="33"/>
      <c r="C56" s="33"/>
      <c r="D56" s="51" t="s">
        <v>62</v>
      </c>
      <c r="E56" s="53">
        <f>(+E38+E39)/E44</f>
        <v>5.9077866395760889E-2</v>
      </c>
      <c r="F56" s="53">
        <f>(+F38+F39)/F44</f>
        <v>5.8821892466451052E-2</v>
      </c>
      <c r="G56" s="51"/>
      <c r="H56" s="53">
        <f>(+H38+H39)/H44</f>
        <v>6.0595314228585009E-2</v>
      </c>
      <c r="I56" s="53"/>
      <c r="J56" s="53">
        <f>(+J38+J39)/J44</f>
        <v>5.9701565949763467E-2</v>
      </c>
      <c r="K56" s="50"/>
      <c r="L56" s="53">
        <f>(+L38+L39)/L44</f>
        <v>5.7124612170648098E-2</v>
      </c>
      <c r="M56" s="53"/>
      <c r="N56" s="53">
        <f>(+N38+N39)/N44</f>
        <v>5.5066588182695046E-2</v>
      </c>
      <c r="O56" s="53"/>
      <c r="P56" s="53">
        <f>(+P38+P39)/P44</f>
        <v>5.2259392928632027E-2</v>
      </c>
      <c r="R56" s="53">
        <f>(+R38+R39)/R44</f>
        <v>5.0732210013921225E-2</v>
      </c>
    </row>
    <row r="57" spans="1:20" ht="15" x14ac:dyDescent="0.25">
      <c r="D57" s="69"/>
      <c r="E57" s="70"/>
      <c r="F57" s="51"/>
      <c r="G57" s="51"/>
      <c r="H57" s="51"/>
      <c r="I57" s="51"/>
      <c r="J57" s="51"/>
      <c r="K57" s="51"/>
      <c r="L57" s="51"/>
      <c r="M57" s="51"/>
      <c r="N57" s="51"/>
      <c r="O57" s="51"/>
      <c r="P57" s="51"/>
      <c r="Q57" s="51"/>
      <c r="R57" s="51"/>
      <c r="S57" s="51"/>
    </row>
    <row r="58" spans="1:20" hidden="1" outlineLevel="1" x14ac:dyDescent="0.25">
      <c r="A58" s="12" t="s">
        <v>46</v>
      </c>
      <c r="B58" s="12"/>
      <c r="C58" s="12"/>
      <c r="D58" s="12"/>
      <c r="E58" s="13"/>
      <c r="F58" s="14"/>
      <c r="G58" s="14"/>
    </row>
    <row r="59" spans="1:20" hidden="1" outlineLevel="1" x14ac:dyDescent="0.25">
      <c r="A59" s="12" t="s">
        <v>7</v>
      </c>
      <c r="B59" s="12"/>
      <c r="C59" s="12"/>
      <c r="D59" s="12"/>
      <c r="E59" s="13" t="e">
        <f>SUMIF(#REF!,PL!$A59,#REF!)</f>
        <v>#REF!</v>
      </c>
      <c r="F59" s="13" t="e">
        <f>SUMIF(#REF!,PL!$A59,#REF!)</f>
        <v>#REF!</v>
      </c>
      <c r="G59" s="13"/>
      <c r="H59" s="13" t="e">
        <f>SUMIF(#REF!,PL!$A59,#REF!)</f>
        <v>#REF!</v>
      </c>
      <c r="I59" s="13"/>
      <c r="J59" s="13" t="e">
        <f>SUMIF(#REF!,PL!$A59,#REF!)</f>
        <v>#REF!</v>
      </c>
      <c r="K59" s="13"/>
    </row>
    <row r="60" spans="1:20" hidden="1" outlineLevel="1" x14ac:dyDescent="0.25">
      <c r="A60" s="12"/>
      <c r="B60" s="12"/>
      <c r="C60" s="12"/>
      <c r="D60" s="12"/>
      <c r="E60" s="13" t="e">
        <f>+E59-E26</f>
        <v>#REF!</v>
      </c>
      <c r="F60" s="13" t="e">
        <f>+F59-F26</f>
        <v>#REF!</v>
      </c>
      <c r="G60" s="13"/>
      <c r="H60" s="13" t="e">
        <f>+H59-H26</f>
        <v>#REF!</v>
      </c>
      <c r="I60" s="13"/>
      <c r="J60" s="13" t="e">
        <f>+J59-J26</f>
        <v>#REF!</v>
      </c>
      <c r="K60" s="13"/>
    </row>
    <row r="61" spans="1:20" hidden="1" outlineLevel="1" x14ac:dyDescent="0.25">
      <c r="A61" s="12" t="s">
        <v>8</v>
      </c>
      <c r="B61" s="12"/>
      <c r="C61" s="12"/>
      <c r="D61" s="12"/>
      <c r="E61" s="13" t="e">
        <f>SUMIF(#REF!,PL!$A61,#REF!)</f>
        <v>#REF!</v>
      </c>
      <c r="F61" s="13" t="e">
        <f>SUMIF(#REF!,PL!$A61,#REF!)</f>
        <v>#REF!</v>
      </c>
      <c r="G61" s="13"/>
      <c r="H61" s="13" t="e">
        <f>SUMIF(#REF!,PL!$A61,#REF!)</f>
        <v>#REF!</v>
      </c>
      <c r="I61" s="13"/>
      <c r="J61" s="13" t="e">
        <f>SUMIF(#REF!,PL!$A61,#REF!)</f>
        <v>#REF!</v>
      </c>
      <c r="K61" s="13"/>
    </row>
    <row r="62" spans="1:20" hidden="1" outlineLevel="1" x14ac:dyDescent="0.25">
      <c r="A62" s="12"/>
      <c r="B62" s="12"/>
      <c r="C62" s="12"/>
      <c r="D62" s="12"/>
      <c r="E62" s="13" t="e">
        <f>+E61-E28</f>
        <v>#REF!</v>
      </c>
      <c r="F62" s="13" t="e">
        <f>+F61-F28</f>
        <v>#REF!</v>
      </c>
      <c r="G62" s="13"/>
      <c r="H62" s="13" t="e">
        <f>+H61-H28</f>
        <v>#REF!</v>
      </c>
      <c r="I62" s="13"/>
      <c r="J62" s="13" t="e">
        <f>+J61-J28</f>
        <v>#REF!</v>
      </c>
      <c r="K62" s="13"/>
    </row>
    <row r="63" spans="1:20" hidden="1" outlineLevel="1" x14ac:dyDescent="0.25">
      <c r="A63" s="12" t="s">
        <v>9</v>
      </c>
      <c r="B63" s="12"/>
      <c r="C63" s="12"/>
      <c r="D63" s="12"/>
      <c r="E63" s="13" t="e">
        <f>SUMIF(#REF!,PL!$A63,#REF!)</f>
        <v>#REF!</v>
      </c>
      <c r="F63" s="13" t="e">
        <f>SUMIF(#REF!,PL!$A63,#REF!)</f>
        <v>#REF!</v>
      </c>
      <c r="G63" s="13"/>
      <c r="H63" s="13" t="e">
        <f>SUMIF(#REF!,PL!$A63,#REF!)</f>
        <v>#REF!</v>
      </c>
      <c r="I63" s="13"/>
      <c r="J63" s="13" t="e">
        <f>SUMIF(#REF!,PL!$A63,#REF!)</f>
        <v>#REF!</v>
      </c>
      <c r="K63" s="13"/>
    </row>
    <row r="64" spans="1:20" hidden="1" outlineLevel="1" x14ac:dyDescent="0.25">
      <c r="A64" s="12"/>
      <c r="B64" s="12"/>
      <c r="C64" s="12"/>
      <c r="D64" s="12"/>
      <c r="E64" s="13" t="e">
        <f>+E63-E30</f>
        <v>#REF!</v>
      </c>
      <c r="F64" s="13" t="e">
        <f>+F63-F30</f>
        <v>#REF!</v>
      </c>
      <c r="G64" s="13"/>
      <c r="H64" s="13" t="e">
        <f>+H63-H30</f>
        <v>#REF!</v>
      </c>
      <c r="I64" s="13"/>
      <c r="J64" s="13" t="e">
        <f>+J63-J30</f>
        <v>#REF!</v>
      </c>
      <c r="K64" s="13"/>
    </row>
    <row r="65" spans="1:19" hidden="1" outlineLevel="1" x14ac:dyDescent="0.25">
      <c r="A65" s="12" t="s">
        <v>21</v>
      </c>
      <c r="B65" s="12"/>
      <c r="C65" s="12"/>
      <c r="D65" s="12"/>
      <c r="E65" s="13" t="e">
        <f>SUMIF(#REF!,PL!$A65,#REF!)</f>
        <v>#REF!</v>
      </c>
      <c r="F65" s="13" t="e">
        <f>SUMIF(#REF!,PL!$A65,#REF!)</f>
        <v>#REF!</v>
      </c>
      <c r="G65" s="13"/>
      <c r="H65" s="13" t="e">
        <f>SUMIF(#REF!,PL!$A65,#REF!)</f>
        <v>#REF!</v>
      </c>
      <c r="I65" s="13"/>
      <c r="J65" s="13" t="e">
        <f>SUMIF(#REF!,PL!$A65,#REF!)</f>
        <v>#REF!</v>
      </c>
      <c r="K65" s="13"/>
    </row>
    <row r="66" spans="1:19" hidden="1" outlineLevel="1" x14ac:dyDescent="0.25">
      <c r="A66" s="12"/>
      <c r="B66" s="12"/>
      <c r="C66" s="12"/>
      <c r="D66" s="12"/>
      <c r="E66" s="13" t="e">
        <f>+E65-E44</f>
        <v>#REF!</v>
      </c>
      <c r="F66" s="13"/>
      <c r="G66" s="13"/>
      <c r="H66" s="13"/>
      <c r="I66" s="13"/>
      <c r="J66" s="13"/>
      <c r="K66" s="13"/>
    </row>
    <row r="67" spans="1:19" hidden="1" outlineLevel="1" x14ac:dyDescent="0.25">
      <c r="A67" s="12" t="s">
        <v>22</v>
      </c>
      <c r="B67" s="12"/>
      <c r="C67" s="12"/>
      <c r="D67" s="12"/>
      <c r="E67" s="13" t="e">
        <f>SUMIF(#REF!,PL!$A67,#REF!)</f>
        <v>#REF!</v>
      </c>
      <c r="F67" s="13" t="e">
        <f>SUMIF(#REF!,PL!$A67,#REF!)</f>
        <v>#REF!</v>
      </c>
      <c r="G67" s="13"/>
      <c r="H67" s="13" t="e">
        <f>SUMIF(#REF!,PL!$A67,#REF!)</f>
        <v>#REF!</v>
      </c>
      <c r="I67" s="13"/>
      <c r="J67" s="13" t="e">
        <f>SUMIF(#REF!,PL!$A67,#REF!)</f>
        <v>#REF!</v>
      </c>
      <c r="K67" s="13"/>
    </row>
    <row r="68" spans="1:19" hidden="1" outlineLevel="1" x14ac:dyDescent="0.25">
      <c r="A68" s="12"/>
      <c r="B68" s="12"/>
      <c r="C68" s="12"/>
      <c r="D68" s="12"/>
      <c r="E68" s="13" t="e">
        <f>+E67-E46</f>
        <v>#REF!</v>
      </c>
      <c r="F68" s="13" t="e">
        <f>+F67-F46</f>
        <v>#REF!</v>
      </c>
      <c r="G68" s="13"/>
      <c r="H68" s="13" t="e">
        <f>+H67-H46</f>
        <v>#REF!</v>
      </c>
      <c r="I68" s="13"/>
      <c r="J68" s="13" t="e">
        <f>+J67-J46</f>
        <v>#REF!</v>
      </c>
      <c r="K68" s="13"/>
    </row>
    <row r="69" spans="1:19" hidden="1" outlineLevel="1" x14ac:dyDescent="0.25">
      <c r="A69" s="12" t="s">
        <v>24</v>
      </c>
      <c r="B69" s="12"/>
      <c r="C69" s="12"/>
      <c r="D69" s="12"/>
      <c r="E69" s="13" t="e">
        <f>SUMIF(#REF!,PL!$A69,#REF!)</f>
        <v>#REF!</v>
      </c>
      <c r="F69" s="13" t="e">
        <f>SUMIF(#REF!,PL!$A69,#REF!)</f>
        <v>#REF!</v>
      </c>
      <c r="G69" s="13"/>
      <c r="H69" s="13" t="e">
        <f>SUMIF(#REF!,PL!$A69,#REF!)</f>
        <v>#REF!</v>
      </c>
      <c r="I69" s="13"/>
      <c r="J69" s="13" t="e">
        <f>SUMIF(#REF!,PL!$A69,#REF!)</f>
        <v>#REF!</v>
      </c>
      <c r="K69" s="13"/>
    </row>
    <row r="70" spans="1:19" hidden="1" outlineLevel="1" x14ac:dyDescent="0.25">
      <c r="A70" s="12"/>
      <c r="B70" s="12"/>
      <c r="C70" s="12"/>
      <c r="D70" s="12"/>
      <c r="E70" s="13" t="e">
        <f>+E69-E50</f>
        <v>#REF!</v>
      </c>
      <c r="F70" s="13" t="e">
        <f>+F69-F50</f>
        <v>#REF!</v>
      </c>
      <c r="G70" s="13"/>
      <c r="H70" s="13" t="e">
        <f>+H69-H50</f>
        <v>#REF!</v>
      </c>
      <c r="I70" s="13"/>
      <c r="J70" s="13" t="e">
        <f>+J69-J50</f>
        <v>#REF!</v>
      </c>
      <c r="K70" s="13"/>
    </row>
    <row r="71" spans="1:19" collapsed="1" x14ac:dyDescent="0.25"/>
    <row r="72" spans="1:19" ht="13.8" thickBot="1" x14ac:dyDescent="0.3"/>
    <row r="73" spans="1:19" x14ac:dyDescent="0.25">
      <c r="D73" s="21"/>
      <c r="E73" s="22"/>
      <c r="F73" s="23"/>
      <c r="G73" s="23"/>
      <c r="H73" s="23"/>
      <c r="I73" s="23"/>
      <c r="J73" s="23"/>
      <c r="K73" s="23"/>
      <c r="L73" s="23"/>
      <c r="M73" s="23"/>
      <c r="N73" s="23"/>
      <c r="O73" s="23"/>
      <c r="P73" s="23"/>
      <c r="Q73" s="23"/>
      <c r="R73" s="23"/>
      <c r="S73" s="24"/>
    </row>
    <row r="74" spans="1:19" ht="25.5" customHeight="1" x14ac:dyDescent="0.25">
      <c r="D74" s="611" t="str">
        <f>D4</f>
        <v>Modernization Project</v>
      </c>
      <c r="E74" s="612"/>
      <c r="F74" s="612"/>
      <c r="G74" s="612"/>
      <c r="H74" s="612"/>
      <c r="I74" s="612"/>
      <c r="J74" s="612"/>
      <c r="K74" s="612"/>
      <c r="L74" s="612"/>
      <c r="M74" s="612"/>
      <c r="N74" s="612"/>
      <c r="O74" s="612"/>
      <c r="P74" s="612"/>
      <c r="Q74" s="612"/>
      <c r="R74" s="594"/>
      <c r="S74" s="594"/>
    </row>
    <row r="75" spans="1:19" s="16" customFormat="1" ht="15.75" customHeight="1" x14ac:dyDescent="0.3">
      <c r="A75" s="28"/>
      <c r="B75" s="28"/>
      <c r="C75" s="28"/>
      <c r="D75" s="613" t="s">
        <v>54</v>
      </c>
      <c r="E75" s="614"/>
      <c r="F75" s="614"/>
      <c r="G75" s="614"/>
      <c r="H75" s="614"/>
      <c r="I75" s="614"/>
      <c r="J75" s="614"/>
      <c r="K75" s="614"/>
      <c r="L75" s="614"/>
      <c r="M75" s="614"/>
      <c r="N75" s="614"/>
      <c r="O75" s="614"/>
      <c r="P75" s="614"/>
      <c r="Q75" s="614"/>
      <c r="R75" s="597"/>
      <c r="S75" s="597"/>
    </row>
    <row r="76" spans="1:19" ht="18.75" customHeight="1" x14ac:dyDescent="0.4">
      <c r="D76" s="610" t="str">
        <f>+D6</f>
        <v>INCOME STATEMENT- Table 3</v>
      </c>
      <c r="E76" s="590"/>
      <c r="F76" s="590"/>
      <c r="G76" s="590"/>
      <c r="H76" s="590"/>
      <c r="I76" s="590"/>
      <c r="J76" s="590"/>
      <c r="K76" s="590"/>
      <c r="L76" s="590"/>
      <c r="M76" s="590"/>
      <c r="N76" s="590"/>
      <c r="O76" s="590"/>
      <c r="P76" s="590"/>
      <c r="Q76" s="590"/>
      <c r="R76" s="597"/>
      <c r="S76" s="597"/>
    </row>
    <row r="77" spans="1:19" s="16" customFormat="1" ht="16.5" customHeight="1" x14ac:dyDescent="0.25">
      <c r="A77" s="28"/>
      <c r="B77" s="28"/>
      <c r="C77" s="28"/>
      <c r="D77" s="592"/>
      <c r="E77" s="593"/>
      <c r="F77" s="593"/>
      <c r="G77" s="593"/>
      <c r="H77" s="593"/>
      <c r="I77" s="593"/>
      <c r="J77" s="593"/>
      <c r="K77" s="593"/>
      <c r="L77" s="593"/>
      <c r="M77" s="593"/>
      <c r="N77" s="593"/>
      <c r="O77" s="593"/>
      <c r="P77" s="593"/>
      <c r="Q77" s="593"/>
      <c r="R77" s="594"/>
      <c r="S77" s="594"/>
    </row>
    <row r="78" spans="1:19" ht="16.5" customHeight="1" x14ac:dyDescent="0.3">
      <c r="D78" s="595" t="s">
        <v>49</v>
      </c>
      <c r="E78" s="596"/>
      <c r="F78" s="596"/>
      <c r="G78" s="596"/>
      <c r="H78" s="596"/>
      <c r="I78" s="596"/>
      <c r="J78" s="596"/>
      <c r="K78" s="596"/>
      <c r="L78" s="596"/>
      <c r="M78" s="596"/>
      <c r="N78" s="596"/>
      <c r="O78" s="596"/>
      <c r="P78" s="596"/>
      <c r="Q78" s="596"/>
      <c r="R78" s="597"/>
      <c r="S78" s="597"/>
    </row>
    <row r="79" spans="1:19" ht="15.6" x14ac:dyDescent="0.3">
      <c r="D79" s="38"/>
      <c r="E79" s="36" t="str">
        <f>+E10</f>
        <v>2014</v>
      </c>
      <c r="F79" s="36" t="str">
        <f>+F10</f>
        <v>2015</v>
      </c>
      <c r="G79" s="39"/>
      <c r="H79" s="533" t="str">
        <f>+H10</f>
        <v>2016</v>
      </c>
      <c r="I79" s="533"/>
      <c r="J79" s="36" t="str">
        <f>+J10</f>
        <v>2016</v>
      </c>
      <c r="K79" s="39"/>
      <c r="L79" s="448" t="s">
        <v>50</v>
      </c>
      <c r="M79" s="448"/>
      <c r="N79" s="448" t="s">
        <v>51</v>
      </c>
      <c r="O79" s="448"/>
      <c r="P79" s="448" t="s">
        <v>52</v>
      </c>
      <c r="Q79" s="448"/>
      <c r="R79" s="448" t="s">
        <v>471</v>
      </c>
      <c r="S79" s="448"/>
    </row>
    <row r="80" spans="1:19" ht="33.75" customHeight="1" x14ac:dyDescent="0.3">
      <c r="D80" s="38"/>
      <c r="E80" s="36" t="str">
        <f>+E11</f>
        <v>Actual</v>
      </c>
      <c r="F80" s="36" t="str">
        <f>+F11</f>
        <v>Actual</v>
      </c>
      <c r="G80" s="42" t="s">
        <v>57</v>
      </c>
      <c r="H80" s="533" t="str">
        <f>+H11</f>
        <v>Budget</v>
      </c>
      <c r="I80" s="533"/>
      <c r="J80" s="36" t="str">
        <f>+J11</f>
        <v>Actual</v>
      </c>
      <c r="K80" s="42" t="str">
        <f>+K11</f>
        <v>% change from py Actual</v>
      </c>
      <c r="L80" s="47">
        <f>+L10</f>
        <v>2017</v>
      </c>
      <c r="M80" s="42" t="str">
        <f>+M11</f>
        <v>% change from py budget</v>
      </c>
      <c r="N80" s="47">
        <f>+N10</f>
        <v>2018</v>
      </c>
      <c r="O80" s="42" t="str">
        <f>+O11</f>
        <v>% change from py Projection</v>
      </c>
      <c r="P80" s="47">
        <f>+P10</f>
        <v>2019</v>
      </c>
      <c r="Q80" s="42" t="str">
        <f>+Q11</f>
        <v>% change from py Projection</v>
      </c>
      <c r="R80" s="47">
        <f>+R10</f>
        <v>2020</v>
      </c>
      <c r="S80" s="42" t="str">
        <f>+S11</f>
        <v>% change from py Projection</v>
      </c>
    </row>
    <row r="81" spans="1:19" ht="15.6" x14ac:dyDescent="0.3">
      <c r="A81" s="8" t="s">
        <v>2</v>
      </c>
      <c r="D81" s="49" t="s">
        <v>30</v>
      </c>
      <c r="E81" s="71"/>
      <c r="F81" s="72"/>
      <c r="G81" s="72"/>
      <c r="H81" s="72"/>
      <c r="I81" s="72"/>
      <c r="J81" s="72"/>
      <c r="K81" s="72"/>
      <c r="L81" s="72"/>
      <c r="M81" s="72"/>
      <c r="N81" s="72"/>
      <c r="O81" s="72"/>
      <c r="P81" s="72"/>
      <c r="Q81" s="72"/>
      <c r="R81" s="72"/>
      <c r="S81" s="72"/>
    </row>
    <row r="82" spans="1:19" ht="15" x14ac:dyDescent="0.25">
      <c r="A82" s="11" t="s">
        <v>40</v>
      </c>
      <c r="D82" s="38" t="str">
        <f>"  "&amp;UPPER(TRIM(A82))</f>
        <v xml:space="preserve">  INPATIENT CARE REVENUE</v>
      </c>
      <c r="E82" s="71"/>
      <c r="F82" s="71"/>
      <c r="G82" s="473" t="str">
        <f>IF(E82=0,"n/a",+(F82/E82)-1)</f>
        <v>n/a</v>
      </c>
      <c r="H82" s="53"/>
      <c r="I82" s="473" t="str">
        <f>IF(F82=0,"n/a",+(H82/F82)-1)</f>
        <v>n/a</v>
      </c>
      <c r="J82" s="72"/>
      <c r="K82" s="473" t="str">
        <f>IF(F82=0,"n/a",+(J82/F82)-1)</f>
        <v>n/a</v>
      </c>
      <c r="L82" s="469">
        <f>+L132-L14</f>
        <v>0</v>
      </c>
      <c r="M82" s="473" t="str">
        <f>IF(J82=0,"n/a",+(L82/J82)-1)</f>
        <v>n/a</v>
      </c>
      <c r="N82" s="469">
        <f>+N132-N14</f>
        <v>0</v>
      </c>
      <c r="O82" s="473" t="str">
        <f>IF(L82=0,"n/a",+(N82/L82)-1)</f>
        <v>n/a</v>
      </c>
      <c r="P82" s="469">
        <f>+P132-P14</f>
        <v>0</v>
      </c>
      <c r="Q82" s="473" t="str">
        <f>IF(N82=0,"n/a",+(P82/N82)-1)</f>
        <v>n/a</v>
      </c>
      <c r="R82" s="469">
        <f>+R132-R14</f>
        <v>0</v>
      </c>
      <c r="S82" s="473" t="str">
        <f>IF(P82=0,"n/a",+(R82/P82)-1)</f>
        <v>n/a</v>
      </c>
    </row>
    <row r="83" spans="1:19" ht="15" x14ac:dyDescent="0.25">
      <c r="A83" s="11" t="s">
        <v>41</v>
      </c>
      <c r="D83" s="38" t="str">
        <f t="shared" ref="D83:D86" si="38">"  "&amp;UPPER(TRIM(A83))</f>
        <v xml:space="preserve">  OUTPATIENT CARE REVENUE</v>
      </c>
      <c r="E83" s="71"/>
      <c r="F83" s="71"/>
      <c r="G83" s="473" t="str">
        <f t="shared" ref="G83:G118" si="39">IF(E83=0,"n/a",+(F83/E83)-1)</f>
        <v>n/a</v>
      </c>
      <c r="H83" s="53"/>
      <c r="I83" s="473" t="str">
        <f>IF(F83=0,"n/a",+(H83/F83)-1)</f>
        <v>n/a</v>
      </c>
      <c r="J83" s="72"/>
      <c r="K83" s="473" t="str">
        <f t="shared" ref="K83:K118" si="40">IF(F83=0,"n/a",+(J83/F83)-1)</f>
        <v>n/a</v>
      </c>
      <c r="L83" s="469">
        <f>+L133-L15</f>
        <v>0</v>
      </c>
      <c r="M83" s="473" t="str">
        <f>IF(J83=0,"n/a",+(L83/J83)-1)</f>
        <v>n/a</v>
      </c>
      <c r="N83" s="469">
        <f>+N133-N15</f>
        <v>0</v>
      </c>
      <c r="O83" s="473" t="str">
        <f>IF(L83=0,"n/a",+(N83/L83)-1)</f>
        <v>n/a</v>
      </c>
      <c r="P83" s="469">
        <f>+P133-P15</f>
        <v>113164</v>
      </c>
      <c r="Q83" s="473" t="str">
        <f>IF(N83=0,"n/a",+(P83/N83)-1)</f>
        <v>n/a</v>
      </c>
      <c r="R83" s="469">
        <f>+R133-R15</f>
        <v>117125</v>
      </c>
      <c r="S83" s="473">
        <f>IF(P83=0,"n/a",+(R83/P83)-1)</f>
        <v>3.5002297550457806E-2</v>
      </c>
    </row>
    <row r="84" spans="1:19" ht="15" x14ac:dyDescent="0.25">
      <c r="A84" s="11" t="s">
        <v>44</v>
      </c>
      <c r="D84" s="38" t="str">
        <f t="shared" si="38"/>
        <v xml:space="preserve">  OUTPATIENT CARE REVENUE - PHYSICIAN</v>
      </c>
      <c r="E84" s="71"/>
      <c r="F84" s="71"/>
      <c r="G84" s="473" t="str">
        <f t="shared" si="39"/>
        <v>n/a</v>
      </c>
      <c r="H84" s="53"/>
      <c r="I84" s="473" t="str">
        <f>IF(F84=0,"n/a",+(H84/F84)-1)</f>
        <v>n/a</v>
      </c>
      <c r="J84" s="72"/>
      <c r="K84" s="473" t="str">
        <f t="shared" si="40"/>
        <v>n/a</v>
      </c>
      <c r="L84" s="469">
        <f>+L134-L16</f>
        <v>0</v>
      </c>
      <c r="M84" s="473" t="str">
        <f>IF(J84=0,"n/a",+(L84/J84)-1)</f>
        <v>n/a</v>
      </c>
      <c r="N84" s="469">
        <f>+N134-N16</f>
        <v>0</v>
      </c>
      <c r="O84" s="473" t="str">
        <f>IF(L84=0,"n/a",+(N84/L84)-1)</f>
        <v>n/a</v>
      </c>
      <c r="P84" s="469">
        <f>+P134-P16</f>
        <v>80067</v>
      </c>
      <c r="Q84" s="473" t="str">
        <f>IF(N84=0,"n/a",+(P84/N84)-1)</f>
        <v>n/a</v>
      </c>
      <c r="R84" s="469">
        <f>+R134-R16</f>
        <v>80067</v>
      </c>
      <c r="S84" s="473">
        <f>IF(P84=0,"n/a",+(R84/P84)-1)</f>
        <v>0</v>
      </c>
    </row>
    <row r="85" spans="1:19" ht="15" x14ac:dyDescent="0.25">
      <c r="A85" s="11" t="s">
        <v>42</v>
      </c>
      <c r="D85" s="38" t="str">
        <f t="shared" si="38"/>
        <v xml:space="preserve">  CHRONIC/SNF PT CARE REVENUE</v>
      </c>
      <c r="E85" s="71"/>
      <c r="F85" s="71"/>
      <c r="G85" s="473" t="str">
        <f t="shared" si="39"/>
        <v>n/a</v>
      </c>
      <c r="H85" s="53"/>
      <c r="I85" s="473" t="str">
        <f>IF(F85=0,"n/a",+(H85/F85)-1)</f>
        <v>n/a</v>
      </c>
      <c r="J85" s="72"/>
      <c r="K85" s="473" t="str">
        <f t="shared" si="40"/>
        <v>n/a</v>
      </c>
      <c r="L85" s="469">
        <f>+L135-L17</f>
        <v>0</v>
      </c>
      <c r="M85" s="473" t="str">
        <f>IF(J85=0,"n/a",+(L85/J85)-1)</f>
        <v>n/a</v>
      </c>
      <c r="N85" s="469">
        <f>+N135-N17</f>
        <v>0</v>
      </c>
      <c r="O85" s="473" t="str">
        <f>IF(L85=0,"n/a",+(N85/L85)-1)</f>
        <v>n/a</v>
      </c>
      <c r="P85" s="469">
        <f>+P135-P17</f>
        <v>0</v>
      </c>
      <c r="Q85" s="473" t="str">
        <f>IF(N85=0,"n/a",+(P85/N85)-1)</f>
        <v>n/a</v>
      </c>
      <c r="R85" s="469">
        <f>+R135-R17</f>
        <v>0</v>
      </c>
      <c r="S85" s="473" t="str">
        <f>IF(P85=0,"n/a",+(R85/P85)-1)</f>
        <v>n/a</v>
      </c>
    </row>
    <row r="86" spans="1:19" ht="15" x14ac:dyDescent="0.25">
      <c r="A86" s="11" t="s">
        <v>43</v>
      </c>
      <c r="D86" s="38" t="str">
        <f t="shared" si="38"/>
        <v xml:space="preserve">  SWING BEDS PT CARE REVENUE</v>
      </c>
      <c r="E86" s="71"/>
      <c r="F86" s="71"/>
      <c r="G86" s="473" t="str">
        <f t="shared" si="39"/>
        <v>n/a</v>
      </c>
      <c r="H86" s="53"/>
      <c r="I86" s="473" t="str">
        <f>IF(F86=0,"n/a",+(H86/F86)-1)</f>
        <v>n/a</v>
      </c>
      <c r="J86" s="72"/>
      <c r="K86" s="473" t="str">
        <f t="shared" si="40"/>
        <v>n/a</v>
      </c>
      <c r="L86" s="469">
        <f>+L136-L18</f>
        <v>0</v>
      </c>
      <c r="M86" s="473" t="str">
        <f>IF(J86=0,"n/a",+(L86/J86)-1)</f>
        <v>n/a</v>
      </c>
      <c r="N86" s="469">
        <f>+N136-N18</f>
        <v>0</v>
      </c>
      <c r="O86" s="473" t="str">
        <f>IF(L86=0,"n/a",+(N86/L86)-1)</f>
        <v>n/a</v>
      </c>
      <c r="P86" s="469">
        <f>+P136-P18</f>
        <v>0</v>
      </c>
      <c r="Q86" s="473" t="str">
        <f>IF(N86=0,"n/a",+(P86/N86)-1)</f>
        <v>n/a</v>
      </c>
      <c r="R86" s="469">
        <f>+R136-R18</f>
        <v>0</v>
      </c>
      <c r="S86" s="473" t="str">
        <f>IF(P86=0,"n/a",+(R86/P86)-1)</f>
        <v>n/a</v>
      </c>
    </row>
    <row r="87" spans="1:19" ht="15" x14ac:dyDescent="0.25">
      <c r="D87" s="38"/>
      <c r="E87" s="71"/>
      <c r="F87" s="71"/>
      <c r="G87" s="569" t="str">
        <f t="shared" si="39"/>
        <v>n/a</v>
      </c>
      <c r="H87" s="50"/>
      <c r="I87" s="74"/>
      <c r="J87" s="72"/>
      <c r="K87" s="569" t="str">
        <f t="shared" si="40"/>
        <v>n/a</v>
      </c>
      <c r="L87" s="51"/>
      <c r="M87" s="74"/>
      <c r="N87" s="51"/>
      <c r="O87" s="74"/>
      <c r="P87" s="51"/>
      <c r="Q87" s="74"/>
      <c r="R87" s="51"/>
      <c r="S87" s="74"/>
    </row>
    <row r="88" spans="1:19" ht="15" x14ac:dyDescent="0.25">
      <c r="A88" s="5" t="s">
        <v>3</v>
      </c>
      <c r="D88" s="56" t="s">
        <v>31</v>
      </c>
      <c r="E88" s="73">
        <f>SUM(E82:E87)</f>
        <v>0</v>
      </c>
      <c r="F88" s="73">
        <f>SUM(F82:F87)</f>
        <v>0</v>
      </c>
      <c r="G88" s="473" t="str">
        <f t="shared" si="39"/>
        <v>n/a</v>
      </c>
      <c r="H88" s="58"/>
      <c r="I88" s="473" t="str">
        <f>IF(F88=0,"n/a",+(H88/F88)-1)</f>
        <v>n/a</v>
      </c>
      <c r="J88" s="73">
        <f t="shared" ref="J88" si="41">SUM(J82:J87)</f>
        <v>0</v>
      </c>
      <c r="K88" s="473" t="str">
        <f t="shared" si="40"/>
        <v>n/a</v>
      </c>
      <c r="L88" s="471">
        <f>+L138-L20</f>
        <v>0</v>
      </c>
      <c r="M88" s="473" t="str">
        <f>IF(J88=0,"n/a",+(L88/J88)-1)</f>
        <v>n/a</v>
      </c>
      <c r="N88" s="471">
        <f>+N138-N20</f>
        <v>0</v>
      </c>
      <c r="O88" s="473" t="str">
        <f>IF(L88=0,"n/a",+(N88/L88)-1)</f>
        <v>n/a</v>
      </c>
      <c r="P88" s="471">
        <f>+P138-P20</f>
        <v>193231</v>
      </c>
      <c r="Q88" s="473" t="str">
        <f>IF(N88=0,"n/a",+(P88/N88)-1)</f>
        <v>n/a</v>
      </c>
      <c r="R88" s="471">
        <f>+R138-R20</f>
        <v>197192</v>
      </c>
      <c r="S88" s="473">
        <f>IF(P88=0,"n/a",+(R88/P88)-1)</f>
        <v>2.0498781251455434E-2</v>
      </c>
    </row>
    <row r="89" spans="1:19" ht="15" x14ac:dyDescent="0.25">
      <c r="B89" s="5"/>
      <c r="C89" s="5"/>
      <c r="D89" s="38"/>
      <c r="E89" s="71"/>
      <c r="F89" s="71"/>
      <c r="G89" s="570"/>
      <c r="H89" s="50"/>
      <c r="I89" s="71"/>
      <c r="J89" s="72"/>
      <c r="K89" s="570" t="str">
        <f t="shared" si="40"/>
        <v>n/a</v>
      </c>
      <c r="L89" s="51"/>
      <c r="M89" s="71"/>
      <c r="N89" s="51"/>
      <c r="O89" s="71"/>
      <c r="P89" s="51"/>
      <c r="Q89" s="71"/>
      <c r="R89" s="51"/>
      <c r="S89" s="71"/>
    </row>
    <row r="90" spans="1:19" ht="15" x14ac:dyDescent="0.25">
      <c r="A90" s="2" t="s">
        <v>4</v>
      </c>
      <c r="D90" s="38" t="str">
        <f t="shared" ref="D90:D91" si="42">"  "&amp;UPPER(TRIM(A90))</f>
        <v xml:space="preserve">  DISPROPORTIONATE SHARE PAYMENTS</v>
      </c>
      <c r="E90" s="71"/>
      <c r="F90" s="71"/>
      <c r="G90" s="473" t="str">
        <f t="shared" si="39"/>
        <v>n/a</v>
      </c>
      <c r="H90" s="53"/>
      <c r="I90" s="473" t="str">
        <f>IF(F90=0,"n/a",+(H90/F90)-1)</f>
        <v>n/a</v>
      </c>
      <c r="J90" s="72"/>
      <c r="K90" s="473" t="str">
        <f t="shared" si="40"/>
        <v>n/a</v>
      </c>
      <c r="L90" s="469">
        <f>+L140-L22</f>
        <v>0</v>
      </c>
      <c r="M90" s="473" t="str">
        <f>IF(J90=0,"n/a",+(L90/J90)-1)</f>
        <v>n/a</v>
      </c>
      <c r="N90" s="469">
        <f>+N140-N22</f>
        <v>0</v>
      </c>
      <c r="O90" s="473" t="str">
        <f>IF(L90=0,"n/a",+(N90/L90)-1)</f>
        <v>n/a</v>
      </c>
      <c r="P90" s="469">
        <f>+P140-P22</f>
        <v>899</v>
      </c>
      <c r="Q90" s="473" t="str">
        <f>IF(N90=0,"n/a",+(P90/N90)-1)</f>
        <v>n/a</v>
      </c>
      <c r="R90" s="469">
        <f>+R140-R22</f>
        <v>918</v>
      </c>
      <c r="S90" s="473">
        <f>IF(P90=0,"n/a",+(R90/P90)-1)</f>
        <v>2.1134593993325845E-2</v>
      </c>
    </row>
    <row r="91" spans="1:19" ht="15" x14ac:dyDescent="0.25">
      <c r="A91" s="37" t="s">
        <v>5</v>
      </c>
      <c r="D91" s="38" t="str">
        <f t="shared" si="42"/>
        <v xml:space="preserve">  BAD DEBT FREE CARE</v>
      </c>
      <c r="E91" s="71"/>
      <c r="F91" s="71"/>
      <c r="G91" s="473" t="str">
        <f t="shared" si="39"/>
        <v>n/a</v>
      </c>
      <c r="H91" s="53"/>
      <c r="I91" s="473" t="str">
        <f>IF(F91=0,"n/a",+(H91/F91)-1)</f>
        <v>n/a</v>
      </c>
      <c r="J91" s="72"/>
      <c r="K91" s="473" t="str">
        <f t="shared" si="40"/>
        <v>n/a</v>
      </c>
      <c r="L91" s="469">
        <f>+L141-L23</f>
        <v>0</v>
      </c>
      <c r="M91" s="473" t="str">
        <f>IF(J91=0,"n/a",+(L91/J91)-1)</f>
        <v>n/a</v>
      </c>
      <c r="N91" s="469">
        <f>+N141-N23</f>
        <v>-1</v>
      </c>
      <c r="O91" s="473" t="str">
        <f>IF(L91=0,"n/a",+(N91/L91)-1)</f>
        <v>n/a</v>
      </c>
      <c r="P91" s="469">
        <f>+P141-P23</f>
        <v>-8695</v>
      </c>
      <c r="Q91" s="473">
        <f>IF(N91=0,"n/a",+(P91/N91)-1)</f>
        <v>8694</v>
      </c>
      <c r="R91" s="469">
        <f>+R141-R23</f>
        <v>-8874</v>
      </c>
      <c r="S91" s="473">
        <f>IF(P91=0,"n/a",+(R91/P91)-1)</f>
        <v>2.0586543990799289E-2</v>
      </c>
    </row>
    <row r="92" spans="1:19" ht="15" x14ac:dyDescent="0.25">
      <c r="A92" s="2" t="s">
        <v>6</v>
      </c>
      <c r="D92" s="38" t="str">
        <f>"  "&amp;UPPER(TRIM(A92))</f>
        <v xml:space="preserve">  DEDUCTIONS FROM REVENUE</v>
      </c>
      <c r="E92" s="71"/>
      <c r="F92" s="71"/>
      <c r="G92" s="473" t="str">
        <f t="shared" si="39"/>
        <v>n/a</v>
      </c>
      <c r="H92" s="53"/>
      <c r="I92" s="473" t="str">
        <f>IF(F92=0,"n/a",+(H92/F92)-1)</f>
        <v>n/a</v>
      </c>
      <c r="J92" s="72"/>
      <c r="K92" s="473" t="str">
        <f t="shared" si="40"/>
        <v>n/a</v>
      </c>
      <c r="L92" s="469">
        <f>+L142-L24</f>
        <v>0</v>
      </c>
      <c r="M92" s="473" t="str">
        <f>IF(J92=0,"n/a",+(L92/J92)-1)</f>
        <v>n/a</v>
      </c>
      <c r="N92" s="469">
        <f>+N142-N24</f>
        <v>0</v>
      </c>
      <c r="O92" s="473" t="str">
        <f>IF(L92=0,"n/a",+(N92/L92)-1)</f>
        <v>n/a</v>
      </c>
      <c r="P92" s="469">
        <f>+P142-P24</f>
        <v>-93998</v>
      </c>
      <c r="Q92" s="473" t="str">
        <f>IF(N92=0,"n/a",+(P92/N92)-1)</f>
        <v>n/a</v>
      </c>
      <c r="R92" s="469">
        <f>+R142-R24</f>
        <v>-96262</v>
      </c>
      <c r="S92" s="473">
        <f>IF(P92=0,"n/a",+(R92/P92)-1)</f>
        <v>2.4085618842954126E-2</v>
      </c>
    </row>
    <row r="93" spans="1:19" ht="15" hidden="1" outlineLevel="1" x14ac:dyDescent="0.25">
      <c r="A93" s="37" t="s">
        <v>56</v>
      </c>
      <c r="D93" s="38"/>
      <c r="E93" s="71"/>
      <c r="F93" s="71"/>
      <c r="G93" s="473" t="str">
        <f t="shared" si="39"/>
        <v>n/a</v>
      </c>
      <c r="H93" s="53"/>
      <c r="I93" s="470" t="e">
        <f t="shared" ref="I93" si="43">+(H93/F93)-1</f>
        <v>#DIV/0!</v>
      </c>
      <c r="J93" s="72"/>
      <c r="K93" s="473" t="str">
        <f t="shared" si="40"/>
        <v>n/a</v>
      </c>
      <c r="L93" s="54"/>
      <c r="M93" s="470" t="e">
        <f t="shared" ref="M93:S93" si="44">+(L93/J93)-1</f>
        <v>#DIV/0!</v>
      </c>
      <c r="N93" s="54"/>
      <c r="O93" s="470" t="e">
        <f t="shared" si="44"/>
        <v>#DIV/0!</v>
      </c>
      <c r="P93" s="54"/>
      <c r="Q93" s="470" t="e">
        <f t="shared" si="44"/>
        <v>#DIV/0!</v>
      </c>
      <c r="R93" s="54"/>
      <c r="S93" s="470" t="e">
        <f t="shared" si="44"/>
        <v>#DIV/0!</v>
      </c>
    </row>
    <row r="94" spans="1:19" ht="15.6" collapsed="1" x14ac:dyDescent="0.3">
      <c r="A94" s="5"/>
      <c r="D94" s="59" t="s">
        <v>33</v>
      </c>
      <c r="E94" s="73">
        <f>SUM(E88:E93)</f>
        <v>0</v>
      </c>
      <c r="F94" s="73">
        <f>SUM(F88:F93)</f>
        <v>0</v>
      </c>
      <c r="G94" s="474" t="str">
        <f t="shared" si="39"/>
        <v>n/a</v>
      </c>
      <c r="H94" s="58"/>
      <c r="I94" s="474" t="str">
        <f>IF(F94=0,"n/a",+(H94/F94)-1)</f>
        <v>n/a</v>
      </c>
      <c r="J94" s="73">
        <f t="shared" ref="J94" si="45">SUM(J88:J93)</f>
        <v>0</v>
      </c>
      <c r="K94" s="474" t="str">
        <f t="shared" si="40"/>
        <v>n/a</v>
      </c>
      <c r="L94" s="471">
        <f>+L144-L26</f>
        <v>0</v>
      </c>
      <c r="M94" s="474" t="str">
        <f>IF(J94=0,"n/a",+(L94/J94)-1)</f>
        <v>n/a</v>
      </c>
      <c r="N94" s="471">
        <f>+N144-N26</f>
        <v>-1</v>
      </c>
      <c r="O94" s="474" t="str">
        <f>IF(L94=0,"n/a",+(N94/L94)-1)</f>
        <v>n/a</v>
      </c>
      <c r="P94" s="471">
        <f>+P144-P26</f>
        <v>91437</v>
      </c>
      <c r="Q94" s="474">
        <f>IF(N94=0,"n/a",+(P94/N94)-1)</f>
        <v>-91438</v>
      </c>
      <c r="R94" s="471">
        <f>+R144-R26</f>
        <v>92974</v>
      </c>
      <c r="S94" s="474">
        <f>IF(P94=0,"n/a",+(R94/P94)-1)</f>
        <v>1.6809387884554328E-2</v>
      </c>
    </row>
    <row r="95" spans="1:19" ht="15" x14ac:dyDescent="0.25">
      <c r="B95" s="5"/>
      <c r="C95" s="5"/>
      <c r="D95" s="38"/>
      <c r="E95" s="71"/>
      <c r="F95" s="71"/>
      <c r="G95" s="570"/>
      <c r="H95" s="50"/>
      <c r="I95" s="71"/>
      <c r="J95" s="72"/>
      <c r="K95" s="570" t="str">
        <f t="shared" si="40"/>
        <v>n/a</v>
      </c>
      <c r="L95" s="51"/>
      <c r="M95" s="71"/>
      <c r="N95" s="51"/>
      <c r="O95" s="71"/>
      <c r="P95" s="51"/>
      <c r="Q95" s="71"/>
      <c r="R95" s="51"/>
      <c r="S95" s="71"/>
    </row>
    <row r="96" spans="1:19" ht="15" x14ac:dyDescent="0.25">
      <c r="A96" s="37" t="s">
        <v>8</v>
      </c>
      <c r="D96" s="38" t="s">
        <v>32</v>
      </c>
      <c r="E96" s="71"/>
      <c r="F96" s="71"/>
      <c r="G96" s="473" t="str">
        <f t="shared" si="39"/>
        <v>n/a</v>
      </c>
      <c r="H96" s="53"/>
      <c r="I96" s="473" t="str">
        <f>IF(F96=0,"n/a",+(H96/F96)-1)</f>
        <v>n/a</v>
      </c>
      <c r="J96" s="71"/>
      <c r="K96" s="473" t="str">
        <f t="shared" si="40"/>
        <v>n/a</v>
      </c>
      <c r="L96" s="469">
        <f>+L146-L28</f>
        <v>0</v>
      </c>
      <c r="M96" s="473" t="str">
        <f>IF(J96=0,"n/a",+(L96/J96)-1)</f>
        <v>n/a</v>
      </c>
      <c r="N96" s="469">
        <f>+N146-N28</f>
        <v>0</v>
      </c>
      <c r="O96" s="473" t="str">
        <f>IF(L96=0,"n/a",+(N96/L96)-1)</f>
        <v>n/a</v>
      </c>
      <c r="P96" s="469">
        <f>+P146-P28</f>
        <v>0</v>
      </c>
      <c r="Q96" s="473" t="str">
        <f>IF(N96=0,"n/a",+(P96/N96)-1)</f>
        <v>n/a</v>
      </c>
      <c r="R96" s="469">
        <f>+R146-R28</f>
        <v>0</v>
      </c>
      <c r="S96" s="473" t="str">
        <f>IF(P96=0,"n/a",+(R96/P96)-1)</f>
        <v>n/a</v>
      </c>
    </row>
    <row r="97" spans="1:19" ht="15" x14ac:dyDescent="0.25">
      <c r="A97" s="8"/>
      <c r="B97" s="8"/>
      <c r="C97" s="8"/>
      <c r="D97" s="38"/>
      <c r="E97" s="71"/>
      <c r="F97" s="71"/>
      <c r="G97" s="570"/>
      <c r="H97" s="50"/>
      <c r="I97" s="71"/>
      <c r="J97" s="72"/>
      <c r="K97" s="570" t="str">
        <f t="shared" si="40"/>
        <v>n/a</v>
      </c>
      <c r="L97" s="51"/>
      <c r="M97" s="71"/>
      <c r="N97" s="51"/>
      <c r="O97" s="71"/>
      <c r="P97" s="51"/>
      <c r="Q97" s="71"/>
      <c r="R97" s="51"/>
      <c r="S97" s="71"/>
    </row>
    <row r="98" spans="1:19" ht="15.6" x14ac:dyDescent="0.3">
      <c r="A98" s="6"/>
      <c r="B98" s="8"/>
      <c r="C98" s="8"/>
      <c r="D98" s="60" t="s">
        <v>34</v>
      </c>
      <c r="E98" s="74">
        <f t="shared" ref="E98:J98" si="46">E94+E96</f>
        <v>0</v>
      </c>
      <c r="F98" s="74">
        <f t="shared" si="46"/>
        <v>0</v>
      </c>
      <c r="G98" s="475" t="str">
        <f t="shared" si="39"/>
        <v>n/a</v>
      </c>
      <c r="H98" s="61"/>
      <c r="I98" s="475" t="str">
        <f>IF(F98=0,"n/a",+(H98/F98)-1)</f>
        <v>n/a</v>
      </c>
      <c r="J98" s="74">
        <f t="shared" si="46"/>
        <v>0</v>
      </c>
      <c r="K98" s="475" t="str">
        <f t="shared" si="40"/>
        <v>n/a</v>
      </c>
      <c r="L98" s="472">
        <f>+L148-L30</f>
        <v>0</v>
      </c>
      <c r="M98" s="475" t="str">
        <f>IF(J98=0,"n/a",+(L98/J98)-1)</f>
        <v>n/a</v>
      </c>
      <c r="N98" s="472">
        <f>+N148-N30</f>
        <v>-1</v>
      </c>
      <c r="O98" s="475" t="str">
        <f>IF(L98=0,"n/a",+(N98/L98)-1)</f>
        <v>n/a</v>
      </c>
      <c r="P98" s="472">
        <f>+P148-P30</f>
        <v>91437</v>
      </c>
      <c r="Q98" s="475">
        <f>IF(N98=0,"n/a",+(P98/N98)-1)</f>
        <v>-91438</v>
      </c>
      <c r="R98" s="472">
        <f>+R148-R30</f>
        <v>92974</v>
      </c>
      <c r="S98" s="475">
        <f>IF(P98=0,"n/a",+(R98/P98)-1)</f>
        <v>1.6809387884554328E-2</v>
      </c>
    </row>
    <row r="99" spans="1:19" ht="15" x14ac:dyDescent="0.25">
      <c r="B99" s="6"/>
      <c r="C99" s="6"/>
      <c r="D99" s="38"/>
      <c r="E99" s="71"/>
      <c r="F99" s="71"/>
      <c r="G99" s="570"/>
      <c r="H99" s="50"/>
      <c r="I99" s="71"/>
      <c r="J99" s="72"/>
      <c r="K99" s="570" t="str">
        <f t="shared" si="40"/>
        <v>n/a</v>
      </c>
      <c r="L99" s="51"/>
      <c r="M99" s="71"/>
      <c r="N99" s="51"/>
      <c r="O99" s="71"/>
      <c r="P99" s="51"/>
      <c r="Q99" s="71"/>
      <c r="R99" s="51"/>
      <c r="S99" s="71"/>
    </row>
    <row r="100" spans="1:19" ht="15.6" x14ac:dyDescent="0.3">
      <c r="A100" s="2" t="s">
        <v>10</v>
      </c>
      <c r="D100" s="49" t="s">
        <v>35</v>
      </c>
      <c r="E100" s="71"/>
      <c r="F100" s="71"/>
      <c r="G100" s="570"/>
      <c r="H100" s="50"/>
      <c r="I100" s="71"/>
      <c r="J100" s="72"/>
      <c r="K100" s="570" t="str">
        <f t="shared" si="40"/>
        <v>n/a</v>
      </c>
      <c r="L100" s="51"/>
      <c r="M100" s="71"/>
      <c r="N100" s="51"/>
      <c r="O100" s="71"/>
      <c r="P100" s="51"/>
      <c r="Q100" s="71"/>
      <c r="R100" s="51"/>
      <c r="S100" s="71"/>
    </row>
    <row r="101" spans="1:19" ht="15" x14ac:dyDescent="0.25">
      <c r="A101" s="2" t="s">
        <v>11</v>
      </c>
      <c r="D101" s="38" t="str">
        <f t="shared" ref="D101:D106" si="47">"  "&amp;UPPER(TRIM(A101))</f>
        <v xml:space="preserve">  SALARIES NON MD</v>
      </c>
      <c r="E101" s="71"/>
      <c r="F101" s="71"/>
      <c r="G101" s="473" t="str">
        <f t="shared" si="39"/>
        <v>n/a</v>
      </c>
      <c r="H101" s="53"/>
      <c r="I101" s="473" t="str">
        <f t="shared" ref="I101:I107" si="48">IF(F101=0,"n/a",+(H101/F101)-1)</f>
        <v>n/a</v>
      </c>
      <c r="J101" s="72"/>
      <c r="K101" s="473" t="str">
        <f t="shared" si="40"/>
        <v>n/a</v>
      </c>
      <c r="L101" s="469">
        <f t="shared" ref="L101:L109" si="49">+L151-L33</f>
        <v>0</v>
      </c>
      <c r="M101" s="473" t="str">
        <f t="shared" ref="M101:M107" si="50">IF(J101=0,"n/a",+(L101/J101)-1)</f>
        <v>n/a</v>
      </c>
      <c r="N101" s="469">
        <f t="shared" ref="N101:N109" si="51">+N151-N33</f>
        <v>0</v>
      </c>
      <c r="O101" s="473" t="str">
        <f t="shared" ref="O101:O107" si="52">IF(L101=0,"n/a",+(N101/L101)-1)</f>
        <v>n/a</v>
      </c>
      <c r="P101" s="469">
        <f t="shared" ref="P101:P109" si="53">+P151-P33</f>
        <v>62400</v>
      </c>
      <c r="Q101" s="473" t="str">
        <f t="shared" ref="Q101:Q107" si="54">IF(N101=0,"n/a",+(P101/N101)-1)</f>
        <v>n/a</v>
      </c>
      <c r="R101" s="469">
        <f t="shared" ref="R101:R109" si="55">+R151-R33</f>
        <v>64272</v>
      </c>
      <c r="S101" s="473">
        <f t="shared" ref="S101:S107" si="56">IF(P101=0,"n/a",+(R101/P101)-1)</f>
        <v>3.0000000000000027E-2</v>
      </c>
    </row>
    <row r="102" spans="1:19" ht="15" x14ac:dyDescent="0.25">
      <c r="A102" s="2" t="s">
        <v>12</v>
      </c>
      <c r="D102" s="38" t="str">
        <f t="shared" si="47"/>
        <v xml:space="preserve">  FRINGE BENEFITS NON MD</v>
      </c>
      <c r="E102" s="71"/>
      <c r="F102" s="71"/>
      <c r="G102" s="473" t="str">
        <f t="shared" si="39"/>
        <v>n/a</v>
      </c>
      <c r="H102" s="53"/>
      <c r="I102" s="473" t="str">
        <f t="shared" si="48"/>
        <v>n/a</v>
      </c>
      <c r="J102" s="72"/>
      <c r="K102" s="473" t="str">
        <f t="shared" si="40"/>
        <v>n/a</v>
      </c>
      <c r="L102" s="469">
        <f t="shared" si="49"/>
        <v>0</v>
      </c>
      <c r="M102" s="473" t="str">
        <f t="shared" si="50"/>
        <v>n/a</v>
      </c>
      <c r="N102" s="469">
        <f t="shared" si="51"/>
        <v>0</v>
      </c>
      <c r="O102" s="473" t="str">
        <f t="shared" si="52"/>
        <v>n/a</v>
      </c>
      <c r="P102" s="469">
        <f t="shared" si="53"/>
        <v>17353</v>
      </c>
      <c r="Q102" s="473" t="str">
        <f t="shared" si="54"/>
        <v>n/a</v>
      </c>
      <c r="R102" s="469">
        <f t="shared" si="55"/>
        <v>17870</v>
      </c>
      <c r="S102" s="473">
        <f t="shared" si="56"/>
        <v>2.9793119345358221E-2</v>
      </c>
    </row>
    <row r="103" spans="1:19" ht="15" x14ac:dyDescent="0.25">
      <c r="A103" s="2" t="s">
        <v>13</v>
      </c>
      <c r="D103" s="38" t="str">
        <f t="shared" si="47"/>
        <v xml:space="preserve">  FRINGE BENEFITS MD</v>
      </c>
      <c r="E103" s="71"/>
      <c r="F103" s="71"/>
      <c r="G103" s="473" t="str">
        <f t="shared" si="39"/>
        <v>n/a</v>
      </c>
      <c r="H103" s="53"/>
      <c r="I103" s="473" t="str">
        <f t="shared" si="48"/>
        <v>n/a</v>
      </c>
      <c r="J103" s="72"/>
      <c r="K103" s="473" t="str">
        <f t="shared" si="40"/>
        <v>n/a</v>
      </c>
      <c r="L103" s="469">
        <f t="shared" si="49"/>
        <v>0</v>
      </c>
      <c r="M103" s="473" t="str">
        <f t="shared" si="50"/>
        <v>n/a</v>
      </c>
      <c r="N103" s="469">
        <f t="shared" si="51"/>
        <v>0</v>
      </c>
      <c r="O103" s="473" t="str">
        <f t="shared" si="52"/>
        <v>n/a</v>
      </c>
      <c r="P103" s="469">
        <f t="shared" si="53"/>
        <v>0</v>
      </c>
      <c r="Q103" s="473" t="str">
        <f t="shared" si="54"/>
        <v>n/a</v>
      </c>
      <c r="R103" s="469">
        <f t="shared" si="55"/>
        <v>0</v>
      </c>
      <c r="S103" s="473" t="str">
        <f t="shared" si="56"/>
        <v>n/a</v>
      </c>
    </row>
    <row r="104" spans="1:19" ht="15" x14ac:dyDescent="0.25">
      <c r="A104" s="37" t="s">
        <v>14</v>
      </c>
      <c r="D104" s="38" t="str">
        <f t="shared" si="47"/>
        <v xml:space="preserve">  PHYSICIAN FEES SALARIES CONTRACTS &amp; FRINGES</v>
      </c>
      <c r="E104" s="71"/>
      <c r="F104" s="71"/>
      <c r="G104" s="473" t="str">
        <f t="shared" si="39"/>
        <v>n/a</v>
      </c>
      <c r="H104" s="53"/>
      <c r="I104" s="473" t="str">
        <f t="shared" si="48"/>
        <v>n/a</v>
      </c>
      <c r="J104" s="72"/>
      <c r="K104" s="473" t="str">
        <f t="shared" si="40"/>
        <v>n/a</v>
      </c>
      <c r="L104" s="469">
        <f t="shared" si="49"/>
        <v>0</v>
      </c>
      <c r="M104" s="473" t="str">
        <f t="shared" si="50"/>
        <v>n/a</v>
      </c>
      <c r="N104" s="469">
        <f t="shared" si="51"/>
        <v>0</v>
      </c>
      <c r="O104" s="473" t="str">
        <f t="shared" si="52"/>
        <v>n/a</v>
      </c>
      <c r="P104" s="469">
        <f t="shared" si="53"/>
        <v>0</v>
      </c>
      <c r="Q104" s="473" t="str">
        <f t="shared" si="54"/>
        <v>n/a</v>
      </c>
      <c r="R104" s="469">
        <f t="shared" si="55"/>
        <v>0</v>
      </c>
      <c r="S104" s="473" t="str">
        <f t="shared" si="56"/>
        <v>n/a</v>
      </c>
    </row>
    <row r="105" spans="1:19" ht="15" x14ac:dyDescent="0.25">
      <c r="A105" s="2" t="s">
        <v>15</v>
      </c>
      <c r="D105" s="38" t="str">
        <f t="shared" si="47"/>
        <v xml:space="preserve">  HEALTH CARE PROVIDER TAX</v>
      </c>
      <c r="E105" s="71"/>
      <c r="F105" s="71"/>
      <c r="G105" s="473" t="str">
        <f t="shared" si="39"/>
        <v>n/a</v>
      </c>
      <c r="H105" s="53"/>
      <c r="I105" s="473" t="str">
        <f t="shared" si="48"/>
        <v>n/a</v>
      </c>
      <c r="J105" s="72"/>
      <c r="K105" s="473" t="str">
        <f t="shared" si="40"/>
        <v>n/a</v>
      </c>
      <c r="L105" s="469">
        <f t="shared" si="49"/>
        <v>0</v>
      </c>
      <c r="M105" s="473" t="str">
        <f t="shared" si="50"/>
        <v>n/a</v>
      </c>
      <c r="N105" s="469">
        <f t="shared" si="51"/>
        <v>0</v>
      </c>
      <c r="O105" s="473" t="str">
        <f t="shared" si="52"/>
        <v>n/a</v>
      </c>
      <c r="P105" s="469">
        <f t="shared" si="53"/>
        <v>0</v>
      </c>
      <c r="Q105" s="473" t="str">
        <f t="shared" si="54"/>
        <v>n/a</v>
      </c>
      <c r="R105" s="469">
        <f t="shared" si="55"/>
        <v>5486</v>
      </c>
      <c r="S105" s="473" t="str">
        <f t="shared" si="56"/>
        <v>n/a</v>
      </c>
    </row>
    <row r="106" spans="1:19" ht="15" x14ac:dyDescent="0.25">
      <c r="A106" s="2" t="s">
        <v>16</v>
      </c>
      <c r="D106" s="38" t="str">
        <f t="shared" si="47"/>
        <v xml:space="preserve">  DEPRECIATION AMORTIZATION</v>
      </c>
      <c r="E106" s="71"/>
      <c r="F106" s="71"/>
      <c r="G106" s="473" t="str">
        <f t="shared" si="39"/>
        <v>n/a</v>
      </c>
      <c r="H106" s="53"/>
      <c r="I106" s="473" t="str">
        <f t="shared" si="48"/>
        <v>n/a</v>
      </c>
      <c r="J106" s="72"/>
      <c r="K106" s="473" t="str">
        <f t="shared" si="40"/>
        <v>n/a</v>
      </c>
      <c r="L106" s="469">
        <f t="shared" si="49"/>
        <v>0</v>
      </c>
      <c r="M106" s="473" t="str">
        <f t="shared" si="50"/>
        <v>n/a</v>
      </c>
      <c r="N106" s="469">
        <f t="shared" si="51"/>
        <v>-43000</v>
      </c>
      <c r="O106" s="473" t="str">
        <f t="shared" si="52"/>
        <v>n/a</v>
      </c>
      <c r="P106" s="469">
        <f t="shared" si="53"/>
        <v>749190</v>
      </c>
      <c r="Q106" s="473">
        <f t="shared" si="54"/>
        <v>-18.423023255813952</v>
      </c>
      <c r="R106" s="469">
        <f t="shared" si="55"/>
        <v>1013254</v>
      </c>
      <c r="S106" s="473">
        <f t="shared" si="56"/>
        <v>0.35246599660967171</v>
      </c>
    </row>
    <row r="107" spans="1:19" ht="15" x14ac:dyDescent="0.25">
      <c r="A107" s="2" t="s">
        <v>17</v>
      </c>
      <c r="D107" s="38" t="s">
        <v>64</v>
      </c>
      <c r="E107" s="71"/>
      <c r="F107" s="71"/>
      <c r="G107" s="473" t="str">
        <f t="shared" si="39"/>
        <v>n/a</v>
      </c>
      <c r="H107" s="53"/>
      <c r="I107" s="473" t="str">
        <f t="shared" si="48"/>
        <v>n/a</v>
      </c>
      <c r="J107" s="72"/>
      <c r="K107" s="473" t="str">
        <f t="shared" si="40"/>
        <v>n/a</v>
      </c>
      <c r="L107" s="469">
        <f t="shared" si="49"/>
        <v>0</v>
      </c>
      <c r="M107" s="473" t="str">
        <f t="shared" si="50"/>
        <v>n/a</v>
      </c>
      <c r="N107" s="469">
        <f t="shared" si="51"/>
        <v>185689</v>
      </c>
      <c r="O107" s="473" t="str">
        <f t="shared" si="52"/>
        <v>n/a</v>
      </c>
      <c r="P107" s="469">
        <f t="shared" si="53"/>
        <v>241158</v>
      </c>
      <c r="Q107" s="473">
        <f t="shared" si="54"/>
        <v>0.29871990263289705</v>
      </c>
      <c r="R107" s="469">
        <f t="shared" si="55"/>
        <v>233643</v>
      </c>
      <c r="S107" s="473">
        <f t="shared" si="56"/>
        <v>-3.116214266165751E-2</v>
      </c>
    </row>
    <row r="108" spans="1:19" ht="15" hidden="1" outlineLevel="1" x14ac:dyDescent="0.25">
      <c r="A108" s="2" t="s">
        <v>18</v>
      </c>
      <c r="D108" s="38"/>
      <c r="E108" s="71"/>
      <c r="F108" s="71"/>
      <c r="G108" s="473" t="str">
        <f t="shared" si="39"/>
        <v>n/a</v>
      </c>
      <c r="H108" s="53"/>
      <c r="I108" s="470"/>
      <c r="J108" s="72"/>
      <c r="K108" s="473" t="str">
        <f t="shared" si="40"/>
        <v>n/a</v>
      </c>
      <c r="L108" s="469">
        <f t="shared" si="49"/>
        <v>0</v>
      </c>
      <c r="M108" s="470"/>
      <c r="N108" s="469">
        <f t="shared" si="51"/>
        <v>0</v>
      </c>
      <c r="O108" s="470"/>
      <c r="P108" s="469">
        <f t="shared" si="53"/>
        <v>0</v>
      </c>
      <c r="Q108" s="470"/>
      <c r="R108" s="469">
        <f t="shared" si="55"/>
        <v>0</v>
      </c>
      <c r="S108" s="470"/>
    </row>
    <row r="109" spans="1:19" ht="15" collapsed="1" x14ac:dyDescent="0.25">
      <c r="A109" s="2" t="s">
        <v>19</v>
      </c>
      <c r="D109" s="38" t="str">
        <f>"  "&amp;UPPER(TRIM(A109))</f>
        <v xml:space="preserve">  OTHER OPERATING EXPENSE</v>
      </c>
      <c r="E109" s="71"/>
      <c r="F109" s="71"/>
      <c r="G109" s="473" t="str">
        <f t="shared" si="39"/>
        <v>n/a</v>
      </c>
      <c r="H109" s="53"/>
      <c r="I109" s="473" t="str">
        <f>IF(F109=0,"n/a",+(H109/F109)-1)</f>
        <v>n/a</v>
      </c>
      <c r="J109" s="72"/>
      <c r="K109" s="473" t="str">
        <f t="shared" si="40"/>
        <v>n/a</v>
      </c>
      <c r="L109" s="469">
        <f t="shared" si="49"/>
        <v>0</v>
      </c>
      <c r="M109" s="473" t="str">
        <f>IF(J109=0,"n/a",+(L109/J109)-1)</f>
        <v>n/a</v>
      </c>
      <c r="N109" s="469">
        <f t="shared" si="51"/>
        <v>0</v>
      </c>
      <c r="O109" s="473" t="str">
        <f>IF(L109=0,"n/a",+(N109/L109)-1)</f>
        <v>n/a</v>
      </c>
      <c r="P109" s="469">
        <f t="shared" si="53"/>
        <v>14934</v>
      </c>
      <c r="Q109" s="473" t="str">
        <f>IF(N109=0,"n/a",+(P109/N109)-1)</f>
        <v>n/a</v>
      </c>
      <c r="R109" s="469">
        <f t="shared" si="55"/>
        <v>15158</v>
      </c>
      <c r="S109" s="473">
        <f>IF(P109=0,"n/a",+(R109/P109)-1)</f>
        <v>1.499933038703638E-2</v>
      </c>
    </row>
    <row r="110" spans="1:19" ht="15" hidden="1" outlineLevel="1" x14ac:dyDescent="0.25">
      <c r="A110" s="2" t="s">
        <v>20</v>
      </c>
      <c r="D110" s="38" t="str">
        <f>"  "&amp;UPPER(TRIM(A110))</f>
        <v xml:space="preserve">  BAD DEBT</v>
      </c>
      <c r="E110" s="71"/>
      <c r="F110" s="71"/>
      <c r="G110" s="570" t="str">
        <f t="shared" si="39"/>
        <v>n/a</v>
      </c>
      <c r="H110" s="50"/>
      <c r="I110" s="71"/>
      <c r="J110" s="72"/>
      <c r="K110" s="570" t="str">
        <f t="shared" si="40"/>
        <v>n/a</v>
      </c>
      <c r="L110" s="54"/>
      <c r="M110" s="71"/>
      <c r="N110" s="54"/>
      <c r="O110" s="71"/>
      <c r="P110" s="54"/>
      <c r="Q110" s="71"/>
      <c r="R110" s="54"/>
      <c r="S110" s="71"/>
    </row>
    <row r="111" spans="1:19" ht="15" collapsed="1" x14ac:dyDescent="0.25">
      <c r="D111" s="38"/>
      <c r="E111" s="71"/>
      <c r="F111" s="71"/>
      <c r="G111" s="473" t="str">
        <f t="shared" si="39"/>
        <v>n/a</v>
      </c>
      <c r="H111" s="50"/>
      <c r="I111" s="473" t="str">
        <f>IF(F111=0,"n/a",+(H111/F111)-1)</f>
        <v>n/a</v>
      </c>
      <c r="J111" s="51"/>
      <c r="K111" s="473" t="str">
        <f t="shared" si="40"/>
        <v>n/a</v>
      </c>
      <c r="L111" s="51"/>
      <c r="M111" s="473" t="str">
        <f>IF(J111=0,"n/a",+(L111/J111)-1)</f>
        <v>n/a</v>
      </c>
      <c r="N111" s="51"/>
      <c r="O111" s="473" t="str">
        <f>IF(L111=0,"n/a",+(N111/L111)-1)</f>
        <v>n/a</v>
      </c>
      <c r="P111" s="51"/>
      <c r="Q111" s="473" t="str">
        <f>IF(N111=0,"n/a",+(P111/N111)-1)</f>
        <v>n/a</v>
      </c>
      <c r="R111" s="51"/>
      <c r="S111" s="473" t="str">
        <f>IF(P111=0,"n/a",+(R111/P111)-1)</f>
        <v>n/a</v>
      </c>
    </row>
    <row r="112" spans="1:19" ht="15.6" x14ac:dyDescent="0.3">
      <c r="A112" s="5"/>
      <c r="D112" s="59" t="s">
        <v>36</v>
      </c>
      <c r="E112" s="73">
        <f t="shared" ref="E112:P112" si="57">SUM(E101:E111)</f>
        <v>0</v>
      </c>
      <c r="F112" s="73">
        <f t="shared" si="57"/>
        <v>0</v>
      </c>
      <c r="G112" s="474" t="str">
        <f t="shared" si="39"/>
        <v>n/a</v>
      </c>
      <c r="H112" s="58"/>
      <c r="I112" s="474" t="str">
        <f>IF(F112=0,"n/a",+(H112/F112)-1)</f>
        <v>n/a</v>
      </c>
      <c r="J112" s="57">
        <f t="shared" si="57"/>
        <v>0</v>
      </c>
      <c r="K112" s="474" t="str">
        <f t="shared" si="40"/>
        <v>n/a</v>
      </c>
      <c r="L112" s="57">
        <f t="shared" ref="L112" si="58">SUM(L101:L111)</f>
        <v>0</v>
      </c>
      <c r="M112" s="474" t="str">
        <f>IF(J112=0,"n/a",+(L112/J112)-1)</f>
        <v>n/a</v>
      </c>
      <c r="N112" s="57">
        <f t="shared" si="57"/>
        <v>142689</v>
      </c>
      <c r="O112" s="474" t="str">
        <f>IF(L112=0,"n/a",+(N112/L112)-1)</f>
        <v>n/a</v>
      </c>
      <c r="P112" s="57">
        <f t="shared" si="57"/>
        <v>1085035</v>
      </c>
      <c r="Q112" s="474">
        <f>IF(N112=0,"n/a",+(P112/N112)-1)</f>
        <v>6.6041951376770456</v>
      </c>
      <c r="R112" s="57">
        <f t="shared" ref="R112" si="59">SUM(R101:R111)</f>
        <v>1349683</v>
      </c>
      <c r="S112" s="474">
        <f>IF(P112=0,"n/a",+(R112/P112)-1)</f>
        <v>0.24390733939458165</v>
      </c>
    </row>
    <row r="113" spans="1:19" ht="15" x14ac:dyDescent="0.25">
      <c r="B113" s="5"/>
      <c r="C113" s="5"/>
      <c r="D113" s="38"/>
      <c r="E113" s="71"/>
      <c r="F113" s="71"/>
      <c r="G113" s="570"/>
      <c r="H113" s="50"/>
      <c r="I113" s="71"/>
      <c r="J113" s="51"/>
      <c r="K113" s="570" t="str">
        <f t="shared" si="40"/>
        <v>n/a</v>
      </c>
      <c r="L113" s="51"/>
      <c r="M113" s="71"/>
      <c r="N113" s="51"/>
      <c r="O113" s="71"/>
      <c r="P113" s="51"/>
      <c r="Q113" s="71"/>
      <c r="R113" s="51"/>
      <c r="S113" s="71"/>
    </row>
    <row r="114" spans="1:19" ht="15" x14ac:dyDescent="0.25">
      <c r="D114" s="38" t="s">
        <v>37</v>
      </c>
      <c r="E114" s="71">
        <f t="shared" ref="E114:P114" si="60">E98-E112</f>
        <v>0</v>
      </c>
      <c r="F114" s="71">
        <f t="shared" si="60"/>
        <v>0</v>
      </c>
      <c r="G114" s="473" t="str">
        <f t="shared" si="39"/>
        <v>n/a</v>
      </c>
      <c r="H114" s="53"/>
      <c r="I114" s="473" t="str">
        <f>IF(F114=0,"n/a",+(H114/F114)-1)</f>
        <v>n/a</v>
      </c>
      <c r="J114" s="50">
        <f t="shared" si="60"/>
        <v>0</v>
      </c>
      <c r="K114" s="473" t="str">
        <f t="shared" si="40"/>
        <v>n/a</v>
      </c>
      <c r="L114" s="50">
        <f t="shared" ref="L114" si="61">L98-L112</f>
        <v>0</v>
      </c>
      <c r="M114" s="473" t="str">
        <f>IF(J114=0,"n/a",+(L114/J114)-1)</f>
        <v>n/a</v>
      </c>
      <c r="N114" s="50">
        <f t="shared" si="60"/>
        <v>-142690</v>
      </c>
      <c r="O114" s="473" t="str">
        <f>IF(L114=0,"n/a",+(N114/L114)-1)</f>
        <v>n/a</v>
      </c>
      <c r="P114" s="50">
        <f t="shared" si="60"/>
        <v>-993598</v>
      </c>
      <c r="Q114" s="473">
        <f>IF(N114=0,"n/a",+(P114/N114)-1)</f>
        <v>5.9633330997266798</v>
      </c>
      <c r="R114" s="50">
        <f t="shared" ref="R114" si="62">R98-R112</f>
        <v>-1256709</v>
      </c>
      <c r="S114" s="473">
        <f>IF(P114=0,"n/a",+(R114/P114)-1)</f>
        <v>0.26480628986773325</v>
      </c>
    </row>
    <row r="115" spans="1:19" ht="15" x14ac:dyDescent="0.25">
      <c r="D115" s="38"/>
      <c r="E115" s="71"/>
      <c r="F115" s="71"/>
      <c r="G115" s="570"/>
      <c r="H115" s="50"/>
      <c r="I115" s="71"/>
      <c r="J115" s="51"/>
      <c r="K115" s="570" t="str">
        <f t="shared" si="40"/>
        <v>n/a</v>
      </c>
      <c r="L115" s="51"/>
      <c r="M115" s="71"/>
      <c r="N115" s="51"/>
      <c r="O115" s="71"/>
      <c r="P115" s="51"/>
      <c r="Q115" s="71"/>
      <c r="R115" s="51"/>
      <c r="S115" s="71"/>
    </row>
    <row r="116" spans="1:19" ht="15" x14ac:dyDescent="0.25">
      <c r="A116" s="2" t="s">
        <v>23</v>
      </c>
      <c r="D116" s="38" t="str">
        <f>UPPER(TRIM(A116))</f>
        <v>NON-OPERATING REVENUE</v>
      </c>
      <c r="E116" s="71"/>
      <c r="F116" s="71"/>
      <c r="G116" s="473" t="str">
        <f t="shared" si="39"/>
        <v>n/a</v>
      </c>
      <c r="H116" s="53"/>
      <c r="I116" s="473" t="str">
        <f>IF(F116=0,"n/a",+(H116/F116)-1)</f>
        <v>n/a</v>
      </c>
      <c r="J116" s="71"/>
      <c r="K116" s="473" t="str">
        <f t="shared" si="40"/>
        <v>n/a</v>
      </c>
      <c r="L116" s="469">
        <f t="shared" ref="L116" si="63">+L166-L48</f>
        <v>0</v>
      </c>
      <c r="M116" s="473" t="str">
        <f>IF(J116=0,"n/a",+(L116/J116)-1)</f>
        <v>n/a</v>
      </c>
      <c r="N116" s="469">
        <f t="shared" ref="N116" si="64">+N166-N48</f>
        <v>-25171</v>
      </c>
      <c r="O116" s="473" t="str">
        <f>IF(L116=0,"n/a",+(N116/L116)-1)</f>
        <v>n/a</v>
      </c>
      <c r="P116" s="469">
        <f t="shared" ref="P116" si="65">+P166-P48</f>
        <v>-63074</v>
      </c>
      <c r="Q116" s="473">
        <f>IF(N116=0,"n/a",+(P116/N116)-1)</f>
        <v>1.5058201899010766</v>
      </c>
      <c r="R116" s="469">
        <f t="shared" ref="R116" si="66">+R166-R48</f>
        <v>-64677</v>
      </c>
      <c r="S116" s="473">
        <f>IF(P116=0,"n/a",+(R116/P116)-1)</f>
        <v>2.5414592383549373E-2</v>
      </c>
    </row>
    <row r="117" spans="1:19" ht="15" x14ac:dyDescent="0.25">
      <c r="D117" s="56"/>
      <c r="E117" s="57"/>
      <c r="F117" s="57"/>
      <c r="G117" s="571"/>
      <c r="H117" s="57"/>
      <c r="I117" s="73"/>
      <c r="J117" s="57"/>
      <c r="K117" s="571" t="str">
        <f t="shared" si="40"/>
        <v>n/a</v>
      </c>
      <c r="L117" s="57"/>
      <c r="M117" s="73"/>
      <c r="N117" s="57"/>
      <c r="O117" s="73"/>
      <c r="P117" s="57"/>
      <c r="Q117" s="73"/>
      <c r="R117" s="57"/>
      <c r="S117" s="73"/>
    </row>
    <row r="118" spans="1:19" ht="16.2" thickBot="1" x14ac:dyDescent="0.35">
      <c r="A118" s="5"/>
      <c r="B118" s="5"/>
      <c r="C118" s="5"/>
      <c r="D118" s="62" t="s">
        <v>38</v>
      </c>
      <c r="E118" s="63">
        <f t="shared" ref="E118:R118" si="67">E114+E116</f>
        <v>0</v>
      </c>
      <c r="F118" s="63">
        <f t="shared" si="67"/>
        <v>0</v>
      </c>
      <c r="G118" s="476" t="str">
        <f t="shared" si="39"/>
        <v>n/a</v>
      </c>
      <c r="H118" s="64"/>
      <c r="I118" s="64" t="e">
        <f t="shared" ref="I118" si="68">+(H118/F118)-1</f>
        <v>#DIV/0!</v>
      </c>
      <c r="J118" s="63">
        <f t="shared" si="67"/>
        <v>0</v>
      </c>
      <c r="K118" s="476" t="str">
        <f t="shared" si="40"/>
        <v>n/a</v>
      </c>
      <c r="L118" s="63">
        <f t="shared" ref="L118" si="69">L114+L116</f>
        <v>0</v>
      </c>
      <c r="M118" s="476" t="str">
        <f>IF(J118=0,"n/a",+(L118/J118)-1)</f>
        <v>n/a</v>
      </c>
      <c r="N118" s="63">
        <f t="shared" si="67"/>
        <v>-167861</v>
      </c>
      <c r="O118" s="476" t="str">
        <f>IF(L118=0,"n/a",+(N118/L118)-1)</f>
        <v>n/a</v>
      </c>
      <c r="P118" s="63">
        <f t="shared" si="67"/>
        <v>-1056672</v>
      </c>
      <c r="Q118" s="476">
        <f>IF(N118=0,"n/a",+(P118/N118)-1)</f>
        <v>5.2949225847576269</v>
      </c>
      <c r="R118" s="63">
        <f t="shared" si="67"/>
        <v>-1321386</v>
      </c>
      <c r="S118" s="476">
        <f>IF(P118=0,"n/a",+(R118/P118)-1)</f>
        <v>0.25051671663486874</v>
      </c>
    </row>
    <row r="119" spans="1:19" ht="14.4" thickTop="1" thickBot="1" x14ac:dyDescent="0.3">
      <c r="A119" s="7"/>
      <c r="B119" s="7"/>
      <c r="C119" s="7"/>
      <c r="D119" s="18"/>
      <c r="E119" s="19"/>
      <c r="F119" s="20"/>
      <c r="G119" s="20"/>
      <c r="H119" s="20"/>
      <c r="I119" s="20"/>
      <c r="J119" s="20"/>
      <c r="K119" s="20"/>
      <c r="L119" s="20"/>
      <c r="M119" s="20"/>
      <c r="N119" s="20"/>
      <c r="O119" s="20"/>
      <c r="P119" s="20"/>
      <c r="Q119" s="20"/>
      <c r="R119" s="20"/>
      <c r="S119" s="20"/>
    </row>
    <row r="120" spans="1:19" ht="13.8" thickTop="1" x14ac:dyDescent="0.25">
      <c r="D120" s="8"/>
      <c r="E120" s="9"/>
      <c r="R120" s="266"/>
    </row>
    <row r="121" spans="1:19" x14ac:dyDescent="0.25">
      <c r="D121" s="8"/>
      <c r="E121" s="9"/>
    </row>
    <row r="122" spans="1:19" ht="13.8" thickBot="1" x14ac:dyDescent="0.3"/>
    <row r="123" spans="1:19" x14ac:dyDescent="0.25">
      <c r="D123" s="21"/>
      <c r="E123" s="22"/>
      <c r="F123" s="23"/>
      <c r="G123" s="23"/>
      <c r="H123" s="23"/>
      <c r="I123" s="23"/>
      <c r="J123" s="23"/>
      <c r="K123" s="23"/>
      <c r="L123" s="23"/>
      <c r="M123" s="23"/>
      <c r="N123" s="23"/>
      <c r="O123" s="23"/>
      <c r="P123" s="23"/>
      <c r="Q123" s="23"/>
      <c r="R123" s="23"/>
      <c r="S123" s="23"/>
    </row>
    <row r="124" spans="1:19" ht="17.399999999999999" x14ac:dyDescent="0.25">
      <c r="D124" s="611" t="str">
        <f>+D4</f>
        <v>Modernization Project</v>
      </c>
      <c r="E124" s="612"/>
      <c r="F124" s="612"/>
      <c r="G124" s="612"/>
      <c r="H124" s="612"/>
      <c r="I124" s="612"/>
      <c r="J124" s="612"/>
      <c r="K124" s="612"/>
      <c r="L124" s="612"/>
      <c r="M124" s="612"/>
      <c r="N124" s="612"/>
      <c r="O124" s="612"/>
      <c r="P124" s="612"/>
      <c r="Q124" s="612"/>
      <c r="R124" s="594"/>
      <c r="S124" s="594"/>
    </row>
    <row r="125" spans="1:19" ht="17.399999999999999" x14ac:dyDescent="0.3">
      <c r="D125" s="613"/>
      <c r="E125" s="614"/>
      <c r="F125" s="614"/>
      <c r="G125" s="614"/>
      <c r="H125" s="614"/>
      <c r="I125" s="614"/>
      <c r="J125" s="614"/>
      <c r="K125" s="614"/>
      <c r="L125" s="614"/>
      <c r="M125" s="614"/>
      <c r="N125" s="614"/>
      <c r="O125" s="614"/>
      <c r="P125" s="614"/>
      <c r="Q125" s="614"/>
      <c r="R125" s="597"/>
      <c r="S125" s="597"/>
    </row>
    <row r="126" spans="1:19" ht="21" customHeight="1" x14ac:dyDescent="0.4">
      <c r="D126" s="610" t="str">
        <f>+D6</f>
        <v>INCOME STATEMENT- Table 3</v>
      </c>
      <c r="E126" s="590"/>
      <c r="F126" s="590"/>
      <c r="G126" s="590"/>
      <c r="H126" s="590"/>
      <c r="I126" s="590"/>
      <c r="J126" s="590"/>
      <c r="K126" s="590"/>
      <c r="L126" s="590"/>
      <c r="M126" s="590"/>
      <c r="N126" s="590"/>
      <c r="O126" s="590"/>
      <c r="P126" s="590"/>
      <c r="Q126" s="590"/>
      <c r="R126" s="597"/>
      <c r="S126" s="597"/>
    </row>
    <row r="127" spans="1:19" s="16" customFormat="1" ht="16.5" customHeight="1" x14ac:dyDescent="0.25">
      <c r="A127" s="28"/>
      <c r="B127" s="28"/>
      <c r="C127" s="28"/>
      <c r="D127" s="592"/>
      <c r="E127" s="593"/>
      <c r="F127" s="593"/>
      <c r="G127" s="593"/>
      <c r="H127" s="593"/>
      <c r="I127" s="593"/>
      <c r="J127" s="593"/>
      <c r="K127" s="593"/>
      <c r="L127" s="593"/>
      <c r="M127" s="593"/>
      <c r="N127" s="593"/>
      <c r="O127" s="593"/>
      <c r="P127" s="593"/>
      <c r="Q127" s="593"/>
      <c r="R127" s="594"/>
      <c r="S127" s="594"/>
    </row>
    <row r="128" spans="1:19" ht="15" customHeight="1" x14ac:dyDescent="0.3">
      <c r="D128" s="595" t="s">
        <v>48</v>
      </c>
      <c r="E128" s="596"/>
      <c r="F128" s="596"/>
      <c r="G128" s="596"/>
      <c r="H128" s="596"/>
      <c r="I128" s="596"/>
      <c r="J128" s="596"/>
      <c r="K128" s="596"/>
      <c r="L128" s="596"/>
      <c r="M128" s="596"/>
      <c r="N128" s="596"/>
      <c r="O128" s="596"/>
      <c r="P128" s="596"/>
      <c r="Q128" s="596"/>
      <c r="R128" s="597"/>
      <c r="S128" s="597"/>
    </row>
    <row r="129" spans="1:19" ht="31.2" x14ac:dyDescent="0.3">
      <c r="D129" s="38"/>
      <c r="E129" s="36" t="str">
        <f>+E79</f>
        <v>2014</v>
      </c>
      <c r="F129" s="36" t="str">
        <f>+F79</f>
        <v>2015</v>
      </c>
      <c r="G129" s="39"/>
      <c r="H129" s="533" t="str">
        <f>+H79</f>
        <v>2016</v>
      </c>
      <c r="I129" s="533"/>
      <c r="J129" s="36" t="str">
        <f>+J79</f>
        <v>2016</v>
      </c>
      <c r="K129" s="39"/>
      <c r="L129" s="40" t="s">
        <v>50</v>
      </c>
      <c r="M129" s="40"/>
      <c r="N129" s="40" t="s">
        <v>51</v>
      </c>
      <c r="O129" s="40"/>
      <c r="P129" s="40" t="s">
        <v>52</v>
      </c>
      <c r="Q129" s="40"/>
      <c r="R129" s="40" t="s">
        <v>471</v>
      </c>
      <c r="S129" s="40"/>
    </row>
    <row r="130" spans="1:19" ht="45" customHeight="1" x14ac:dyDescent="0.3">
      <c r="D130" s="38"/>
      <c r="E130" s="36" t="str">
        <f>+E80</f>
        <v>Actual</v>
      </c>
      <c r="F130" s="36" t="str">
        <f>+F80</f>
        <v>Actual</v>
      </c>
      <c r="G130" s="42" t="s">
        <v>57</v>
      </c>
      <c r="H130" s="533" t="str">
        <f>+H80</f>
        <v>Budget</v>
      </c>
      <c r="I130" s="533"/>
      <c r="J130" s="36" t="str">
        <f>+J80</f>
        <v>Actual</v>
      </c>
      <c r="K130" s="42" t="str">
        <f>+K11</f>
        <v>% change from py Actual</v>
      </c>
      <c r="L130" s="47">
        <f>+L10</f>
        <v>2017</v>
      </c>
      <c r="M130" s="42" t="str">
        <f>+M11</f>
        <v>% change from py budget</v>
      </c>
      <c r="N130" s="47">
        <f>+N10</f>
        <v>2018</v>
      </c>
      <c r="O130" s="42" t="str">
        <f>+O11</f>
        <v>% change from py Projection</v>
      </c>
      <c r="P130" s="47">
        <f>+P10</f>
        <v>2019</v>
      </c>
      <c r="Q130" s="42" t="str">
        <f>+Q11</f>
        <v>% change from py Projection</v>
      </c>
      <c r="R130" s="47">
        <f>+R10</f>
        <v>2020</v>
      </c>
      <c r="S130" s="42" t="str">
        <f>+S11</f>
        <v>% change from py Projection</v>
      </c>
    </row>
    <row r="131" spans="1:19" ht="15.6" x14ac:dyDescent="0.3">
      <c r="A131" s="8" t="s">
        <v>2</v>
      </c>
      <c r="D131" s="49" t="s">
        <v>30</v>
      </c>
      <c r="E131" s="50"/>
      <c r="F131" s="51"/>
      <c r="G131" s="51"/>
      <c r="H131" s="51"/>
      <c r="I131" s="51"/>
      <c r="J131" s="51"/>
      <c r="K131" s="51"/>
      <c r="L131" s="51"/>
      <c r="M131" s="51"/>
      <c r="N131" s="51"/>
      <c r="O131" s="51"/>
      <c r="P131" s="51"/>
      <c r="Q131" s="51"/>
      <c r="R131" s="51"/>
      <c r="S131" s="51"/>
    </row>
    <row r="132" spans="1:19" ht="15" x14ac:dyDescent="0.25">
      <c r="A132" s="11" t="s">
        <v>40</v>
      </c>
      <c r="D132" s="38" t="str">
        <f>"  "&amp;UPPER(TRIM(A132))</f>
        <v xml:space="preserve">  INPATIENT CARE REVENUE</v>
      </c>
      <c r="E132" s="50">
        <f t="shared" ref="E132:F136" si="70">+E14+E82</f>
        <v>27716232</v>
      </c>
      <c r="F132" s="50">
        <f t="shared" si="70"/>
        <v>28331883</v>
      </c>
      <c r="G132" s="473">
        <f>IF(E132=0,"n/a",+(F132/E132)-1)</f>
        <v>2.2212651416686047E-2</v>
      </c>
      <c r="H132" s="50">
        <f t="shared" ref="H132" si="71">+H14+H82</f>
        <v>29415276</v>
      </c>
      <c r="I132" s="473">
        <f>IF(F132=0,"n/a",+(H132/F132)-1)</f>
        <v>3.8239357405224439E-2</v>
      </c>
      <c r="J132" s="50">
        <f>+J14+J82</f>
        <v>29309983</v>
      </c>
      <c r="K132" s="473">
        <f>IF(F132=0,"n/a",+(J132/F132)-1)</f>
        <v>3.4522943639150316E-2</v>
      </c>
      <c r="L132" s="409">
        <v>29795555</v>
      </c>
      <c r="M132" s="473">
        <f>IF(J132=0,"n/a",+(L132/J132)-1)</f>
        <v>1.6566778629656609E-2</v>
      </c>
      <c r="N132" s="409">
        <v>30762160</v>
      </c>
      <c r="O132" s="473">
        <f>IF(L132=0,"n/a",+(N132/L132)-1)</f>
        <v>3.2441248367415909E-2</v>
      </c>
      <c r="P132" s="409">
        <v>31761453</v>
      </c>
      <c r="Q132" s="473">
        <f>IF(N132=0,"n/a",+(P132/N132)-1)</f>
        <v>3.2484487435212595E-2</v>
      </c>
      <c r="R132" s="409">
        <v>32794560</v>
      </c>
      <c r="S132" s="473">
        <f>IF(P132=0,"n/a",+(R132/P132)-1)</f>
        <v>3.2527069841546519E-2</v>
      </c>
    </row>
    <row r="133" spans="1:19" ht="15" x14ac:dyDescent="0.25">
      <c r="A133" s="11" t="s">
        <v>41</v>
      </c>
      <c r="D133" s="38" t="str">
        <f t="shared" ref="D133:D136" si="72">"  "&amp;UPPER(TRIM(A133))</f>
        <v xml:space="preserve">  OUTPATIENT CARE REVENUE</v>
      </c>
      <c r="E133" s="50">
        <f t="shared" si="70"/>
        <v>97279717</v>
      </c>
      <c r="F133" s="50">
        <f t="shared" si="70"/>
        <v>105642092.00000001</v>
      </c>
      <c r="G133" s="473">
        <f t="shared" ref="G133:G168" si="73">IF(E133=0,"n/a",+(F133/E133)-1)</f>
        <v>8.5962164137463715E-2</v>
      </c>
      <c r="H133" s="50">
        <f t="shared" ref="H133" si="74">+H15+H83</f>
        <v>105345791</v>
      </c>
      <c r="I133" s="473">
        <f>IF(F133=0,"n/a",+(H133/F133)-1)</f>
        <v>-2.8047627076527304E-3</v>
      </c>
      <c r="J133" s="50">
        <f>+J15+J83</f>
        <v>104288252</v>
      </c>
      <c r="K133" s="473">
        <f t="shared" ref="K133:K168" si="75">IF(F133=0,"n/a",+(J133/F133)-1)</f>
        <v>-1.2815346367809677E-2</v>
      </c>
      <c r="L133" s="409">
        <v>110296413</v>
      </c>
      <c r="M133" s="473">
        <f>IF(J133=0,"n/a",+(L133/J133)-1)</f>
        <v>5.7611100816993277E-2</v>
      </c>
      <c r="N133" s="409">
        <v>113817317</v>
      </c>
      <c r="O133" s="473">
        <f>IF(L133=0,"n/a",+(N133/L133)-1)</f>
        <v>3.1922198594073858E-2</v>
      </c>
      <c r="P133" s="409">
        <v>117569862</v>
      </c>
      <c r="Q133" s="473">
        <f>IF(N133=0,"n/a",+(P133/N133)-1)</f>
        <v>3.2969895081958356E-2</v>
      </c>
      <c r="R133" s="409">
        <v>121335768</v>
      </c>
      <c r="S133" s="473">
        <f>IF(P133=0,"n/a",+(R133/P133)-1)</f>
        <v>3.203121902107875E-2</v>
      </c>
    </row>
    <row r="134" spans="1:19" ht="15" x14ac:dyDescent="0.25">
      <c r="A134" s="11" t="s">
        <v>44</v>
      </c>
      <c r="D134" s="38" t="str">
        <f t="shared" si="72"/>
        <v xml:space="preserve">  OUTPATIENT CARE REVENUE - PHYSICIAN</v>
      </c>
      <c r="E134" s="50">
        <f t="shared" si="70"/>
        <v>17616516</v>
      </c>
      <c r="F134" s="50">
        <f t="shared" si="70"/>
        <v>19095019.999999996</v>
      </c>
      <c r="G134" s="473">
        <f t="shared" si="73"/>
        <v>8.3927151089352447E-2</v>
      </c>
      <c r="H134" s="50">
        <f t="shared" ref="H134" si="76">+H16+H84</f>
        <v>19656798</v>
      </c>
      <c r="I134" s="473">
        <f>IF(F134=0,"n/a",+(H134/F134)-1)</f>
        <v>2.9420131531677107E-2</v>
      </c>
      <c r="J134" s="50">
        <f>+J16+J84</f>
        <v>15393747</v>
      </c>
      <c r="K134" s="473">
        <f t="shared" si="75"/>
        <v>-0.19383446574028185</v>
      </c>
      <c r="L134" s="409">
        <v>17381587</v>
      </c>
      <c r="M134" s="473">
        <f>IF(J134=0,"n/a",+(L134/J134)-1)</f>
        <v>0.12913295249038459</v>
      </c>
      <c r="N134" s="409">
        <v>17497594</v>
      </c>
      <c r="O134" s="473">
        <f>IF(L134=0,"n/a",+(N134/L134)-1)</f>
        <v>6.6741316543765805E-3</v>
      </c>
      <c r="P134" s="409">
        <v>17693668</v>
      </c>
      <c r="Q134" s="473">
        <f>IF(N134=0,"n/a",+(P134/N134)-1)</f>
        <v>1.1205769204611693E-2</v>
      </c>
      <c r="R134" s="409">
        <v>17809675</v>
      </c>
      <c r="S134" s="473">
        <f>IF(P134=0,"n/a",+(R134/P134)-1)</f>
        <v>6.5564132886408721E-3</v>
      </c>
    </row>
    <row r="135" spans="1:19" ht="15" x14ac:dyDescent="0.25">
      <c r="A135" s="11" t="s">
        <v>42</v>
      </c>
      <c r="D135" s="38" t="str">
        <f t="shared" si="72"/>
        <v xml:space="preserve">  CHRONIC/SNF PT CARE REVENUE</v>
      </c>
      <c r="E135" s="50">
        <f t="shared" si="70"/>
        <v>0</v>
      </c>
      <c r="F135" s="50">
        <f t="shared" si="70"/>
        <v>0</v>
      </c>
      <c r="G135" s="473" t="str">
        <f t="shared" si="73"/>
        <v>n/a</v>
      </c>
      <c r="H135" s="50">
        <f t="shared" ref="H135" si="77">+H17+H85</f>
        <v>0</v>
      </c>
      <c r="I135" s="473" t="str">
        <f>IF(F135=0,"n/a",+(H135/F135)-1)</f>
        <v>n/a</v>
      </c>
      <c r="J135" s="50">
        <f>+J17+J85</f>
        <v>0</v>
      </c>
      <c r="K135" s="473" t="str">
        <f t="shared" si="75"/>
        <v>n/a</v>
      </c>
      <c r="L135" s="409"/>
      <c r="M135" s="473" t="str">
        <f>IF(J135=0,"n/a",+(L135/J135)-1)</f>
        <v>n/a</v>
      </c>
      <c r="N135" s="409"/>
      <c r="O135" s="473" t="str">
        <f>IF(L135=0,"n/a",+(N135/L135)-1)</f>
        <v>n/a</v>
      </c>
      <c r="P135" s="409"/>
      <c r="Q135" s="473" t="str">
        <f>IF(N135=0,"n/a",+(P135/N135)-1)</f>
        <v>n/a</v>
      </c>
      <c r="R135" s="409"/>
      <c r="S135" s="473" t="str">
        <f>IF(P135=0,"n/a",+(R135/P135)-1)</f>
        <v>n/a</v>
      </c>
    </row>
    <row r="136" spans="1:19" ht="15" x14ac:dyDescent="0.25">
      <c r="A136" s="11" t="s">
        <v>43</v>
      </c>
      <c r="D136" s="38" t="str">
        <f t="shared" si="72"/>
        <v xml:space="preserve">  SWING BEDS PT CARE REVENUE</v>
      </c>
      <c r="E136" s="50">
        <f t="shared" si="70"/>
        <v>0</v>
      </c>
      <c r="F136" s="50">
        <f t="shared" si="70"/>
        <v>0</v>
      </c>
      <c r="G136" s="473" t="str">
        <f t="shared" si="73"/>
        <v>n/a</v>
      </c>
      <c r="H136" s="50">
        <f t="shared" ref="H136" si="78">+H18+H86</f>
        <v>0</v>
      </c>
      <c r="I136" s="473" t="str">
        <f>IF(F136=0,"n/a",+(H136/F136)-1)</f>
        <v>n/a</v>
      </c>
      <c r="J136" s="50">
        <f>+J18+J86</f>
        <v>0</v>
      </c>
      <c r="K136" s="473" t="str">
        <f t="shared" si="75"/>
        <v>n/a</v>
      </c>
      <c r="L136" s="409"/>
      <c r="M136" s="473" t="str">
        <f>IF(J136=0,"n/a",+(L136/J136)-1)</f>
        <v>n/a</v>
      </c>
      <c r="N136" s="409"/>
      <c r="O136" s="473" t="str">
        <f>IF(L136=0,"n/a",+(N136/L136)-1)</f>
        <v>n/a</v>
      </c>
      <c r="P136" s="409"/>
      <c r="Q136" s="473" t="str">
        <f>IF(N136=0,"n/a",+(P136/N136)-1)</f>
        <v>n/a</v>
      </c>
      <c r="R136" s="409"/>
      <c r="S136" s="473" t="str">
        <f>IF(P136=0,"n/a",+(R136/P136)-1)</f>
        <v>n/a</v>
      </c>
    </row>
    <row r="137" spans="1:19" ht="15" x14ac:dyDescent="0.25">
      <c r="D137" s="38"/>
      <c r="E137" s="50"/>
      <c r="F137" s="50"/>
      <c r="G137" s="569" t="str">
        <f t="shared" si="73"/>
        <v>n/a</v>
      </c>
      <c r="H137" s="50"/>
      <c r="I137" s="74"/>
      <c r="J137" s="50"/>
      <c r="K137" s="569" t="str">
        <f t="shared" si="75"/>
        <v>n/a</v>
      </c>
      <c r="L137" s="413"/>
      <c r="M137" s="74"/>
      <c r="N137" s="413"/>
      <c r="O137" s="74"/>
      <c r="P137" s="413"/>
      <c r="Q137" s="74"/>
      <c r="R137" s="413"/>
      <c r="S137" s="74"/>
    </row>
    <row r="138" spans="1:19" ht="15" x14ac:dyDescent="0.25">
      <c r="A138" s="5" t="s">
        <v>3</v>
      </c>
      <c r="D138" s="56" t="s">
        <v>31</v>
      </c>
      <c r="E138" s="57">
        <f>SUM(E132:E137)</f>
        <v>142612465</v>
      </c>
      <c r="F138" s="57">
        <f t="shared" ref="F138:H138" si="79">SUM(F132:F137)</f>
        <v>153068995</v>
      </c>
      <c r="G138" s="473">
        <f t="shared" si="73"/>
        <v>7.3321290673995509E-2</v>
      </c>
      <c r="H138" s="57">
        <f t="shared" si="79"/>
        <v>154417865</v>
      </c>
      <c r="I138" s="473">
        <f>IF(F138=0,"n/a",+(H138/F138)-1)</f>
        <v>8.8121699629635231E-3</v>
      </c>
      <c r="J138" s="57">
        <f t="shared" ref="J138" si="80">SUM(J132:J137)</f>
        <v>148991982</v>
      </c>
      <c r="K138" s="473">
        <f t="shared" si="75"/>
        <v>-2.6635132738671241E-2</v>
      </c>
      <c r="L138" s="411">
        <f t="shared" ref="L138" si="81">SUM(L132:L137)</f>
        <v>157473555</v>
      </c>
      <c r="M138" s="473">
        <f>IF(J138=0,"n/a",+(L138/J138)-1)</f>
        <v>5.6926372051349761E-2</v>
      </c>
      <c r="N138" s="411">
        <f t="shared" ref="N138" si="82">SUM(N132:N137)</f>
        <v>162077071</v>
      </c>
      <c r="O138" s="473">
        <f>IF(L138=0,"n/a",+(N138/L138)-1)</f>
        <v>2.9233581473409931E-2</v>
      </c>
      <c r="P138" s="411">
        <f t="shared" ref="P138" si="83">SUM(P132:P137)</f>
        <v>167024983</v>
      </c>
      <c r="Q138" s="473">
        <f>IF(N138=0,"n/a",+(P138/N138)-1)</f>
        <v>3.0528142996858465E-2</v>
      </c>
      <c r="R138" s="411">
        <f t="shared" ref="R138" si="84">SUM(R132:R137)</f>
        <v>171940003</v>
      </c>
      <c r="S138" s="473">
        <f>IF(P138=0,"n/a",+(R138/P138)-1)</f>
        <v>2.9426855262724372E-2</v>
      </c>
    </row>
    <row r="139" spans="1:19" ht="15" x14ac:dyDescent="0.25">
      <c r="B139" s="5"/>
      <c r="C139" s="5"/>
      <c r="D139" s="38"/>
      <c r="E139" s="50"/>
      <c r="F139" s="50"/>
      <c r="G139" s="570"/>
      <c r="H139" s="50"/>
      <c r="I139" s="71"/>
      <c r="J139" s="50"/>
      <c r="K139" s="570" t="str">
        <f t="shared" si="75"/>
        <v>n/a</v>
      </c>
      <c r="L139" s="413"/>
      <c r="M139" s="71"/>
      <c r="N139" s="413"/>
      <c r="O139" s="71"/>
      <c r="P139" s="413"/>
      <c r="Q139" s="71"/>
      <c r="R139" s="413"/>
      <c r="S139" s="71"/>
    </row>
    <row r="140" spans="1:19" ht="15" x14ac:dyDescent="0.25">
      <c r="A140" s="2" t="s">
        <v>4</v>
      </c>
      <c r="D140" s="38" t="str">
        <f t="shared" ref="D140:D141" si="85">"  "&amp;UPPER(TRIM(A140))</f>
        <v xml:space="preserve">  DISPROPORTIONATE SHARE PAYMENTS</v>
      </c>
      <c r="E140" s="50">
        <f t="shared" ref="E140:F142" si="86">+E22+E90</f>
        <v>936015.42000000027</v>
      </c>
      <c r="F140" s="50">
        <f t="shared" si="86"/>
        <v>1050745.9999999998</v>
      </c>
      <c r="G140" s="473">
        <f t="shared" si="73"/>
        <v>0.12257338666493278</v>
      </c>
      <c r="H140" s="50">
        <f t="shared" ref="H140" si="87">+H22+H90</f>
        <v>889343</v>
      </c>
      <c r="I140" s="473">
        <f>IF(F140=0,"n/a",+(H140/F140)-1)</f>
        <v>-0.15360800802477459</v>
      </c>
      <c r="J140" s="50">
        <f>+J22+J90</f>
        <v>918389</v>
      </c>
      <c r="K140" s="473">
        <f t="shared" si="75"/>
        <v>-0.12596479072963385</v>
      </c>
      <c r="L140" s="409">
        <v>976889</v>
      </c>
      <c r="M140" s="473">
        <f>IF(J140=0,"n/a",+(L140/J140)-1)</f>
        <v>6.3698498130966286E-2</v>
      </c>
      <c r="N140" s="409">
        <v>754085</v>
      </c>
      <c r="O140" s="473">
        <f>IF(L140=0,"n/a",+(N140/L140)-1)</f>
        <v>-0.22807504230265674</v>
      </c>
      <c r="P140" s="409">
        <v>777106</v>
      </c>
      <c r="Q140" s="473">
        <f>IF(N140=0,"n/a",+(P140/N140)-1)</f>
        <v>3.0528388709495591E-2</v>
      </c>
      <c r="R140" s="409">
        <v>799974</v>
      </c>
      <c r="S140" s="473">
        <f>IF(P140=0,"n/a",+(R140/P140)-1)</f>
        <v>2.9427130919076783E-2</v>
      </c>
    </row>
    <row r="141" spans="1:19" ht="15" x14ac:dyDescent="0.25">
      <c r="A141" s="37" t="s">
        <v>5</v>
      </c>
      <c r="D141" s="38" t="str">
        <f t="shared" si="85"/>
        <v xml:space="preserve">  BAD DEBT FREE CARE</v>
      </c>
      <c r="E141" s="50">
        <f t="shared" si="86"/>
        <v>-6967414.7800000003</v>
      </c>
      <c r="F141" s="50">
        <f t="shared" si="86"/>
        <v>-7957089</v>
      </c>
      <c r="G141" s="473">
        <f t="shared" si="73"/>
        <v>0.14204324720854355</v>
      </c>
      <c r="H141" s="50">
        <f t="shared" ref="H141" si="88">+H23+H91</f>
        <v>-8140227</v>
      </c>
      <c r="I141" s="473">
        <f>IF(F141=0,"n/a",+(H141/F141)-1)</f>
        <v>2.3015703355837802E-2</v>
      </c>
      <c r="J141" s="50">
        <f>+J23+J91</f>
        <v>-4698213</v>
      </c>
      <c r="K141" s="473">
        <f t="shared" si="75"/>
        <v>-0.40955630884611194</v>
      </c>
      <c r="L141" s="409">
        <v>-8010021</v>
      </c>
      <c r="M141" s="473">
        <f>IF(J141=0,"n/a",+(L141/J141)-1)</f>
        <v>0.70490801502613865</v>
      </c>
      <c r="N141" s="409">
        <v>-7293468</v>
      </c>
      <c r="O141" s="473">
        <f>IF(L141=0,"n/a",+(N141/L141)-1)</f>
        <v>-8.9457068839145393E-2</v>
      </c>
      <c r="P141" s="409">
        <v>-7516124</v>
      </c>
      <c r="Q141" s="473">
        <f>IF(N141=0,"n/a",+(P141/N141)-1)</f>
        <v>3.0528138328707266E-2</v>
      </c>
      <c r="R141" s="409">
        <v>-7737300</v>
      </c>
      <c r="S141" s="473">
        <f>IF(P141=0,"n/a",+(R141/P141)-1)</f>
        <v>2.9426869487517715E-2</v>
      </c>
    </row>
    <row r="142" spans="1:19" ht="15" x14ac:dyDescent="0.25">
      <c r="A142" s="2" t="s">
        <v>6</v>
      </c>
      <c r="D142" s="38" t="str">
        <f>"  "&amp;UPPER(TRIM(A142))</f>
        <v xml:space="preserve">  DEDUCTIONS FROM REVENUE</v>
      </c>
      <c r="E142" s="50">
        <f t="shared" si="86"/>
        <v>-65068293</v>
      </c>
      <c r="F142" s="50">
        <f t="shared" si="86"/>
        <v>-70419732.000000015</v>
      </c>
      <c r="G142" s="473">
        <f t="shared" si="73"/>
        <v>8.2243420770236275E-2</v>
      </c>
      <c r="H142" s="50">
        <f t="shared" ref="H142" si="89">+H24+H92</f>
        <v>-73270830</v>
      </c>
      <c r="I142" s="473">
        <f>IF(F142=0,"n/a",+(H142/F142)-1)</f>
        <v>4.0487203217416168E-2</v>
      </c>
      <c r="J142" s="50">
        <f>+J24+J92</f>
        <v>-72050441</v>
      </c>
      <c r="K142" s="473">
        <f t="shared" si="75"/>
        <v>2.3156989577864051E-2</v>
      </c>
      <c r="L142" s="409">
        <v>-74031811</v>
      </c>
      <c r="M142" s="473">
        <f>IF(J142=0,"n/a",+(L142/J142)-1)</f>
        <v>2.7499762284591611E-2</v>
      </c>
      <c r="N142" s="409">
        <v>-76556969</v>
      </c>
      <c r="O142" s="473">
        <f>IF(L142=0,"n/a",+(N142/L142)-1)</f>
        <v>3.4109093994742379E-2</v>
      </c>
      <c r="P142" s="409">
        <v>-78958414</v>
      </c>
      <c r="Q142" s="473">
        <f>IF(N142=0,"n/a",+(P142/N142)-1)</f>
        <v>3.1368078326089455E-2</v>
      </c>
      <c r="R142" s="409">
        <v>-81991278</v>
      </c>
      <c r="S142" s="473">
        <f>IF(P142=0,"n/a",+(R142/P142)-1)</f>
        <v>3.8410903238254024E-2</v>
      </c>
    </row>
    <row r="143" spans="1:19" ht="5.0999999999999996" customHeight="1" outlineLevel="1" x14ac:dyDescent="0.25">
      <c r="A143" s="37" t="s">
        <v>56</v>
      </c>
      <c r="D143" s="38"/>
      <c r="E143" s="50"/>
      <c r="F143" s="50"/>
      <c r="G143" s="473"/>
      <c r="H143" s="50"/>
      <c r="I143" s="470"/>
      <c r="J143" s="50"/>
      <c r="K143" s="473" t="str">
        <f t="shared" si="75"/>
        <v>n/a</v>
      </c>
      <c r="L143" s="413"/>
      <c r="M143" s="470"/>
      <c r="N143" s="413"/>
      <c r="O143" s="470"/>
      <c r="P143" s="413"/>
      <c r="Q143" s="470"/>
      <c r="R143" s="413"/>
      <c r="S143" s="470"/>
    </row>
    <row r="144" spans="1:19" ht="15.6" x14ac:dyDescent="0.3">
      <c r="A144" s="5"/>
      <c r="D144" s="59" t="s">
        <v>33</v>
      </c>
      <c r="E144" s="57">
        <f>SUM(E138:E143)</f>
        <v>71512772.639999986</v>
      </c>
      <c r="F144" s="57">
        <f t="shared" ref="F144:H144" si="90">SUM(F138:F143)</f>
        <v>75742919.999999985</v>
      </c>
      <c r="G144" s="474">
        <f t="shared" si="73"/>
        <v>5.9152333266322188E-2</v>
      </c>
      <c r="H144" s="57">
        <f t="shared" si="90"/>
        <v>73896151</v>
      </c>
      <c r="I144" s="474">
        <f>IF(F144=0,"n/a",+(H144/F144)-1)</f>
        <v>-2.438206765728046E-2</v>
      </c>
      <c r="J144" s="57">
        <f t="shared" ref="J144" si="91">SUM(J138:J143)</f>
        <v>73161717</v>
      </c>
      <c r="K144" s="474">
        <f t="shared" si="75"/>
        <v>-3.4078472284934214E-2</v>
      </c>
      <c r="L144" s="411">
        <f t="shared" ref="L144" si="92">SUM(L138:L143)</f>
        <v>76408612</v>
      </c>
      <c r="M144" s="474">
        <f>IF(J144=0,"n/a",+(L144/J144)-1)</f>
        <v>4.4379699289998964E-2</v>
      </c>
      <c r="N144" s="411">
        <f t="shared" ref="N144" si="93">SUM(N138:N143)</f>
        <v>78980719</v>
      </c>
      <c r="O144" s="474">
        <f>IF(L144=0,"n/a",+(N144/L144)-1)</f>
        <v>3.3662527464836112E-2</v>
      </c>
      <c r="P144" s="411">
        <f t="shared" ref="P144" si="94">SUM(P138:P143)</f>
        <v>81327551</v>
      </c>
      <c r="Q144" s="474">
        <f>IF(N144=0,"n/a",+(P144/N144)-1)</f>
        <v>2.971398627049715E-2</v>
      </c>
      <c r="R144" s="411">
        <f t="shared" ref="R144" si="95">SUM(R138:R143)</f>
        <v>83011399</v>
      </c>
      <c r="S144" s="474">
        <f>IF(P144=0,"n/a",+(R144/P144)-1)</f>
        <v>2.0704521152985489E-2</v>
      </c>
    </row>
    <row r="145" spans="1:19" ht="15" x14ac:dyDescent="0.25">
      <c r="B145" s="5"/>
      <c r="C145" s="5"/>
      <c r="D145" s="38"/>
      <c r="E145" s="50"/>
      <c r="F145" s="50"/>
      <c r="G145" s="570"/>
      <c r="H145" s="50"/>
      <c r="I145" s="71"/>
      <c r="J145" s="50"/>
      <c r="K145" s="570" t="str">
        <f t="shared" si="75"/>
        <v>n/a</v>
      </c>
      <c r="L145" s="413"/>
      <c r="M145" s="71"/>
      <c r="N145" s="413"/>
      <c r="O145" s="71"/>
      <c r="P145" s="413"/>
      <c r="Q145" s="71"/>
      <c r="R145" s="413"/>
      <c r="S145" s="71"/>
    </row>
    <row r="146" spans="1:19" ht="15" x14ac:dyDescent="0.25">
      <c r="A146" s="37" t="s">
        <v>8</v>
      </c>
      <c r="D146" s="38" t="s">
        <v>32</v>
      </c>
      <c r="E146" s="50">
        <f>+E28+E96</f>
        <v>3797011.7100000004</v>
      </c>
      <c r="F146" s="50">
        <f>+F28+F96</f>
        <v>2926100.56</v>
      </c>
      <c r="G146" s="473">
        <f t="shared" si="73"/>
        <v>-0.22936751754184093</v>
      </c>
      <c r="H146" s="50">
        <f>+H28+H96</f>
        <v>2355778</v>
      </c>
      <c r="I146" s="473">
        <f>IF(F146=0,"n/a",+(H146/F146)-1)</f>
        <v>-0.19490873546738263</v>
      </c>
      <c r="J146" s="50">
        <f>+J28+J96</f>
        <v>2438280</v>
      </c>
      <c r="K146" s="473">
        <f t="shared" si="75"/>
        <v>-0.16671353222392327</v>
      </c>
      <c r="L146" s="409">
        <v>3873096</v>
      </c>
      <c r="M146" s="473">
        <f>IF(J146=0,"n/a",+(L146/J146)-1)</f>
        <v>0.58845415620847485</v>
      </c>
      <c r="N146" s="409">
        <v>3717049</v>
      </c>
      <c r="O146" s="473">
        <f>IF(L146=0,"n/a",+(N146/L146)-1)</f>
        <v>-4.0289990230038208E-2</v>
      </c>
      <c r="P146" s="409">
        <v>3735633</v>
      </c>
      <c r="Q146" s="473">
        <f>IF(N146=0,"n/a",+(P146/N146)-1)</f>
        <v>4.9996650568771006E-3</v>
      </c>
      <c r="R146" s="409">
        <v>3754312</v>
      </c>
      <c r="S146" s="473">
        <f>IF(P146=0,"n/a",+(R146/P146)-1)</f>
        <v>5.0002235230282022E-3</v>
      </c>
    </row>
    <row r="147" spans="1:19" ht="15" x14ac:dyDescent="0.25">
      <c r="A147" s="8"/>
      <c r="B147" s="8"/>
      <c r="C147" s="8"/>
      <c r="D147" s="38"/>
      <c r="E147" s="50"/>
      <c r="F147" s="50"/>
      <c r="G147" s="570"/>
      <c r="H147" s="50"/>
      <c r="I147" s="71"/>
      <c r="J147" s="50"/>
      <c r="K147" s="570" t="str">
        <f t="shared" si="75"/>
        <v>n/a</v>
      </c>
      <c r="L147" s="413"/>
      <c r="M147" s="71"/>
      <c r="N147" s="413"/>
      <c r="O147" s="71"/>
      <c r="P147" s="413"/>
      <c r="Q147" s="71"/>
      <c r="R147" s="413"/>
      <c r="S147" s="71"/>
    </row>
    <row r="148" spans="1:19" ht="15.6" x14ac:dyDescent="0.3">
      <c r="A148" s="6"/>
      <c r="B148" s="8"/>
      <c r="C148" s="8"/>
      <c r="D148" s="60" t="s">
        <v>34</v>
      </c>
      <c r="E148" s="55">
        <f>E144+E146</f>
        <v>75309784.349999979</v>
      </c>
      <c r="F148" s="55">
        <f t="shared" ref="F148:H148" si="96">F144+F146</f>
        <v>78669020.559999987</v>
      </c>
      <c r="G148" s="475">
        <f t="shared" si="73"/>
        <v>4.4605574680549598E-2</v>
      </c>
      <c r="H148" s="55">
        <f t="shared" si="96"/>
        <v>76251929</v>
      </c>
      <c r="I148" s="475">
        <f>IF(F148=0,"n/a",+(H148/F148)-1)</f>
        <v>-3.0724820809946429E-2</v>
      </c>
      <c r="J148" s="55">
        <f t="shared" ref="J148" si="97">J144+J146</f>
        <v>75599997</v>
      </c>
      <c r="K148" s="475">
        <f t="shared" si="75"/>
        <v>-3.9011844028988274E-2</v>
      </c>
      <c r="L148" s="412">
        <f t="shared" ref="L148" si="98">L144+L146</f>
        <v>80281708</v>
      </c>
      <c r="M148" s="475">
        <f>IF(J148=0,"n/a",+(L148/J148)-1)</f>
        <v>6.1927396637330601E-2</v>
      </c>
      <c r="N148" s="412">
        <f t="shared" ref="N148" si="99">N144+N146</f>
        <v>82697768</v>
      </c>
      <c r="O148" s="475">
        <f>IF(L148=0,"n/a",+(N148/L148)-1)</f>
        <v>3.0094775761372761E-2</v>
      </c>
      <c r="P148" s="412">
        <f t="shared" ref="P148" si="100">P144+P146</f>
        <v>85063184</v>
      </c>
      <c r="Q148" s="475">
        <f>IF(N148=0,"n/a",+(P148/N148)-1)</f>
        <v>2.8603141985645841E-2</v>
      </c>
      <c r="R148" s="412">
        <f t="shared" ref="R148" si="101">R144+R146</f>
        <v>86765711</v>
      </c>
      <c r="S148" s="475">
        <f>IF(P148=0,"n/a",+(R148/P148)-1)</f>
        <v>2.0014851548467716E-2</v>
      </c>
    </row>
    <row r="149" spans="1:19" ht="15" x14ac:dyDescent="0.25">
      <c r="B149" s="6"/>
      <c r="C149" s="6"/>
      <c r="D149" s="38"/>
      <c r="E149" s="50"/>
      <c r="F149" s="50"/>
      <c r="G149" s="570"/>
      <c r="H149" s="50"/>
      <c r="I149" s="71"/>
      <c r="J149" s="50"/>
      <c r="K149" s="570" t="str">
        <f t="shared" si="75"/>
        <v>n/a</v>
      </c>
      <c r="L149" s="413"/>
      <c r="M149" s="71"/>
      <c r="N149" s="413"/>
      <c r="O149" s="71"/>
      <c r="P149" s="413"/>
      <c r="Q149" s="71"/>
      <c r="R149" s="413"/>
      <c r="S149" s="71"/>
    </row>
    <row r="150" spans="1:19" ht="15.6" x14ac:dyDescent="0.3">
      <c r="A150" s="2" t="s">
        <v>10</v>
      </c>
      <c r="D150" s="49" t="s">
        <v>35</v>
      </c>
      <c r="E150" s="50"/>
      <c r="F150" s="50"/>
      <c r="G150" s="570"/>
      <c r="H150" s="50"/>
      <c r="I150" s="71"/>
      <c r="J150" s="50"/>
      <c r="K150" s="570" t="str">
        <f t="shared" si="75"/>
        <v>n/a</v>
      </c>
      <c r="L150" s="413"/>
      <c r="M150" s="71"/>
      <c r="N150" s="413"/>
      <c r="O150" s="71"/>
      <c r="P150" s="413"/>
      <c r="Q150" s="71"/>
      <c r="R150" s="413"/>
      <c r="S150" s="71"/>
    </row>
    <row r="151" spans="1:19" ht="15" x14ac:dyDescent="0.25">
      <c r="A151" s="2" t="s">
        <v>11</v>
      </c>
      <c r="D151" s="38" t="str">
        <f t="shared" ref="D151:D156" si="102">"  "&amp;UPPER(TRIM(A151))</f>
        <v xml:space="preserve">  SALARIES NON MD</v>
      </c>
      <c r="E151" s="50">
        <f t="shared" ref="E151:F160" si="103">+E33+E101</f>
        <v>22803623.240000006</v>
      </c>
      <c r="F151" s="50">
        <f t="shared" si="103"/>
        <v>23623798.369999994</v>
      </c>
      <c r="G151" s="473">
        <f t="shared" si="73"/>
        <v>3.5966877779374684E-2</v>
      </c>
      <c r="H151" s="50">
        <f t="shared" ref="H151" si="104">+H33+H101</f>
        <v>24466788</v>
      </c>
      <c r="I151" s="473">
        <f t="shared" ref="I151:I157" si="105">IF(F151=0,"n/a",+(H151/F151)-1)</f>
        <v>3.568391571909646E-2</v>
      </c>
      <c r="J151" s="50">
        <f t="shared" ref="J151:J160" si="106">+J33+J101</f>
        <v>24134813</v>
      </c>
      <c r="K151" s="473">
        <f t="shared" si="75"/>
        <v>2.1631349116530973E-2</v>
      </c>
      <c r="L151" s="409">
        <v>25111884</v>
      </c>
      <c r="M151" s="473">
        <f t="shared" ref="M151:M157" si="107">IF(J151=0,"n/a",+(L151/J151)-1)</f>
        <v>4.0483885249079865E-2</v>
      </c>
      <c r="N151" s="409">
        <v>25279155</v>
      </c>
      <c r="O151" s="473">
        <f t="shared" ref="O151:O157" si="108">IF(L151=0,"n/a",+(N151/L151)-1)</f>
        <v>6.6610294950391058E-3</v>
      </c>
      <c r="P151" s="409">
        <v>26099930</v>
      </c>
      <c r="Q151" s="473">
        <f t="shared" ref="Q151:Q157" si="109">IF(N151=0,"n/a",+(P151/N151)-1)</f>
        <v>3.2468450784846281E-2</v>
      </c>
      <c r="R151" s="409">
        <v>26882928</v>
      </c>
      <c r="S151" s="473">
        <f t="shared" ref="S151:S157" si="110">IF(P151=0,"n/a",+(R151/P151)-1)</f>
        <v>3.0000003831427868E-2</v>
      </c>
    </row>
    <row r="152" spans="1:19" ht="15" x14ac:dyDescent="0.25">
      <c r="A152" s="2" t="s">
        <v>12</v>
      </c>
      <c r="D152" s="38" t="str">
        <f t="shared" si="102"/>
        <v xml:space="preserve">  FRINGE BENEFITS NON MD</v>
      </c>
      <c r="E152" s="50">
        <f t="shared" si="103"/>
        <v>6996139.9599999981</v>
      </c>
      <c r="F152" s="50">
        <f t="shared" si="103"/>
        <v>7268954.3699999982</v>
      </c>
      <c r="G152" s="473">
        <f t="shared" si="73"/>
        <v>3.899499031748932E-2</v>
      </c>
      <c r="H152" s="50">
        <f t="shared" ref="H152" si="111">+H34+H102</f>
        <v>7432385</v>
      </c>
      <c r="I152" s="473">
        <f t="shared" si="105"/>
        <v>2.2483375418409945E-2</v>
      </c>
      <c r="J152" s="50">
        <f t="shared" si="106"/>
        <v>6650684</v>
      </c>
      <c r="K152" s="473">
        <f t="shared" si="75"/>
        <v>-8.5056300883066149E-2</v>
      </c>
      <c r="L152" s="409">
        <v>6982929</v>
      </c>
      <c r="M152" s="473">
        <f t="shared" si="107"/>
        <v>4.9956515750861019E-2</v>
      </c>
      <c r="N152" s="409">
        <v>7029442</v>
      </c>
      <c r="O152" s="473">
        <f t="shared" si="108"/>
        <v>6.6609584602679295E-3</v>
      </c>
      <c r="P152" s="409">
        <v>7257678</v>
      </c>
      <c r="Q152" s="473">
        <f t="shared" si="109"/>
        <v>3.2468580009622494E-2</v>
      </c>
      <c r="R152" s="409">
        <v>7475408</v>
      </c>
      <c r="S152" s="473">
        <f t="shared" si="110"/>
        <v>2.999995315306081E-2</v>
      </c>
    </row>
    <row r="153" spans="1:19" ht="15" x14ac:dyDescent="0.25">
      <c r="A153" s="2" t="s">
        <v>13</v>
      </c>
      <c r="D153" s="38" t="str">
        <f t="shared" si="102"/>
        <v xml:space="preserve">  FRINGE BENEFITS MD</v>
      </c>
      <c r="E153" s="50">
        <f t="shared" si="103"/>
        <v>0</v>
      </c>
      <c r="F153" s="50">
        <f t="shared" si="103"/>
        <v>0</v>
      </c>
      <c r="G153" s="473" t="str">
        <f t="shared" si="73"/>
        <v>n/a</v>
      </c>
      <c r="H153" s="50">
        <f t="shared" ref="H153" si="112">+H35+H103</f>
        <v>0</v>
      </c>
      <c r="I153" s="473" t="str">
        <f t="shared" si="105"/>
        <v>n/a</v>
      </c>
      <c r="J153" s="50">
        <f t="shared" si="106"/>
        <v>0</v>
      </c>
      <c r="K153" s="473" t="str">
        <f t="shared" si="75"/>
        <v>n/a</v>
      </c>
      <c r="L153" s="409"/>
      <c r="M153" s="473" t="str">
        <f t="shared" si="107"/>
        <v>n/a</v>
      </c>
      <c r="N153" s="409"/>
      <c r="O153" s="473" t="str">
        <f t="shared" si="108"/>
        <v>n/a</v>
      </c>
      <c r="P153" s="409"/>
      <c r="Q153" s="473" t="str">
        <f t="shared" si="109"/>
        <v>n/a</v>
      </c>
      <c r="R153" s="409"/>
      <c r="S153" s="473" t="str">
        <f t="shared" si="110"/>
        <v>n/a</v>
      </c>
    </row>
    <row r="154" spans="1:19" ht="15" x14ac:dyDescent="0.25">
      <c r="A154" s="37" t="s">
        <v>14</v>
      </c>
      <c r="D154" s="38" t="str">
        <f t="shared" si="102"/>
        <v xml:space="preserve">  PHYSICIAN FEES SALARIES CONTRACTS &amp; FRINGES</v>
      </c>
      <c r="E154" s="50">
        <f t="shared" si="103"/>
        <v>12780964.789999997</v>
      </c>
      <c r="F154" s="50">
        <f t="shared" si="103"/>
        <v>14258726.119999997</v>
      </c>
      <c r="G154" s="473">
        <f t="shared" si="73"/>
        <v>0.11562204843535917</v>
      </c>
      <c r="H154" s="50">
        <f t="shared" ref="H154" si="113">+H36+H104</f>
        <v>14909036</v>
      </c>
      <c r="I154" s="473">
        <f t="shared" si="105"/>
        <v>4.5607852659982351E-2</v>
      </c>
      <c r="J154" s="50">
        <f t="shared" si="106"/>
        <v>15720286</v>
      </c>
      <c r="K154" s="473">
        <f t="shared" si="75"/>
        <v>0.10250283704867202</v>
      </c>
      <c r="L154" s="409">
        <v>16299836</v>
      </c>
      <c r="M154" s="473">
        <f t="shared" si="107"/>
        <v>3.686637762188294E-2</v>
      </c>
      <c r="N154" s="409">
        <v>16708832</v>
      </c>
      <c r="O154" s="473">
        <f t="shared" si="108"/>
        <v>2.5092031600808751E-2</v>
      </c>
      <c r="P154" s="409">
        <v>17128098</v>
      </c>
      <c r="Q154" s="473">
        <f t="shared" si="109"/>
        <v>2.5092478037962218E-2</v>
      </c>
      <c r="R154" s="409">
        <v>17557891</v>
      </c>
      <c r="S154" s="473">
        <f t="shared" si="110"/>
        <v>2.5092862032900509E-2</v>
      </c>
    </row>
    <row r="155" spans="1:19" ht="15" x14ac:dyDescent="0.25">
      <c r="A155" s="2" t="s">
        <v>15</v>
      </c>
      <c r="D155" s="38" t="str">
        <f t="shared" si="102"/>
        <v xml:space="preserve">  HEALTH CARE PROVIDER TAX</v>
      </c>
      <c r="E155" s="50">
        <f t="shared" si="103"/>
        <v>4169495.0399999996</v>
      </c>
      <c r="F155" s="50">
        <f t="shared" si="103"/>
        <v>4312811.1900000004</v>
      </c>
      <c r="G155" s="473">
        <f t="shared" si="73"/>
        <v>3.4372543587436688E-2</v>
      </c>
      <c r="H155" s="50">
        <f t="shared" ref="H155" si="114">+H37+H105</f>
        <v>4284133</v>
      </c>
      <c r="I155" s="473">
        <f t="shared" si="105"/>
        <v>-6.649535242000848E-3</v>
      </c>
      <c r="J155" s="50">
        <f t="shared" si="106"/>
        <v>4568419</v>
      </c>
      <c r="K155" s="473">
        <f t="shared" si="75"/>
        <v>5.9267099517982702E-2</v>
      </c>
      <c r="L155" s="409">
        <v>4379509</v>
      </c>
      <c r="M155" s="473">
        <f t="shared" si="107"/>
        <v>-4.1351285860600773E-2</v>
      </c>
      <c r="N155" s="409">
        <v>4584517</v>
      </c>
      <c r="O155" s="473">
        <f t="shared" si="108"/>
        <v>4.6810726955921256E-2</v>
      </c>
      <c r="P155" s="409">
        <v>4738843</v>
      </c>
      <c r="Q155" s="473">
        <f t="shared" si="109"/>
        <v>3.3662433796188385E-2</v>
      </c>
      <c r="R155" s="409">
        <v>4879653</v>
      </c>
      <c r="S155" s="473">
        <f t="shared" si="110"/>
        <v>2.9714004030097607E-2</v>
      </c>
    </row>
    <row r="156" spans="1:19" ht="15" x14ac:dyDescent="0.25">
      <c r="A156" s="2" t="s">
        <v>16</v>
      </c>
      <c r="D156" s="38" t="str">
        <f t="shared" si="102"/>
        <v xml:space="preserve">  DEPRECIATION AMORTIZATION</v>
      </c>
      <c r="E156" s="50">
        <f t="shared" si="103"/>
        <v>4047524.0500000003</v>
      </c>
      <c r="F156" s="50">
        <f t="shared" si="103"/>
        <v>4266138.1100000003</v>
      </c>
      <c r="G156" s="473">
        <f t="shared" si="73"/>
        <v>5.4011800127537146E-2</v>
      </c>
      <c r="H156" s="50">
        <f t="shared" ref="H156" si="115">+H38+H106</f>
        <v>4371699</v>
      </c>
      <c r="I156" s="473">
        <f t="shared" si="105"/>
        <v>2.474389887954187E-2</v>
      </c>
      <c r="J156" s="50">
        <f t="shared" si="106"/>
        <v>4348154</v>
      </c>
      <c r="K156" s="473">
        <f t="shared" si="75"/>
        <v>1.9224855802898455E-2</v>
      </c>
      <c r="L156" s="409">
        <v>4411523</v>
      </c>
      <c r="M156" s="473">
        <f t="shared" si="107"/>
        <v>1.4573770846202816E-2</v>
      </c>
      <c r="N156" s="409">
        <v>4278491</v>
      </c>
      <c r="O156" s="473">
        <f t="shared" si="108"/>
        <v>-3.0155572123278018E-2</v>
      </c>
      <c r="P156" s="409">
        <v>4950119</v>
      </c>
      <c r="Q156" s="473">
        <f t="shared" si="109"/>
        <v>0.15697777557554748</v>
      </c>
      <c r="R156" s="409">
        <v>5199100</v>
      </c>
      <c r="S156" s="473">
        <f t="shared" si="110"/>
        <v>5.0297982735364455E-2</v>
      </c>
    </row>
    <row r="157" spans="1:19" ht="15" x14ac:dyDescent="0.25">
      <c r="A157" s="2" t="s">
        <v>17</v>
      </c>
      <c r="D157" s="38" t="s">
        <v>64</v>
      </c>
      <c r="E157" s="50">
        <f t="shared" si="103"/>
        <v>242250.13999999996</v>
      </c>
      <c r="F157" s="50">
        <f t="shared" si="103"/>
        <v>232156.87999999995</v>
      </c>
      <c r="G157" s="473">
        <f t="shared" si="73"/>
        <v>-4.1664619884223875E-2</v>
      </c>
      <c r="H157" s="50">
        <f t="shared" ref="H157" si="116">+H39+H107</f>
        <v>249792</v>
      </c>
      <c r="I157" s="473">
        <f t="shared" si="105"/>
        <v>7.5962082192007729E-2</v>
      </c>
      <c r="J157" s="50">
        <f t="shared" si="106"/>
        <v>191396</v>
      </c>
      <c r="K157" s="473">
        <f t="shared" si="75"/>
        <v>-0.17557472343701364</v>
      </c>
      <c r="L157" s="409">
        <v>165520</v>
      </c>
      <c r="M157" s="473">
        <f t="shared" si="107"/>
        <v>-0.13519613785032081</v>
      </c>
      <c r="N157" s="409">
        <v>334881</v>
      </c>
      <c r="O157" s="473">
        <f t="shared" si="108"/>
        <v>1.0232056549057518</v>
      </c>
      <c r="P157" s="409">
        <v>374630</v>
      </c>
      <c r="Q157" s="473">
        <f t="shared" si="109"/>
        <v>0.11869589495970212</v>
      </c>
      <c r="R157" s="409">
        <v>351128</v>
      </c>
      <c r="S157" s="473">
        <f t="shared" si="110"/>
        <v>-6.2733897445479525E-2</v>
      </c>
    </row>
    <row r="158" spans="1:19" ht="15" outlineLevel="1" x14ac:dyDescent="0.25">
      <c r="A158" s="2" t="s">
        <v>18</v>
      </c>
      <c r="D158" s="38"/>
      <c r="E158" s="50">
        <f t="shared" si="103"/>
        <v>0</v>
      </c>
      <c r="F158" s="50">
        <f t="shared" si="103"/>
        <v>0</v>
      </c>
      <c r="G158" s="473" t="str">
        <f t="shared" si="73"/>
        <v>n/a</v>
      </c>
      <c r="H158" s="50">
        <f t="shared" ref="H158" si="117">+H40+H108</f>
        <v>0</v>
      </c>
      <c r="I158" s="470"/>
      <c r="J158" s="50">
        <f t="shared" si="106"/>
        <v>0</v>
      </c>
      <c r="K158" s="473" t="str">
        <f t="shared" si="75"/>
        <v>n/a</v>
      </c>
      <c r="L158" s="409"/>
      <c r="M158" s="470"/>
      <c r="N158" s="409"/>
      <c r="O158" s="470"/>
      <c r="P158" s="409"/>
      <c r="Q158" s="470"/>
      <c r="R158" s="409"/>
      <c r="S158" s="470"/>
    </row>
    <row r="159" spans="1:19" ht="15" x14ac:dyDescent="0.25">
      <c r="A159" s="2" t="s">
        <v>19</v>
      </c>
      <c r="D159" s="38" t="str">
        <f>"  "&amp;UPPER(TRIM(A159))</f>
        <v xml:space="preserve">  OTHER OPERATING EXPENSE</v>
      </c>
      <c r="E159" s="50">
        <f t="shared" si="103"/>
        <v>21572208.530000001</v>
      </c>
      <c r="F159" s="50">
        <f t="shared" si="103"/>
        <v>22510557.889999997</v>
      </c>
      <c r="G159" s="473">
        <f t="shared" si="73"/>
        <v>4.3498066444845218E-2</v>
      </c>
      <c r="H159" s="50">
        <f t="shared" ref="H159" si="118">+H41+H109</f>
        <v>20554292</v>
      </c>
      <c r="I159" s="473">
        <f>IF(F159=0,"n/a",+(H159/F159)-1)</f>
        <v>-8.6904371697915206E-2</v>
      </c>
      <c r="J159" s="50">
        <f t="shared" si="106"/>
        <v>20423617</v>
      </c>
      <c r="K159" s="473">
        <f t="shared" si="75"/>
        <v>-9.2709425514819976E-2</v>
      </c>
      <c r="L159" s="409">
        <f>7039252+15733382</f>
        <v>22772634</v>
      </c>
      <c r="M159" s="473">
        <f>IF(J159=0,"n/a",+(L159/J159)-1)</f>
        <v>0.11501474004335277</v>
      </c>
      <c r="N159" s="409">
        <f>7144841+15969383</f>
        <v>23114224</v>
      </c>
      <c r="O159" s="473">
        <f>IF(L159=0,"n/a",+(N159/L159)-1)</f>
        <v>1.5000021517054263E-2</v>
      </c>
      <c r="P159" s="409">
        <f>7252013+16223857</f>
        <v>23475870</v>
      </c>
      <c r="Q159" s="473">
        <f>IF(N159=0,"n/a",+(P159/N159)-1)</f>
        <v>1.5646036829962462E-2</v>
      </c>
      <c r="R159" s="409">
        <f>7360794+16467215</f>
        <v>23828009</v>
      </c>
      <c r="S159" s="473">
        <f>IF(P159=0,"n/a",+(R159/P159)-1)</f>
        <v>1.5000040467083808E-2</v>
      </c>
    </row>
    <row r="160" spans="1:19" ht="15" outlineLevel="1" x14ac:dyDescent="0.25">
      <c r="A160" s="2" t="s">
        <v>20</v>
      </c>
      <c r="D160" s="38" t="str">
        <f>"  "&amp;UPPER(TRIM(A160))</f>
        <v xml:space="preserve">  BAD DEBT</v>
      </c>
      <c r="E160" s="50">
        <f t="shared" si="103"/>
        <v>0</v>
      </c>
      <c r="F160" s="50">
        <f t="shared" si="103"/>
        <v>0</v>
      </c>
      <c r="G160" s="570" t="str">
        <f t="shared" si="73"/>
        <v>n/a</v>
      </c>
      <c r="H160" s="50">
        <f t="shared" ref="H160" si="119">+H42+H110</f>
        <v>0</v>
      </c>
      <c r="I160" s="71"/>
      <c r="J160" s="50">
        <f t="shared" si="106"/>
        <v>0</v>
      </c>
      <c r="K160" s="570" t="str">
        <f t="shared" si="75"/>
        <v>n/a</v>
      </c>
      <c r="L160" s="409"/>
      <c r="M160" s="71"/>
      <c r="N160" s="409"/>
      <c r="O160" s="71"/>
      <c r="P160" s="409"/>
      <c r="Q160" s="71"/>
      <c r="R160" s="409"/>
      <c r="S160" s="71"/>
    </row>
    <row r="161" spans="1:20" ht="15" x14ac:dyDescent="0.25">
      <c r="D161" s="38"/>
      <c r="E161" s="50"/>
      <c r="F161" s="50"/>
      <c r="G161" s="473" t="str">
        <f t="shared" si="73"/>
        <v>n/a</v>
      </c>
      <c r="H161" s="50"/>
      <c r="I161" s="473" t="str">
        <f>IF(F161=0,"n/a",+(H161/F161)-1)</f>
        <v>n/a</v>
      </c>
      <c r="J161" s="50"/>
      <c r="K161" s="473" t="str">
        <f t="shared" si="75"/>
        <v>n/a</v>
      </c>
      <c r="L161" s="409"/>
      <c r="M161" s="473" t="str">
        <f>IF(J161=0,"n/a",+(L161/J161)-1)</f>
        <v>n/a</v>
      </c>
      <c r="N161" s="409"/>
      <c r="O161" s="473" t="str">
        <f>IF(L161=0,"n/a",+(N161/L161)-1)</f>
        <v>n/a</v>
      </c>
      <c r="P161" s="409"/>
      <c r="Q161" s="473" t="str">
        <f>IF(N161=0,"n/a",+(P161/N161)-1)</f>
        <v>n/a</v>
      </c>
      <c r="R161" s="409"/>
      <c r="S161" s="473" t="str">
        <f>IF(P161=0,"n/a",+(R161/P161)-1)</f>
        <v>n/a</v>
      </c>
    </row>
    <row r="162" spans="1:20" ht="15.6" x14ac:dyDescent="0.3">
      <c r="A162" s="5"/>
      <c r="D162" s="59" t="s">
        <v>36</v>
      </c>
      <c r="E162" s="57">
        <f t="shared" ref="E162" si="120">SUM(E151:E161)</f>
        <v>72612205.75</v>
      </c>
      <c r="F162" s="57">
        <f t="shared" ref="F162:H162" si="121">SUM(F151:F161)</f>
        <v>76473142.929999977</v>
      </c>
      <c r="G162" s="474">
        <f t="shared" si="73"/>
        <v>5.3172013439351851E-2</v>
      </c>
      <c r="H162" s="57">
        <f t="shared" si="121"/>
        <v>76268125</v>
      </c>
      <c r="I162" s="474">
        <f>IF(F162=0,"n/a",+(H162/F162)-1)</f>
        <v>-2.6809141372369227E-3</v>
      </c>
      <c r="J162" s="57">
        <f t="shared" ref="J162" si="122">SUM(J151:J161)</f>
        <v>76037369</v>
      </c>
      <c r="K162" s="474">
        <f t="shared" si="75"/>
        <v>-5.6983917922514005E-3</v>
      </c>
      <c r="L162" s="411">
        <f t="shared" ref="L162" si="123">SUM(L151:L161)</f>
        <v>80123835</v>
      </c>
      <c r="M162" s="474">
        <f>IF(J162=0,"n/a",+(L162/J162)-1)</f>
        <v>5.3742864248761624E-2</v>
      </c>
      <c r="N162" s="411">
        <f t="shared" ref="N162" si="124">SUM(N151:N161)</f>
        <v>81329542</v>
      </c>
      <c r="O162" s="474">
        <f>IF(L162=0,"n/a",+(N162/L162)-1)</f>
        <v>1.5048044068284971E-2</v>
      </c>
      <c r="P162" s="411">
        <f t="shared" ref="P162" si="125">SUM(P151:P161)</f>
        <v>84025168</v>
      </c>
      <c r="Q162" s="474">
        <f>IF(N162=0,"n/a",+(P162/N162)-1)</f>
        <v>3.3144487645092147E-2</v>
      </c>
      <c r="R162" s="411">
        <f t="shared" ref="R162" si="126">SUM(R151:R161)</f>
        <v>86174117</v>
      </c>
      <c r="S162" s="474">
        <f>IF(P162=0,"n/a",+(R162/P162)-1)</f>
        <v>2.5575063414333243E-2</v>
      </c>
    </row>
    <row r="163" spans="1:20" ht="15" x14ac:dyDescent="0.25">
      <c r="B163" s="5"/>
      <c r="C163" s="5"/>
      <c r="D163" s="38"/>
      <c r="E163" s="50"/>
      <c r="F163" s="50"/>
      <c r="G163" s="570"/>
      <c r="H163" s="50"/>
      <c r="I163" s="71"/>
      <c r="J163" s="50"/>
      <c r="K163" s="570" t="str">
        <f t="shared" si="75"/>
        <v>n/a</v>
      </c>
      <c r="L163" s="413"/>
      <c r="M163" s="71"/>
      <c r="N163" s="413"/>
      <c r="O163" s="71"/>
      <c r="P163" s="413"/>
      <c r="Q163" s="71"/>
      <c r="R163" s="413"/>
      <c r="S163" s="71"/>
    </row>
    <row r="164" spans="1:20" ht="15" x14ac:dyDescent="0.25">
      <c r="D164" s="38" t="s">
        <v>37</v>
      </c>
      <c r="E164" s="50">
        <f t="shared" ref="E164" si="127">E148-E162</f>
        <v>2697578.5999999791</v>
      </c>
      <c r="F164" s="50">
        <f t="shared" ref="F164:H164" si="128">F148-F162</f>
        <v>2195877.6300000101</v>
      </c>
      <c r="G164" s="473">
        <f t="shared" si="73"/>
        <v>-0.18598196545597334</v>
      </c>
      <c r="H164" s="50">
        <f t="shared" si="128"/>
        <v>-16196</v>
      </c>
      <c r="I164" s="473">
        <f>IF(F164=0,"n/a",+(H164/F164)-1)</f>
        <v>-1.0073756386871158</v>
      </c>
      <c r="J164" s="50">
        <f t="shared" ref="J164" si="129">J148-J162</f>
        <v>-437372</v>
      </c>
      <c r="K164" s="473">
        <f t="shared" si="75"/>
        <v>-1.1991786764547521</v>
      </c>
      <c r="L164" s="413">
        <f t="shared" ref="L164" si="130">L148-L162</f>
        <v>157873</v>
      </c>
      <c r="M164" s="473">
        <f>IF(J164=0,"n/a",+(L164/J164)-1)</f>
        <v>-1.3609581774782109</v>
      </c>
      <c r="N164" s="413">
        <f t="shared" ref="N164" si="131">N148-N162</f>
        <v>1368226</v>
      </c>
      <c r="O164" s="473">
        <f>IF(L164=0,"n/a",+(N164/L164)-1)</f>
        <v>7.666624438631052</v>
      </c>
      <c r="P164" s="413">
        <f t="shared" ref="P164" si="132">P148-P162</f>
        <v>1038016</v>
      </c>
      <c r="Q164" s="473">
        <f>IF(N164=0,"n/a",+(P164/N164)-1)</f>
        <v>-0.24134170816809508</v>
      </c>
      <c r="R164" s="413">
        <f t="shared" ref="R164" si="133">R148-R162</f>
        <v>591594</v>
      </c>
      <c r="S164" s="473">
        <f>IF(P164=0,"n/a",+(R164/P164)-1)</f>
        <v>-0.43007236882668476</v>
      </c>
    </row>
    <row r="165" spans="1:20" ht="15" x14ac:dyDescent="0.25">
      <c r="D165" s="38"/>
      <c r="E165" s="50"/>
      <c r="F165" s="50"/>
      <c r="G165" s="570"/>
      <c r="H165" s="50"/>
      <c r="I165" s="71"/>
      <c r="J165" s="50"/>
      <c r="K165" s="570" t="str">
        <f t="shared" si="75"/>
        <v>n/a</v>
      </c>
      <c r="L165" s="413"/>
      <c r="M165" s="71"/>
      <c r="N165" s="413"/>
      <c r="O165" s="71"/>
      <c r="P165" s="413"/>
      <c r="Q165" s="71"/>
      <c r="R165" s="413"/>
      <c r="S165" s="71"/>
    </row>
    <row r="166" spans="1:20" ht="15" x14ac:dyDescent="0.25">
      <c r="A166" s="2" t="s">
        <v>23</v>
      </c>
      <c r="D166" s="38" t="str">
        <f>UPPER(TRIM(A166))</f>
        <v>NON-OPERATING REVENUE</v>
      </c>
      <c r="E166" s="50">
        <f>+E48+E116</f>
        <v>6487436.6700000009</v>
      </c>
      <c r="F166" s="50">
        <f>+F48+F116</f>
        <v>1020454.9999999999</v>
      </c>
      <c r="G166" s="473">
        <f t="shared" si="73"/>
        <v>-0.84270289608854099</v>
      </c>
      <c r="H166" s="50">
        <f>+H48+H116</f>
        <v>733978</v>
      </c>
      <c r="I166" s="473">
        <f>IF(F166=0,"n/a",+(H166/F166)-1)</f>
        <v>-0.28073457428304027</v>
      </c>
      <c r="J166" s="50">
        <f>+J48+J116</f>
        <v>2210261</v>
      </c>
      <c r="K166" s="473">
        <f t="shared" si="75"/>
        <v>1.165956362602957</v>
      </c>
      <c r="L166" s="409">
        <v>582601</v>
      </c>
      <c r="M166" s="473">
        <f>IF(J166=0,"n/a",+(L166/J166)-1)</f>
        <v>-0.73641076777810399</v>
      </c>
      <c r="N166" s="409">
        <f>107521</f>
        <v>107521</v>
      </c>
      <c r="O166" s="473">
        <f>IF(L166=0,"n/a",+(N166/L166)-1)</f>
        <v>-0.81544659209304482</v>
      </c>
      <c r="P166" s="409">
        <v>117420</v>
      </c>
      <c r="Q166" s="473">
        <f>IF(N166=0,"n/a",+(P166/N166)-1)</f>
        <v>9.2065735995759068E-2</v>
      </c>
      <c r="R166" s="409">
        <v>153875</v>
      </c>
      <c r="S166" s="473">
        <f>IF(P166=0,"n/a",+(R166/P166)-1)</f>
        <v>0.31046670073241356</v>
      </c>
    </row>
    <row r="167" spans="1:20" ht="15" x14ac:dyDescent="0.25">
      <c r="D167" s="56"/>
      <c r="E167" s="57"/>
      <c r="F167" s="57"/>
      <c r="G167" s="571"/>
      <c r="H167" s="411"/>
      <c r="I167" s="73"/>
      <c r="J167" s="57"/>
      <c r="K167" s="571" t="str">
        <f t="shared" si="75"/>
        <v>n/a</v>
      </c>
      <c r="L167" s="411"/>
      <c r="M167" s="73"/>
      <c r="N167" s="411"/>
      <c r="O167" s="73"/>
      <c r="P167" s="411"/>
      <c r="Q167" s="73"/>
      <c r="R167" s="411"/>
      <c r="S167" s="73"/>
    </row>
    <row r="168" spans="1:20" ht="16.2" thickBot="1" x14ac:dyDescent="0.35">
      <c r="A168" s="5"/>
      <c r="B168" s="5"/>
      <c r="C168" s="5"/>
      <c r="D168" s="62" t="s">
        <v>38</v>
      </c>
      <c r="E168" s="63">
        <f t="shared" ref="E168" si="134">E164+E166</f>
        <v>9185015.2699999809</v>
      </c>
      <c r="F168" s="63">
        <f t="shared" ref="F168" si="135">F164+F166</f>
        <v>3216332.6300000101</v>
      </c>
      <c r="G168" s="476">
        <f t="shared" si="73"/>
        <v>-0.64982827622451889</v>
      </c>
      <c r="H168" s="415">
        <f t="shared" ref="H168" si="136">H164+H166</f>
        <v>717782</v>
      </c>
      <c r="I168" s="64">
        <f t="shared" ref="I168" si="137">+(H168/F168)-1</f>
        <v>-0.77683216179043091</v>
      </c>
      <c r="J168" s="63">
        <f t="shared" ref="J168" si="138">J164+J166</f>
        <v>1772889</v>
      </c>
      <c r="K168" s="476">
        <f t="shared" si="75"/>
        <v>-0.44878555673515819</v>
      </c>
      <c r="L168" s="415">
        <f t="shared" ref="L168" si="139">L164+L166</f>
        <v>740474</v>
      </c>
      <c r="M168" s="476">
        <f>IF(J168=0,"n/a",+(L168/J168)-1)</f>
        <v>-0.58233482186420016</v>
      </c>
      <c r="N168" s="415">
        <f t="shared" ref="N168" si="140">N164+N166</f>
        <v>1475747</v>
      </c>
      <c r="O168" s="476">
        <f>IF(L168=0,"n/a",+(N168/L168)-1)</f>
        <v>0.99297612070106456</v>
      </c>
      <c r="P168" s="415">
        <f t="shared" ref="P168" si="141">P164+P166</f>
        <v>1155436</v>
      </c>
      <c r="Q168" s="476">
        <f>IF(N168=0,"n/a",+(P168/N168)-1)</f>
        <v>-0.21705007701184553</v>
      </c>
      <c r="R168" s="415">
        <f t="shared" ref="R168" si="142">R164+R166</f>
        <v>745469</v>
      </c>
      <c r="S168" s="476">
        <f>IF(P168=0,"n/a",+(R168/P168)-1)</f>
        <v>-0.35481584440851766</v>
      </c>
    </row>
    <row r="169" spans="1:20" ht="16.2" thickTop="1" thickBot="1" x14ac:dyDescent="0.3">
      <c r="A169" s="7"/>
      <c r="B169" s="7"/>
      <c r="C169" s="7"/>
      <c r="D169" s="65"/>
      <c r="E169" s="66">
        <f>+E168-E50</f>
        <v>0</v>
      </c>
      <c r="F169" s="514">
        <f>+F168-F50</f>
        <v>0</v>
      </c>
      <c r="G169" s="67"/>
      <c r="H169" s="468">
        <f>717782-H168</f>
        <v>0</v>
      </c>
      <c r="I169" s="468"/>
      <c r="J169" s="468">
        <f>+J168-J50</f>
        <v>0</v>
      </c>
      <c r="K169" s="67"/>
      <c r="L169" s="468">
        <f>740474-L168</f>
        <v>0</v>
      </c>
      <c r="M169" s="67"/>
      <c r="N169" s="468">
        <f>1475747-N168</f>
        <v>0</v>
      </c>
      <c r="O169" s="67"/>
      <c r="P169" s="468">
        <f>1155437-P168</f>
        <v>1</v>
      </c>
      <c r="Q169" s="67"/>
      <c r="R169" s="468">
        <f>745469-R168</f>
        <v>0</v>
      </c>
      <c r="S169" s="67"/>
    </row>
    <row r="170" spans="1:20" ht="15.6" thickTop="1" x14ac:dyDescent="0.25">
      <c r="D170" s="69"/>
      <c r="E170" s="70"/>
      <c r="F170" s="51"/>
      <c r="G170" s="51"/>
      <c r="H170" s="51"/>
      <c r="I170" s="51"/>
      <c r="J170" s="51"/>
      <c r="K170" s="51"/>
      <c r="L170" s="51"/>
      <c r="M170" s="51"/>
      <c r="N170" s="51"/>
      <c r="O170" s="51"/>
      <c r="P170" s="51"/>
      <c r="Q170" s="51"/>
      <c r="R170" s="51"/>
      <c r="S170" s="51"/>
    </row>
    <row r="171" spans="1:20" ht="15" x14ac:dyDescent="0.25">
      <c r="D171" s="51" t="s">
        <v>59</v>
      </c>
      <c r="E171" s="53">
        <f>+E164/E148</f>
        <v>3.5819762641505687E-2</v>
      </c>
      <c r="F171" s="53">
        <f>+F164/F148</f>
        <v>2.7912863467331954E-2</v>
      </c>
      <c r="G171" s="53"/>
      <c r="H171" s="53">
        <f>+H164/H148</f>
        <v>-2.1240118397529328E-4</v>
      </c>
      <c r="I171" s="53"/>
      <c r="J171" s="53">
        <f>+J164/J148</f>
        <v>-5.7853441449210643E-3</v>
      </c>
      <c r="K171" s="53"/>
      <c r="L171" s="53">
        <f>+L164/L148</f>
        <v>1.9664878081567471E-3</v>
      </c>
      <c r="M171" s="53"/>
      <c r="N171" s="53">
        <f>+N164/N148</f>
        <v>1.6544896350769708E-2</v>
      </c>
      <c r="O171" s="53"/>
      <c r="P171" s="53">
        <f>+P164/P148</f>
        <v>1.2202882036487136E-2</v>
      </c>
      <c r="Q171" s="53"/>
      <c r="R171" s="53">
        <f>+R164/R148</f>
        <v>6.8182925395494079E-3</v>
      </c>
      <c r="S171" s="53"/>
      <c r="T171" s="29"/>
    </row>
    <row r="172" spans="1:20" ht="15" x14ac:dyDescent="0.25">
      <c r="D172" s="51" t="s">
        <v>60</v>
      </c>
      <c r="E172" s="53">
        <f>-E141/E138</f>
        <v>4.8855580611414297E-2</v>
      </c>
      <c r="F172" s="53">
        <f>-F141/F138</f>
        <v>5.1983675727406455E-2</v>
      </c>
      <c r="G172" s="53"/>
      <c r="H172" s="53">
        <f>-H141/H138</f>
        <v>5.2715577954662175E-2</v>
      </c>
      <c r="I172" s="53"/>
      <c r="J172" s="53">
        <f>-J141/J138</f>
        <v>3.1533327746455508E-2</v>
      </c>
      <c r="K172" s="53"/>
      <c r="L172" s="53">
        <f>-L141/L138</f>
        <v>5.0865816803335649E-2</v>
      </c>
      <c r="M172" s="53"/>
      <c r="N172" s="53">
        <f>-N141/N138</f>
        <v>4.4999998796868682E-2</v>
      </c>
      <c r="O172" s="53"/>
      <c r="P172" s="53">
        <f>-P141/P138</f>
        <v>4.4999998593024851E-2</v>
      </c>
      <c r="Q172" s="53"/>
      <c r="R172" s="53">
        <f>-R141/R138</f>
        <v>4.49999992148424E-2</v>
      </c>
      <c r="S172" s="53"/>
    </row>
    <row r="173" spans="1:20" ht="15" x14ac:dyDescent="0.25">
      <c r="D173" s="51" t="s">
        <v>61</v>
      </c>
      <c r="E173" s="53">
        <f>SUM(E151:E154)/E162</f>
        <v>0.58641281517604915</v>
      </c>
      <c r="F173" s="53">
        <f>SUM(F151:F154)/F162</f>
        <v>0.590422691288229</v>
      </c>
      <c r="G173" s="51"/>
      <c r="H173" s="53">
        <f>SUM(H151:H154)/H162</f>
        <v>0.61373226364224898</v>
      </c>
      <c r="I173" s="53"/>
      <c r="J173" s="53">
        <f>SUM(J151:J154)/J162</f>
        <v>0.61161746666957928</v>
      </c>
      <c r="K173" s="50"/>
      <c r="L173" s="53">
        <f>SUM(L151:L154)/L162</f>
        <v>0.60399816109650772</v>
      </c>
      <c r="M173" s="53"/>
      <c r="N173" s="53">
        <f>SUM(N151:N154)/N162</f>
        <v>0.60270140215470536</v>
      </c>
      <c r="O173" s="53"/>
      <c r="P173" s="53">
        <f>SUM(P151:P154)/P162</f>
        <v>0.6008402863294483</v>
      </c>
      <c r="Q173" s="53"/>
      <c r="R173" s="53">
        <f>SUM(R151:R154)/R162</f>
        <v>0.60245731325567287</v>
      </c>
      <c r="S173" s="53"/>
    </row>
    <row r="174" spans="1:20" ht="15" x14ac:dyDescent="0.25">
      <c r="D174" s="51" t="s">
        <v>62</v>
      </c>
      <c r="E174" s="53">
        <f>(+E156+E157)/E162</f>
        <v>5.9077866395760889E-2</v>
      </c>
      <c r="F174" s="53">
        <f>(+F156+F157)/F162</f>
        <v>5.8821892466451052E-2</v>
      </c>
      <c r="G174" s="51"/>
      <c r="H174" s="53">
        <f>(+H156+H157)/H162</f>
        <v>6.0595314228585009E-2</v>
      </c>
      <c r="I174" s="53"/>
      <c r="J174" s="53">
        <f>(+J156+J157)/J162</f>
        <v>5.9701565949763467E-2</v>
      </c>
      <c r="K174" s="50"/>
      <c r="L174" s="53">
        <f>(+L156+L157)/L162</f>
        <v>5.7124612170648098E-2</v>
      </c>
      <c r="M174" s="53"/>
      <c r="N174" s="53">
        <f>(+N156+N157)/N162</f>
        <v>5.6724431080652095E-2</v>
      </c>
      <c r="O174" s="53"/>
      <c r="P174" s="53">
        <f>(+P156+P157)/P162</f>
        <v>6.3370881924330102E-2</v>
      </c>
      <c r="Q174" s="53"/>
      <c r="R174" s="53">
        <f>(+R156+R157)/R162</f>
        <v>6.4407135149409184E-2</v>
      </c>
      <c r="S174" s="53"/>
    </row>
  </sheetData>
  <mergeCells count="15">
    <mergeCell ref="D6:S6"/>
    <mergeCell ref="D127:S127"/>
    <mergeCell ref="D128:S128"/>
    <mergeCell ref="D4:T4"/>
    <mergeCell ref="D1:S1"/>
    <mergeCell ref="D8:S8"/>
    <mergeCell ref="D7:S7"/>
    <mergeCell ref="D76:S76"/>
    <mergeCell ref="D74:S74"/>
    <mergeCell ref="D77:S77"/>
    <mergeCell ref="D78:S78"/>
    <mergeCell ref="D124:S124"/>
    <mergeCell ref="D125:S125"/>
    <mergeCell ref="D126:S126"/>
    <mergeCell ref="D75:S75"/>
  </mergeCells>
  <pageMargins left="0.7" right="0.7" top="0.5" bottom="0.5" header="0.3" footer="0.3"/>
  <pageSetup scale="43" fitToHeight="0" orientation="landscape" r:id="rId1"/>
  <headerFooter>
    <oddFooter>&amp;L&amp;D, Pg &amp;P&amp;CGMCB&amp;R&amp;F</oddFooter>
  </headerFooter>
  <rowBreaks count="2" manualBreakCount="2">
    <brk id="70" min="3" max="15" man="1"/>
    <brk id="121" min="3"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9"/>
  <sheetViews>
    <sheetView showGridLines="0" zoomScale="85" zoomScaleNormal="85" workbookViewId="0">
      <pane xSplit="4" ySplit="9" topLeftCell="E208" activePane="bottomRight" state="frozen"/>
      <selection activeCell="D1" sqref="D1"/>
      <selection pane="topRight" activeCell="E1" sqref="E1"/>
      <selection pane="bottomLeft" activeCell="D10" sqref="D10"/>
      <selection pane="bottomRight" activeCell="D200" sqref="D200"/>
    </sheetView>
  </sheetViews>
  <sheetFormatPr defaultColWidth="9.109375" defaultRowHeight="13.2" outlineLevelRow="2" outlineLevelCol="1" x14ac:dyDescent="0.25"/>
  <cols>
    <col min="1" max="1" width="40.44140625" style="33" hidden="1" customWidth="1" outlineLevel="1"/>
    <col min="2" max="2" width="8.109375" style="33" hidden="1" customWidth="1" outlineLevel="1"/>
    <col min="3" max="3" width="9.109375" style="33" hidden="1" customWidth="1" outlineLevel="1"/>
    <col min="4" max="4" width="47.109375" style="33" customWidth="1" collapsed="1"/>
    <col min="5" max="5" width="14.6640625" style="200" customWidth="1"/>
    <col min="6" max="6" width="14.6640625" style="34" customWidth="1"/>
    <col min="7" max="7" width="10.5546875" style="34" customWidth="1"/>
    <col min="8" max="8" width="14.6640625" style="34" customWidth="1"/>
    <col min="9" max="9" width="9.44140625" style="34" customWidth="1"/>
    <col min="10" max="10" width="14.6640625" style="34" customWidth="1"/>
    <col min="11" max="11" width="10.6640625" style="34" customWidth="1"/>
    <col min="12" max="12" width="14.6640625" style="34" customWidth="1"/>
    <col min="13" max="13" width="10.6640625" style="34" customWidth="1"/>
    <col min="14" max="14" width="14.6640625" style="34" customWidth="1"/>
    <col min="15" max="15" width="10.6640625" style="34" customWidth="1"/>
    <col min="16" max="16" width="12.5546875" style="34" customWidth="1"/>
    <col min="17" max="17" width="10.6640625" style="34" customWidth="1"/>
    <col min="18" max="18" width="14.6640625" style="34" customWidth="1"/>
    <col min="19" max="19" width="10.6640625" style="34" customWidth="1"/>
    <col min="20" max="16384" width="9.109375" style="151"/>
  </cols>
  <sheetData>
    <row r="1" spans="1:19" s="149" customFormat="1" ht="24.6" customHeight="1" x14ac:dyDescent="0.4">
      <c r="A1" s="148"/>
      <c r="B1" s="148"/>
      <c r="C1" s="148"/>
      <c r="D1" s="616" t="str">
        <f>UPPER(+'Report Info'!B5)</f>
        <v>BRATTLEBORO MEMORIAL HOSPITAL</v>
      </c>
      <c r="E1" s="616"/>
      <c r="F1" s="616"/>
      <c r="G1" s="616"/>
      <c r="H1" s="616"/>
      <c r="I1" s="616"/>
      <c r="J1" s="616"/>
      <c r="K1" s="616"/>
      <c r="L1" s="616"/>
      <c r="M1" s="616"/>
      <c r="N1" s="616"/>
      <c r="O1" s="616"/>
      <c r="P1" s="616"/>
      <c r="Q1" s="616"/>
      <c r="R1" s="616"/>
      <c r="S1" s="616"/>
    </row>
    <row r="2" spans="1:19" s="149" customFormat="1" ht="6" customHeight="1" thickBot="1" x14ac:dyDescent="0.45">
      <c r="D2" s="150"/>
      <c r="E2" s="150"/>
      <c r="F2" s="150"/>
      <c r="G2" s="150"/>
      <c r="H2" s="150"/>
      <c r="I2" s="150"/>
      <c r="J2" s="150"/>
      <c r="K2" s="150"/>
      <c r="L2" s="150"/>
      <c r="M2" s="150"/>
      <c r="N2" s="150"/>
      <c r="O2" s="150"/>
      <c r="P2" s="150"/>
      <c r="Q2" s="150"/>
      <c r="R2" s="150"/>
      <c r="S2" s="150"/>
    </row>
    <row r="3" spans="1:19" ht="19.5" customHeight="1" thickBot="1" x14ac:dyDescent="0.3">
      <c r="D3" s="617" t="str">
        <f>+PL!D4</f>
        <v>Modernization Project</v>
      </c>
      <c r="E3" s="618"/>
      <c r="F3" s="618"/>
      <c r="G3" s="618"/>
      <c r="H3" s="618"/>
      <c r="I3" s="618"/>
      <c r="J3" s="618"/>
      <c r="K3" s="618"/>
      <c r="L3" s="618"/>
      <c r="M3" s="618"/>
      <c r="N3" s="618"/>
      <c r="O3" s="618"/>
      <c r="P3" s="618"/>
      <c r="Q3" s="618"/>
      <c r="R3" s="618"/>
      <c r="S3" s="619"/>
    </row>
    <row r="4" spans="1:19" ht="9.75" hidden="1" customHeight="1" x14ac:dyDescent="0.25">
      <c r="D4" s="152"/>
      <c r="E4" s="153"/>
      <c r="S4" s="154"/>
    </row>
    <row r="5" spans="1:19" ht="21" x14ac:dyDescent="0.4">
      <c r="D5" s="610" t="s">
        <v>425</v>
      </c>
      <c r="E5" s="590"/>
      <c r="F5" s="590"/>
      <c r="G5" s="590"/>
      <c r="H5" s="590"/>
      <c r="I5" s="590"/>
      <c r="J5" s="590"/>
      <c r="K5" s="590"/>
      <c r="L5" s="590"/>
      <c r="M5" s="590"/>
      <c r="N5" s="590"/>
      <c r="O5" s="590"/>
      <c r="P5" s="590"/>
      <c r="Q5" s="590"/>
      <c r="R5" s="590"/>
      <c r="S5" s="615"/>
    </row>
    <row r="6" spans="1:19" ht="28.5" customHeight="1" x14ac:dyDescent="0.3">
      <c r="A6" s="151"/>
      <c r="B6" s="155"/>
      <c r="C6" s="155"/>
      <c r="D6" s="620" t="s">
        <v>47</v>
      </c>
      <c r="E6" s="621"/>
      <c r="F6" s="621"/>
      <c r="G6" s="621"/>
      <c r="H6" s="621"/>
      <c r="I6" s="621"/>
      <c r="J6" s="621"/>
      <c r="K6" s="621"/>
      <c r="L6" s="621"/>
      <c r="M6" s="621"/>
      <c r="N6" s="621"/>
      <c r="O6" s="621"/>
      <c r="P6" s="621"/>
      <c r="Q6" s="621"/>
      <c r="R6" s="621"/>
      <c r="S6" s="622"/>
    </row>
    <row r="7" spans="1:19" x14ac:dyDescent="0.25">
      <c r="A7" s="32" t="s">
        <v>29</v>
      </c>
      <c r="B7" s="156"/>
      <c r="C7" s="156"/>
      <c r="D7" s="157"/>
      <c r="E7" s="158" t="s">
        <v>39</v>
      </c>
      <c r="F7" s="158" t="s">
        <v>55</v>
      </c>
      <c r="G7" s="158"/>
      <c r="H7" s="553">
        <v>2016</v>
      </c>
      <c r="I7" s="158"/>
      <c r="J7" s="158" t="s">
        <v>65</v>
      </c>
      <c r="K7" s="158"/>
      <c r="L7" s="159">
        <v>2017</v>
      </c>
      <c r="M7" s="259"/>
      <c r="N7" s="159">
        <v>2018</v>
      </c>
      <c r="O7" s="259"/>
      <c r="P7" s="159">
        <v>2019</v>
      </c>
      <c r="Q7" s="259"/>
      <c r="R7" s="159">
        <v>2020</v>
      </c>
      <c r="S7" s="493"/>
    </row>
    <row r="8" spans="1:19" s="164" customFormat="1" ht="45" customHeight="1" x14ac:dyDescent="0.25">
      <c r="A8" s="160"/>
      <c r="B8" s="161"/>
      <c r="C8" s="160"/>
      <c r="D8" s="162"/>
      <c r="E8" s="572" t="s">
        <v>429</v>
      </c>
      <c r="F8" s="572" t="s">
        <v>429</v>
      </c>
      <c r="G8" s="573" t="s">
        <v>57</v>
      </c>
      <c r="H8" s="572" t="s">
        <v>430</v>
      </c>
      <c r="I8" s="573" t="s">
        <v>57</v>
      </c>
      <c r="J8" s="572" t="s">
        <v>429</v>
      </c>
      <c r="K8" s="564" t="s">
        <v>523</v>
      </c>
      <c r="L8" s="574"/>
      <c r="M8" s="564" t="s">
        <v>519</v>
      </c>
      <c r="N8" s="574"/>
      <c r="O8" s="564" t="s">
        <v>522</v>
      </c>
      <c r="P8" s="574"/>
      <c r="Q8" s="564" t="s">
        <v>522</v>
      </c>
      <c r="R8" s="574"/>
      <c r="S8" s="704" t="s">
        <v>522</v>
      </c>
    </row>
    <row r="9" spans="1:19" ht="5.4" customHeight="1" x14ac:dyDescent="0.4">
      <c r="D9" s="152"/>
      <c r="E9" s="153"/>
      <c r="S9" s="165"/>
    </row>
    <row r="10" spans="1:19" x14ac:dyDescent="0.25">
      <c r="A10" s="34"/>
      <c r="B10" s="34"/>
      <c r="C10" s="34"/>
      <c r="D10" s="152" t="s">
        <v>147</v>
      </c>
      <c r="E10" s="153"/>
      <c r="S10" s="154"/>
    </row>
    <row r="11" spans="1:19" x14ac:dyDescent="0.25">
      <c r="A11" s="34"/>
      <c r="B11" s="34"/>
      <c r="C11" s="34"/>
      <c r="D11" s="152"/>
      <c r="E11" s="153"/>
      <c r="L11" s="516"/>
      <c r="N11" s="516"/>
      <c r="S11" s="154"/>
    </row>
    <row r="12" spans="1:19" outlineLevel="1" x14ac:dyDescent="0.25">
      <c r="A12" s="34"/>
      <c r="B12" s="34"/>
      <c r="C12" s="34"/>
      <c r="D12" s="152" t="s">
        <v>148</v>
      </c>
      <c r="E12" s="153"/>
      <c r="S12" s="154"/>
    </row>
    <row r="13" spans="1:19" outlineLevel="1" x14ac:dyDescent="0.25">
      <c r="A13" s="34" t="s">
        <v>149</v>
      </c>
      <c r="B13" s="34"/>
      <c r="C13" s="34"/>
      <c r="D13" s="152" t="str">
        <f>"  "&amp;UPPER(MID(A13,FIND("]",A13)+1,LEN(A13)-FIND("]",A13)+1))</f>
        <v xml:space="preserve">   CASH &amp; INVESTMENTS</v>
      </c>
      <c r="E13" s="153">
        <v>2400992.34</v>
      </c>
      <c r="F13" s="153">
        <v>2647794.14</v>
      </c>
      <c r="G13" s="567">
        <f>IF(E13=0,"n/a",+(F13/E13)-1)</f>
        <v>0.10279158158413804</v>
      </c>
      <c r="H13" s="153">
        <v>2351237</v>
      </c>
      <c r="I13" s="478">
        <f>IF(F13=0,"n/a",+(H13/F13)-1)</f>
        <v>-0.11200158483619882</v>
      </c>
      <c r="J13" s="449">
        <v>4193240</v>
      </c>
      <c r="K13" s="478">
        <f>IF(H13=0,"n/a",+(J13/H13)-1)</f>
        <v>0.78341868556849015</v>
      </c>
      <c r="L13" s="449">
        <v>1985621</v>
      </c>
      <c r="M13" s="478">
        <f>IF(H13=0,"n/a",+(L13/H13)-1)</f>
        <v>-0.15549942434556785</v>
      </c>
      <c r="N13" s="449">
        <v>2113557</v>
      </c>
      <c r="O13" s="478">
        <f>IF(L13=0,"n/a",+(N13/L13)-1)</f>
        <v>6.4431228315977807E-2</v>
      </c>
      <c r="P13" s="449">
        <v>2682515</v>
      </c>
      <c r="Q13" s="478">
        <f>IF(N13=0,"n/a",+(P13/N13)-1)</f>
        <v>0.26919453792824144</v>
      </c>
      <c r="R13" s="449">
        <v>3240720</v>
      </c>
      <c r="S13" s="484">
        <f>IF(P13=0,"n/a",+(R13/P13)-1)</f>
        <v>0.20809016911368627</v>
      </c>
    </row>
    <row r="14" spans="1:19" outlineLevel="1" x14ac:dyDescent="0.25">
      <c r="A14" s="34" t="s">
        <v>150</v>
      </c>
      <c r="B14" s="34"/>
      <c r="C14" s="34"/>
      <c r="D14" s="152" t="str">
        <f t="shared" ref="D14:D17" si="0">"  "&amp;UPPER(MID(A14,FIND("]",A14)+1,LEN(A14)-FIND("]",A14)+1))</f>
        <v xml:space="preserve">   PATIENT ACCOUNTS RECEIVABLE, GROSS</v>
      </c>
      <c r="E14" s="153">
        <v>10647098.210000001</v>
      </c>
      <c r="F14" s="153">
        <v>10528906.109999999</v>
      </c>
      <c r="G14" s="567">
        <f t="shared" ref="G14:G74" si="1">IF(E14=0,"n/a",+(F14/E14)-1)</f>
        <v>-1.1100874404351146E-2</v>
      </c>
      <c r="H14" s="153">
        <v>12150914</v>
      </c>
      <c r="I14" s="478">
        <f>IF(F14=0,"n/a",+(H14/F14)-1)</f>
        <v>0.15405284015777032</v>
      </c>
      <c r="J14" s="449">
        <v>11643001</v>
      </c>
      <c r="K14" s="478">
        <f>IF(H14=0,"n/a",+(J14/H14)-1)</f>
        <v>-4.1800394604060265E-2</v>
      </c>
      <c r="L14" s="449">
        <v>12425311</v>
      </c>
      <c r="M14" s="478">
        <f t="shared" ref="M14:M74" si="2">IF(H14=0,"n/a",+(L14/H14)-1)</f>
        <v>2.2582416433858388E-2</v>
      </c>
      <c r="N14" s="449">
        <v>13106818</v>
      </c>
      <c r="O14" s="478">
        <f>IF(L14=0,"n/a",+(N14/L14)-1)</f>
        <v>5.4848285085178139E-2</v>
      </c>
      <c r="P14" s="449">
        <v>13481087</v>
      </c>
      <c r="Q14" s="478">
        <f>IF(N14=0,"n/a",+(P14/N14)-1)</f>
        <v>2.8555290841758785E-2</v>
      </c>
      <c r="R14" s="449">
        <v>13723665</v>
      </c>
      <c r="S14" s="484">
        <f>IF(P14=0,"n/a",+(R14/P14)-1)</f>
        <v>1.7993949597684411E-2</v>
      </c>
    </row>
    <row r="15" spans="1:19" outlineLevel="1" x14ac:dyDescent="0.25">
      <c r="A15" s="34" t="s">
        <v>151</v>
      </c>
      <c r="B15" s="34"/>
      <c r="C15" s="34"/>
      <c r="D15" s="152" t="str">
        <f t="shared" si="0"/>
        <v xml:space="preserve">   LESS: ALLOWANCE FOR UNCOLLECTIBLE ACCTS</v>
      </c>
      <c r="E15" s="153">
        <v>-4769578.54</v>
      </c>
      <c r="F15" s="153">
        <v>-5266349.7</v>
      </c>
      <c r="G15" s="567">
        <f t="shared" si="1"/>
        <v>0.10415409995533897</v>
      </c>
      <c r="H15" s="153">
        <v>-6328601</v>
      </c>
      <c r="I15" s="478">
        <f>IF(F15=0,"n/a",+(H15/F15)-1)</f>
        <v>0.20170542415745762</v>
      </c>
      <c r="J15" s="449">
        <v>-5719983</v>
      </c>
      <c r="K15" s="478">
        <f>IF(H15=0,"n/a",+(J15/H15)-1)</f>
        <v>-9.6169437763575227E-2</v>
      </c>
      <c r="L15" s="449">
        <v>-6471516</v>
      </c>
      <c r="M15" s="478">
        <f t="shared" si="2"/>
        <v>2.2582400122870716E-2</v>
      </c>
      <c r="N15" s="449">
        <v>-6553409</v>
      </c>
      <c r="O15" s="478">
        <f>IF(L15=0,"n/a",+(N15/L15)-1)</f>
        <v>1.2654376501580078E-2</v>
      </c>
      <c r="P15" s="449">
        <v>-6740543</v>
      </c>
      <c r="Q15" s="478">
        <f>IF(N15=0,"n/a",+(P15/N15)-1)</f>
        <v>2.8555214545589847E-2</v>
      </c>
      <c r="R15" s="449">
        <v>-6861833</v>
      </c>
      <c r="S15" s="484">
        <f>IF(P15=0,"n/a",+(R15/P15)-1)</f>
        <v>1.7994099288440202E-2</v>
      </c>
    </row>
    <row r="16" spans="1:19" outlineLevel="1" x14ac:dyDescent="0.25">
      <c r="A16" s="34" t="s">
        <v>152</v>
      </c>
      <c r="B16" s="34"/>
      <c r="C16" s="34"/>
      <c r="D16" s="152" t="str">
        <f t="shared" si="0"/>
        <v xml:space="preserve">   DUE FROM THIRD PARTIES</v>
      </c>
      <c r="E16" s="153">
        <v>0</v>
      </c>
      <c r="F16" s="153">
        <v>0</v>
      </c>
      <c r="G16" s="567" t="str">
        <f t="shared" si="1"/>
        <v>n/a</v>
      </c>
      <c r="H16" s="153">
        <v>0</v>
      </c>
      <c r="I16" s="478" t="str">
        <f>IF(F16=0,"n/a",+(H16/F16)-1)</f>
        <v>n/a</v>
      </c>
      <c r="J16" s="449">
        <v>0</v>
      </c>
      <c r="K16" s="478" t="str">
        <f>IF(H16=0,"n/a",+(J16/H16)-1)</f>
        <v>n/a</v>
      </c>
      <c r="L16" s="449">
        <v>0</v>
      </c>
      <c r="M16" s="478" t="str">
        <f t="shared" si="2"/>
        <v>n/a</v>
      </c>
      <c r="N16" s="449">
        <v>0</v>
      </c>
      <c r="O16" s="478" t="str">
        <f>IF(L16=0,"n/a",+(N16/L16)-1)</f>
        <v>n/a</v>
      </c>
      <c r="P16" s="449"/>
      <c r="Q16" s="478" t="str">
        <f>IF(N16=0,"n/a",+(P16/N16)-1)</f>
        <v>n/a</v>
      </c>
      <c r="R16" s="449"/>
      <c r="S16" s="484" t="str">
        <f>IF(P16=0,"n/a",+(R16/P16)-1)</f>
        <v>n/a</v>
      </c>
    </row>
    <row r="17" spans="1:19" outlineLevel="1" x14ac:dyDescent="0.25">
      <c r="A17" s="34" t="s">
        <v>153</v>
      </c>
      <c r="B17" s="34"/>
      <c r="C17" s="34"/>
      <c r="D17" s="152" t="str">
        <f t="shared" si="0"/>
        <v xml:space="preserve">   OTHER CURRENT ASSETS</v>
      </c>
      <c r="E17" s="153">
        <v>9034828.5500000007</v>
      </c>
      <c r="F17" s="153">
        <v>7460839.8799999999</v>
      </c>
      <c r="G17" s="567">
        <f t="shared" si="1"/>
        <v>-0.17421345200845018</v>
      </c>
      <c r="H17" s="153">
        <v>3527045</v>
      </c>
      <c r="I17" s="478">
        <f>IF(F17=0,"n/a",+(H17/F17)-1)</f>
        <v>-0.52725898736215737</v>
      </c>
      <c r="J17" s="449">
        <f>2501303+1176751</f>
        <v>3678054</v>
      </c>
      <c r="K17" s="478">
        <f>IF(H17=0,"n/a",+(J17/H17)-1)</f>
        <v>4.2814594086551194E-2</v>
      </c>
      <c r="L17" s="449">
        <f>3456952+1200000</f>
        <v>4656952</v>
      </c>
      <c r="M17" s="478">
        <f t="shared" si="2"/>
        <v>0.32035514148529431</v>
      </c>
      <c r="N17" s="449">
        <f>3482965+1200000</f>
        <v>4682965</v>
      </c>
      <c r="O17" s="478">
        <f>IF(L17=0,"n/a",+(N17/L17)-1)</f>
        <v>5.5858424136645546E-3</v>
      </c>
      <c r="P17" s="449">
        <f>3535210+1200000</f>
        <v>4735210</v>
      </c>
      <c r="Q17" s="478">
        <f>IF(N17=0,"n/a",+(P17/N17)-1)</f>
        <v>1.1156393438772172E-2</v>
      </c>
      <c r="R17" s="449">
        <f>3578434+1200000</f>
        <v>4778434</v>
      </c>
      <c r="S17" s="484">
        <f>IF(P17=0,"n/a",+(R17/P17)-1)</f>
        <v>9.1282118427693515E-3</v>
      </c>
    </row>
    <row r="18" spans="1:19" outlineLevel="1" x14ac:dyDescent="0.25">
      <c r="A18" s="34"/>
      <c r="B18" s="34"/>
      <c r="C18" s="34"/>
      <c r="D18" s="152"/>
      <c r="E18" s="153"/>
      <c r="F18" s="153"/>
      <c r="G18" s="491" t="str">
        <f t="shared" si="1"/>
        <v>n/a</v>
      </c>
      <c r="H18" s="153"/>
      <c r="I18" s="537"/>
      <c r="J18" s="450"/>
      <c r="K18" s="537"/>
      <c r="L18" s="450"/>
      <c r="M18" s="479" t="str">
        <f t="shared" si="2"/>
        <v>n/a</v>
      </c>
      <c r="N18" s="450"/>
      <c r="O18" s="467"/>
      <c r="P18" s="450"/>
      <c r="Q18" s="467"/>
      <c r="R18" s="450"/>
      <c r="S18" s="167"/>
    </row>
    <row r="19" spans="1:19" x14ac:dyDescent="0.25">
      <c r="A19" s="168"/>
      <c r="B19" s="168"/>
      <c r="C19" s="168"/>
      <c r="D19" s="169" t="s">
        <v>154</v>
      </c>
      <c r="E19" s="170">
        <v>17313340.560000002</v>
      </c>
      <c r="F19" s="170">
        <v>15371190.43</v>
      </c>
      <c r="G19" s="480">
        <f t="shared" si="1"/>
        <v>-0.11217651055089062</v>
      </c>
      <c r="H19" s="551">
        <f t="shared" ref="H19:L19" si="3">SUM(H12:H18)</f>
        <v>11700595</v>
      </c>
      <c r="I19" s="477">
        <f>IF(F19=0,"n/a",+(H19/F19)-1)</f>
        <v>-0.23879708254970855</v>
      </c>
      <c r="J19" s="551">
        <f t="shared" si="3"/>
        <v>13794312</v>
      </c>
      <c r="K19" s="477">
        <f>IF(H19=0,"n/a",+(J19/H19)-1)</f>
        <v>0.17894107094553746</v>
      </c>
      <c r="L19" s="551">
        <f t="shared" si="3"/>
        <v>12596368</v>
      </c>
      <c r="M19" s="480">
        <f t="shared" si="2"/>
        <v>7.6557901542613882E-2</v>
      </c>
      <c r="N19" s="551">
        <f t="shared" ref="N19:P19" si="4">SUM(N12:N18)</f>
        <v>13349931</v>
      </c>
      <c r="O19" s="477">
        <f>IF(L19=0,"n/a",+(N19/L19)-1)</f>
        <v>5.9823831758487822E-2</v>
      </c>
      <c r="P19" s="551">
        <f t="shared" si="4"/>
        <v>14158269</v>
      </c>
      <c r="Q19" s="477">
        <f>IF(N19=0,"n/a",+(P19/N19)-1)</f>
        <v>6.0549975876279749E-2</v>
      </c>
      <c r="R19" s="551">
        <f t="shared" ref="R19" si="5">SUM(R12:R18)</f>
        <v>14880986</v>
      </c>
      <c r="S19" s="485">
        <f>IF(P19=0,"n/a",+(R19/P19)-1)</f>
        <v>5.1045576263595516E-2</v>
      </c>
    </row>
    <row r="20" spans="1:19" x14ac:dyDescent="0.25">
      <c r="A20" s="34"/>
      <c r="B20" s="34"/>
      <c r="C20" s="34"/>
      <c r="D20" s="152"/>
      <c r="E20" s="153"/>
      <c r="F20" s="153"/>
      <c r="G20" s="568"/>
      <c r="H20" s="153"/>
      <c r="I20" s="537"/>
      <c r="J20" s="450"/>
      <c r="K20" s="537"/>
      <c r="L20" s="450"/>
      <c r="M20" s="479"/>
      <c r="N20" s="450"/>
      <c r="O20" s="467"/>
      <c r="P20" s="450"/>
      <c r="Q20" s="467"/>
      <c r="R20" s="450"/>
      <c r="S20" s="167"/>
    </row>
    <row r="21" spans="1:19" outlineLevel="1" x14ac:dyDescent="0.25">
      <c r="A21" s="34"/>
      <c r="B21" s="34"/>
      <c r="C21" s="34"/>
      <c r="D21" s="152" t="s">
        <v>155</v>
      </c>
      <c r="E21" s="153"/>
      <c r="F21" s="153"/>
      <c r="G21" s="567"/>
      <c r="H21" s="153"/>
      <c r="I21" s="478" t="str">
        <f t="shared" ref="I21:I26" si="6">IF(F21=0,"n/a",+(H21/F21)-1)</f>
        <v>n/a</v>
      </c>
      <c r="J21" s="449"/>
      <c r="K21" s="478" t="str">
        <f t="shared" ref="K21:S26" si="7">IF(H21=0,"n/a",+(J21/H21)-1)</f>
        <v>n/a</v>
      </c>
      <c r="L21" s="449"/>
      <c r="M21" s="478" t="str">
        <f t="shared" si="2"/>
        <v>n/a</v>
      </c>
      <c r="N21" s="449"/>
      <c r="O21" s="478" t="str">
        <f t="shared" si="7"/>
        <v>n/a</v>
      </c>
      <c r="P21" s="449"/>
      <c r="Q21" s="478" t="str">
        <f t="shared" si="7"/>
        <v>n/a</v>
      </c>
      <c r="R21" s="449"/>
      <c r="S21" s="484" t="str">
        <f t="shared" si="7"/>
        <v>n/a</v>
      </c>
    </row>
    <row r="22" spans="1:19" outlineLevel="1" x14ac:dyDescent="0.25">
      <c r="A22" s="34" t="s">
        <v>156</v>
      </c>
      <c r="B22" s="34"/>
      <c r="C22" s="34"/>
      <c r="D22" s="152" t="str">
        <f t="shared" ref="D22:D24" si="8">"  "&amp;UPPER(MID(A22,FIND("]",A22)+1,LEN(A22)-FIND("]",A22)+1))</f>
        <v xml:space="preserve">   FUNDED DEPRECIATION</v>
      </c>
      <c r="E22" s="153">
        <v>28944250.140000001</v>
      </c>
      <c r="F22" s="153">
        <v>35201752.950000003</v>
      </c>
      <c r="G22" s="567">
        <f t="shared" si="1"/>
        <v>0.2161915675732895</v>
      </c>
      <c r="H22" s="153">
        <v>34000000</v>
      </c>
      <c r="I22" s="478">
        <f t="shared" si="6"/>
        <v>-3.4139008693883865E-2</v>
      </c>
      <c r="J22" s="449">
        <v>39755129</v>
      </c>
      <c r="K22" s="478">
        <f t="shared" si="7"/>
        <v>0.16926850000000004</v>
      </c>
      <c r="L22" s="449">
        <v>38000000</v>
      </c>
      <c r="M22" s="478">
        <f t="shared" si="2"/>
        <v>0.11764705882352944</v>
      </c>
      <c r="N22" s="449">
        <v>39000000</v>
      </c>
      <c r="O22" s="478">
        <f t="shared" si="7"/>
        <v>2.6315789473684292E-2</v>
      </c>
      <c r="P22" s="449">
        <v>43000000</v>
      </c>
      <c r="Q22" s="478">
        <f t="shared" si="7"/>
        <v>0.10256410256410264</v>
      </c>
      <c r="R22" s="449">
        <v>46000000</v>
      </c>
      <c r="S22" s="484">
        <f t="shared" si="7"/>
        <v>6.9767441860465018E-2</v>
      </c>
    </row>
    <row r="23" spans="1:19" outlineLevel="1" x14ac:dyDescent="0.25">
      <c r="A23" s="34" t="s">
        <v>157</v>
      </c>
      <c r="B23" s="34"/>
      <c r="C23" s="34"/>
      <c r="D23" s="152" t="str">
        <f t="shared" si="8"/>
        <v xml:space="preserve">   ESCROWED BOND FUNDS</v>
      </c>
      <c r="E23" s="153">
        <v>0</v>
      </c>
      <c r="F23" s="153">
        <v>0</v>
      </c>
      <c r="G23" s="567" t="str">
        <f t="shared" si="1"/>
        <v>n/a</v>
      </c>
      <c r="H23" s="153">
        <v>0</v>
      </c>
      <c r="I23" s="478" t="str">
        <f t="shared" si="6"/>
        <v>n/a</v>
      </c>
      <c r="J23" s="449">
        <v>2007690</v>
      </c>
      <c r="K23" s="478" t="str">
        <f t="shared" si="7"/>
        <v>n/a</v>
      </c>
      <c r="L23" s="449"/>
      <c r="M23" s="478" t="str">
        <f t="shared" si="2"/>
        <v>n/a</v>
      </c>
      <c r="N23" s="449"/>
      <c r="O23" s="478" t="str">
        <f t="shared" si="7"/>
        <v>n/a</v>
      </c>
      <c r="P23" s="449"/>
      <c r="Q23" s="478" t="str">
        <f t="shared" si="7"/>
        <v>n/a</v>
      </c>
      <c r="R23" s="449"/>
      <c r="S23" s="484" t="str">
        <f t="shared" si="7"/>
        <v>n/a</v>
      </c>
    </row>
    <row r="24" spans="1:19" outlineLevel="1" x14ac:dyDescent="0.25">
      <c r="A24" s="34" t="s">
        <v>158</v>
      </c>
      <c r="B24" s="34"/>
      <c r="C24" s="34"/>
      <c r="D24" s="152" t="str">
        <f t="shared" si="8"/>
        <v xml:space="preserve">   OTHER</v>
      </c>
      <c r="E24" s="153">
        <v>453969.67</v>
      </c>
      <c r="F24" s="153">
        <v>862918.49</v>
      </c>
      <c r="G24" s="567">
        <f t="shared" si="1"/>
        <v>0.90082850689122029</v>
      </c>
      <c r="H24" s="153">
        <v>469731</v>
      </c>
      <c r="I24" s="478">
        <f t="shared" si="6"/>
        <v>-0.45564847034393707</v>
      </c>
      <c r="J24" s="449">
        <v>933615</v>
      </c>
      <c r="K24" s="478">
        <f t="shared" si="7"/>
        <v>0.98755245023215421</v>
      </c>
      <c r="L24" s="449">
        <v>438166</v>
      </c>
      <c r="M24" s="478">
        <f t="shared" si="2"/>
        <v>-6.7198034619814329E-2</v>
      </c>
      <c r="N24" s="449">
        <v>438166</v>
      </c>
      <c r="O24" s="478">
        <f t="shared" si="7"/>
        <v>0</v>
      </c>
      <c r="P24" s="449">
        <v>438166</v>
      </c>
      <c r="Q24" s="478">
        <f t="shared" si="7"/>
        <v>0</v>
      </c>
      <c r="R24" s="449">
        <v>438166</v>
      </c>
      <c r="S24" s="484">
        <f t="shared" si="7"/>
        <v>0</v>
      </c>
    </row>
    <row r="25" spans="1:19" outlineLevel="1" x14ac:dyDescent="0.25">
      <c r="A25" s="34"/>
      <c r="B25" s="34"/>
      <c r="C25" s="34"/>
      <c r="D25" s="152"/>
      <c r="E25" s="153"/>
      <c r="F25" s="153"/>
      <c r="G25" s="568" t="str">
        <f t="shared" si="1"/>
        <v>n/a</v>
      </c>
      <c r="H25" s="153"/>
      <c r="I25" s="479" t="str">
        <f t="shared" si="6"/>
        <v>n/a</v>
      </c>
      <c r="J25" s="450"/>
      <c r="K25" s="479" t="str">
        <f t="shared" si="7"/>
        <v>n/a</v>
      </c>
      <c r="L25" s="450"/>
      <c r="M25" s="479" t="str">
        <f t="shared" si="2"/>
        <v>n/a</v>
      </c>
      <c r="N25" s="450"/>
      <c r="O25" s="479" t="str">
        <f t="shared" si="7"/>
        <v>n/a</v>
      </c>
      <c r="P25" s="450"/>
      <c r="Q25" s="479" t="str">
        <f t="shared" si="7"/>
        <v>n/a</v>
      </c>
      <c r="R25" s="450"/>
      <c r="S25" s="486" t="str">
        <f t="shared" si="7"/>
        <v>n/a</v>
      </c>
    </row>
    <row r="26" spans="1:19" x14ac:dyDescent="0.25">
      <c r="A26" s="168"/>
      <c r="B26" s="168"/>
      <c r="C26" s="168"/>
      <c r="D26" s="169" t="s">
        <v>159</v>
      </c>
      <c r="E26" s="170">
        <v>29398219.810000002</v>
      </c>
      <c r="F26" s="170">
        <v>36064671.440000005</v>
      </c>
      <c r="G26" s="480">
        <f t="shared" si="1"/>
        <v>0.22676378614368908</v>
      </c>
      <c r="H26" s="551">
        <f t="shared" ref="H26:J26" si="9">SUM(H22:H25)</f>
        <v>34469731</v>
      </c>
      <c r="I26" s="477">
        <f t="shared" si="6"/>
        <v>-4.4224455022513487E-2</v>
      </c>
      <c r="J26" s="551">
        <f t="shared" si="9"/>
        <v>42696434</v>
      </c>
      <c r="K26" s="477">
        <f t="shared" si="7"/>
        <v>0.23866455470743309</v>
      </c>
      <c r="L26" s="551">
        <f t="shared" ref="L26:N26" si="10">SUM(L22:L25)</f>
        <v>38438166</v>
      </c>
      <c r="M26" s="480">
        <f t="shared" si="2"/>
        <v>0.11512811051528082</v>
      </c>
      <c r="N26" s="551">
        <f t="shared" si="10"/>
        <v>39438166</v>
      </c>
      <c r="O26" s="477">
        <f t="shared" si="7"/>
        <v>2.6015809391114031E-2</v>
      </c>
      <c r="P26" s="551">
        <f t="shared" ref="P26" si="11">SUM(P22:P25)</f>
        <v>43438166</v>
      </c>
      <c r="Q26" s="477">
        <f t="shared" si="7"/>
        <v>0.10142459464266174</v>
      </c>
      <c r="R26" s="551">
        <f t="shared" ref="R26" si="12">SUM(R22:R25)</f>
        <v>46438166</v>
      </c>
      <c r="S26" s="485">
        <f t="shared" si="7"/>
        <v>6.9063689291117836E-2</v>
      </c>
    </row>
    <row r="27" spans="1:19" x14ac:dyDescent="0.25">
      <c r="A27" s="34"/>
      <c r="B27" s="34"/>
      <c r="C27" s="34"/>
      <c r="D27" s="152"/>
      <c r="E27" s="153"/>
      <c r="F27" s="153"/>
      <c r="G27" s="568"/>
      <c r="H27" s="153"/>
      <c r="I27" s="537"/>
      <c r="J27" s="450"/>
      <c r="K27" s="537"/>
      <c r="L27" s="450"/>
      <c r="M27" s="479"/>
      <c r="N27" s="450"/>
      <c r="O27" s="467"/>
      <c r="P27" s="450"/>
      <c r="Q27" s="467"/>
      <c r="R27" s="450"/>
      <c r="S27" s="167"/>
    </row>
    <row r="28" spans="1:19" outlineLevel="1" x14ac:dyDescent="0.25">
      <c r="A28" s="34"/>
      <c r="B28" s="34"/>
      <c r="C28" s="34"/>
      <c r="D28" s="152" t="s">
        <v>160</v>
      </c>
      <c r="E28" s="153"/>
      <c r="F28" s="153"/>
      <c r="G28" s="568"/>
      <c r="H28" s="153"/>
      <c r="I28" s="537"/>
      <c r="J28" s="450"/>
      <c r="K28" s="537"/>
      <c r="L28" s="450"/>
      <c r="M28" s="479"/>
      <c r="N28" s="450"/>
      <c r="O28" s="467"/>
      <c r="P28" s="450"/>
      <c r="Q28" s="467"/>
      <c r="R28" s="450"/>
      <c r="S28" s="167"/>
    </row>
    <row r="29" spans="1:19" outlineLevel="1" x14ac:dyDescent="0.25">
      <c r="A29" s="34" t="s">
        <v>161</v>
      </c>
      <c r="B29" s="34"/>
      <c r="C29" s="34"/>
      <c r="D29" s="152" t="str">
        <f t="shared" ref="D29:D32" si="13">"  "&amp;UPPER(MID(A29,FIND("]",A29)+1,LEN(A29)-FIND("]",A29)+1))</f>
        <v xml:space="preserve">   LAND, BUILDINGS &amp; IMPROVEMENTS</v>
      </c>
      <c r="E29" s="153">
        <v>41155672.469999999</v>
      </c>
      <c r="F29" s="153">
        <v>41369307.810000002</v>
      </c>
      <c r="G29" s="567">
        <f t="shared" si="1"/>
        <v>5.1909087418200439E-3</v>
      </c>
      <c r="H29" s="153">
        <v>41838534</v>
      </c>
      <c r="I29" s="478">
        <f t="shared" ref="I29:I34" si="14">IF(F29=0,"n/a",+(H29/F29)-1)</f>
        <v>1.1342374693699142E-2</v>
      </c>
      <c r="J29" s="449">
        <v>41955243</v>
      </c>
      <c r="K29" s="478">
        <f t="shared" ref="K29:S34" si="15">IF(H29=0,"n/a",+(J29/H29)-1)</f>
        <v>2.7895097854049311E-3</v>
      </c>
      <c r="L29" s="449">
        <v>43003004</v>
      </c>
      <c r="M29" s="478">
        <f t="shared" si="2"/>
        <v>2.7832476157027886E-2</v>
      </c>
      <c r="N29" s="449">
        <v>43278004</v>
      </c>
      <c r="O29" s="478">
        <f t="shared" si="15"/>
        <v>6.3949020863751649E-3</v>
      </c>
      <c r="P29" s="449">
        <v>43333004</v>
      </c>
      <c r="Q29" s="478">
        <f t="shared" si="15"/>
        <v>1.2708534339984645E-3</v>
      </c>
      <c r="R29" s="449">
        <v>43388004</v>
      </c>
      <c r="S29" s="484">
        <f t="shared" si="15"/>
        <v>1.2692404154579506E-3</v>
      </c>
    </row>
    <row r="30" spans="1:19" outlineLevel="1" x14ac:dyDescent="0.25">
      <c r="A30" s="34" t="s">
        <v>162</v>
      </c>
      <c r="B30" s="34"/>
      <c r="C30" s="34"/>
      <c r="D30" s="152" t="str">
        <f t="shared" si="13"/>
        <v xml:space="preserve">   CONSTRUCTION IN PROGRESS</v>
      </c>
      <c r="E30" s="153">
        <v>65648.38</v>
      </c>
      <c r="F30" s="153">
        <v>276308.23</v>
      </c>
      <c r="G30" s="567">
        <f t="shared" si="1"/>
        <v>3.2089116288932029</v>
      </c>
      <c r="H30" s="153">
        <v>0</v>
      </c>
      <c r="I30" s="478">
        <f t="shared" si="14"/>
        <v>-1</v>
      </c>
      <c r="J30" s="449">
        <v>3007270</v>
      </c>
      <c r="K30" s="478" t="str">
        <f t="shared" si="15"/>
        <v>n/a</v>
      </c>
      <c r="L30" s="449"/>
      <c r="M30" s="478" t="str">
        <f t="shared" si="2"/>
        <v>n/a</v>
      </c>
      <c r="N30" s="449"/>
      <c r="O30" s="478" t="str">
        <f t="shared" si="15"/>
        <v>n/a</v>
      </c>
      <c r="P30" s="449"/>
      <c r="Q30" s="478" t="str">
        <f t="shared" si="15"/>
        <v>n/a</v>
      </c>
      <c r="R30" s="449"/>
      <c r="S30" s="484" t="str">
        <f t="shared" si="15"/>
        <v>n/a</v>
      </c>
    </row>
    <row r="31" spans="1:19" outlineLevel="1" x14ac:dyDescent="0.25">
      <c r="A31" s="34" t="s">
        <v>163</v>
      </c>
      <c r="B31" s="34"/>
      <c r="C31" s="34"/>
      <c r="D31" s="152" t="str">
        <f t="shared" si="13"/>
        <v xml:space="preserve">   MAJOR MOVABLE EQUIPMENT</v>
      </c>
      <c r="E31" s="153">
        <v>20834013.66</v>
      </c>
      <c r="F31" s="153">
        <v>20195850.559999999</v>
      </c>
      <c r="G31" s="567">
        <f t="shared" si="1"/>
        <v>-3.0630828529465526E-2</v>
      </c>
      <c r="H31" s="153">
        <v>28430310</v>
      </c>
      <c r="I31" s="478">
        <f t="shared" si="14"/>
        <v>0.40773026199298634</v>
      </c>
      <c r="J31" s="449">
        <v>21016345</v>
      </c>
      <c r="K31" s="478">
        <f t="shared" si="15"/>
        <v>-0.26077679068571535</v>
      </c>
      <c r="L31" s="449">
        <v>27279285</v>
      </c>
      <c r="M31" s="478">
        <f t="shared" si="2"/>
        <v>-4.04858406397961E-2</v>
      </c>
      <c r="N31" s="449">
        <v>30617798</v>
      </c>
      <c r="O31" s="478">
        <f t="shared" si="15"/>
        <v>0.12238271640917264</v>
      </c>
      <c r="P31" s="449">
        <v>32183689</v>
      </c>
      <c r="Q31" s="478">
        <f t="shared" si="15"/>
        <v>5.1143161895574663E-2</v>
      </c>
      <c r="R31" s="449">
        <v>34684146</v>
      </c>
      <c r="S31" s="484">
        <f t="shared" si="15"/>
        <v>7.7693299857577003E-2</v>
      </c>
    </row>
    <row r="32" spans="1:19" outlineLevel="1" x14ac:dyDescent="0.25">
      <c r="A32" s="34" t="s">
        <v>164</v>
      </c>
      <c r="B32" s="34"/>
      <c r="C32" s="34"/>
      <c r="D32" s="152" t="str">
        <f t="shared" si="13"/>
        <v xml:space="preserve">   FIXED EQUIPMENT</v>
      </c>
      <c r="E32" s="153">
        <v>2038322.95</v>
      </c>
      <c r="F32" s="153">
        <v>1993918.57</v>
      </c>
      <c r="G32" s="567">
        <f t="shared" si="1"/>
        <v>-2.1784761830798138E-2</v>
      </c>
      <c r="H32" s="153">
        <v>3100956</v>
      </c>
      <c r="I32" s="478">
        <f t="shared" si="14"/>
        <v>0.55520694107382718</v>
      </c>
      <c r="J32" s="449">
        <v>1999119</v>
      </c>
      <c r="K32" s="478">
        <f t="shared" si="15"/>
        <v>-0.35532171369087473</v>
      </c>
      <c r="L32" s="449">
        <v>2609287</v>
      </c>
      <c r="M32" s="478">
        <f t="shared" si="2"/>
        <v>-0.15855400721583923</v>
      </c>
      <c r="N32" s="449">
        <v>3329508</v>
      </c>
      <c r="O32" s="478">
        <f t="shared" si="15"/>
        <v>0.27602214704630046</v>
      </c>
      <c r="P32" s="449">
        <v>3423938</v>
      </c>
      <c r="Q32" s="478">
        <f t="shared" si="15"/>
        <v>2.8361547712154378E-2</v>
      </c>
      <c r="R32" s="449">
        <v>3484138</v>
      </c>
      <c r="S32" s="484">
        <f t="shared" si="15"/>
        <v>1.7582094068292031E-2</v>
      </c>
    </row>
    <row r="33" spans="1:19" x14ac:dyDescent="0.25">
      <c r="A33" s="34"/>
      <c r="B33" s="34"/>
      <c r="C33" s="34"/>
      <c r="D33" s="152"/>
      <c r="E33" s="153"/>
      <c r="F33" s="153"/>
      <c r="G33" s="567" t="str">
        <f t="shared" si="1"/>
        <v>n/a</v>
      </c>
      <c r="H33" s="153"/>
      <c r="I33" s="479" t="str">
        <f t="shared" si="14"/>
        <v>n/a</v>
      </c>
      <c r="J33" s="450"/>
      <c r="K33" s="479" t="str">
        <f t="shared" si="15"/>
        <v>n/a</v>
      </c>
      <c r="L33" s="450"/>
      <c r="M33" s="479" t="str">
        <f t="shared" si="2"/>
        <v>n/a</v>
      </c>
      <c r="N33" s="450"/>
      <c r="O33" s="479" t="str">
        <f t="shared" si="15"/>
        <v>n/a</v>
      </c>
      <c r="P33" s="450"/>
      <c r="Q33" s="479" t="str">
        <f t="shared" si="15"/>
        <v>n/a</v>
      </c>
      <c r="R33" s="450"/>
      <c r="S33" s="486" t="str">
        <f t="shared" si="15"/>
        <v>n/a</v>
      </c>
    </row>
    <row r="34" spans="1:19" x14ac:dyDescent="0.25">
      <c r="A34" s="168"/>
      <c r="B34" s="168"/>
      <c r="C34" s="168"/>
      <c r="D34" s="169" t="s">
        <v>165</v>
      </c>
      <c r="E34" s="170">
        <v>64093657.460000008</v>
      </c>
      <c r="F34" s="170">
        <v>63835385.169999994</v>
      </c>
      <c r="G34" s="480">
        <f t="shared" si="1"/>
        <v>-4.0296076122852131E-3</v>
      </c>
      <c r="H34" s="551">
        <f>SUM(H28:H33)</f>
        <v>73369800</v>
      </c>
      <c r="I34" s="477">
        <f t="shared" si="14"/>
        <v>0.14935940003508885</v>
      </c>
      <c r="J34" s="551">
        <f>SUM(J28:J33)</f>
        <v>67977977</v>
      </c>
      <c r="K34" s="477">
        <f t="shared" si="15"/>
        <v>-7.3488315355909384E-2</v>
      </c>
      <c r="L34" s="551">
        <f>SUM(L28:L33)</f>
        <v>72891576</v>
      </c>
      <c r="M34" s="480">
        <f t="shared" si="2"/>
        <v>-6.517995142415578E-3</v>
      </c>
      <c r="N34" s="551">
        <f>SUM(N28:N33)</f>
        <v>77225310</v>
      </c>
      <c r="O34" s="477">
        <f t="shared" si="15"/>
        <v>5.9454524621610494E-2</v>
      </c>
      <c r="P34" s="551">
        <f>SUM(P28:P33)</f>
        <v>78940631</v>
      </c>
      <c r="Q34" s="477">
        <f t="shared" si="15"/>
        <v>2.2211901771582498E-2</v>
      </c>
      <c r="R34" s="551">
        <f>SUM(R28:R33)</f>
        <v>81556288</v>
      </c>
      <c r="S34" s="485">
        <f t="shared" si="15"/>
        <v>3.3134483052206676E-2</v>
      </c>
    </row>
    <row r="35" spans="1:19" x14ac:dyDescent="0.25">
      <c r="A35" s="34"/>
      <c r="B35" s="34"/>
      <c r="C35" s="34"/>
      <c r="D35" s="152"/>
      <c r="E35" s="153"/>
      <c r="F35" s="153"/>
      <c r="G35" s="568"/>
      <c r="H35" s="153"/>
      <c r="I35" s="537"/>
      <c r="J35" s="450"/>
      <c r="K35" s="537"/>
      <c r="L35" s="450"/>
      <c r="M35" s="479"/>
      <c r="N35" s="450"/>
      <c r="O35" s="467"/>
      <c r="P35" s="450"/>
      <c r="Q35" s="467"/>
      <c r="R35" s="450"/>
      <c r="S35" s="167"/>
    </row>
    <row r="36" spans="1:19" outlineLevel="1" x14ac:dyDescent="0.25">
      <c r="A36" s="34"/>
      <c r="B36" s="34"/>
      <c r="C36" s="34"/>
      <c r="D36" s="152" t="s">
        <v>166</v>
      </c>
      <c r="E36" s="153"/>
      <c r="F36" s="153"/>
      <c r="G36" s="568"/>
      <c r="H36" s="153"/>
      <c r="I36" s="537"/>
      <c r="J36" s="450"/>
      <c r="K36" s="537"/>
      <c r="L36" s="450"/>
      <c r="M36" s="479"/>
      <c r="N36" s="450"/>
      <c r="O36" s="467"/>
      <c r="P36" s="450"/>
      <c r="Q36" s="467"/>
      <c r="R36" s="450"/>
      <c r="S36" s="167"/>
    </row>
    <row r="37" spans="1:19" outlineLevel="1" x14ac:dyDescent="0.25">
      <c r="A37" s="34" t="s">
        <v>167</v>
      </c>
      <c r="B37" s="34"/>
      <c r="C37" s="34"/>
      <c r="D37" s="152" t="str">
        <f t="shared" ref="D37:D39" si="16">"  "&amp;UPPER(MID(A37,FIND("]",A37)+1,LEN(A37)-FIND("]",A37)+1))</f>
        <v xml:space="preserve">   LAND, BUILDINGS &amp; IMPROVEMENTS</v>
      </c>
      <c r="E37" s="153">
        <v>-20086243.27</v>
      </c>
      <c r="F37" s="153">
        <v>-21585019.510000002</v>
      </c>
      <c r="G37" s="567">
        <f t="shared" si="1"/>
        <v>7.461705107587302E-2</v>
      </c>
      <c r="H37" s="153">
        <v>-23938684</v>
      </c>
      <c r="I37" s="478">
        <f t="shared" ref="I37:I47" si="17">IF(F37=0,"n/a",+(H37/F37)-1)</f>
        <v>0.10904157343520504</v>
      </c>
      <c r="J37" s="449">
        <v>-23411621</v>
      </c>
      <c r="K37" s="478">
        <f t="shared" ref="K37:S47" si="18">IF(H37=0,"n/a",+(J37/H37)-1)</f>
        <v>-2.2017208631852969E-2</v>
      </c>
      <c r="L37" s="449">
        <v>-25303367</v>
      </c>
      <c r="M37" s="478">
        <f t="shared" si="2"/>
        <v>5.7007436164828507E-2</v>
      </c>
      <c r="N37" s="449">
        <v>-26850534</v>
      </c>
      <c r="O37" s="478">
        <f t="shared" si="18"/>
        <v>6.1144708528315661E-2</v>
      </c>
      <c r="P37" s="449">
        <v>-28159109</v>
      </c>
      <c r="Q37" s="478">
        <f t="shared" si="18"/>
        <v>4.873552980361584E-2</v>
      </c>
      <c r="R37" s="449">
        <v>-29310361</v>
      </c>
      <c r="S37" s="484">
        <f t="shared" si="18"/>
        <v>4.0883821998771275E-2</v>
      </c>
    </row>
    <row r="38" spans="1:19" outlineLevel="1" x14ac:dyDescent="0.25">
      <c r="A38" s="34" t="s">
        <v>168</v>
      </c>
      <c r="B38" s="34"/>
      <c r="C38" s="34"/>
      <c r="D38" s="152" t="str">
        <f t="shared" si="16"/>
        <v xml:space="preserve">   EQUIPMENT - FIXED</v>
      </c>
      <c r="E38" s="153">
        <v>-729566.01</v>
      </c>
      <c r="F38" s="153">
        <v>-945564.5</v>
      </c>
      <c r="G38" s="567">
        <f t="shared" si="1"/>
        <v>0.29606435475249171</v>
      </c>
      <c r="H38" s="153">
        <v>-1384054</v>
      </c>
      <c r="I38" s="478">
        <f t="shared" si="17"/>
        <v>0.463733039893101</v>
      </c>
      <c r="J38" s="449">
        <v>-1180631</v>
      </c>
      <c r="K38" s="478">
        <f t="shared" si="18"/>
        <v>-0.14697620179559467</v>
      </c>
      <c r="L38" s="449">
        <v>-1516706</v>
      </c>
      <c r="M38" s="478">
        <f t="shared" si="2"/>
        <v>9.5843081267060315E-2</v>
      </c>
      <c r="N38" s="449">
        <v>-1717796</v>
      </c>
      <c r="O38" s="478">
        <f t="shared" si="18"/>
        <v>0.13258337476083049</v>
      </c>
      <c r="P38" s="449">
        <v>-1920753</v>
      </c>
      <c r="Q38" s="478">
        <f t="shared" si="18"/>
        <v>0.11814965222878615</v>
      </c>
      <c r="R38" s="449">
        <v>-2123655</v>
      </c>
      <c r="S38" s="484">
        <f t="shared" si="18"/>
        <v>0.10563669560844113</v>
      </c>
    </row>
    <row r="39" spans="1:19" outlineLevel="1" x14ac:dyDescent="0.25">
      <c r="A39" s="34" t="s">
        <v>169</v>
      </c>
      <c r="B39" s="34"/>
      <c r="C39" s="34"/>
      <c r="D39" s="152" t="str">
        <f t="shared" si="16"/>
        <v xml:space="preserve">   EQUIPMENT - MAJOR MOVEABLE</v>
      </c>
      <c r="E39" s="153">
        <v>-14939882.66</v>
      </c>
      <c r="F39" s="153">
        <v>-13915516.65</v>
      </c>
      <c r="G39" s="567">
        <f t="shared" si="1"/>
        <v>-6.8565867169936623E-2</v>
      </c>
      <c r="H39" s="153">
        <v>-19669768</v>
      </c>
      <c r="I39" s="478">
        <f t="shared" si="17"/>
        <v>0.41351330997832547</v>
      </c>
      <c r="J39" s="449">
        <v>-16316921</v>
      </c>
      <c r="K39" s="478">
        <f t="shared" si="18"/>
        <v>-0.17045686558173945</v>
      </c>
      <c r="L39" s="449">
        <v>-18859832</v>
      </c>
      <c r="M39" s="478">
        <f t="shared" si="2"/>
        <v>-4.1176693085551386E-2</v>
      </c>
      <c r="N39" s="449">
        <v>-21537462</v>
      </c>
      <c r="O39" s="478">
        <f t="shared" si="18"/>
        <v>0.14197528376710888</v>
      </c>
      <c r="P39" s="449">
        <v>-24285825</v>
      </c>
      <c r="Q39" s="478">
        <f t="shared" si="18"/>
        <v>0.1276084898025589</v>
      </c>
      <c r="R39" s="449">
        <v>-27157809</v>
      </c>
      <c r="S39" s="484">
        <f t="shared" si="18"/>
        <v>0.11825762559023634</v>
      </c>
    </row>
    <row r="40" spans="1:19" x14ac:dyDescent="0.25">
      <c r="A40" s="34"/>
      <c r="B40" s="34"/>
      <c r="C40" s="34"/>
      <c r="D40" s="152"/>
      <c r="E40" s="153"/>
      <c r="F40" s="153"/>
      <c r="G40" s="568" t="str">
        <f t="shared" si="1"/>
        <v>n/a</v>
      </c>
      <c r="H40" s="153"/>
      <c r="I40" s="479" t="str">
        <f t="shared" si="17"/>
        <v>n/a</v>
      </c>
      <c r="J40" s="450"/>
      <c r="K40" s="479" t="str">
        <f t="shared" si="18"/>
        <v>n/a</v>
      </c>
      <c r="L40" s="450"/>
      <c r="M40" s="479" t="str">
        <f t="shared" si="2"/>
        <v>n/a</v>
      </c>
      <c r="N40" s="450"/>
      <c r="O40" s="479" t="str">
        <f t="shared" si="18"/>
        <v>n/a</v>
      </c>
      <c r="P40" s="450"/>
      <c r="Q40" s="479" t="str">
        <f t="shared" si="18"/>
        <v>n/a</v>
      </c>
      <c r="R40" s="450"/>
      <c r="S40" s="486" t="str">
        <f t="shared" si="18"/>
        <v>n/a</v>
      </c>
    </row>
    <row r="41" spans="1:19" x14ac:dyDescent="0.25">
      <c r="A41" s="168"/>
      <c r="B41" s="168"/>
      <c r="C41" s="168"/>
      <c r="D41" s="169" t="s">
        <v>170</v>
      </c>
      <c r="E41" s="170">
        <v>-35755691.939999998</v>
      </c>
      <c r="F41" s="170">
        <v>-36446100.660000004</v>
      </c>
      <c r="G41" s="480">
        <f t="shared" si="1"/>
        <v>1.9309057734319568E-2</v>
      </c>
      <c r="H41" s="551">
        <f t="shared" ref="H41:J41" si="19">SUM(H37:H40)</f>
        <v>-44992506</v>
      </c>
      <c r="I41" s="477">
        <f t="shared" si="17"/>
        <v>0.23449436799091572</v>
      </c>
      <c r="J41" s="551">
        <f t="shared" si="19"/>
        <v>-40909173</v>
      </c>
      <c r="K41" s="477">
        <f t="shared" si="18"/>
        <v>-9.0755847207088181E-2</v>
      </c>
      <c r="L41" s="551">
        <f t="shared" ref="L41:N41" si="20">SUM(L37:L40)</f>
        <v>-45679905</v>
      </c>
      <c r="M41" s="480">
        <f t="shared" si="2"/>
        <v>1.5278077642530086E-2</v>
      </c>
      <c r="N41" s="551">
        <f t="shared" si="20"/>
        <v>-50105792</v>
      </c>
      <c r="O41" s="477">
        <f t="shared" si="18"/>
        <v>9.6889146332506559E-2</v>
      </c>
      <c r="P41" s="551">
        <f t="shared" ref="P41" si="21">SUM(P37:P40)</f>
        <v>-54365687</v>
      </c>
      <c r="Q41" s="477">
        <f t="shared" si="18"/>
        <v>8.5018015482122289E-2</v>
      </c>
      <c r="R41" s="551">
        <f t="shared" ref="R41" si="22">SUM(R37:R40)</f>
        <v>-58591825</v>
      </c>
      <c r="S41" s="485">
        <f t="shared" si="18"/>
        <v>7.7735392178526208E-2</v>
      </c>
    </row>
    <row r="42" spans="1:19" ht="19.5" customHeight="1" x14ac:dyDescent="0.25">
      <c r="A42" s="34"/>
      <c r="B42" s="34"/>
      <c r="C42" s="34"/>
      <c r="D42" s="152"/>
      <c r="E42" s="153"/>
      <c r="F42" s="153"/>
      <c r="G42" s="568"/>
      <c r="H42" s="153"/>
      <c r="I42" s="537"/>
      <c r="J42" s="450"/>
      <c r="K42" s="537"/>
      <c r="L42" s="450"/>
      <c r="M42" s="479"/>
      <c r="N42" s="450"/>
      <c r="O42" s="467"/>
      <c r="P42" s="450"/>
      <c r="Q42" s="467"/>
      <c r="R42" s="450"/>
      <c r="S42" s="167"/>
    </row>
    <row r="43" spans="1:19" x14ac:dyDescent="0.25">
      <c r="A43" s="168"/>
      <c r="B43" s="168"/>
      <c r="C43" s="168"/>
      <c r="D43" s="169" t="s">
        <v>171</v>
      </c>
      <c r="E43" s="170">
        <v>28337965.520000011</v>
      </c>
      <c r="F43" s="170">
        <v>27389284.50999999</v>
      </c>
      <c r="G43" s="480">
        <f t="shared" si="1"/>
        <v>-3.3477385994081788E-2</v>
      </c>
      <c r="H43" s="551">
        <f>+H41+H34</f>
        <v>28377294</v>
      </c>
      <c r="I43" s="477">
        <f t="shared" si="17"/>
        <v>3.6072847745959979E-2</v>
      </c>
      <c r="J43" s="551">
        <f>+J41+J34</f>
        <v>27068804</v>
      </c>
      <c r="K43" s="477">
        <f t="shared" si="18"/>
        <v>-4.6110457184536324E-2</v>
      </c>
      <c r="L43" s="551">
        <f>+L41+L34</f>
        <v>27211671</v>
      </c>
      <c r="M43" s="480">
        <f t="shared" si="2"/>
        <v>-4.1075903854680407E-2</v>
      </c>
      <c r="N43" s="551">
        <f>+N41+N34</f>
        <v>27119518</v>
      </c>
      <c r="O43" s="477">
        <f t="shared" si="18"/>
        <v>-3.3865248481065313E-3</v>
      </c>
      <c r="P43" s="551">
        <f>+P41+P34</f>
        <v>24574944</v>
      </c>
      <c r="Q43" s="477">
        <f t="shared" si="18"/>
        <v>-9.3828142520822055E-2</v>
      </c>
      <c r="R43" s="551">
        <f>+R41+R34</f>
        <v>22964463</v>
      </c>
      <c r="S43" s="485">
        <f t="shared" si="18"/>
        <v>-6.5533455539105168E-2</v>
      </c>
    </row>
    <row r="44" spans="1:19" x14ac:dyDescent="0.25">
      <c r="A44" s="34"/>
      <c r="B44" s="34"/>
      <c r="C44" s="34"/>
      <c r="D44" s="152"/>
      <c r="E44" s="153"/>
      <c r="F44" s="153"/>
      <c r="G44" s="568"/>
      <c r="H44" s="153"/>
      <c r="I44" s="479"/>
      <c r="J44" s="450"/>
      <c r="K44" s="479"/>
      <c r="L44" s="450"/>
      <c r="M44" s="479"/>
      <c r="N44" s="450"/>
      <c r="O44" s="479"/>
      <c r="P44" s="450"/>
      <c r="Q44" s="479"/>
      <c r="R44" s="450"/>
      <c r="S44" s="486"/>
    </row>
    <row r="45" spans="1:19" x14ac:dyDescent="0.25">
      <c r="A45" s="34" t="s">
        <v>172</v>
      </c>
      <c r="B45" s="34"/>
      <c r="C45" s="34"/>
      <c r="D45" s="152" t="str">
        <f t="shared" ref="D45" si="23">"  "&amp;UPPER(MID(A45,FIND("]",A45)+1,LEN(A45)-FIND("]",A45)+1))</f>
        <v xml:space="preserve">   OTHER LONG-TERM ASSETS</v>
      </c>
      <c r="E45" s="153">
        <v>0</v>
      </c>
      <c r="F45" s="153">
        <v>0</v>
      </c>
      <c r="G45" s="567" t="str">
        <f t="shared" si="1"/>
        <v>n/a</v>
      </c>
      <c r="H45" s="153">
        <v>0</v>
      </c>
      <c r="I45" s="478" t="str">
        <f t="shared" si="17"/>
        <v>n/a</v>
      </c>
      <c r="J45" s="449"/>
      <c r="K45" s="478" t="str">
        <f t="shared" si="18"/>
        <v>n/a</v>
      </c>
      <c r="L45" s="449"/>
      <c r="M45" s="478" t="str">
        <f t="shared" si="2"/>
        <v>n/a</v>
      </c>
      <c r="N45" s="449"/>
      <c r="O45" s="478" t="str">
        <f t="shared" si="18"/>
        <v>n/a</v>
      </c>
      <c r="P45" s="449"/>
      <c r="Q45" s="478" t="str">
        <f t="shared" si="18"/>
        <v>n/a</v>
      </c>
      <c r="R45" s="449"/>
      <c r="S45" s="484" t="str">
        <f t="shared" si="18"/>
        <v>n/a</v>
      </c>
    </row>
    <row r="46" spans="1:19" x14ac:dyDescent="0.25">
      <c r="A46" s="34"/>
      <c r="B46" s="34"/>
      <c r="C46" s="34"/>
      <c r="D46" s="152"/>
      <c r="E46" s="153"/>
      <c r="F46" s="153"/>
      <c r="G46" s="568"/>
      <c r="H46" s="153"/>
      <c r="I46" s="479"/>
      <c r="J46" s="153"/>
      <c r="K46" s="479"/>
      <c r="L46" s="450"/>
      <c r="M46" s="479"/>
      <c r="N46" s="450"/>
      <c r="O46" s="479"/>
      <c r="P46" s="450"/>
      <c r="Q46" s="479"/>
      <c r="R46" s="450"/>
      <c r="S46" s="486"/>
    </row>
    <row r="47" spans="1:19" s="177" customFormat="1" ht="13.8" thickBot="1" x14ac:dyDescent="0.3">
      <c r="A47" s="172"/>
      <c r="B47" s="172"/>
      <c r="C47" s="172"/>
      <c r="D47" s="173" t="s">
        <v>173</v>
      </c>
      <c r="E47" s="174">
        <v>75049525.890000015</v>
      </c>
      <c r="F47" s="174">
        <v>78825146.379999995</v>
      </c>
      <c r="G47" s="481">
        <f t="shared" si="1"/>
        <v>5.0308385632360952E-2</v>
      </c>
      <c r="H47" s="451">
        <f>+H45+H43+H26+H19</f>
        <v>74547620</v>
      </c>
      <c r="I47" s="481">
        <f t="shared" si="17"/>
        <v>-5.426601251558627E-2</v>
      </c>
      <c r="J47" s="451">
        <f>+J45+J43+J26+J19</f>
        <v>83559550</v>
      </c>
      <c r="K47" s="481">
        <f t="shared" si="18"/>
        <v>0.12088823224671685</v>
      </c>
      <c r="L47" s="451">
        <f>+L45+L43+L26+L19</f>
        <v>78246205</v>
      </c>
      <c r="M47" s="481">
        <f t="shared" si="2"/>
        <v>4.9613723415985689E-2</v>
      </c>
      <c r="N47" s="451">
        <f>+N45+N43+N26+N19</f>
        <v>79907615</v>
      </c>
      <c r="O47" s="481">
        <f t="shared" si="18"/>
        <v>2.1233106449060291E-2</v>
      </c>
      <c r="P47" s="451">
        <f>+P45+P43+P26+P19</f>
        <v>82171379</v>
      </c>
      <c r="Q47" s="481">
        <f t="shared" si="18"/>
        <v>2.8329765567399301E-2</v>
      </c>
      <c r="R47" s="451">
        <f>+R45+R43+R26+R19</f>
        <v>84283615</v>
      </c>
      <c r="S47" s="488">
        <f t="shared" si="18"/>
        <v>2.5705251946666285E-2</v>
      </c>
    </row>
    <row r="48" spans="1:19" ht="13.8" thickTop="1" x14ac:dyDescent="0.25">
      <c r="A48" s="34"/>
      <c r="B48" s="34"/>
      <c r="C48" s="34"/>
      <c r="D48" s="152"/>
      <c r="E48" s="153"/>
      <c r="F48" s="153"/>
      <c r="G48" s="568"/>
      <c r="H48" s="153"/>
      <c r="I48" s="537"/>
      <c r="J48" s="153"/>
      <c r="K48" s="537"/>
      <c r="L48" s="450"/>
      <c r="M48" s="479"/>
      <c r="N48" s="450"/>
      <c r="O48" s="467"/>
      <c r="P48" s="450"/>
      <c r="Q48" s="467"/>
      <c r="R48" s="450"/>
      <c r="S48" s="167"/>
    </row>
    <row r="49" spans="1:22" x14ac:dyDescent="0.25">
      <c r="A49" s="34"/>
      <c r="B49" s="34"/>
      <c r="C49" s="34"/>
      <c r="D49" s="152"/>
      <c r="E49" s="153"/>
      <c r="F49" s="153"/>
      <c r="G49" s="568"/>
      <c r="H49" s="153"/>
      <c r="I49" s="537"/>
      <c r="J49" s="153"/>
      <c r="K49" s="537"/>
      <c r="L49" s="450"/>
      <c r="M49" s="479"/>
      <c r="N49" s="450"/>
      <c r="O49" s="467"/>
      <c r="P49" s="450"/>
      <c r="Q49" s="467"/>
      <c r="R49" s="450"/>
      <c r="S49" s="167"/>
    </row>
    <row r="50" spans="1:22" x14ac:dyDescent="0.25">
      <c r="A50" s="34"/>
      <c r="B50" s="34"/>
      <c r="C50" s="34"/>
      <c r="D50" s="152" t="s">
        <v>174</v>
      </c>
      <c r="E50" s="153"/>
      <c r="F50" s="153"/>
      <c r="G50" s="568"/>
      <c r="H50" s="153"/>
      <c r="I50" s="537"/>
      <c r="J50" s="153"/>
      <c r="K50" s="537"/>
      <c r="L50" s="450"/>
      <c r="M50" s="479"/>
      <c r="N50" s="450"/>
      <c r="O50" s="467"/>
      <c r="P50" s="450"/>
      <c r="Q50" s="467"/>
      <c r="R50" s="450"/>
      <c r="S50" s="167"/>
    </row>
    <row r="51" spans="1:22" x14ac:dyDescent="0.25">
      <c r="A51" s="34"/>
      <c r="B51" s="34"/>
      <c r="C51" s="34"/>
      <c r="D51" s="152"/>
      <c r="E51" s="153"/>
      <c r="F51" s="153"/>
      <c r="G51" s="568"/>
      <c r="H51" s="153"/>
      <c r="I51" s="537"/>
      <c r="J51" s="153"/>
      <c r="K51" s="537"/>
      <c r="L51" s="450"/>
      <c r="M51" s="479"/>
      <c r="N51" s="450"/>
      <c r="O51" s="467"/>
      <c r="P51" s="450"/>
      <c r="Q51" s="467"/>
      <c r="R51" s="450"/>
      <c r="S51" s="167"/>
    </row>
    <row r="52" spans="1:22" x14ac:dyDescent="0.25">
      <c r="A52" s="34"/>
      <c r="B52" s="34"/>
      <c r="C52" s="34"/>
      <c r="D52" s="152" t="s">
        <v>175</v>
      </c>
      <c r="E52" s="153"/>
      <c r="F52" s="153"/>
      <c r="G52" s="568"/>
      <c r="H52" s="153"/>
      <c r="I52" s="537"/>
      <c r="J52" s="153"/>
      <c r="K52" s="537"/>
      <c r="L52" s="450"/>
      <c r="M52" s="479"/>
      <c r="N52" s="450"/>
      <c r="O52" s="467"/>
      <c r="P52" s="450"/>
      <c r="Q52" s="467"/>
      <c r="R52" s="450"/>
      <c r="S52" s="167"/>
    </row>
    <row r="53" spans="1:22" x14ac:dyDescent="0.25">
      <c r="A53" s="34" t="s">
        <v>176</v>
      </c>
      <c r="B53" s="34"/>
      <c r="C53" s="34"/>
      <c r="D53" s="152" t="str">
        <f t="shared" ref="D53:D57" si="24">"  "&amp;UPPER(MID(A53,FIND("]",A53)+1,LEN(A53)-FIND("]",A53)+1))</f>
        <v xml:space="preserve">   ACCOUNTS PAYABLE</v>
      </c>
      <c r="E53" s="153">
        <v>2139733.0299999998</v>
      </c>
      <c r="F53" s="153">
        <v>2709511.52</v>
      </c>
      <c r="G53" s="567">
        <f t="shared" si="1"/>
        <v>0.26628485049838213</v>
      </c>
      <c r="H53" s="153">
        <v>2740306</v>
      </c>
      <c r="I53" s="478">
        <f t="shared" ref="I53:I74" si="25">IF(F53=0,"n/a",+(H53/F53)-1)</f>
        <v>1.1365325363148937E-2</v>
      </c>
      <c r="J53" s="449">
        <v>2307189</v>
      </c>
      <c r="K53" s="478">
        <f t="shared" ref="K53:S74" si="26">IF(H53=0,"n/a",+(J53/H53)-1)</f>
        <v>-0.15805424649655919</v>
      </c>
      <c r="L53" s="449">
        <v>2982043</v>
      </c>
      <c r="M53" s="478">
        <f t="shared" si="2"/>
        <v>8.8215330696644889E-2</v>
      </c>
      <c r="N53" s="449">
        <v>3482965</v>
      </c>
      <c r="O53" s="478">
        <f t="shared" si="26"/>
        <v>0.16797946910892958</v>
      </c>
      <c r="P53" s="449">
        <v>3535210</v>
      </c>
      <c r="Q53" s="478">
        <f t="shared" si="26"/>
        <v>1.5000150733642137E-2</v>
      </c>
      <c r="R53" s="449">
        <v>3578434</v>
      </c>
      <c r="S53" s="484">
        <f t="shared" si="26"/>
        <v>1.2226713547427215E-2</v>
      </c>
    </row>
    <row r="54" spans="1:22" x14ac:dyDescent="0.25">
      <c r="A54" s="34" t="s">
        <v>177</v>
      </c>
      <c r="B54" s="34"/>
      <c r="C54" s="34"/>
      <c r="D54" s="152" t="str">
        <f t="shared" si="24"/>
        <v xml:space="preserve">   SALARIES, WAGES AND PAYROLL TAXES PAYABLE</v>
      </c>
      <c r="E54" s="153">
        <v>4258681.5</v>
      </c>
      <c r="F54" s="153">
        <v>4489206.67</v>
      </c>
      <c r="G54" s="567">
        <f t="shared" si="1"/>
        <v>5.4130643486722363E-2</v>
      </c>
      <c r="H54" s="153">
        <v>4160061</v>
      </c>
      <c r="I54" s="478">
        <f t="shared" si="25"/>
        <v>-7.3319339962577335E-2</v>
      </c>
      <c r="J54" s="449">
        <v>4821653</v>
      </c>
      <c r="K54" s="478">
        <f t="shared" si="26"/>
        <v>0.15903420646956867</v>
      </c>
      <c r="L54" s="449">
        <v>4470208</v>
      </c>
      <c r="M54" s="478">
        <f t="shared" si="2"/>
        <v>7.4553474095692351E-2</v>
      </c>
      <c r="N54" s="449">
        <v>4155478</v>
      </c>
      <c r="O54" s="478">
        <f t="shared" si="26"/>
        <v>-7.0406119804716005E-2</v>
      </c>
      <c r="P54" s="449">
        <v>4280142</v>
      </c>
      <c r="Q54" s="478">
        <f t="shared" si="26"/>
        <v>2.9999918180291241E-2</v>
      </c>
      <c r="R54" s="449">
        <v>4396501</v>
      </c>
      <c r="S54" s="484">
        <f t="shared" si="26"/>
        <v>2.7185780284859629E-2</v>
      </c>
    </row>
    <row r="55" spans="1:22" x14ac:dyDescent="0.25">
      <c r="A55" s="34" t="s">
        <v>178</v>
      </c>
      <c r="B55" s="34"/>
      <c r="C55" s="34"/>
      <c r="D55" s="152" t="str">
        <f t="shared" si="24"/>
        <v xml:space="preserve">   ESTIMATED THIRD-PARTY SETTLEMENTS</v>
      </c>
      <c r="E55" s="153">
        <v>4096752.75</v>
      </c>
      <c r="F55" s="153">
        <v>3744092.64</v>
      </c>
      <c r="G55" s="567">
        <f t="shared" si="1"/>
        <v>-8.6082839634390895E-2</v>
      </c>
      <c r="H55" s="153">
        <v>3000000</v>
      </c>
      <c r="I55" s="478">
        <f t="shared" si="25"/>
        <v>-0.19873777482172561</v>
      </c>
      <c r="J55" s="449">
        <v>4742463</v>
      </c>
      <c r="K55" s="478">
        <f t="shared" si="26"/>
        <v>0.58082100000000003</v>
      </c>
      <c r="L55" s="449">
        <v>3000000</v>
      </c>
      <c r="M55" s="478">
        <f t="shared" si="2"/>
        <v>0</v>
      </c>
      <c r="N55" s="449">
        <v>3000000</v>
      </c>
      <c r="O55" s="478">
        <f t="shared" si="26"/>
        <v>0</v>
      </c>
      <c r="P55" s="449">
        <v>3000000</v>
      </c>
      <c r="Q55" s="478">
        <f t="shared" si="26"/>
        <v>0</v>
      </c>
      <c r="R55" s="449">
        <v>3000000</v>
      </c>
      <c r="S55" s="484">
        <f t="shared" si="26"/>
        <v>0</v>
      </c>
    </row>
    <row r="56" spans="1:22" x14ac:dyDescent="0.25">
      <c r="A56" s="34" t="s">
        <v>179</v>
      </c>
      <c r="B56" s="34"/>
      <c r="C56" s="34"/>
      <c r="D56" s="152" t="str">
        <f t="shared" si="24"/>
        <v xml:space="preserve">   OTHER CURRENT LIABILITIES</v>
      </c>
      <c r="E56" s="153">
        <v>2730451.06</v>
      </c>
      <c r="F56" s="153">
        <v>2839656.58</v>
      </c>
      <c r="G56" s="567">
        <f t="shared" si="1"/>
        <v>3.9995413798041168E-2</v>
      </c>
      <c r="H56" s="153">
        <v>2500000</v>
      </c>
      <c r="I56" s="478">
        <f t="shared" si="25"/>
        <v>-0.11961185109221906</v>
      </c>
      <c r="J56" s="449">
        <v>2235176</v>
      </c>
      <c r="K56" s="478">
        <f t="shared" si="26"/>
        <v>-0.10592959999999996</v>
      </c>
      <c r="L56" s="449">
        <v>2800000</v>
      </c>
      <c r="M56" s="478">
        <f t="shared" si="2"/>
        <v>0.12000000000000011</v>
      </c>
      <c r="N56" s="449">
        <v>2884000</v>
      </c>
      <c r="O56" s="478">
        <f t="shared" si="26"/>
        <v>3.0000000000000027E-2</v>
      </c>
      <c r="P56" s="449">
        <v>2970520</v>
      </c>
      <c r="Q56" s="478">
        <f t="shared" si="26"/>
        <v>3.0000000000000027E-2</v>
      </c>
      <c r="R56" s="449">
        <v>3059636</v>
      </c>
      <c r="S56" s="484">
        <f t="shared" si="26"/>
        <v>3.0000134656558375E-2</v>
      </c>
      <c r="U56" s="467"/>
      <c r="V56" s="467"/>
    </row>
    <row r="57" spans="1:22" x14ac:dyDescent="0.25">
      <c r="A57" s="34" t="s">
        <v>180</v>
      </c>
      <c r="B57" s="34"/>
      <c r="C57" s="34"/>
      <c r="D57" s="152" t="str">
        <f t="shared" si="24"/>
        <v xml:space="preserve">   CURRENT PORTION OF LONG-TERM DEBT</v>
      </c>
      <c r="E57" s="153">
        <v>458248.18</v>
      </c>
      <c r="F57" s="153">
        <v>470000</v>
      </c>
      <c r="G57" s="567">
        <f t="shared" si="1"/>
        <v>2.5645099125107373E-2</v>
      </c>
      <c r="H57" s="153">
        <v>470000</v>
      </c>
      <c r="I57" s="478">
        <f t="shared" si="25"/>
        <v>0</v>
      </c>
      <c r="J57" s="449">
        <v>1244764</v>
      </c>
      <c r="K57" s="478">
        <f t="shared" si="26"/>
        <v>1.6484340425531916</v>
      </c>
      <c r="L57" s="449">
        <v>926871</v>
      </c>
      <c r="M57" s="478">
        <f t="shared" si="2"/>
        <v>0.97206595744680846</v>
      </c>
      <c r="N57" s="449">
        <v>942591</v>
      </c>
      <c r="O57" s="478">
        <f t="shared" si="26"/>
        <v>1.6960288972251769E-2</v>
      </c>
      <c r="P57" s="449">
        <v>958578</v>
      </c>
      <c r="Q57" s="478">
        <f t="shared" si="26"/>
        <v>1.6960696633004035E-2</v>
      </c>
      <c r="R57" s="449">
        <v>974836</v>
      </c>
      <c r="S57" s="484">
        <f t="shared" si="26"/>
        <v>1.6960539465750379E-2</v>
      </c>
      <c r="U57" s="467"/>
      <c r="V57" s="467"/>
    </row>
    <row r="58" spans="1:22" x14ac:dyDescent="0.25">
      <c r="A58" s="34"/>
      <c r="B58" s="34"/>
      <c r="C58" s="34"/>
      <c r="D58" s="152"/>
      <c r="E58" s="153"/>
      <c r="F58" s="153"/>
      <c r="G58" s="568" t="str">
        <f t="shared" si="1"/>
        <v>n/a</v>
      </c>
      <c r="H58" s="153"/>
      <c r="I58" s="479" t="str">
        <f t="shared" si="25"/>
        <v>n/a</v>
      </c>
      <c r="J58" s="450"/>
      <c r="K58" s="479" t="str">
        <f t="shared" si="26"/>
        <v>n/a</v>
      </c>
      <c r="L58" s="450"/>
      <c r="M58" s="479" t="str">
        <f t="shared" si="2"/>
        <v>n/a</v>
      </c>
      <c r="N58" s="450"/>
      <c r="O58" s="479" t="str">
        <f t="shared" si="26"/>
        <v>n/a</v>
      </c>
      <c r="P58" s="450"/>
      <c r="Q58" s="479" t="str">
        <f t="shared" si="26"/>
        <v>n/a</v>
      </c>
      <c r="R58" s="450"/>
      <c r="S58" s="486" t="str">
        <f t="shared" si="26"/>
        <v>n/a</v>
      </c>
    </row>
    <row r="59" spans="1:22" x14ac:dyDescent="0.25">
      <c r="A59" s="168"/>
      <c r="B59" s="168"/>
      <c r="C59" s="168"/>
      <c r="D59" s="169" t="s">
        <v>181</v>
      </c>
      <c r="E59" s="170">
        <v>13683866.52</v>
      </c>
      <c r="F59" s="170">
        <v>14252467.41</v>
      </c>
      <c r="G59" s="480">
        <f t="shared" si="1"/>
        <v>4.1552648088823974E-2</v>
      </c>
      <c r="H59" s="551">
        <f>SUM(H52:H58)</f>
        <v>12870367</v>
      </c>
      <c r="I59" s="477">
        <f t="shared" si="25"/>
        <v>-9.6972711478033102E-2</v>
      </c>
      <c r="J59" s="551">
        <f>SUM(J52:J58)</f>
        <v>15351245</v>
      </c>
      <c r="K59" s="477">
        <f t="shared" si="26"/>
        <v>0.19275891666492484</v>
      </c>
      <c r="L59" s="551">
        <f>SUM(L52:L58)</f>
        <v>14179122</v>
      </c>
      <c r="M59" s="480">
        <f t="shared" si="2"/>
        <v>0.10168746547786855</v>
      </c>
      <c r="N59" s="551">
        <f>SUM(N52:N58)</f>
        <v>14465034</v>
      </c>
      <c r="O59" s="477">
        <f t="shared" si="26"/>
        <v>2.0164295081176453E-2</v>
      </c>
      <c r="P59" s="551">
        <f>SUM(P52:P58)</f>
        <v>14744450</v>
      </c>
      <c r="Q59" s="477">
        <f t="shared" si="26"/>
        <v>1.9316650068019303E-2</v>
      </c>
      <c r="R59" s="551">
        <f>SUM(R52:R58)</f>
        <v>15009407</v>
      </c>
      <c r="S59" s="485">
        <f t="shared" si="26"/>
        <v>1.79699480143376E-2</v>
      </c>
    </row>
    <row r="60" spans="1:22" x14ac:dyDescent="0.25">
      <c r="A60" s="34"/>
      <c r="B60" s="34"/>
      <c r="C60" s="34"/>
      <c r="D60" s="152"/>
      <c r="E60" s="153"/>
      <c r="F60" s="153"/>
      <c r="G60" s="568"/>
      <c r="H60" s="153"/>
      <c r="I60" s="479"/>
      <c r="J60" s="450"/>
      <c r="K60" s="479"/>
      <c r="L60" s="450"/>
      <c r="M60" s="479"/>
      <c r="N60" s="450"/>
      <c r="O60" s="479"/>
      <c r="P60" s="450"/>
      <c r="Q60" s="479"/>
      <c r="R60" s="450"/>
      <c r="S60" s="486"/>
    </row>
    <row r="61" spans="1:22" x14ac:dyDescent="0.25">
      <c r="A61" s="34"/>
      <c r="B61" s="34"/>
      <c r="C61" s="34"/>
      <c r="D61" s="152" t="s">
        <v>182</v>
      </c>
      <c r="E61" s="153"/>
      <c r="F61" s="153"/>
      <c r="G61" s="568"/>
      <c r="H61" s="153"/>
      <c r="I61" s="479"/>
      <c r="J61" s="450"/>
      <c r="K61" s="479"/>
      <c r="L61" s="450"/>
      <c r="M61" s="479"/>
      <c r="N61" s="450"/>
      <c r="O61" s="479"/>
      <c r="P61" s="450"/>
      <c r="Q61" s="479"/>
      <c r="R61" s="450"/>
      <c r="S61" s="486"/>
    </row>
    <row r="62" spans="1:22" x14ac:dyDescent="0.25">
      <c r="A62" s="34" t="s">
        <v>183</v>
      </c>
      <c r="B62" s="34"/>
      <c r="C62" s="34"/>
      <c r="D62" s="152" t="str">
        <f t="shared" ref="D62:D64" si="27">"  "&amp;UPPER(MID(A62,FIND("]",A62)+1,LEN(A62)-FIND("]",A62)+1))</f>
        <v xml:space="preserve">   BONDS &amp; MORTGAGES PAYABLE</v>
      </c>
      <c r="E62" s="153">
        <v>8535000</v>
      </c>
      <c r="F62" s="153">
        <v>8065000</v>
      </c>
      <c r="G62" s="567">
        <f t="shared" si="1"/>
        <v>-5.5067369654364429E-2</v>
      </c>
      <c r="H62" s="153">
        <v>7595000</v>
      </c>
      <c r="I62" s="478">
        <f t="shared" si="25"/>
        <v>-5.8276503409795399E-2</v>
      </c>
      <c r="J62" s="449">
        <v>10360540</v>
      </c>
      <c r="K62" s="478">
        <f t="shared" si="26"/>
        <v>0.36412639894667542</v>
      </c>
      <c r="L62" s="449">
        <v>8361302</v>
      </c>
      <c r="M62" s="478">
        <f t="shared" si="2"/>
        <v>0.10089558920342334</v>
      </c>
      <c r="N62" s="449">
        <v>7340766</v>
      </c>
      <c r="O62" s="478">
        <f t="shared" si="26"/>
        <v>-0.12205467521685021</v>
      </c>
      <c r="P62" s="449">
        <v>6380866</v>
      </c>
      <c r="Q62" s="478">
        <f t="shared" si="26"/>
        <v>-0.13076292038187842</v>
      </c>
      <c r="R62" s="449">
        <v>5404686</v>
      </c>
      <c r="S62" s="484">
        <f t="shared" si="26"/>
        <v>-0.15298550384853715</v>
      </c>
    </row>
    <row r="63" spans="1:22" x14ac:dyDescent="0.25">
      <c r="A63" s="34" t="s">
        <v>184</v>
      </c>
      <c r="B63" s="34"/>
      <c r="C63" s="34"/>
      <c r="D63" s="152" t="str">
        <f t="shared" si="27"/>
        <v xml:space="preserve">   CAPITAL LEASE OBLIGATIONS</v>
      </c>
      <c r="E63" s="153">
        <v>0</v>
      </c>
      <c r="F63" s="153">
        <v>0</v>
      </c>
      <c r="G63" s="567" t="str">
        <f t="shared" si="1"/>
        <v>n/a</v>
      </c>
      <c r="H63" s="153">
        <v>0</v>
      </c>
      <c r="I63" s="478" t="str">
        <f t="shared" si="25"/>
        <v>n/a</v>
      </c>
      <c r="J63" s="449"/>
      <c r="K63" s="478" t="str">
        <f t="shared" si="26"/>
        <v>n/a</v>
      </c>
      <c r="L63" s="449"/>
      <c r="M63" s="478" t="str">
        <f t="shared" si="2"/>
        <v>n/a</v>
      </c>
      <c r="N63" s="449"/>
      <c r="O63" s="478" t="str">
        <f t="shared" si="26"/>
        <v>n/a</v>
      </c>
      <c r="P63" s="449"/>
      <c r="Q63" s="478" t="str">
        <f t="shared" si="26"/>
        <v>n/a</v>
      </c>
      <c r="R63" s="449"/>
      <c r="S63" s="484" t="str">
        <f t="shared" si="26"/>
        <v>n/a</v>
      </c>
    </row>
    <row r="64" spans="1:22" x14ac:dyDescent="0.25">
      <c r="A64" s="34" t="s">
        <v>185</v>
      </c>
      <c r="B64" s="34"/>
      <c r="C64" s="34"/>
      <c r="D64" s="152" t="str">
        <f t="shared" si="27"/>
        <v xml:space="preserve">   OTHER LONG-TERM DEBT</v>
      </c>
      <c r="E64" s="153">
        <v>605024.48</v>
      </c>
      <c r="F64" s="153">
        <v>656762.31000000006</v>
      </c>
      <c r="G64" s="567">
        <f t="shared" si="1"/>
        <v>8.5513614259046244E-2</v>
      </c>
      <c r="H64" s="153">
        <v>662527</v>
      </c>
      <c r="I64" s="478">
        <f t="shared" si="25"/>
        <v>8.7774373045248488E-3</v>
      </c>
      <c r="J64" s="449">
        <v>153262</v>
      </c>
      <c r="K64" s="478">
        <f t="shared" si="26"/>
        <v>-0.76867055984133481</v>
      </c>
      <c r="L64" s="449">
        <v>0</v>
      </c>
      <c r="M64" s="478">
        <f t="shared" si="2"/>
        <v>-1</v>
      </c>
      <c r="N64" s="449">
        <v>0</v>
      </c>
      <c r="O64" s="478" t="str">
        <f t="shared" si="26"/>
        <v>n/a</v>
      </c>
      <c r="P64" s="449">
        <v>0</v>
      </c>
      <c r="Q64" s="478" t="str">
        <f t="shared" si="26"/>
        <v>n/a</v>
      </c>
      <c r="R64" s="449">
        <v>0</v>
      </c>
      <c r="S64" s="484" t="str">
        <f t="shared" si="26"/>
        <v>n/a</v>
      </c>
    </row>
    <row r="65" spans="1:19" x14ac:dyDescent="0.25">
      <c r="A65" s="34"/>
      <c r="B65" s="34"/>
      <c r="C65" s="34"/>
      <c r="D65" s="152"/>
      <c r="E65" s="153"/>
      <c r="F65" s="153"/>
      <c r="G65" s="568" t="str">
        <f t="shared" si="1"/>
        <v>n/a</v>
      </c>
      <c r="H65" s="153"/>
      <c r="I65" s="479" t="str">
        <f t="shared" si="25"/>
        <v>n/a</v>
      </c>
      <c r="J65" s="450"/>
      <c r="K65" s="479" t="str">
        <f t="shared" si="26"/>
        <v>n/a</v>
      </c>
      <c r="L65" s="450"/>
      <c r="M65" s="479" t="str">
        <f t="shared" si="2"/>
        <v>n/a</v>
      </c>
      <c r="N65" s="450"/>
      <c r="O65" s="479" t="str">
        <f t="shared" si="26"/>
        <v>n/a</v>
      </c>
      <c r="P65" s="450"/>
      <c r="Q65" s="479" t="str">
        <f t="shared" si="26"/>
        <v>n/a</v>
      </c>
      <c r="R65" s="450"/>
      <c r="S65" s="486" t="str">
        <f t="shared" si="26"/>
        <v>n/a</v>
      </c>
    </row>
    <row r="66" spans="1:19" x14ac:dyDescent="0.25">
      <c r="A66" s="168"/>
      <c r="B66" s="168"/>
      <c r="C66" s="168"/>
      <c r="D66" s="169" t="s">
        <v>186</v>
      </c>
      <c r="E66" s="170">
        <v>9140024.4800000004</v>
      </c>
      <c r="F66" s="170">
        <v>8721762.3100000005</v>
      </c>
      <c r="G66" s="480">
        <f t="shared" si="1"/>
        <v>-4.5761602817939062E-2</v>
      </c>
      <c r="H66" s="551">
        <f>SUM(H61:H65)</f>
        <v>8257527</v>
      </c>
      <c r="I66" s="477">
        <f t="shared" si="25"/>
        <v>-5.3227237053654619E-2</v>
      </c>
      <c r="J66" s="551">
        <f>SUM(J61:J65)</f>
        <v>10513802</v>
      </c>
      <c r="K66" s="477">
        <f t="shared" si="26"/>
        <v>0.27323858583810878</v>
      </c>
      <c r="L66" s="551">
        <f>SUM(L61:L65)</f>
        <v>8361302</v>
      </c>
      <c r="M66" s="480">
        <f t="shared" si="2"/>
        <v>1.2567321911269635E-2</v>
      </c>
      <c r="N66" s="551">
        <f>SUM(N61:N65)</f>
        <v>7340766</v>
      </c>
      <c r="O66" s="477">
        <f t="shared" si="26"/>
        <v>-0.12205467521685021</v>
      </c>
      <c r="P66" s="551">
        <f>SUM(P61:P65)</f>
        <v>6380866</v>
      </c>
      <c r="Q66" s="477">
        <f t="shared" si="26"/>
        <v>-0.13076292038187842</v>
      </c>
      <c r="R66" s="551">
        <f>SUM(R61:R65)</f>
        <v>5404686</v>
      </c>
      <c r="S66" s="485">
        <f t="shared" si="26"/>
        <v>-0.15298550384853715</v>
      </c>
    </row>
    <row r="67" spans="1:19" ht="9.6" customHeight="1" x14ac:dyDescent="0.25">
      <c r="A67" s="34"/>
      <c r="B67" s="34"/>
      <c r="C67" s="34"/>
      <c r="D67" s="152"/>
      <c r="E67" s="153"/>
      <c r="F67" s="153"/>
      <c r="G67" s="568"/>
      <c r="H67" s="153"/>
      <c r="I67" s="479"/>
      <c r="J67" s="450"/>
      <c r="K67" s="479"/>
      <c r="L67" s="450"/>
      <c r="M67" s="479"/>
      <c r="N67" s="450"/>
      <c r="O67" s="479"/>
      <c r="P67" s="450"/>
      <c r="Q67" s="479"/>
      <c r="R67" s="450"/>
      <c r="S67" s="486"/>
    </row>
    <row r="68" spans="1:19" x14ac:dyDescent="0.25">
      <c r="A68" s="147" t="s">
        <v>187</v>
      </c>
      <c r="B68" s="34"/>
      <c r="C68" s="34"/>
      <c r="D68" s="152" t="str">
        <f>"  "&amp;UPPER(MID(A68,FIND("]",A68)+1,LEN(A68)-FIND("]",A68)+1))</f>
        <v xml:space="preserve">   OTHER NONCURRENT LIABILITIES</v>
      </c>
      <c r="E68" s="153">
        <v>0</v>
      </c>
      <c r="F68" s="153">
        <v>0</v>
      </c>
      <c r="G68" s="567" t="str">
        <f t="shared" si="1"/>
        <v>n/a</v>
      </c>
      <c r="H68" s="153">
        <v>0</v>
      </c>
      <c r="I68" s="478" t="str">
        <f t="shared" si="25"/>
        <v>n/a</v>
      </c>
      <c r="J68" s="449"/>
      <c r="K68" s="478" t="str">
        <f t="shared" si="26"/>
        <v>n/a</v>
      </c>
      <c r="L68" s="449"/>
      <c r="M68" s="478" t="str">
        <f t="shared" si="2"/>
        <v>n/a</v>
      </c>
      <c r="N68" s="449"/>
      <c r="O68" s="478" t="str">
        <f t="shared" si="26"/>
        <v>n/a</v>
      </c>
      <c r="P68" s="449"/>
      <c r="Q68" s="478" t="str">
        <f t="shared" si="26"/>
        <v>n/a</v>
      </c>
      <c r="R68" s="449"/>
      <c r="S68" s="484" t="str">
        <f t="shared" si="26"/>
        <v>n/a</v>
      </c>
    </row>
    <row r="69" spans="1:19" ht="9.6" customHeight="1" x14ac:dyDescent="0.25">
      <c r="A69" s="34"/>
      <c r="B69" s="34"/>
      <c r="C69" s="34"/>
      <c r="D69" s="152"/>
      <c r="E69" s="153"/>
      <c r="F69" s="153"/>
      <c r="G69" s="568"/>
      <c r="H69" s="153"/>
      <c r="I69" s="479"/>
      <c r="J69" s="450"/>
      <c r="K69" s="479"/>
      <c r="L69" s="450"/>
      <c r="M69" s="479"/>
      <c r="N69" s="450"/>
      <c r="O69" s="479"/>
      <c r="P69" s="450"/>
      <c r="Q69" s="479"/>
      <c r="R69" s="450"/>
      <c r="S69" s="486"/>
    </row>
    <row r="70" spans="1:19" s="177" customFormat="1" ht="13.8" thickBot="1" x14ac:dyDescent="0.3">
      <c r="A70" s="172"/>
      <c r="B70" s="172"/>
      <c r="C70" s="172"/>
      <c r="D70" s="173" t="s">
        <v>188</v>
      </c>
      <c r="E70" s="174">
        <v>22823891</v>
      </c>
      <c r="F70" s="174">
        <v>22974229.719999999</v>
      </c>
      <c r="G70" s="481">
        <f t="shared" si="1"/>
        <v>6.5869014183426167E-3</v>
      </c>
      <c r="H70" s="451">
        <f t="shared" ref="H70:L70" si="28">H59+H66+H68</f>
        <v>21127894</v>
      </c>
      <c r="I70" s="481">
        <f t="shared" si="25"/>
        <v>-8.0365511379591026E-2</v>
      </c>
      <c r="J70" s="451">
        <f t="shared" si="28"/>
        <v>25865047</v>
      </c>
      <c r="K70" s="481">
        <f t="shared" si="26"/>
        <v>0.22421321311059206</v>
      </c>
      <c r="L70" s="451">
        <f t="shared" si="28"/>
        <v>22540424</v>
      </c>
      <c r="M70" s="481">
        <f t="shared" si="2"/>
        <v>6.6856166544569051E-2</v>
      </c>
      <c r="N70" s="451">
        <f>N59+N66+N68</f>
        <v>21805800</v>
      </c>
      <c r="O70" s="481">
        <f t="shared" si="26"/>
        <v>-3.2591401120049879E-2</v>
      </c>
      <c r="P70" s="451">
        <f>P59+P66+P68</f>
        <v>21125316</v>
      </c>
      <c r="Q70" s="481">
        <f t="shared" si="26"/>
        <v>-3.1206559722642635E-2</v>
      </c>
      <c r="R70" s="451">
        <f>R59+R66+R68</f>
        <v>20414093</v>
      </c>
      <c r="S70" s="488">
        <f t="shared" si="26"/>
        <v>-3.3666857338370715E-2</v>
      </c>
    </row>
    <row r="71" spans="1:19" ht="9" customHeight="1" thickTop="1" x14ac:dyDescent="0.25">
      <c r="A71" s="34"/>
      <c r="B71" s="34"/>
      <c r="C71" s="34"/>
      <c r="D71" s="152"/>
      <c r="E71" s="153"/>
      <c r="F71" s="153"/>
      <c r="G71" s="568"/>
      <c r="H71" s="153"/>
      <c r="I71" s="479"/>
      <c r="J71" s="450"/>
      <c r="K71" s="479"/>
      <c r="L71" s="450"/>
      <c r="M71" s="479"/>
      <c r="N71" s="450"/>
      <c r="O71" s="479"/>
      <c r="P71" s="450"/>
      <c r="Q71" s="479"/>
      <c r="R71" s="450"/>
      <c r="S71" s="486"/>
    </row>
    <row r="72" spans="1:19" x14ac:dyDescent="0.25">
      <c r="A72" s="34" t="s">
        <v>189</v>
      </c>
      <c r="B72" s="34"/>
      <c r="C72" s="34"/>
      <c r="D72" s="152" t="str">
        <f>"  "&amp;UPPER(MID(A72,FIND("]",A72)+1,LEN(A72)-FIND("]",A72)+1))</f>
        <v xml:space="preserve">   FUND BALANCE</v>
      </c>
      <c r="E72" s="153">
        <v>52225634.639999993</v>
      </c>
      <c r="F72" s="153">
        <v>55850916.669999965</v>
      </c>
      <c r="G72" s="567">
        <f t="shared" si="1"/>
        <v>6.9415758276364592E-2</v>
      </c>
      <c r="H72" s="153">
        <v>53419726.000000052</v>
      </c>
      <c r="I72" s="478">
        <f t="shared" si="25"/>
        <v>-4.3530004786936916E-2</v>
      </c>
      <c r="J72" s="449">
        <f>56760887+933615+1</f>
        <v>57694503</v>
      </c>
      <c r="K72" s="478">
        <f t="shared" si="26"/>
        <v>8.002244339478537E-2</v>
      </c>
      <c r="L72" s="449">
        <v>55705781</v>
      </c>
      <c r="M72" s="478">
        <f t="shared" si="2"/>
        <v>4.279421051317156E-2</v>
      </c>
      <c r="N72" s="449">
        <f>58101816-1</f>
        <v>58101815</v>
      </c>
      <c r="O72" s="478">
        <f t="shared" si="26"/>
        <v>4.3012304234635979E-2</v>
      </c>
      <c r="P72" s="449">
        <v>61046063</v>
      </c>
      <c r="Q72" s="478">
        <f t="shared" si="26"/>
        <v>5.0673941941400624E-2</v>
      </c>
      <c r="R72" s="449">
        <f>63869525-3</f>
        <v>63869522</v>
      </c>
      <c r="S72" s="484">
        <f t="shared" si="26"/>
        <v>4.6251287327079504E-2</v>
      </c>
    </row>
    <row r="73" spans="1:19" ht="4.8" customHeight="1" x14ac:dyDescent="0.25">
      <c r="A73" s="34"/>
      <c r="B73" s="34"/>
      <c r="C73" s="34"/>
      <c r="D73" s="152"/>
      <c r="E73" s="153"/>
      <c r="F73" s="153"/>
      <c r="G73" s="568"/>
      <c r="H73" s="153"/>
      <c r="I73" s="479"/>
      <c r="J73" s="450"/>
      <c r="K73" s="479"/>
      <c r="L73" s="450"/>
      <c r="M73" s="479"/>
      <c r="N73" s="450"/>
      <c r="O73" s="479"/>
      <c r="P73" s="450"/>
      <c r="Q73" s="479"/>
      <c r="R73" s="450"/>
      <c r="S73" s="486"/>
    </row>
    <row r="74" spans="1:19" ht="13.8" thickBot="1" x14ac:dyDescent="0.3">
      <c r="A74" s="178"/>
      <c r="B74" s="178"/>
      <c r="C74" s="178"/>
      <c r="D74" s="179" t="s">
        <v>190</v>
      </c>
      <c r="E74" s="180">
        <v>75049525.639999986</v>
      </c>
      <c r="F74" s="180">
        <v>78825146.389999956</v>
      </c>
      <c r="G74" s="483">
        <f t="shared" si="1"/>
        <v>5.0308389264323905E-2</v>
      </c>
      <c r="H74" s="452">
        <f t="shared" ref="H74" si="29">H70+H72</f>
        <v>74547620.00000006</v>
      </c>
      <c r="I74" s="483">
        <f t="shared" si="25"/>
        <v>-5.4266012635563743E-2</v>
      </c>
      <c r="J74" s="452">
        <f t="shared" ref="J74:L74" si="30">J70+J72</f>
        <v>83559550</v>
      </c>
      <c r="K74" s="483">
        <f t="shared" si="26"/>
        <v>0.12088823224671597</v>
      </c>
      <c r="L74" s="452">
        <f t="shared" si="30"/>
        <v>78246205</v>
      </c>
      <c r="M74" s="483">
        <f t="shared" si="2"/>
        <v>4.9613723415984801E-2</v>
      </c>
      <c r="N74" s="452">
        <f t="shared" ref="N74:P74" si="31">SUM(N70:N73)</f>
        <v>79907615</v>
      </c>
      <c r="O74" s="483">
        <f t="shared" si="26"/>
        <v>2.1233106449060291E-2</v>
      </c>
      <c r="P74" s="452">
        <f t="shared" si="31"/>
        <v>82171379</v>
      </c>
      <c r="Q74" s="483">
        <f t="shared" si="26"/>
        <v>2.8329765567399301E-2</v>
      </c>
      <c r="R74" s="452">
        <f t="shared" ref="R74" si="32">SUM(R70:R73)</f>
        <v>84283615</v>
      </c>
      <c r="S74" s="490">
        <f t="shared" si="26"/>
        <v>2.5705251946666285E-2</v>
      </c>
    </row>
    <row r="75" spans="1:19" ht="3" customHeight="1" thickTop="1" x14ac:dyDescent="0.25">
      <c r="A75" s="34"/>
      <c r="B75" s="34"/>
      <c r="C75" s="34"/>
      <c r="D75" s="34"/>
      <c r="E75" s="456">
        <f>+E47-E74</f>
        <v>0.25000002980232239</v>
      </c>
      <c r="F75" s="456">
        <f>+F47-F74</f>
        <v>-9.9999606609344482E-3</v>
      </c>
      <c r="G75" s="456"/>
      <c r="H75" s="456">
        <f>+H47-H74</f>
        <v>0</v>
      </c>
      <c r="J75" s="456">
        <f>+J47-J74</f>
        <v>0</v>
      </c>
      <c r="L75" s="456">
        <f>+L47-L74</f>
        <v>0</v>
      </c>
      <c r="N75" s="456">
        <f>+N47-N74</f>
        <v>0</v>
      </c>
      <c r="P75" s="456">
        <f>+P47-P74</f>
        <v>0</v>
      </c>
      <c r="R75" s="456">
        <f>+R47-R74</f>
        <v>0</v>
      </c>
    </row>
    <row r="76" spans="1:19" ht="13.8" thickBot="1" x14ac:dyDescent="0.3">
      <c r="A76" s="34"/>
      <c r="B76" s="34"/>
      <c r="C76" s="34"/>
      <c r="D76" s="34"/>
      <c r="E76" s="153"/>
    </row>
    <row r="77" spans="1:19" ht="22.8" customHeight="1" thickBot="1" x14ac:dyDescent="0.3">
      <c r="D77" s="623" t="str">
        <f>+D3</f>
        <v>Modernization Project</v>
      </c>
      <c r="E77" s="624"/>
      <c r="F77" s="624"/>
      <c r="G77" s="624"/>
      <c r="H77" s="624"/>
      <c r="I77" s="624"/>
      <c r="J77" s="624"/>
      <c r="K77" s="624"/>
      <c r="L77" s="624"/>
      <c r="M77" s="624"/>
      <c r="N77" s="624"/>
      <c r="O77" s="624"/>
      <c r="P77" s="624"/>
      <c r="Q77" s="624"/>
      <c r="R77" s="624"/>
      <c r="S77" s="625"/>
    </row>
    <row r="78" spans="1:19" ht="15" customHeight="1" x14ac:dyDescent="0.3">
      <c r="D78" s="626" t="s">
        <v>54</v>
      </c>
      <c r="E78" s="627"/>
      <c r="F78" s="627"/>
      <c r="G78" s="627"/>
      <c r="H78" s="627"/>
      <c r="I78" s="627"/>
      <c r="J78" s="627"/>
      <c r="K78" s="627"/>
      <c r="L78" s="627"/>
      <c r="M78" s="627"/>
      <c r="N78" s="627"/>
      <c r="O78" s="627"/>
      <c r="P78" s="627"/>
      <c r="Q78" s="627"/>
      <c r="R78" s="627"/>
      <c r="S78" s="628"/>
    </row>
    <row r="79" spans="1:19" ht="20.25" customHeight="1" x14ac:dyDescent="0.4">
      <c r="D79" s="610" t="str">
        <f>+D5</f>
        <v>Balance Sheet-Table 4</v>
      </c>
      <c r="E79" s="590"/>
      <c r="F79" s="590"/>
      <c r="G79" s="590"/>
      <c r="H79" s="590"/>
      <c r="I79" s="590"/>
      <c r="J79" s="590"/>
      <c r="K79" s="590"/>
      <c r="L79" s="590"/>
      <c r="M79" s="590"/>
      <c r="N79" s="590"/>
      <c r="O79" s="590"/>
      <c r="P79" s="590"/>
      <c r="Q79" s="590"/>
      <c r="R79" s="590"/>
      <c r="S79" s="615"/>
    </row>
    <row r="80" spans="1:19" ht="26.25" customHeight="1" x14ac:dyDescent="0.3">
      <c r="A80" s="155"/>
      <c r="B80" s="155"/>
      <c r="C80" s="155"/>
      <c r="D80" s="620" t="s">
        <v>49</v>
      </c>
      <c r="E80" s="621"/>
      <c r="F80" s="621"/>
      <c r="G80" s="621"/>
      <c r="H80" s="621"/>
      <c r="I80" s="621"/>
      <c r="J80" s="621"/>
      <c r="K80" s="621"/>
      <c r="L80" s="621"/>
      <c r="M80" s="621"/>
      <c r="N80" s="621"/>
      <c r="O80" s="621"/>
      <c r="P80" s="621"/>
      <c r="Q80" s="621"/>
      <c r="R80" s="621"/>
      <c r="S80" s="622"/>
    </row>
    <row r="81" spans="1:19" ht="3.75" customHeight="1" x14ac:dyDescent="0.25">
      <c r="D81" s="152"/>
      <c r="E81" s="153"/>
      <c r="S81" s="182"/>
    </row>
    <row r="82" spans="1:19" x14ac:dyDescent="0.25">
      <c r="A82" s="156"/>
      <c r="B82" s="32"/>
      <c r="C82" s="156"/>
      <c r="D82" s="157"/>
      <c r="E82" s="183" t="str">
        <f>+E7</f>
        <v>2014</v>
      </c>
      <c r="F82" s="183" t="str">
        <f t="shared" ref="F82:S83" si="33">+F7</f>
        <v>2015</v>
      </c>
      <c r="G82" s="183"/>
      <c r="H82" s="554">
        <f t="shared" ref="H82" si="34">+H7</f>
        <v>2016</v>
      </c>
      <c r="I82" s="183"/>
      <c r="J82" s="183" t="str">
        <f t="shared" si="33"/>
        <v>2016</v>
      </c>
      <c r="K82" s="183"/>
      <c r="L82" s="159">
        <f t="shared" si="33"/>
        <v>2017</v>
      </c>
      <c r="M82" s="259"/>
      <c r="N82" s="159">
        <f t="shared" si="33"/>
        <v>2018</v>
      </c>
      <c r="O82" s="259"/>
      <c r="P82" s="159">
        <v>2019</v>
      </c>
      <c r="Q82" s="259"/>
      <c r="R82" s="159">
        <f t="shared" si="33"/>
        <v>2020</v>
      </c>
      <c r="S82" s="493"/>
    </row>
    <row r="83" spans="1:19" ht="39.6" x14ac:dyDescent="0.25">
      <c r="A83" s="32"/>
      <c r="B83" s="156"/>
      <c r="C83" s="156"/>
      <c r="D83" s="157"/>
      <c r="E83" s="575" t="str">
        <f>+E8</f>
        <v>Actual</v>
      </c>
      <c r="F83" s="575" t="str">
        <f t="shared" si="33"/>
        <v>Actual</v>
      </c>
      <c r="G83" s="575" t="str">
        <f t="shared" si="33"/>
        <v>% change</v>
      </c>
      <c r="H83" s="575" t="str">
        <f t="shared" ref="H83" si="35">+H8</f>
        <v>Budget</v>
      </c>
      <c r="I83" s="575" t="str">
        <f t="shared" si="33"/>
        <v>% change</v>
      </c>
      <c r="J83" s="575" t="str">
        <f t="shared" si="33"/>
        <v>Actual</v>
      </c>
      <c r="K83" s="575" t="str">
        <f t="shared" si="33"/>
        <v>% change from py Actual</v>
      </c>
      <c r="L83" s="572"/>
      <c r="M83" s="573" t="str">
        <f t="shared" si="33"/>
        <v>% change from py budget</v>
      </c>
      <c r="N83" s="572"/>
      <c r="O83" s="573" t="str">
        <f t="shared" si="33"/>
        <v>% change from py Projection</v>
      </c>
      <c r="P83" s="573"/>
      <c r="Q83" s="573" t="str">
        <f t="shared" si="33"/>
        <v>% change from py Projection</v>
      </c>
      <c r="R83" s="572"/>
      <c r="S83" s="576" t="str">
        <f t="shared" si="33"/>
        <v>% change from py Projection</v>
      </c>
    </row>
    <row r="84" spans="1:19" x14ac:dyDescent="0.25">
      <c r="A84" s="34"/>
      <c r="B84" s="34"/>
      <c r="C84" s="34"/>
      <c r="D84" s="152" t="s">
        <v>147</v>
      </c>
      <c r="E84" s="153"/>
      <c r="M84" s="491"/>
      <c r="S84" s="154"/>
    </row>
    <row r="85" spans="1:19" x14ac:dyDescent="0.25">
      <c r="A85" s="34"/>
      <c r="B85" s="34"/>
      <c r="C85" s="34"/>
      <c r="D85" s="152"/>
      <c r="E85" s="153"/>
      <c r="M85" s="491"/>
      <c r="S85" s="154"/>
    </row>
    <row r="86" spans="1:19" outlineLevel="1" x14ac:dyDescent="0.25">
      <c r="A86" s="34"/>
      <c r="B86" s="34"/>
      <c r="C86" s="34"/>
      <c r="D86" s="152" t="s">
        <v>148</v>
      </c>
      <c r="E86" s="153"/>
      <c r="M86" s="491"/>
      <c r="S86" s="154"/>
    </row>
    <row r="87" spans="1:19" outlineLevel="1" x14ac:dyDescent="0.25">
      <c r="A87" s="34"/>
      <c r="B87" s="34"/>
      <c r="C87" s="34"/>
      <c r="D87" s="152" t="s">
        <v>191</v>
      </c>
      <c r="E87" s="153"/>
      <c r="F87" s="153"/>
      <c r="G87" s="567" t="str">
        <f>IF(E87=0,"n/a",+(F87/E87)-1)</f>
        <v>n/a</v>
      </c>
      <c r="H87" s="153"/>
      <c r="I87" s="478" t="str">
        <f>IF(F87=0,"n/a",+(H87/F87)-1)</f>
        <v>n/a</v>
      </c>
      <c r="J87" s="153"/>
      <c r="K87" s="166"/>
      <c r="L87" s="450">
        <f>+L161-L13</f>
        <v>-76645</v>
      </c>
      <c r="M87" s="478" t="str">
        <f>IF(H87=0,"n/a",+(L87/H87)-1)</f>
        <v>n/a</v>
      </c>
      <c r="N87" s="450">
        <f>+N161-N13</f>
        <v>-347550</v>
      </c>
      <c r="O87" s="478">
        <f>IF(L87=0,"n/a",+(N87/L87)-1)</f>
        <v>3.5345423706699721</v>
      </c>
      <c r="P87" s="450">
        <f>+P161-P13</f>
        <v>-398711</v>
      </c>
      <c r="Q87" s="478">
        <f>IF(N87=0,"n/a",+(P87/N87)-1)</f>
        <v>0.14720471874550434</v>
      </c>
      <c r="R87" s="450">
        <f>+R161-R13</f>
        <v>-1766972</v>
      </c>
      <c r="S87" s="484">
        <f>IF(P87=0,"n/a",+(R87/P87)-1)</f>
        <v>3.4317111893075438</v>
      </c>
    </row>
    <row r="88" spans="1:19" outlineLevel="1" x14ac:dyDescent="0.25">
      <c r="A88" s="34"/>
      <c r="B88" s="34"/>
      <c r="C88" s="34"/>
      <c r="D88" s="152" t="s">
        <v>192</v>
      </c>
      <c r="E88" s="153"/>
      <c r="F88" s="153"/>
      <c r="G88" s="567" t="str">
        <f t="shared" ref="G88:G148" si="36">IF(E88=0,"n/a",+(F88/E88)-1)</f>
        <v>n/a</v>
      </c>
      <c r="H88" s="153"/>
      <c r="I88" s="478" t="str">
        <f>IF(F88=0,"n/a",+(H88/F88)-1)</f>
        <v>n/a</v>
      </c>
      <c r="J88" s="153"/>
      <c r="K88" s="166"/>
      <c r="L88" s="450">
        <f>+L162-L14</f>
        <v>0</v>
      </c>
      <c r="M88" s="478" t="str">
        <f t="shared" ref="M88:M148" si="37">IF(H88=0,"n/a",+(L88/H88)-1)</f>
        <v>n/a</v>
      </c>
      <c r="N88" s="450">
        <f>+N162-N14</f>
        <v>-123686</v>
      </c>
      <c r="O88" s="478" t="str">
        <f>IF(L88=0,"n/a",+(N88/L88)-1)</f>
        <v>n/a</v>
      </c>
      <c r="P88" s="450">
        <f>+P162-P14</f>
        <v>-112175</v>
      </c>
      <c r="Q88" s="478">
        <f>IF(N88=0,"n/a",+(P88/N88)-1)</f>
        <v>-9.3066313083129848E-2</v>
      </c>
      <c r="R88" s="450">
        <f>+R162-R14</f>
        <v>-115239</v>
      </c>
      <c r="S88" s="484">
        <f>IF(P88=0,"n/a",+(R88/P88)-1)</f>
        <v>2.7314464007131667E-2</v>
      </c>
    </row>
    <row r="89" spans="1:19" outlineLevel="1" x14ac:dyDescent="0.25">
      <c r="A89" s="34"/>
      <c r="B89" s="34"/>
      <c r="C89" s="34"/>
      <c r="D89" s="152" t="s">
        <v>193</v>
      </c>
      <c r="E89" s="153"/>
      <c r="F89" s="153"/>
      <c r="G89" s="567" t="str">
        <f t="shared" si="36"/>
        <v>n/a</v>
      </c>
      <c r="H89" s="153"/>
      <c r="I89" s="478" t="str">
        <f>IF(F89=0,"n/a",+(H89/F89)-1)</f>
        <v>n/a</v>
      </c>
      <c r="J89" s="153"/>
      <c r="K89" s="166"/>
      <c r="L89" s="450">
        <f>+L163-L15</f>
        <v>0</v>
      </c>
      <c r="M89" s="478" t="str">
        <f t="shared" si="37"/>
        <v>n/a</v>
      </c>
      <c r="N89" s="450">
        <f>+N163-N15</f>
        <v>61843</v>
      </c>
      <c r="O89" s="478" t="str">
        <f>IF(L89=0,"n/a",+(N89/L89)-1)</f>
        <v>n/a</v>
      </c>
      <c r="P89" s="450">
        <f>+P163-P15</f>
        <v>56087</v>
      </c>
      <c r="Q89" s="478">
        <f>IF(N89=0,"n/a",+(P89/N89)-1)</f>
        <v>-9.3074398072538478E-2</v>
      </c>
      <c r="R89" s="450">
        <f>+R163-R15</f>
        <v>57620</v>
      </c>
      <c r="S89" s="484">
        <f>IF(P89=0,"n/a",+(R89/P89)-1)</f>
        <v>2.7332536951521824E-2</v>
      </c>
    </row>
    <row r="90" spans="1:19" outlineLevel="1" x14ac:dyDescent="0.25">
      <c r="A90" s="34"/>
      <c r="B90" s="34"/>
      <c r="C90" s="34"/>
      <c r="D90" s="152" t="s">
        <v>194</v>
      </c>
      <c r="E90" s="153"/>
      <c r="F90" s="153"/>
      <c r="G90" s="567" t="str">
        <f t="shared" si="36"/>
        <v>n/a</v>
      </c>
      <c r="H90" s="153"/>
      <c r="I90" s="478" t="str">
        <f>IF(F90=0,"n/a",+(H90/F90)-1)</f>
        <v>n/a</v>
      </c>
      <c r="J90" s="153"/>
      <c r="K90" s="166"/>
      <c r="L90" s="450">
        <f>+L164-L16</f>
        <v>0</v>
      </c>
      <c r="M90" s="478" t="str">
        <f t="shared" si="37"/>
        <v>n/a</v>
      </c>
      <c r="N90" s="450">
        <f>+N164-N16</f>
        <v>0</v>
      </c>
      <c r="O90" s="478" t="str">
        <f>IF(L90=0,"n/a",+(N90/L90)-1)</f>
        <v>n/a</v>
      </c>
      <c r="P90" s="450">
        <f>+P164-P16</f>
        <v>0</v>
      </c>
      <c r="Q90" s="478" t="str">
        <f>IF(N90=0,"n/a",+(P90/N90)-1)</f>
        <v>n/a</v>
      </c>
      <c r="R90" s="450">
        <f>+R164-R16</f>
        <v>0</v>
      </c>
      <c r="S90" s="484" t="str">
        <f>IF(P90=0,"n/a",+(R90/P90)-1)</f>
        <v>n/a</v>
      </c>
    </row>
    <row r="91" spans="1:19" outlineLevel="1" x14ac:dyDescent="0.25">
      <c r="A91" s="34"/>
      <c r="B91" s="34"/>
      <c r="C91" s="34"/>
      <c r="D91" s="152" t="s">
        <v>195</v>
      </c>
      <c r="E91" s="153"/>
      <c r="F91" s="153"/>
      <c r="G91" s="567" t="str">
        <f t="shared" si="36"/>
        <v>n/a</v>
      </c>
      <c r="H91" s="153"/>
      <c r="I91" s="478" t="str">
        <f>IF(F91=0,"n/a",+(H91/F91)-1)</f>
        <v>n/a</v>
      </c>
      <c r="J91" s="153"/>
      <c r="K91" s="166"/>
      <c r="L91" s="450">
        <f>+L165-L17</f>
        <v>0</v>
      </c>
      <c r="M91" s="478" t="str">
        <f t="shared" si="37"/>
        <v>n/a</v>
      </c>
      <c r="N91" s="450">
        <f>+N165-N17</f>
        <v>0</v>
      </c>
      <c r="O91" s="478" t="str">
        <f>IF(L91=0,"n/a",+(N91/L91)-1)</f>
        <v>n/a</v>
      </c>
      <c r="P91" s="450">
        <f>+P165-P17</f>
        <v>2250</v>
      </c>
      <c r="Q91" s="478" t="str">
        <f>IF(N91=0,"n/a",+(P91/N91)-1)</f>
        <v>n/a</v>
      </c>
      <c r="R91" s="450">
        <f>+R165-R17</f>
        <v>2278</v>
      </c>
      <c r="S91" s="484">
        <f>IF(P91=0,"n/a",+(R91/P91)-1)</f>
        <v>1.244444444444448E-2</v>
      </c>
    </row>
    <row r="92" spans="1:19" outlineLevel="1" x14ac:dyDescent="0.25">
      <c r="A92" s="34"/>
      <c r="B92" s="34"/>
      <c r="C92" s="34"/>
      <c r="D92" s="152"/>
      <c r="E92" s="153"/>
      <c r="F92" s="153"/>
      <c r="G92" s="491" t="str">
        <f t="shared" si="36"/>
        <v>n/a</v>
      </c>
      <c r="H92" s="153"/>
      <c r="I92" s="537"/>
      <c r="L92" s="537"/>
      <c r="M92" s="479" t="str">
        <f t="shared" si="37"/>
        <v>n/a</v>
      </c>
      <c r="N92" s="537"/>
      <c r="O92" s="479"/>
      <c r="P92" s="537"/>
      <c r="Q92" s="479"/>
      <c r="R92" s="537"/>
      <c r="S92" s="486"/>
    </row>
    <row r="93" spans="1:19" x14ac:dyDescent="0.25">
      <c r="A93" s="168"/>
      <c r="B93" s="168"/>
      <c r="C93" s="168"/>
      <c r="D93" s="169" t="s">
        <v>154</v>
      </c>
      <c r="E93" s="170">
        <f>SUM(E86:E92)</f>
        <v>0</v>
      </c>
      <c r="F93" s="170">
        <f t="shared" ref="F93" si="38">SUM(F86:F92)</f>
        <v>0</v>
      </c>
      <c r="G93" s="480" t="str">
        <f t="shared" si="36"/>
        <v>n/a</v>
      </c>
      <c r="H93" s="170"/>
      <c r="I93" s="477" t="str">
        <f>IF(F93=0,"n/a",+(H93/F93)-1)</f>
        <v>n/a</v>
      </c>
      <c r="J93" s="551">
        <f t="shared" ref="J93" si="39">SUM(J86:J92)</f>
        <v>0</v>
      </c>
      <c r="K93" s="477"/>
      <c r="L93" s="551">
        <f>SUM(L86:L92)</f>
        <v>-76645</v>
      </c>
      <c r="M93" s="480" t="str">
        <f t="shared" si="37"/>
        <v>n/a</v>
      </c>
      <c r="N93" s="551">
        <f>SUM(N86:N92)</f>
        <v>-409393</v>
      </c>
      <c r="O93" s="477">
        <f>IF(L93=0,"n/a",+(N93/L93)-1)</f>
        <v>4.341418226890208</v>
      </c>
      <c r="P93" s="551">
        <f>SUM(P86:P92)</f>
        <v>-452549</v>
      </c>
      <c r="Q93" s="477">
        <f>IF(N93=0,"n/a",+(P93/N93)-1)</f>
        <v>0.10541460161751659</v>
      </c>
      <c r="R93" s="551">
        <f>SUM(R86:R92)</f>
        <v>-1822313</v>
      </c>
      <c r="S93" s="485">
        <f>IF(P93=0,"n/a",+(R93/P93)-1)</f>
        <v>3.0267750011600958</v>
      </c>
    </row>
    <row r="94" spans="1:19" x14ac:dyDescent="0.25">
      <c r="A94" s="34"/>
      <c r="B94" s="34"/>
      <c r="C94" s="34"/>
      <c r="D94" s="152"/>
      <c r="E94" s="153"/>
      <c r="F94" s="153"/>
      <c r="G94" s="568"/>
      <c r="H94" s="153"/>
      <c r="I94" s="537"/>
      <c r="J94" s="153"/>
      <c r="K94" s="153"/>
      <c r="L94" s="537"/>
      <c r="M94" s="479"/>
      <c r="N94" s="537"/>
      <c r="O94" s="479"/>
      <c r="P94" s="537"/>
      <c r="Q94" s="479"/>
      <c r="R94" s="537"/>
      <c r="S94" s="486"/>
    </row>
    <row r="95" spans="1:19" outlineLevel="2" x14ac:dyDescent="0.25">
      <c r="A95" s="34"/>
      <c r="B95" s="34"/>
      <c r="C95" s="34"/>
      <c r="D95" s="152" t="s">
        <v>155</v>
      </c>
      <c r="E95" s="153"/>
      <c r="F95" s="153"/>
      <c r="G95" s="567"/>
      <c r="H95" s="153"/>
      <c r="I95" s="478" t="str">
        <f t="shared" ref="I95:I100" si="40">IF(F95=0,"n/a",+(H95/F95)-1)</f>
        <v>n/a</v>
      </c>
      <c r="J95" s="153"/>
      <c r="K95" s="166"/>
      <c r="L95" s="537"/>
      <c r="M95" s="478" t="str">
        <f t="shared" si="37"/>
        <v>n/a</v>
      </c>
      <c r="N95" s="537"/>
      <c r="O95" s="478" t="str">
        <f t="shared" ref="O95:S100" si="41">IF(L95=0,"n/a",+(N95/L95)-1)</f>
        <v>n/a</v>
      </c>
      <c r="P95" s="537"/>
      <c r="Q95" s="478" t="str">
        <f t="shared" si="41"/>
        <v>n/a</v>
      </c>
      <c r="R95" s="537"/>
      <c r="S95" s="484" t="str">
        <f t="shared" si="41"/>
        <v>n/a</v>
      </c>
    </row>
    <row r="96" spans="1:19" outlineLevel="2" x14ac:dyDescent="0.25">
      <c r="A96" s="34"/>
      <c r="B96" s="34"/>
      <c r="C96" s="34"/>
      <c r="D96" s="152" t="s">
        <v>196</v>
      </c>
      <c r="E96" s="153"/>
      <c r="F96" s="153"/>
      <c r="G96" s="567" t="str">
        <f t="shared" si="36"/>
        <v>n/a</v>
      </c>
      <c r="H96" s="153"/>
      <c r="I96" s="478" t="str">
        <f t="shared" si="40"/>
        <v>n/a</v>
      </c>
      <c r="J96" s="153"/>
      <c r="K96" s="166"/>
      <c r="L96" s="450">
        <f>+L170-L22</f>
        <v>-4957657</v>
      </c>
      <c r="M96" s="478" t="str">
        <f t="shared" si="37"/>
        <v>n/a</v>
      </c>
      <c r="N96" s="450">
        <f>+N170-N22</f>
        <v>-12957657</v>
      </c>
      <c r="O96" s="478">
        <f t="shared" si="41"/>
        <v>1.6136654875478476</v>
      </c>
      <c r="P96" s="450">
        <f>+P170-P22</f>
        <v>-13957657</v>
      </c>
      <c r="Q96" s="478">
        <f t="shared" si="41"/>
        <v>7.7174445966581739E-2</v>
      </c>
      <c r="R96" s="450">
        <f>+R170-R22</f>
        <v>-13957657</v>
      </c>
      <c r="S96" s="484">
        <f t="shared" si="41"/>
        <v>0</v>
      </c>
    </row>
    <row r="97" spans="1:19" outlineLevel="2" x14ac:dyDescent="0.25">
      <c r="A97" s="34"/>
      <c r="B97" s="34"/>
      <c r="C97" s="34"/>
      <c r="D97" s="152" t="s">
        <v>197</v>
      </c>
      <c r="E97" s="153"/>
      <c r="F97" s="153"/>
      <c r="G97" s="567" t="str">
        <f t="shared" si="36"/>
        <v>n/a</v>
      </c>
      <c r="H97" s="153"/>
      <c r="I97" s="478" t="str">
        <f t="shared" si="40"/>
        <v>n/a</v>
      </c>
      <c r="J97" s="153"/>
      <c r="K97" s="166"/>
      <c r="L97" s="450">
        <f>+L171-L23</f>
        <v>0</v>
      </c>
      <c r="M97" s="478" t="str">
        <f t="shared" si="37"/>
        <v>n/a</v>
      </c>
      <c r="N97" s="450">
        <f>+N171-N23</f>
        <v>4000000</v>
      </c>
      <c r="O97" s="478" t="str">
        <f t="shared" si="41"/>
        <v>n/a</v>
      </c>
      <c r="P97" s="450">
        <f>+P171-P23</f>
        <v>0</v>
      </c>
      <c r="Q97" s="478">
        <f t="shared" si="41"/>
        <v>-1</v>
      </c>
      <c r="R97" s="450">
        <f>+R171-R23</f>
        <v>0</v>
      </c>
      <c r="S97" s="484" t="str">
        <f t="shared" si="41"/>
        <v>n/a</v>
      </c>
    </row>
    <row r="98" spans="1:19" outlineLevel="2" x14ac:dyDescent="0.25">
      <c r="A98" s="34"/>
      <c r="B98" s="34"/>
      <c r="C98" s="34"/>
      <c r="D98" s="152" t="s">
        <v>198</v>
      </c>
      <c r="E98" s="153"/>
      <c r="F98" s="153"/>
      <c r="G98" s="567" t="str">
        <f t="shared" si="36"/>
        <v>n/a</v>
      </c>
      <c r="H98" s="153"/>
      <c r="I98" s="478" t="str">
        <f t="shared" si="40"/>
        <v>n/a</v>
      </c>
      <c r="J98" s="153"/>
      <c r="K98" s="166"/>
      <c r="L98" s="450">
        <f>+L172-L24</f>
        <v>0</v>
      </c>
      <c r="M98" s="478" t="str">
        <f t="shared" si="37"/>
        <v>n/a</v>
      </c>
      <c r="N98" s="450">
        <f>+N172-N24</f>
        <v>0</v>
      </c>
      <c r="O98" s="478" t="str">
        <f t="shared" si="41"/>
        <v>n/a</v>
      </c>
      <c r="P98" s="450">
        <f>+P172-P24</f>
        <v>0</v>
      </c>
      <c r="Q98" s="478" t="str">
        <f t="shared" si="41"/>
        <v>n/a</v>
      </c>
      <c r="R98" s="450">
        <f>+R172-R24</f>
        <v>0</v>
      </c>
      <c r="S98" s="484" t="str">
        <f t="shared" si="41"/>
        <v>n/a</v>
      </c>
    </row>
    <row r="99" spans="1:19" outlineLevel="2" x14ac:dyDescent="0.25">
      <c r="A99" s="34"/>
      <c r="B99" s="34"/>
      <c r="C99" s="34"/>
      <c r="D99" s="152"/>
      <c r="E99" s="153"/>
      <c r="F99" s="153"/>
      <c r="G99" s="568" t="str">
        <f t="shared" si="36"/>
        <v>n/a</v>
      </c>
      <c r="H99" s="153"/>
      <c r="I99" s="479" t="str">
        <f t="shared" si="40"/>
        <v>n/a</v>
      </c>
      <c r="J99" s="153"/>
      <c r="K99" s="153"/>
      <c r="L99" s="537"/>
      <c r="M99" s="479" t="str">
        <f t="shared" si="37"/>
        <v>n/a</v>
      </c>
      <c r="N99" s="537"/>
      <c r="O99" s="479" t="str">
        <f t="shared" si="41"/>
        <v>n/a</v>
      </c>
      <c r="P99" s="537"/>
      <c r="Q99" s="479" t="str">
        <f t="shared" si="41"/>
        <v>n/a</v>
      </c>
      <c r="R99" s="537"/>
      <c r="S99" s="486" t="str">
        <f t="shared" si="41"/>
        <v>n/a</v>
      </c>
    </row>
    <row r="100" spans="1:19" x14ac:dyDescent="0.25">
      <c r="A100" s="168"/>
      <c r="B100" s="168"/>
      <c r="C100" s="168"/>
      <c r="D100" s="169" t="s">
        <v>159</v>
      </c>
      <c r="E100" s="170">
        <f>SUM(E96:E99)</f>
        <v>0</v>
      </c>
      <c r="F100" s="170">
        <f t="shared" ref="F100" si="42">SUM(F96:F99)</f>
        <v>0</v>
      </c>
      <c r="G100" s="480" t="str">
        <f t="shared" si="36"/>
        <v>n/a</v>
      </c>
      <c r="H100" s="170"/>
      <c r="I100" s="477" t="str">
        <f t="shared" si="40"/>
        <v>n/a</v>
      </c>
      <c r="J100" s="551">
        <f t="shared" ref="J100" si="43">SUM(J96:J99)</f>
        <v>0</v>
      </c>
      <c r="K100" s="477"/>
      <c r="L100" s="551">
        <f t="shared" ref="L100" si="44">SUM(L96:L99)</f>
        <v>-4957657</v>
      </c>
      <c r="M100" s="480" t="str">
        <f t="shared" si="37"/>
        <v>n/a</v>
      </c>
      <c r="N100" s="551">
        <f t="shared" ref="N100" si="45">SUM(N96:N99)</f>
        <v>-8957657</v>
      </c>
      <c r="O100" s="477">
        <f t="shared" si="41"/>
        <v>0.80683274377392378</v>
      </c>
      <c r="P100" s="551">
        <f t="shared" ref="P100" si="46">SUM(P96:P99)</f>
        <v>-13957657</v>
      </c>
      <c r="Q100" s="477">
        <f t="shared" si="41"/>
        <v>0.55818167630218474</v>
      </c>
      <c r="R100" s="551">
        <f t="shared" ref="R100" si="47">SUM(R96:R99)</f>
        <v>-13957657</v>
      </c>
      <c r="S100" s="485">
        <f t="shared" si="41"/>
        <v>0</v>
      </c>
    </row>
    <row r="101" spans="1:19" x14ac:dyDescent="0.25">
      <c r="A101" s="34"/>
      <c r="B101" s="34"/>
      <c r="C101" s="34"/>
      <c r="D101" s="152"/>
      <c r="E101" s="153"/>
      <c r="F101" s="153"/>
      <c r="G101" s="568"/>
      <c r="H101" s="153"/>
      <c r="I101" s="537"/>
      <c r="J101" s="153"/>
      <c r="K101" s="153"/>
      <c r="L101" s="537"/>
      <c r="M101" s="479"/>
      <c r="N101" s="537"/>
      <c r="O101" s="479"/>
      <c r="P101" s="537"/>
      <c r="Q101" s="479"/>
      <c r="R101" s="537"/>
      <c r="S101" s="486"/>
    </row>
    <row r="102" spans="1:19" outlineLevel="1" x14ac:dyDescent="0.25">
      <c r="A102" s="34"/>
      <c r="B102" s="34"/>
      <c r="C102" s="34"/>
      <c r="D102" s="152" t="s">
        <v>160</v>
      </c>
      <c r="E102" s="153"/>
      <c r="F102" s="153"/>
      <c r="G102" s="568"/>
      <c r="H102" s="153"/>
      <c r="I102" s="537"/>
      <c r="J102" s="153"/>
      <c r="K102" s="153"/>
      <c r="L102" s="537"/>
      <c r="M102" s="479"/>
      <c r="N102" s="537"/>
      <c r="O102" s="479"/>
      <c r="P102" s="537"/>
      <c r="Q102" s="479"/>
      <c r="R102" s="537"/>
      <c r="S102" s="486"/>
    </row>
    <row r="103" spans="1:19" outlineLevel="1" x14ac:dyDescent="0.25">
      <c r="A103" s="34"/>
      <c r="B103" s="34"/>
      <c r="C103" s="34"/>
      <c r="D103" s="152" t="s">
        <v>199</v>
      </c>
      <c r="E103" s="153"/>
      <c r="F103" s="153"/>
      <c r="G103" s="567" t="str">
        <f t="shared" si="36"/>
        <v>n/a</v>
      </c>
      <c r="H103" s="153"/>
      <c r="I103" s="478" t="str">
        <f t="shared" ref="I103:I108" si="48">IF(F103=0,"n/a",+(H103/F103)-1)</f>
        <v>n/a</v>
      </c>
      <c r="J103" s="153"/>
      <c r="K103" s="166"/>
      <c r="L103" s="450">
        <f>+L177-L29</f>
        <v>0</v>
      </c>
      <c r="M103" s="478" t="str">
        <f t="shared" si="37"/>
        <v>n/a</v>
      </c>
      <c r="N103" s="450">
        <f>+N177-N29</f>
        <v>0</v>
      </c>
      <c r="O103" s="478" t="str">
        <f t="shared" ref="O103:S108" si="49">IF(L103=0,"n/a",+(N103/L103)-1)</f>
        <v>n/a</v>
      </c>
      <c r="P103" s="450">
        <f>+P177-P29</f>
        <v>20098161</v>
      </c>
      <c r="Q103" s="478" t="str">
        <f t="shared" si="49"/>
        <v>n/a</v>
      </c>
      <c r="R103" s="450">
        <f>+R177-R29</f>
        <v>20098161</v>
      </c>
      <c r="S103" s="484">
        <f t="shared" si="49"/>
        <v>0</v>
      </c>
    </row>
    <row r="104" spans="1:19" outlineLevel="1" x14ac:dyDescent="0.25">
      <c r="A104" s="34"/>
      <c r="B104" s="34"/>
      <c r="C104" s="34"/>
      <c r="D104" s="152" t="s">
        <v>200</v>
      </c>
      <c r="E104" s="153"/>
      <c r="F104" s="153"/>
      <c r="G104" s="567" t="str">
        <f t="shared" si="36"/>
        <v>n/a</v>
      </c>
      <c r="H104" s="153"/>
      <c r="I104" s="478" t="str">
        <f t="shared" si="48"/>
        <v>n/a</v>
      </c>
      <c r="J104" s="153"/>
      <c r="K104" s="166"/>
      <c r="L104" s="450">
        <f>+L178-L30</f>
        <v>4957657</v>
      </c>
      <c r="M104" s="478" t="str">
        <f t="shared" si="37"/>
        <v>n/a</v>
      </c>
      <c r="N104" s="450">
        <f>+N178-N30</f>
        <v>18591213</v>
      </c>
      <c r="O104" s="478">
        <f t="shared" si="49"/>
        <v>2.7499998487188604</v>
      </c>
      <c r="P104" s="450">
        <f>+P178-P30</f>
        <v>0</v>
      </c>
      <c r="Q104" s="478">
        <f t="shared" si="49"/>
        <v>-1</v>
      </c>
      <c r="R104" s="450">
        <f>+R178-R30</f>
        <v>0</v>
      </c>
      <c r="S104" s="484" t="str">
        <f t="shared" si="49"/>
        <v>n/a</v>
      </c>
    </row>
    <row r="105" spans="1:19" outlineLevel="1" x14ac:dyDescent="0.25">
      <c r="A105" s="34"/>
      <c r="B105" s="34"/>
      <c r="C105" s="34"/>
      <c r="D105" s="152" t="s">
        <v>201</v>
      </c>
      <c r="E105" s="153"/>
      <c r="F105" s="153"/>
      <c r="G105" s="567" t="str">
        <f t="shared" si="36"/>
        <v>n/a</v>
      </c>
      <c r="H105" s="153"/>
      <c r="I105" s="478" t="str">
        <f t="shared" si="48"/>
        <v>n/a</v>
      </c>
      <c r="J105" s="153"/>
      <c r="K105" s="166"/>
      <c r="L105" s="450">
        <f>+L179-L31</f>
        <v>0</v>
      </c>
      <c r="M105" s="478" t="str">
        <f t="shared" si="37"/>
        <v>n/a</v>
      </c>
      <c r="N105" s="450">
        <f>+N179-N31</f>
        <v>0</v>
      </c>
      <c r="O105" s="478" t="str">
        <f t="shared" si="49"/>
        <v>n/a</v>
      </c>
      <c r="P105" s="450">
        <f>+P179-P31</f>
        <v>1705130</v>
      </c>
      <c r="Q105" s="478" t="str">
        <f t="shared" si="49"/>
        <v>n/a</v>
      </c>
      <c r="R105" s="450">
        <f>+R179-R31</f>
        <v>1705130</v>
      </c>
      <c r="S105" s="484">
        <f t="shared" si="49"/>
        <v>0</v>
      </c>
    </row>
    <row r="106" spans="1:19" outlineLevel="1" x14ac:dyDescent="0.25">
      <c r="A106" s="34"/>
      <c r="B106" s="34"/>
      <c r="C106" s="34"/>
      <c r="D106" s="152" t="s">
        <v>202</v>
      </c>
      <c r="E106" s="153"/>
      <c r="F106" s="153"/>
      <c r="G106" s="567" t="str">
        <f t="shared" si="36"/>
        <v>n/a</v>
      </c>
      <c r="H106" s="153"/>
      <c r="I106" s="478" t="str">
        <f t="shared" si="48"/>
        <v>n/a</v>
      </c>
      <c r="J106" s="153"/>
      <c r="K106" s="166"/>
      <c r="L106" s="450">
        <f>+L180-L32</f>
        <v>0</v>
      </c>
      <c r="M106" s="478" t="str">
        <f t="shared" si="37"/>
        <v>n/a</v>
      </c>
      <c r="N106" s="450">
        <f>+N180-N32</f>
        <v>-430000</v>
      </c>
      <c r="O106" s="478" t="str">
        <f t="shared" si="49"/>
        <v>n/a</v>
      </c>
      <c r="P106" s="450">
        <f>+P180-P32</f>
        <v>76165</v>
      </c>
      <c r="Q106" s="478">
        <f t="shared" si="49"/>
        <v>-1.1771279069767442</v>
      </c>
      <c r="R106" s="450">
        <f>+R180-R32</f>
        <v>76165</v>
      </c>
      <c r="S106" s="484">
        <f t="shared" si="49"/>
        <v>0</v>
      </c>
    </row>
    <row r="107" spans="1:19" x14ac:dyDescent="0.25">
      <c r="A107" s="34"/>
      <c r="B107" s="34"/>
      <c r="C107" s="34"/>
      <c r="D107" s="152"/>
      <c r="E107" s="153"/>
      <c r="F107" s="153"/>
      <c r="G107" s="567" t="str">
        <f t="shared" si="36"/>
        <v>n/a</v>
      </c>
      <c r="H107" s="153"/>
      <c r="I107" s="479" t="str">
        <f t="shared" si="48"/>
        <v>n/a</v>
      </c>
      <c r="J107" s="153"/>
      <c r="K107" s="166"/>
      <c r="L107" s="537"/>
      <c r="M107" s="479" t="str">
        <f t="shared" si="37"/>
        <v>n/a</v>
      </c>
      <c r="N107" s="537"/>
      <c r="O107" s="479" t="str">
        <f t="shared" si="49"/>
        <v>n/a</v>
      </c>
      <c r="P107" s="537"/>
      <c r="Q107" s="479" t="str">
        <f t="shared" si="49"/>
        <v>n/a</v>
      </c>
      <c r="R107" s="537"/>
      <c r="S107" s="486" t="str">
        <f t="shared" si="49"/>
        <v>n/a</v>
      </c>
    </row>
    <row r="108" spans="1:19" x14ac:dyDescent="0.25">
      <c r="A108" s="168"/>
      <c r="B108" s="168"/>
      <c r="C108" s="168"/>
      <c r="D108" s="169" t="s">
        <v>165</v>
      </c>
      <c r="E108" s="170">
        <f>SUM(E103:E107)</f>
        <v>0</v>
      </c>
      <c r="F108" s="170">
        <f t="shared" ref="F108" si="50">SUM(F103:F107)</f>
        <v>0</v>
      </c>
      <c r="G108" s="480" t="str">
        <f t="shared" si="36"/>
        <v>n/a</v>
      </c>
      <c r="H108" s="170"/>
      <c r="I108" s="477" t="str">
        <f t="shared" si="48"/>
        <v>n/a</v>
      </c>
      <c r="J108" s="551">
        <f t="shared" ref="J108" si="51">SUM(J103:J107)</f>
        <v>0</v>
      </c>
      <c r="K108" s="477"/>
      <c r="L108" s="551">
        <f>SUM(L102:L107)</f>
        <v>4957657</v>
      </c>
      <c r="M108" s="480" t="str">
        <f t="shared" si="37"/>
        <v>n/a</v>
      </c>
      <c r="N108" s="551">
        <f>SUM(N102:N107)</f>
        <v>18161213</v>
      </c>
      <c r="O108" s="477">
        <f t="shared" si="49"/>
        <v>2.6632653287631638</v>
      </c>
      <c r="P108" s="551">
        <f>SUM(P102:P107)</f>
        <v>21879456</v>
      </c>
      <c r="Q108" s="477">
        <f t="shared" si="49"/>
        <v>0.20473538854480711</v>
      </c>
      <c r="R108" s="551">
        <f>SUM(R102:R107)</f>
        <v>21879456</v>
      </c>
      <c r="S108" s="485">
        <f t="shared" si="49"/>
        <v>0</v>
      </c>
    </row>
    <row r="109" spans="1:19" x14ac:dyDescent="0.25">
      <c r="A109" s="34"/>
      <c r="B109" s="34"/>
      <c r="C109" s="34"/>
      <c r="D109" s="152"/>
      <c r="E109" s="153"/>
      <c r="F109" s="153"/>
      <c r="G109" s="568"/>
      <c r="H109" s="153"/>
      <c r="I109" s="537"/>
      <c r="J109" s="153"/>
      <c r="K109" s="153"/>
      <c r="L109" s="537"/>
      <c r="M109" s="479"/>
      <c r="N109" s="537"/>
      <c r="O109" s="479"/>
      <c r="P109" s="537"/>
      <c r="Q109" s="479"/>
      <c r="R109" s="537"/>
      <c r="S109" s="486"/>
    </row>
    <row r="110" spans="1:19" outlineLevel="1" x14ac:dyDescent="0.25">
      <c r="A110" s="34"/>
      <c r="B110" s="34"/>
      <c r="C110" s="34"/>
      <c r="D110" s="152" t="s">
        <v>166</v>
      </c>
      <c r="E110" s="153"/>
      <c r="F110" s="153"/>
      <c r="G110" s="568"/>
      <c r="H110" s="153"/>
      <c r="I110" s="537"/>
      <c r="J110" s="153"/>
      <c r="K110" s="153"/>
      <c r="L110" s="537"/>
      <c r="M110" s="479"/>
      <c r="N110" s="537"/>
      <c r="O110" s="479"/>
      <c r="P110" s="537"/>
      <c r="Q110" s="479"/>
      <c r="R110" s="537"/>
      <c r="S110" s="486"/>
    </row>
    <row r="111" spans="1:19" outlineLevel="1" x14ac:dyDescent="0.25">
      <c r="A111" s="34"/>
      <c r="B111" s="34"/>
      <c r="C111" s="34"/>
      <c r="D111" s="152" t="s">
        <v>199</v>
      </c>
      <c r="E111" s="153"/>
      <c r="F111" s="153"/>
      <c r="G111" s="567" t="str">
        <f t="shared" si="36"/>
        <v>n/a</v>
      </c>
      <c r="H111" s="153"/>
      <c r="I111" s="478" t="str">
        <f t="shared" ref="I111:I121" si="52">IF(F111=0,"n/a",+(H111/F111)-1)</f>
        <v>n/a</v>
      </c>
      <c r="J111" s="153"/>
      <c r="K111" s="166"/>
      <c r="L111" s="450">
        <f>+L185-L37</f>
        <v>0</v>
      </c>
      <c r="M111" s="478" t="str">
        <f t="shared" si="37"/>
        <v>n/a</v>
      </c>
      <c r="N111" s="450">
        <f>+N185-N37</f>
        <v>0</v>
      </c>
      <c r="O111" s="478" t="str">
        <f t="shared" ref="O111:S121" si="53">IF(L111=0,"n/a",+(N111/L111)-1)</f>
        <v>n/a</v>
      </c>
      <c r="P111" s="450">
        <f>+P185-P37</f>
        <v>-498458</v>
      </c>
      <c r="Q111" s="478" t="str">
        <f t="shared" si="53"/>
        <v>n/a</v>
      </c>
      <c r="R111" s="450">
        <f>+R185-R37</f>
        <v>-1163070</v>
      </c>
      <c r="S111" s="484">
        <f t="shared" si="53"/>
        <v>1.3333360082494412</v>
      </c>
    </row>
    <row r="112" spans="1:19" outlineLevel="1" x14ac:dyDescent="0.25">
      <c r="A112" s="34"/>
      <c r="B112" s="34"/>
      <c r="C112" s="34"/>
      <c r="D112" s="152" t="s">
        <v>203</v>
      </c>
      <c r="E112" s="153"/>
      <c r="F112" s="153"/>
      <c r="G112" s="567" t="str">
        <f t="shared" si="36"/>
        <v>n/a</v>
      </c>
      <c r="H112" s="153"/>
      <c r="I112" s="478" t="str">
        <f t="shared" si="52"/>
        <v>n/a</v>
      </c>
      <c r="J112" s="153"/>
      <c r="K112" s="166"/>
      <c r="L112" s="450">
        <f>+L186-L38</f>
        <v>0</v>
      </c>
      <c r="M112" s="478" t="str">
        <f t="shared" si="37"/>
        <v>n/a</v>
      </c>
      <c r="N112" s="450">
        <f>+N186-N38</f>
        <v>43000</v>
      </c>
      <c r="O112" s="478" t="str">
        <f t="shared" si="53"/>
        <v>n/a</v>
      </c>
      <c r="P112" s="450">
        <f>+P186-P38</f>
        <v>48037</v>
      </c>
      <c r="Q112" s="478">
        <f t="shared" si="53"/>
        <v>0.11713953488372097</v>
      </c>
      <c r="R112" s="450">
        <f>+R186-R38</f>
        <v>40421</v>
      </c>
      <c r="S112" s="484">
        <f t="shared" si="53"/>
        <v>-0.15854445531569417</v>
      </c>
    </row>
    <row r="113" spans="1:19" outlineLevel="1" x14ac:dyDescent="0.25">
      <c r="A113" s="34"/>
      <c r="B113" s="34"/>
      <c r="C113" s="34"/>
      <c r="D113" s="152" t="s">
        <v>204</v>
      </c>
      <c r="E113" s="153"/>
      <c r="F113" s="153"/>
      <c r="G113" s="567" t="str">
        <f t="shared" si="36"/>
        <v>n/a</v>
      </c>
      <c r="H113" s="153"/>
      <c r="I113" s="478" t="str">
        <f t="shared" si="52"/>
        <v>n/a</v>
      </c>
      <c r="J113" s="153"/>
      <c r="K113" s="166"/>
      <c r="L113" s="450">
        <f>+L187-L39</f>
        <v>0</v>
      </c>
      <c r="M113" s="478" t="str">
        <f t="shared" si="37"/>
        <v>n/a</v>
      </c>
      <c r="N113" s="450">
        <f>+N187-N39</f>
        <v>0</v>
      </c>
      <c r="O113" s="478" t="str">
        <f t="shared" si="53"/>
        <v>n/a</v>
      </c>
      <c r="P113" s="450">
        <f>+P187-P39</f>
        <v>-255770</v>
      </c>
      <c r="Q113" s="478" t="str">
        <f t="shared" si="53"/>
        <v>n/a</v>
      </c>
      <c r="R113" s="450">
        <f>+R187-R39</f>
        <v>-596793</v>
      </c>
      <c r="S113" s="484">
        <f t="shared" si="53"/>
        <v>1.3333189975368493</v>
      </c>
    </row>
    <row r="114" spans="1:19" x14ac:dyDescent="0.25">
      <c r="A114" s="34"/>
      <c r="B114" s="34"/>
      <c r="C114" s="34"/>
      <c r="D114" s="152"/>
      <c r="E114" s="153"/>
      <c r="F114" s="153"/>
      <c r="G114" s="568" t="str">
        <f t="shared" si="36"/>
        <v>n/a</v>
      </c>
      <c r="H114" s="153"/>
      <c r="I114" s="479" t="str">
        <f t="shared" si="52"/>
        <v>n/a</v>
      </c>
      <c r="J114" s="153"/>
      <c r="K114" s="153"/>
      <c r="L114" s="537"/>
      <c r="M114" s="479" t="str">
        <f t="shared" si="37"/>
        <v>n/a</v>
      </c>
      <c r="N114" s="537"/>
      <c r="O114" s="479" t="str">
        <f t="shared" si="53"/>
        <v>n/a</v>
      </c>
      <c r="P114" s="537"/>
      <c r="Q114" s="479" t="str">
        <f t="shared" si="53"/>
        <v>n/a</v>
      </c>
      <c r="R114" s="537"/>
      <c r="S114" s="486" t="str">
        <f t="shared" si="53"/>
        <v>n/a</v>
      </c>
    </row>
    <row r="115" spans="1:19" x14ac:dyDescent="0.25">
      <c r="A115" s="168"/>
      <c r="B115" s="168"/>
      <c r="C115" s="168"/>
      <c r="D115" s="169" t="s">
        <v>170</v>
      </c>
      <c r="E115" s="170">
        <f>SUM(E111:E114)</f>
        <v>0</v>
      </c>
      <c r="F115" s="170">
        <f t="shared" ref="F115" si="54">SUM(F111:F114)</f>
        <v>0</v>
      </c>
      <c r="G115" s="480" t="str">
        <f t="shared" si="36"/>
        <v>n/a</v>
      </c>
      <c r="H115" s="170"/>
      <c r="I115" s="477" t="str">
        <f t="shared" si="52"/>
        <v>n/a</v>
      </c>
      <c r="J115" s="551">
        <f t="shared" ref="J115" si="55">SUM(J111:J114)</f>
        <v>0</v>
      </c>
      <c r="K115" s="477"/>
      <c r="L115" s="551">
        <f t="shared" ref="L115" si="56">SUM(L111:L114)</f>
        <v>0</v>
      </c>
      <c r="M115" s="480" t="str">
        <f t="shared" si="37"/>
        <v>n/a</v>
      </c>
      <c r="N115" s="551">
        <f t="shared" ref="N115" si="57">SUM(N111:N114)</f>
        <v>43000</v>
      </c>
      <c r="O115" s="477" t="str">
        <f t="shared" si="53"/>
        <v>n/a</v>
      </c>
      <c r="P115" s="551">
        <f t="shared" ref="P115" si="58">SUM(P111:P114)</f>
        <v>-706191</v>
      </c>
      <c r="Q115" s="477">
        <f t="shared" si="53"/>
        <v>-17.423046511627906</v>
      </c>
      <c r="R115" s="551">
        <f t="shared" ref="R115" si="59">SUM(R111:R114)</f>
        <v>-1719442</v>
      </c>
      <c r="S115" s="485">
        <f t="shared" si="53"/>
        <v>1.434811545318476</v>
      </c>
    </row>
    <row r="116" spans="1:19" ht="19.5" customHeight="1" x14ac:dyDescent="0.25">
      <c r="A116" s="34"/>
      <c r="B116" s="34"/>
      <c r="C116" s="34"/>
      <c r="D116" s="152"/>
      <c r="E116" s="153"/>
      <c r="F116" s="153"/>
      <c r="G116" s="568"/>
      <c r="H116" s="153"/>
      <c r="I116" s="537"/>
      <c r="J116" s="153"/>
      <c r="K116" s="153"/>
      <c r="L116" s="537"/>
      <c r="M116" s="479"/>
      <c r="N116" s="537"/>
      <c r="O116" s="479"/>
      <c r="P116" s="537"/>
      <c r="Q116" s="479"/>
      <c r="R116" s="537"/>
      <c r="S116" s="486"/>
    </row>
    <row r="117" spans="1:19" x14ac:dyDescent="0.25">
      <c r="A117" s="168"/>
      <c r="B117" s="168"/>
      <c r="C117" s="168"/>
      <c r="D117" s="169" t="s">
        <v>171</v>
      </c>
      <c r="E117" s="170">
        <f>E108+E115</f>
        <v>0</v>
      </c>
      <c r="F117" s="170">
        <f t="shared" ref="F117:J117" si="60">F108+F115</f>
        <v>0</v>
      </c>
      <c r="G117" s="480" t="str">
        <f t="shared" si="36"/>
        <v>n/a</v>
      </c>
      <c r="H117" s="170"/>
      <c r="I117" s="477" t="str">
        <f t="shared" si="52"/>
        <v>n/a</v>
      </c>
      <c r="J117" s="551">
        <f t="shared" si="60"/>
        <v>0</v>
      </c>
      <c r="K117" s="477"/>
      <c r="L117" s="551">
        <f>+L115+L108</f>
        <v>4957657</v>
      </c>
      <c r="M117" s="480" t="str">
        <f t="shared" si="37"/>
        <v>n/a</v>
      </c>
      <c r="N117" s="551">
        <f>+N115+N108</f>
        <v>18204213</v>
      </c>
      <c r="O117" s="477">
        <f t="shared" si="53"/>
        <v>2.6719387807587336</v>
      </c>
      <c r="P117" s="551">
        <f>+P115+P108</f>
        <v>21173265</v>
      </c>
      <c r="Q117" s="477">
        <f t="shared" si="53"/>
        <v>0.16309697101434706</v>
      </c>
      <c r="R117" s="551">
        <f>+R115+R108</f>
        <v>20160014</v>
      </c>
      <c r="S117" s="485">
        <f t="shared" si="53"/>
        <v>-4.7855207970995517E-2</v>
      </c>
    </row>
    <row r="118" spans="1:19" x14ac:dyDescent="0.25">
      <c r="A118" s="34"/>
      <c r="B118" s="34"/>
      <c r="C118" s="34"/>
      <c r="D118" s="152"/>
      <c r="E118" s="153"/>
      <c r="F118" s="153"/>
      <c r="G118" s="568"/>
      <c r="H118" s="153"/>
      <c r="I118" s="479"/>
      <c r="J118" s="153"/>
      <c r="K118" s="153"/>
      <c r="L118" s="537"/>
      <c r="M118" s="479"/>
      <c r="N118" s="537"/>
      <c r="O118" s="479"/>
      <c r="P118" s="537"/>
      <c r="Q118" s="479"/>
      <c r="R118" s="537"/>
      <c r="S118" s="486"/>
    </row>
    <row r="119" spans="1:19" x14ac:dyDescent="0.25">
      <c r="A119" s="34"/>
      <c r="B119" s="34"/>
      <c r="C119" s="34"/>
      <c r="D119" s="152" t="s">
        <v>205</v>
      </c>
      <c r="E119" s="153"/>
      <c r="F119" s="153"/>
      <c r="G119" s="567" t="str">
        <f t="shared" si="36"/>
        <v>n/a</v>
      </c>
      <c r="H119" s="153"/>
      <c r="I119" s="478" t="str">
        <f t="shared" si="52"/>
        <v>n/a</v>
      </c>
      <c r="J119" s="153"/>
      <c r="K119" s="166"/>
      <c r="L119" s="450">
        <f>+L193-L45</f>
        <v>0</v>
      </c>
      <c r="M119" s="478" t="str">
        <f t="shared" si="37"/>
        <v>n/a</v>
      </c>
      <c r="N119" s="450">
        <f>+N193-N45</f>
        <v>0</v>
      </c>
      <c r="O119" s="478" t="str">
        <f t="shared" si="53"/>
        <v>n/a</v>
      </c>
      <c r="P119" s="450">
        <f>+P193-P45</f>
        <v>0</v>
      </c>
      <c r="Q119" s="478" t="str">
        <f t="shared" si="53"/>
        <v>n/a</v>
      </c>
      <c r="R119" s="450">
        <f>+R193-R45</f>
        <v>0</v>
      </c>
      <c r="S119" s="484" t="str">
        <f t="shared" si="53"/>
        <v>n/a</v>
      </c>
    </row>
    <row r="120" spans="1:19" x14ac:dyDescent="0.25">
      <c r="A120" s="34"/>
      <c r="B120" s="34"/>
      <c r="C120" s="34"/>
      <c r="D120" s="152"/>
      <c r="E120" s="153"/>
      <c r="F120" s="153"/>
      <c r="G120" s="568"/>
      <c r="H120" s="153"/>
      <c r="I120" s="479"/>
      <c r="J120" s="153"/>
      <c r="K120" s="153"/>
      <c r="L120" s="151"/>
      <c r="M120" s="479"/>
      <c r="N120" s="467"/>
      <c r="O120" s="479"/>
      <c r="P120" s="467"/>
      <c r="Q120" s="479"/>
      <c r="R120" s="467"/>
      <c r="S120" s="486"/>
    </row>
    <row r="121" spans="1:19" s="177" customFormat="1" ht="13.8" thickBot="1" x14ac:dyDescent="0.3">
      <c r="A121" s="172"/>
      <c r="B121" s="172"/>
      <c r="C121" s="172"/>
      <c r="D121" s="173" t="s">
        <v>173</v>
      </c>
      <c r="E121" s="174">
        <f>E93+E100+E117+E119</f>
        <v>0</v>
      </c>
      <c r="F121" s="174">
        <f t="shared" ref="F121" si="61">F93+F100+F117+F119</f>
        <v>0</v>
      </c>
      <c r="G121" s="481" t="str">
        <f t="shared" si="36"/>
        <v>n/a</v>
      </c>
      <c r="H121" s="174"/>
      <c r="I121" s="481" t="str">
        <f t="shared" si="52"/>
        <v>n/a</v>
      </c>
      <c r="J121" s="174">
        <f t="shared" ref="J121" si="62">J93+J100+J117+J119</f>
        <v>0</v>
      </c>
      <c r="K121" s="175"/>
      <c r="L121" s="176">
        <f>+L119+L117+L100+L93</f>
        <v>-76645</v>
      </c>
      <c r="M121" s="481" t="str">
        <f t="shared" si="37"/>
        <v>n/a</v>
      </c>
      <c r="N121" s="176">
        <f>+N119+N117+N100+N93</f>
        <v>8837163</v>
      </c>
      <c r="O121" s="481">
        <f t="shared" si="53"/>
        <v>-116.29992824058974</v>
      </c>
      <c r="P121" s="176">
        <f>+P119+P117+P100+P93</f>
        <v>6763059</v>
      </c>
      <c r="Q121" s="481">
        <f t="shared" si="53"/>
        <v>-0.23470247182268789</v>
      </c>
      <c r="R121" s="176">
        <f>+R119+R117+R100+R93</f>
        <v>4380044</v>
      </c>
      <c r="S121" s="488">
        <f t="shared" si="53"/>
        <v>-0.35235756482384673</v>
      </c>
    </row>
    <row r="122" spans="1:19" ht="13.8" thickTop="1" x14ac:dyDescent="0.25">
      <c r="A122" s="34"/>
      <c r="B122" s="34"/>
      <c r="C122" s="34"/>
      <c r="D122" s="152"/>
      <c r="E122" s="153"/>
      <c r="F122" s="153"/>
      <c r="G122" s="568"/>
      <c r="H122" s="153"/>
      <c r="I122" s="537"/>
      <c r="J122" s="153"/>
      <c r="K122" s="153"/>
      <c r="L122" s="151"/>
      <c r="M122" s="479"/>
      <c r="N122" s="151"/>
      <c r="O122" s="479"/>
      <c r="P122" s="419"/>
      <c r="Q122" s="479"/>
      <c r="R122" s="151"/>
      <c r="S122" s="486"/>
    </row>
    <row r="123" spans="1:19" x14ac:dyDescent="0.25">
      <c r="A123" s="34"/>
      <c r="B123" s="34"/>
      <c r="C123" s="34"/>
      <c r="D123" s="152"/>
      <c r="E123" s="153"/>
      <c r="F123" s="153"/>
      <c r="G123" s="568"/>
      <c r="H123" s="153"/>
      <c r="I123" s="537"/>
      <c r="J123" s="153"/>
      <c r="K123" s="153"/>
      <c r="L123" s="151"/>
      <c r="M123" s="479"/>
      <c r="N123" s="492"/>
      <c r="O123" s="479"/>
      <c r="P123" s="419"/>
      <c r="Q123" s="479"/>
      <c r="R123" s="151"/>
      <c r="S123" s="486"/>
    </row>
    <row r="124" spans="1:19" x14ac:dyDescent="0.25">
      <c r="A124" s="34"/>
      <c r="B124" s="34"/>
      <c r="C124" s="34"/>
      <c r="D124" s="152" t="s">
        <v>174</v>
      </c>
      <c r="E124" s="153"/>
      <c r="F124" s="153"/>
      <c r="G124" s="568"/>
      <c r="H124" s="153"/>
      <c r="I124" s="537"/>
      <c r="J124" s="153"/>
      <c r="K124" s="153"/>
      <c r="L124" s="151"/>
      <c r="M124" s="479"/>
      <c r="N124" s="151"/>
      <c r="O124" s="479"/>
      <c r="P124" s="419"/>
      <c r="Q124" s="479"/>
      <c r="R124" s="151"/>
      <c r="S124" s="486"/>
    </row>
    <row r="125" spans="1:19" x14ac:dyDescent="0.25">
      <c r="A125" s="34"/>
      <c r="B125" s="34"/>
      <c r="C125" s="34"/>
      <c r="D125" s="152"/>
      <c r="E125" s="153"/>
      <c r="F125" s="153"/>
      <c r="G125" s="568"/>
      <c r="H125" s="153"/>
      <c r="I125" s="537"/>
      <c r="J125" s="153"/>
      <c r="K125" s="153"/>
      <c r="L125" s="151"/>
      <c r="M125" s="479"/>
      <c r="N125" s="151"/>
      <c r="O125" s="479"/>
      <c r="P125" s="419"/>
      <c r="Q125" s="479"/>
      <c r="R125" s="151"/>
      <c r="S125" s="486"/>
    </row>
    <row r="126" spans="1:19" x14ac:dyDescent="0.25">
      <c r="A126" s="34"/>
      <c r="B126" s="34"/>
      <c r="C126" s="34"/>
      <c r="D126" s="152" t="s">
        <v>175</v>
      </c>
      <c r="E126" s="153"/>
      <c r="F126" s="153"/>
      <c r="G126" s="568"/>
      <c r="H126" s="153"/>
      <c r="I126" s="537"/>
      <c r="J126" s="153"/>
      <c r="K126" s="153"/>
      <c r="L126" s="151"/>
      <c r="M126" s="479"/>
      <c r="N126" s="151"/>
      <c r="O126" s="479"/>
      <c r="P126" s="419"/>
      <c r="Q126" s="479"/>
      <c r="R126" s="151"/>
      <c r="S126" s="486"/>
    </row>
    <row r="127" spans="1:19" x14ac:dyDescent="0.25">
      <c r="A127" s="34"/>
      <c r="B127" s="34"/>
      <c r="C127" s="34"/>
      <c r="D127" s="152" t="s">
        <v>206</v>
      </c>
      <c r="E127" s="153"/>
      <c r="F127" s="153"/>
      <c r="G127" s="567" t="str">
        <f t="shared" si="36"/>
        <v>n/a</v>
      </c>
      <c r="H127" s="153"/>
      <c r="I127" s="478" t="str">
        <f t="shared" ref="I127:I148" si="63">IF(F127=0,"n/a",+(H127/F127)-1)</f>
        <v>n/a</v>
      </c>
      <c r="J127" s="153"/>
      <c r="K127" s="166"/>
      <c r="L127" s="450">
        <f>+L201-L53</f>
        <v>0</v>
      </c>
      <c r="M127" s="478" t="str">
        <f t="shared" si="37"/>
        <v>n/a</v>
      </c>
      <c r="N127" s="450">
        <f>+N201-N53</f>
        <v>0</v>
      </c>
      <c r="O127" s="478" t="str">
        <f t="shared" ref="O127:S148" si="64">IF(L127=0,"n/a",+(N127/L127)-1)</f>
        <v>n/a</v>
      </c>
      <c r="P127" s="450">
        <f>+P201-P53</f>
        <v>2250</v>
      </c>
      <c r="Q127" s="478" t="str">
        <f t="shared" si="64"/>
        <v>n/a</v>
      </c>
      <c r="R127" s="450">
        <f>+R201-R53</f>
        <v>2278</v>
      </c>
      <c r="S127" s="484">
        <f t="shared" si="64"/>
        <v>1.244444444444448E-2</v>
      </c>
    </row>
    <row r="128" spans="1:19" x14ac:dyDescent="0.25">
      <c r="A128" s="34"/>
      <c r="B128" s="34"/>
      <c r="C128" s="34"/>
      <c r="D128" s="152" t="s">
        <v>207</v>
      </c>
      <c r="E128" s="153"/>
      <c r="F128" s="153"/>
      <c r="G128" s="567" t="str">
        <f t="shared" si="36"/>
        <v>n/a</v>
      </c>
      <c r="H128" s="153"/>
      <c r="I128" s="478" t="str">
        <f t="shared" si="63"/>
        <v>n/a</v>
      </c>
      <c r="J128" s="153"/>
      <c r="K128" s="166"/>
      <c r="L128" s="450">
        <f t="shared" ref="L128:N131" si="65">+L202-L54</f>
        <v>0</v>
      </c>
      <c r="M128" s="478" t="str">
        <f t="shared" si="37"/>
        <v>n/a</v>
      </c>
      <c r="N128" s="450">
        <f t="shared" si="65"/>
        <v>0</v>
      </c>
      <c r="O128" s="478" t="str">
        <f t="shared" si="64"/>
        <v>n/a</v>
      </c>
      <c r="P128" s="450">
        <f t="shared" ref="P128" si="66">+P202-P54</f>
        <v>10257</v>
      </c>
      <c r="Q128" s="478" t="str">
        <f t="shared" si="64"/>
        <v>n/a</v>
      </c>
      <c r="R128" s="450">
        <f t="shared" ref="R128" si="67">+R202-R54</f>
        <v>10536</v>
      </c>
      <c r="S128" s="484">
        <f t="shared" si="64"/>
        <v>2.7200935946183114E-2</v>
      </c>
    </row>
    <row r="129" spans="1:19" x14ac:dyDescent="0.25">
      <c r="A129" s="34"/>
      <c r="B129" s="34"/>
      <c r="C129" s="34"/>
      <c r="D129" s="152" t="s">
        <v>208</v>
      </c>
      <c r="E129" s="153"/>
      <c r="F129" s="153"/>
      <c r="G129" s="567" t="str">
        <f t="shared" si="36"/>
        <v>n/a</v>
      </c>
      <c r="H129" s="153"/>
      <c r="I129" s="478" t="str">
        <f t="shared" si="63"/>
        <v>n/a</v>
      </c>
      <c r="J129" s="153"/>
      <c r="K129" s="166"/>
      <c r="L129" s="450">
        <f t="shared" si="65"/>
        <v>0</v>
      </c>
      <c r="M129" s="478" t="str">
        <f t="shared" si="37"/>
        <v>n/a</v>
      </c>
      <c r="N129" s="450">
        <f t="shared" si="65"/>
        <v>0</v>
      </c>
      <c r="O129" s="478" t="str">
        <f t="shared" si="64"/>
        <v>n/a</v>
      </c>
      <c r="P129" s="450">
        <f t="shared" ref="P129" si="68">+P203-P55</f>
        <v>0</v>
      </c>
      <c r="Q129" s="478" t="str">
        <f t="shared" si="64"/>
        <v>n/a</v>
      </c>
      <c r="R129" s="450">
        <f t="shared" ref="R129" si="69">+R203-R55</f>
        <v>0</v>
      </c>
      <c r="S129" s="484" t="str">
        <f t="shared" si="64"/>
        <v>n/a</v>
      </c>
    </row>
    <row r="130" spans="1:19" x14ac:dyDescent="0.25">
      <c r="A130" s="34"/>
      <c r="B130" s="34"/>
      <c r="C130" s="34"/>
      <c r="D130" s="152" t="s">
        <v>209</v>
      </c>
      <c r="E130" s="153"/>
      <c r="F130" s="153"/>
      <c r="G130" s="567" t="str">
        <f t="shared" si="36"/>
        <v>n/a</v>
      </c>
      <c r="H130" s="153"/>
      <c r="I130" s="478" t="str">
        <f t="shared" si="63"/>
        <v>n/a</v>
      </c>
      <c r="J130" s="153"/>
      <c r="K130" s="166"/>
      <c r="L130" s="450">
        <f t="shared" si="65"/>
        <v>0</v>
      </c>
      <c r="M130" s="478" t="str">
        <f t="shared" si="37"/>
        <v>n/a</v>
      </c>
      <c r="N130" s="450">
        <f t="shared" si="65"/>
        <v>0</v>
      </c>
      <c r="O130" s="478" t="str">
        <f t="shared" si="64"/>
        <v>n/a</v>
      </c>
      <c r="P130" s="450">
        <f t="shared" ref="P130" si="70">+P204-P56</f>
        <v>0</v>
      </c>
      <c r="Q130" s="478" t="str">
        <f t="shared" si="64"/>
        <v>n/a</v>
      </c>
      <c r="R130" s="450">
        <f t="shared" ref="R130" si="71">+R204-R56</f>
        <v>0</v>
      </c>
      <c r="S130" s="484" t="str">
        <f t="shared" si="64"/>
        <v>n/a</v>
      </c>
    </row>
    <row r="131" spans="1:19" x14ac:dyDescent="0.25">
      <c r="A131" s="34"/>
      <c r="B131" s="34"/>
      <c r="C131" s="34"/>
      <c r="D131" s="152" t="s">
        <v>210</v>
      </c>
      <c r="E131" s="153"/>
      <c r="F131" s="153"/>
      <c r="G131" s="567" t="str">
        <f t="shared" si="36"/>
        <v>n/a</v>
      </c>
      <c r="H131" s="153"/>
      <c r="I131" s="478" t="str">
        <f t="shared" si="63"/>
        <v>n/a</v>
      </c>
      <c r="J131" s="153"/>
      <c r="K131" s="166"/>
      <c r="L131" s="450">
        <f t="shared" si="65"/>
        <v>0</v>
      </c>
      <c r="M131" s="478" t="str">
        <f t="shared" si="37"/>
        <v>n/a</v>
      </c>
      <c r="N131" s="450">
        <f t="shared" si="65"/>
        <v>297182</v>
      </c>
      <c r="O131" s="478" t="str">
        <f t="shared" si="64"/>
        <v>n/a</v>
      </c>
      <c r="P131" s="450">
        <f t="shared" ref="P131" si="72">+P205-P57</f>
        <v>304697</v>
      </c>
      <c r="Q131" s="478">
        <f t="shared" si="64"/>
        <v>2.528753423827812E-2</v>
      </c>
      <c r="R131" s="450">
        <f t="shared" ref="R131" si="73">+R205-R57</f>
        <v>312402</v>
      </c>
      <c r="S131" s="484">
        <f t="shared" si="64"/>
        <v>2.5287416679520947E-2</v>
      </c>
    </row>
    <row r="132" spans="1:19" x14ac:dyDescent="0.25">
      <c r="A132" s="34"/>
      <c r="B132" s="34"/>
      <c r="C132" s="34"/>
      <c r="D132" s="152"/>
      <c r="E132" s="153"/>
      <c r="F132" s="153"/>
      <c r="G132" s="568" t="str">
        <f t="shared" si="36"/>
        <v>n/a</v>
      </c>
      <c r="H132" s="153"/>
      <c r="I132" s="479" t="str">
        <f t="shared" si="63"/>
        <v>n/a</v>
      </c>
      <c r="J132" s="153"/>
      <c r="K132" s="153"/>
      <c r="L132" s="537"/>
      <c r="M132" s="479" t="str">
        <f t="shared" si="37"/>
        <v>n/a</v>
      </c>
      <c r="N132" s="537"/>
      <c r="O132" s="479" t="str">
        <f t="shared" si="64"/>
        <v>n/a</v>
      </c>
      <c r="P132" s="537"/>
      <c r="Q132" s="479" t="str">
        <f t="shared" si="64"/>
        <v>n/a</v>
      </c>
      <c r="R132" s="537"/>
      <c r="S132" s="486" t="str">
        <f t="shared" si="64"/>
        <v>n/a</v>
      </c>
    </row>
    <row r="133" spans="1:19" x14ac:dyDescent="0.25">
      <c r="A133" s="168"/>
      <c r="B133" s="168"/>
      <c r="C133" s="168"/>
      <c r="D133" s="169" t="s">
        <v>181</v>
      </c>
      <c r="E133" s="170">
        <f>SUM(E127:E132)</f>
        <v>0</v>
      </c>
      <c r="F133" s="170">
        <f t="shared" ref="F133" si="74">SUM(F127:F132)</f>
        <v>0</v>
      </c>
      <c r="G133" s="480" t="str">
        <f t="shared" si="36"/>
        <v>n/a</v>
      </c>
      <c r="H133" s="170"/>
      <c r="I133" s="477" t="str">
        <f t="shared" si="63"/>
        <v>n/a</v>
      </c>
      <c r="J133" s="551">
        <f t="shared" ref="J133" si="75">SUM(J127:J132)</f>
        <v>0</v>
      </c>
      <c r="K133" s="477"/>
      <c r="L133" s="551">
        <f t="shared" ref="L133:N133" si="76">SUM(L127:L132)</f>
        <v>0</v>
      </c>
      <c r="M133" s="480" t="str">
        <f t="shared" si="37"/>
        <v>n/a</v>
      </c>
      <c r="N133" s="551">
        <f t="shared" si="76"/>
        <v>297182</v>
      </c>
      <c r="O133" s="477" t="str">
        <f t="shared" si="64"/>
        <v>n/a</v>
      </c>
      <c r="P133" s="551">
        <f t="shared" ref="P133" si="77">SUM(P127:P132)</f>
        <v>317204</v>
      </c>
      <c r="Q133" s="477">
        <f t="shared" si="64"/>
        <v>6.7372855691125277E-2</v>
      </c>
      <c r="R133" s="551">
        <f t="shared" ref="R133" si="78">SUM(R127:R132)</f>
        <v>325216</v>
      </c>
      <c r="S133" s="485">
        <f t="shared" si="64"/>
        <v>2.5258193465403922E-2</v>
      </c>
    </row>
    <row r="134" spans="1:19" x14ac:dyDescent="0.25">
      <c r="A134" s="34"/>
      <c r="B134" s="34"/>
      <c r="C134" s="34"/>
      <c r="D134" s="152"/>
      <c r="E134" s="153"/>
      <c r="F134" s="153"/>
      <c r="G134" s="568"/>
      <c r="H134" s="153"/>
      <c r="I134" s="479"/>
      <c r="J134" s="153"/>
      <c r="K134" s="153"/>
      <c r="L134" s="537"/>
      <c r="M134" s="479"/>
      <c r="N134" s="537"/>
      <c r="O134" s="479"/>
      <c r="P134" s="537"/>
      <c r="Q134" s="479"/>
      <c r="R134" s="537"/>
      <c r="S134" s="486"/>
    </row>
    <row r="135" spans="1:19" x14ac:dyDescent="0.25">
      <c r="A135" s="34"/>
      <c r="B135" s="34"/>
      <c r="C135" s="34"/>
      <c r="D135" s="152" t="s">
        <v>182</v>
      </c>
      <c r="E135" s="153"/>
      <c r="F135" s="153"/>
      <c r="G135" s="568"/>
      <c r="H135" s="153"/>
      <c r="I135" s="479"/>
      <c r="J135" s="153"/>
      <c r="K135" s="153"/>
      <c r="L135" s="537"/>
      <c r="M135" s="479"/>
      <c r="N135" s="537"/>
      <c r="O135" s="479"/>
      <c r="P135" s="537"/>
      <c r="Q135" s="479"/>
      <c r="R135" s="537"/>
      <c r="S135" s="486"/>
    </row>
    <row r="136" spans="1:19" x14ac:dyDescent="0.25">
      <c r="A136" s="34"/>
      <c r="B136" s="34"/>
      <c r="C136" s="34"/>
      <c r="D136" s="152" t="s">
        <v>211</v>
      </c>
      <c r="E136" s="153"/>
      <c r="F136" s="153"/>
      <c r="G136" s="567" t="str">
        <f t="shared" si="36"/>
        <v>n/a</v>
      </c>
      <c r="H136" s="153"/>
      <c r="I136" s="478" t="str">
        <f t="shared" si="63"/>
        <v>n/a</v>
      </c>
      <c r="J136" s="153"/>
      <c r="K136" s="166"/>
      <c r="L136" s="450">
        <f t="shared" ref="L136:N138" si="79">+L210-L62</f>
        <v>-76645</v>
      </c>
      <c r="M136" s="478" t="str">
        <f t="shared" si="37"/>
        <v>n/a</v>
      </c>
      <c r="N136" s="450">
        <f t="shared" si="79"/>
        <v>9460269</v>
      </c>
      <c r="O136" s="478">
        <f t="shared" si="64"/>
        <v>-124.4296953486855</v>
      </c>
      <c r="P136" s="450">
        <f t="shared" ref="P136" si="80">+P210-P62</f>
        <v>9154954</v>
      </c>
      <c r="Q136" s="478">
        <f t="shared" si="64"/>
        <v>-3.2273395185697162E-2</v>
      </c>
      <c r="R136" s="450">
        <f t="shared" ref="R136" si="81">+R210-R62</f>
        <v>8841917</v>
      </c>
      <c r="S136" s="484">
        <f t="shared" si="64"/>
        <v>-3.4193181090806157E-2</v>
      </c>
    </row>
    <row r="137" spans="1:19" x14ac:dyDescent="0.25">
      <c r="A137" s="34"/>
      <c r="B137" s="34"/>
      <c r="C137" s="34"/>
      <c r="D137" s="152" t="s">
        <v>212</v>
      </c>
      <c r="E137" s="153"/>
      <c r="F137" s="153"/>
      <c r="G137" s="567" t="str">
        <f t="shared" si="36"/>
        <v>n/a</v>
      </c>
      <c r="H137" s="153"/>
      <c r="I137" s="478" t="str">
        <f t="shared" si="63"/>
        <v>n/a</v>
      </c>
      <c r="J137" s="153"/>
      <c r="K137" s="166"/>
      <c r="L137" s="450">
        <f t="shared" si="79"/>
        <v>0</v>
      </c>
      <c r="M137" s="478" t="str">
        <f t="shared" si="37"/>
        <v>n/a</v>
      </c>
      <c r="N137" s="450">
        <f t="shared" si="79"/>
        <v>0</v>
      </c>
      <c r="O137" s="478" t="str">
        <f t="shared" si="64"/>
        <v>n/a</v>
      </c>
      <c r="P137" s="450">
        <f t="shared" ref="P137" si="82">+P211-P63</f>
        <v>0</v>
      </c>
      <c r="Q137" s="478" t="str">
        <f t="shared" si="64"/>
        <v>n/a</v>
      </c>
      <c r="R137" s="450">
        <f t="shared" ref="R137" si="83">+R211-R63</f>
        <v>0</v>
      </c>
      <c r="S137" s="484" t="str">
        <f t="shared" si="64"/>
        <v>n/a</v>
      </c>
    </row>
    <row r="138" spans="1:19" x14ac:dyDescent="0.25">
      <c r="A138" s="34"/>
      <c r="B138" s="34"/>
      <c r="C138" s="34"/>
      <c r="D138" s="152" t="s">
        <v>213</v>
      </c>
      <c r="E138" s="153"/>
      <c r="F138" s="153"/>
      <c r="G138" s="567" t="str">
        <f t="shared" si="36"/>
        <v>n/a</v>
      </c>
      <c r="H138" s="153"/>
      <c r="I138" s="478" t="str">
        <f t="shared" si="63"/>
        <v>n/a</v>
      </c>
      <c r="J138" s="153"/>
      <c r="K138" s="166"/>
      <c r="L138" s="450">
        <f t="shared" si="79"/>
        <v>0</v>
      </c>
      <c r="M138" s="478" t="str">
        <f t="shared" si="37"/>
        <v>n/a</v>
      </c>
      <c r="N138" s="450">
        <f t="shared" si="79"/>
        <v>0</v>
      </c>
      <c r="O138" s="478" t="str">
        <f t="shared" si="64"/>
        <v>n/a</v>
      </c>
      <c r="P138" s="450">
        <f t="shared" ref="P138" si="84">+P212-P64</f>
        <v>0</v>
      </c>
      <c r="Q138" s="478" t="str">
        <f t="shared" si="64"/>
        <v>n/a</v>
      </c>
      <c r="R138" s="450">
        <f t="shared" ref="R138" si="85">+R212-R64</f>
        <v>0</v>
      </c>
      <c r="S138" s="484" t="str">
        <f t="shared" si="64"/>
        <v>n/a</v>
      </c>
    </row>
    <row r="139" spans="1:19" x14ac:dyDescent="0.25">
      <c r="A139" s="34"/>
      <c r="B139" s="34"/>
      <c r="C139" s="34"/>
      <c r="D139" s="152"/>
      <c r="E139" s="153"/>
      <c r="F139" s="153"/>
      <c r="G139" s="568" t="str">
        <f t="shared" si="36"/>
        <v>n/a</v>
      </c>
      <c r="H139" s="153"/>
      <c r="I139" s="479" t="str">
        <f t="shared" si="63"/>
        <v>n/a</v>
      </c>
      <c r="J139" s="153"/>
      <c r="K139" s="153"/>
      <c r="L139" s="537"/>
      <c r="M139" s="479" t="str">
        <f t="shared" si="37"/>
        <v>n/a</v>
      </c>
      <c r="N139" s="537"/>
      <c r="O139" s="479" t="str">
        <f t="shared" si="64"/>
        <v>n/a</v>
      </c>
      <c r="P139" s="537"/>
      <c r="Q139" s="479" t="str">
        <f t="shared" si="64"/>
        <v>n/a</v>
      </c>
      <c r="R139" s="537"/>
      <c r="S139" s="486" t="str">
        <f t="shared" si="64"/>
        <v>n/a</v>
      </c>
    </row>
    <row r="140" spans="1:19" x14ac:dyDescent="0.25">
      <c r="A140" s="168"/>
      <c r="B140" s="168"/>
      <c r="C140" s="168"/>
      <c r="D140" s="169" t="s">
        <v>186</v>
      </c>
      <c r="E140" s="170">
        <f>SUM(E136:E139)</f>
        <v>0</v>
      </c>
      <c r="F140" s="170">
        <f t="shared" ref="F140" si="86">SUM(F136:F139)</f>
        <v>0</v>
      </c>
      <c r="G140" s="480" t="str">
        <f t="shared" si="36"/>
        <v>n/a</v>
      </c>
      <c r="H140" s="170"/>
      <c r="I140" s="477" t="str">
        <f t="shared" si="63"/>
        <v>n/a</v>
      </c>
      <c r="J140" s="551">
        <f t="shared" ref="J140" si="87">SUM(J136:J139)</f>
        <v>0</v>
      </c>
      <c r="K140" s="477"/>
      <c r="L140" s="551">
        <f t="shared" ref="L140:N140" si="88">SUM(L136:L139)</f>
        <v>-76645</v>
      </c>
      <c r="M140" s="480" t="str">
        <f t="shared" si="37"/>
        <v>n/a</v>
      </c>
      <c r="N140" s="551">
        <f t="shared" si="88"/>
        <v>9460269</v>
      </c>
      <c r="O140" s="477">
        <f t="shared" si="64"/>
        <v>-124.4296953486855</v>
      </c>
      <c r="P140" s="551">
        <f t="shared" ref="P140" si="89">SUM(P136:P139)</f>
        <v>9154954</v>
      </c>
      <c r="Q140" s="477">
        <f t="shared" si="64"/>
        <v>-3.2273395185697162E-2</v>
      </c>
      <c r="R140" s="551">
        <f t="shared" ref="R140" si="90">SUM(R136:R139)</f>
        <v>8841917</v>
      </c>
      <c r="S140" s="485">
        <f t="shared" si="64"/>
        <v>-3.4193181090806157E-2</v>
      </c>
    </row>
    <row r="141" spans="1:19" x14ac:dyDescent="0.25">
      <c r="A141" s="34"/>
      <c r="B141" s="34"/>
      <c r="C141" s="34"/>
      <c r="D141" s="152"/>
      <c r="E141" s="153"/>
      <c r="F141" s="153"/>
      <c r="G141" s="568"/>
      <c r="H141" s="153"/>
      <c r="I141" s="479"/>
      <c r="J141" s="153"/>
      <c r="K141" s="153"/>
      <c r="L141" s="537"/>
      <c r="M141" s="479"/>
      <c r="N141" s="537"/>
      <c r="O141" s="479"/>
      <c r="P141" s="537"/>
      <c r="Q141" s="479"/>
      <c r="R141" s="537"/>
      <c r="S141" s="486"/>
    </row>
    <row r="142" spans="1:19" x14ac:dyDescent="0.25">
      <c r="A142" s="34"/>
      <c r="B142" s="34"/>
      <c r="C142" s="34"/>
      <c r="D142" s="152" t="s">
        <v>214</v>
      </c>
      <c r="E142" s="153"/>
      <c r="F142" s="153"/>
      <c r="G142" s="567" t="str">
        <f t="shared" si="36"/>
        <v>n/a</v>
      </c>
      <c r="H142" s="153"/>
      <c r="I142" s="478" t="str">
        <f t="shared" si="63"/>
        <v>n/a</v>
      </c>
      <c r="J142" s="153"/>
      <c r="K142" s="166"/>
      <c r="L142" s="450">
        <f>+L216-L68</f>
        <v>0</v>
      </c>
      <c r="M142" s="478" t="str">
        <f t="shared" si="37"/>
        <v>n/a</v>
      </c>
      <c r="N142" s="450">
        <f>+N216-N68</f>
        <v>0</v>
      </c>
      <c r="O142" s="478" t="str">
        <f t="shared" si="64"/>
        <v>n/a</v>
      </c>
      <c r="P142" s="450">
        <f>+P216-P68</f>
        <v>0</v>
      </c>
      <c r="Q142" s="478" t="str">
        <f t="shared" si="64"/>
        <v>n/a</v>
      </c>
      <c r="R142" s="450">
        <f>+R216-R68</f>
        <v>0</v>
      </c>
      <c r="S142" s="484" t="str">
        <f t="shared" si="64"/>
        <v>n/a</v>
      </c>
    </row>
    <row r="143" spans="1:19" x14ac:dyDescent="0.25">
      <c r="A143" s="34"/>
      <c r="B143" s="34"/>
      <c r="C143" s="34"/>
      <c r="D143" s="152"/>
      <c r="E143" s="153"/>
      <c r="F143" s="153"/>
      <c r="G143" s="568"/>
      <c r="H143" s="153"/>
      <c r="I143" s="479"/>
      <c r="J143" s="153"/>
      <c r="K143" s="153"/>
      <c r="L143" s="151"/>
      <c r="M143" s="479"/>
      <c r="N143" s="467"/>
      <c r="O143" s="479"/>
      <c r="P143" s="467"/>
      <c r="Q143" s="479"/>
      <c r="R143" s="467"/>
      <c r="S143" s="486"/>
    </row>
    <row r="144" spans="1:19" s="177" customFormat="1" ht="13.8" thickBot="1" x14ac:dyDescent="0.3">
      <c r="A144" s="172"/>
      <c r="B144" s="172"/>
      <c r="C144" s="172"/>
      <c r="D144" s="173" t="s">
        <v>188</v>
      </c>
      <c r="E144" s="174">
        <f>E133+E140+E142</f>
        <v>0</v>
      </c>
      <c r="F144" s="174">
        <f t="shared" ref="F144" si="91">F133+F140+F142</f>
        <v>0</v>
      </c>
      <c r="G144" s="481" t="str">
        <f t="shared" si="36"/>
        <v>n/a</v>
      </c>
      <c r="H144" s="174"/>
      <c r="I144" s="481" t="str">
        <f t="shared" si="63"/>
        <v>n/a</v>
      </c>
      <c r="J144" s="174">
        <f t="shared" ref="J144" si="92">J116+J123+J140+J142</f>
        <v>0</v>
      </c>
      <c r="K144" s="175"/>
      <c r="L144" s="176">
        <f t="shared" ref="L144" si="93">SUM(L140:L143)</f>
        <v>-76645</v>
      </c>
      <c r="M144" s="481" t="str">
        <f t="shared" si="37"/>
        <v>n/a</v>
      </c>
      <c r="N144" s="176">
        <f t="shared" ref="N144" si="94">SUM(N140:N143)</f>
        <v>9460269</v>
      </c>
      <c r="O144" s="481">
        <f t="shared" si="64"/>
        <v>-124.4296953486855</v>
      </c>
      <c r="P144" s="176">
        <f t="shared" ref="P144" si="95">SUM(P140:P143)</f>
        <v>9154954</v>
      </c>
      <c r="Q144" s="481">
        <f t="shared" si="64"/>
        <v>-3.2273395185697162E-2</v>
      </c>
      <c r="R144" s="176">
        <f t="shared" ref="R144" si="96">SUM(R140:R143)</f>
        <v>8841917</v>
      </c>
      <c r="S144" s="488">
        <f t="shared" si="64"/>
        <v>-3.4193181090806157E-2</v>
      </c>
    </row>
    <row r="145" spans="1:19" ht="13.8" thickTop="1" x14ac:dyDescent="0.25">
      <c r="A145" s="34"/>
      <c r="B145" s="34"/>
      <c r="C145" s="34"/>
      <c r="D145" s="152"/>
      <c r="E145" s="153"/>
      <c r="F145" s="153"/>
      <c r="G145" s="568"/>
      <c r="H145" s="153"/>
      <c r="I145" s="479"/>
      <c r="J145" s="153"/>
      <c r="K145" s="153"/>
      <c r="L145" s="151"/>
      <c r="M145" s="479"/>
      <c r="N145" s="467"/>
      <c r="O145" s="479"/>
      <c r="P145" s="467"/>
      <c r="Q145" s="479"/>
      <c r="R145" s="467"/>
      <c r="S145" s="486"/>
    </row>
    <row r="146" spans="1:19" x14ac:dyDescent="0.25">
      <c r="A146" s="34"/>
      <c r="B146" s="34"/>
      <c r="C146" s="34"/>
      <c r="D146" s="152" t="s">
        <v>215</v>
      </c>
      <c r="E146" s="153"/>
      <c r="F146" s="153"/>
      <c r="G146" s="567" t="str">
        <f t="shared" si="36"/>
        <v>n/a</v>
      </c>
      <c r="H146" s="153"/>
      <c r="I146" s="478" t="str">
        <f t="shared" si="63"/>
        <v>n/a</v>
      </c>
      <c r="J146" s="153"/>
      <c r="K146" s="166"/>
      <c r="L146" s="450">
        <f>+L220-L72</f>
        <v>0</v>
      </c>
      <c r="M146" s="478" t="str">
        <f t="shared" si="37"/>
        <v>n/a</v>
      </c>
      <c r="N146" s="450">
        <f>+N220-N72</f>
        <v>-920288</v>
      </c>
      <c r="O146" s="478" t="str">
        <f t="shared" si="64"/>
        <v>n/a</v>
      </c>
      <c r="P146" s="450">
        <f>+P220-P72</f>
        <v>-2709099</v>
      </c>
      <c r="Q146" s="478">
        <f t="shared" si="64"/>
        <v>1.9437513039396364</v>
      </c>
      <c r="R146" s="450">
        <f>+R220-R72</f>
        <v>-4787089</v>
      </c>
      <c r="S146" s="484">
        <f t="shared" si="64"/>
        <v>0.76704099776346313</v>
      </c>
    </row>
    <row r="147" spans="1:19" x14ac:dyDescent="0.25">
      <c r="A147" s="34"/>
      <c r="B147" s="34"/>
      <c r="C147" s="34"/>
      <c r="D147" s="152"/>
      <c r="E147" s="153"/>
      <c r="F147" s="153"/>
      <c r="G147" s="568"/>
      <c r="H147" s="153"/>
      <c r="I147" s="479"/>
      <c r="J147" s="153"/>
      <c r="K147" s="153"/>
      <c r="L147" s="151"/>
      <c r="M147" s="479"/>
      <c r="N147" s="467"/>
      <c r="O147" s="479"/>
      <c r="P147" s="467"/>
      <c r="Q147" s="479"/>
      <c r="R147" s="467"/>
      <c r="S147" s="486"/>
    </row>
    <row r="148" spans="1:19" ht="13.8" thickBot="1" x14ac:dyDescent="0.3">
      <c r="A148" s="178"/>
      <c r="B148" s="178"/>
      <c r="C148" s="178"/>
      <c r="D148" s="179" t="s">
        <v>190</v>
      </c>
      <c r="E148" s="180">
        <f>E144+E146</f>
        <v>0</v>
      </c>
      <c r="F148" s="180">
        <f t="shared" ref="F148" si="97">F144+F146</f>
        <v>0</v>
      </c>
      <c r="G148" s="483" t="str">
        <f t="shared" si="36"/>
        <v>n/a</v>
      </c>
      <c r="H148" s="180"/>
      <c r="I148" s="483" t="str">
        <f t="shared" si="63"/>
        <v>n/a</v>
      </c>
      <c r="J148" s="180">
        <f t="shared" ref="J148:L148" si="98">J144+J146</f>
        <v>0</v>
      </c>
      <c r="K148" s="181"/>
      <c r="L148" s="180">
        <f t="shared" si="98"/>
        <v>-76645</v>
      </c>
      <c r="M148" s="483" t="str">
        <f t="shared" si="37"/>
        <v>n/a</v>
      </c>
      <c r="N148" s="180">
        <f t="shared" ref="N148" si="99">N144+N146</f>
        <v>8539981</v>
      </c>
      <c r="O148" s="483">
        <f t="shared" si="64"/>
        <v>-112.42254550198969</v>
      </c>
      <c r="P148" s="180">
        <f t="shared" ref="P148" si="100">P144+P146</f>
        <v>6445855</v>
      </c>
      <c r="Q148" s="483">
        <f t="shared" si="64"/>
        <v>-0.24521436288909781</v>
      </c>
      <c r="R148" s="180">
        <f t="shared" ref="R148" si="101">R144+R146</f>
        <v>4054828</v>
      </c>
      <c r="S148" s="490">
        <f t="shared" si="64"/>
        <v>-0.37094023989059632</v>
      </c>
    </row>
    <row r="149" spans="1:19" ht="15" customHeight="1" thickTop="1" thickBot="1" x14ac:dyDescent="0.3">
      <c r="A149" s="151"/>
      <c r="B149" s="151"/>
      <c r="C149" s="151"/>
      <c r="D149" s="177"/>
      <c r="E149" s="184"/>
      <c r="F149" s="184"/>
      <c r="G149" s="184"/>
      <c r="H149" s="184"/>
      <c r="I149" s="184"/>
      <c r="J149" s="184"/>
      <c r="K149" s="184"/>
      <c r="L149" s="184"/>
      <c r="M149" s="184"/>
      <c r="N149" s="184"/>
      <c r="O149" s="184"/>
      <c r="P149" s="184"/>
      <c r="Q149" s="184"/>
      <c r="R149" s="184"/>
      <c r="S149" s="184"/>
    </row>
    <row r="150" spans="1:19" ht="0.75" hidden="1" customHeight="1" thickBot="1" x14ac:dyDescent="0.3">
      <c r="A150" s="34"/>
      <c r="B150" s="34"/>
      <c r="C150" s="34"/>
      <c r="D150" s="34"/>
      <c r="E150" s="153"/>
    </row>
    <row r="151" spans="1:19" ht="29.25" customHeight="1" thickBot="1" x14ac:dyDescent="0.3">
      <c r="A151" s="185"/>
      <c r="B151" s="186"/>
      <c r="C151" s="186"/>
      <c r="D151" s="623" t="str">
        <f>+D77</f>
        <v>Modernization Project</v>
      </c>
      <c r="E151" s="624"/>
      <c r="F151" s="624"/>
      <c r="G151" s="624"/>
      <c r="H151" s="624"/>
      <c r="I151" s="624"/>
      <c r="J151" s="624"/>
      <c r="K151" s="624"/>
      <c r="L151" s="624"/>
      <c r="M151" s="624"/>
      <c r="N151" s="624"/>
      <c r="O151" s="624"/>
      <c r="P151" s="624"/>
      <c r="Q151" s="624"/>
      <c r="R151" s="624"/>
      <c r="S151" s="625"/>
    </row>
    <row r="152" spans="1:19" ht="18.75" customHeight="1" x14ac:dyDescent="0.3">
      <c r="A152" s="152"/>
      <c r="B152" s="34"/>
      <c r="C152" s="34"/>
      <c r="D152" s="626"/>
      <c r="E152" s="627"/>
      <c r="F152" s="627"/>
      <c r="G152" s="627"/>
      <c r="H152" s="627"/>
      <c r="I152" s="627"/>
      <c r="J152" s="627"/>
      <c r="K152" s="627"/>
      <c r="L152" s="627"/>
      <c r="M152" s="627"/>
      <c r="N152" s="627"/>
      <c r="O152" s="627"/>
      <c r="P152" s="627"/>
      <c r="Q152" s="627"/>
      <c r="R152" s="627"/>
      <c r="S152" s="628"/>
    </row>
    <row r="153" spans="1:19" ht="19.2" customHeight="1" x14ac:dyDescent="0.4">
      <c r="A153" s="152"/>
      <c r="B153" s="34"/>
      <c r="C153" s="34"/>
      <c r="D153" s="610" t="str">
        <f>+D5</f>
        <v>Balance Sheet-Table 4</v>
      </c>
      <c r="E153" s="590"/>
      <c r="F153" s="590"/>
      <c r="G153" s="590"/>
      <c r="H153" s="590"/>
      <c r="I153" s="590"/>
      <c r="J153" s="590"/>
      <c r="K153" s="590"/>
      <c r="L153" s="590"/>
      <c r="M153" s="590"/>
      <c r="N153" s="590"/>
      <c r="O153" s="590"/>
      <c r="P153" s="590"/>
      <c r="Q153" s="590"/>
      <c r="R153" s="590"/>
      <c r="S153" s="615"/>
    </row>
    <row r="154" spans="1:19" ht="29.25" customHeight="1" x14ac:dyDescent="0.3">
      <c r="A154" s="157"/>
      <c r="B154" s="155"/>
      <c r="C154" s="155"/>
      <c r="D154" s="620" t="s">
        <v>48</v>
      </c>
      <c r="E154" s="621"/>
      <c r="F154" s="621"/>
      <c r="G154" s="621"/>
      <c r="H154" s="621"/>
      <c r="I154" s="621"/>
      <c r="J154" s="621"/>
      <c r="K154" s="621"/>
      <c r="L154" s="621"/>
      <c r="M154" s="621"/>
      <c r="N154" s="621"/>
      <c r="O154" s="621"/>
      <c r="P154" s="621"/>
      <c r="Q154" s="621"/>
      <c r="R154" s="621"/>
      <c r="S154" s="622"/>
    </row>
    <row r="155" spans="1:19" ht="9" customHeight="1" x14ac:dyDescent="0.3">
      <c r="A155" s="144"/>
      <c r="B155" s="145"/>
      <c r="C155" s="145"/>
      <c r="D155" s="144"/>
      <c r="E155" s="145"/>
      <c r="F155" s="145"/>
      <c r="G155" s="533"/>
      <c r="H155" s="533"/>
      <c r="I155" s="145"/>
      <c r="J155" s="145"/>
      <c r="K155" s="145"/>
      <c r="L155" s="145"/>
      <c r="M155" s="145"/>
      <c r="N155" s="145"/>
      <c r="O155" s="145"/>
      <c r="P155" s="418"/>
      <c r="Q155" s="418"/>
      <c r="R155" s="145"/>
      <c r="S155" s="146"/>
    </row>
    <row r="156" spans="1:19" x14ac:dyDescent="0.25">
      <c r="A156" s="157"/>
      <c r="B156" s="177"/>
      <c r="C156" s="151"/>
      <c r="D156" s="157"/>
      <c r="E156" s="183" t="str">
        <f>+E7</f>
        <v>2014</v>
      </c>
      <c r="F156" s="183" t="str">
        <f t="shared" ref="F156:S157" si="102">+F7</f>
        <v>2015</v>
      </c>
      <c r="G156" s="183"/>
      <c r="H156" s="554">
        <f t="shared" ref="H156" si="103">+H7</f>
        <v>2016</v>
      </c>
      <c r="I156" s="183"/>
      <c r="J156" s="183" t="str">
        <f t="shared" si="102"/>
        <v>2016</v>
      </c>
      <c r="K156" s="183"/>
      <c r="L156" s="183">
        <f t="shared" si="102"/>
        <v>2017</v>
      </c>
      <c r="M156" s="183"/>
      <c r="N156" s="183">
        <f t="shared" si="102"/>
        <v>2018</v>
      </c>
      <c r="O156" s="183"/>
      <c r="P156" s="183">
        <f t="shared" ref="P156" si="104">+P7</f>
        <v>2019</v>
      </c>
      <c r="Q156" s="183"/>
      <c r="R156" s="183">
        <f t="shared" si="102"/>
        <v>2020</v>
      </c>
      <c r="S156" s="187"/>
    </row>
    <row r="157" spans="1:19" s="164" customFormat="1" ht="45" customHeight="1" x14ac:dyDescent="0.25">
      <c r="A157" s="188"/>
      <c r="D157" s="162"/>
      <c r="E157" s="183" t="str">
        <f>+E8</f>
        <v>Actual</v>
      </c>
      <c r="F157" s="183" t="str">
        <f t="shared" si="102"/>
        <v>Actual</v>
      </c>
      <c r="G157" s="183" t="str">
        <f>+G8</f>
        <v>% change</v>
      </c>
      <c r="H157" s="183" t="str">
        <f t="shared" ref="H157" si="105">+H8</f>
        <v>Budget</v>
      </c>
      <c r="I157" s="183" t="str">
        <f t="shared" si="102"/>
        <v>% change</v>
      </c>
      <c r="J157" s="183" t="str">
        <f t="shared" si="102"/>
        <v>Actual</v>
      </c>
      <c r="K157" s="183" t="str">
        <f t="shared" si="102"/>
        <v>% change from py Actual</v>
      </c>
      <c r="L157" s="183"/>
      <c r="M157" s="183" t="str">
        <f t="shared" si="102"/>
        <v>% change from py budget</v>
      </c>
      <c r="N157" s="183">
        <f t="shared" si="102"/>
        <v>0</v>
      </c>
      <c r="O157" s="183" t="str">
        <f t="shared" si="102"/>
        <v>% change from py Projection</v>
      </c>
      <c r="P157" s="183"/>
      <c r="Q157" s="183"/>
      <c r="R157" s="183"/>
      <c r="S157" s="187" t="str">
        <f t="shared" si="102"/>
        <v>% change from py Projection</v>
      </c>
    </row>
    <row r="158" spans="1:19" x14ac:dyDescent="0.25">
      <c r="A158" s="152"/>
      <c r="B158" s="34"/>
      <c r="C158" s="34"/>
      <c r="D158" s="152" t="s">
        <v>147</v>
      </c>
      <c r="E158" s="153"/>
      <c r="N158" s="516"/>
      <c r="S158" s="154"/>
    </row>
    <row r="159" spans="1:19" x14ac:dyDescent="0.25">
      <c r="A159" s="152"/>
      <c r="B159" s="34"/>
      <c r="C159" s="34"/>
      <c r="D159" s="152"/>
      <c r="E159" s="153"/>
      <c r="N159" s="516"/>
      <c r="S159" s="154"/>
    </row>
    <row r="160" spans="1:19" outlineLevel="2" x14ac:dyDescent="0.25">
      <c r="A160" s="152"/>
      <c r="B160" s="34"/>
      <c r="C160" s="34"/>
      <c r="D160" s="152" t="s">
        <v>148</v>
      </c>
      <c r="E160" s="153"/>
      <c r="F160" s="266"/>
      <c r="G160" s="266"/>
      <c r="H160" s="266"/>
      <c r="N160" s="516"/>
      <c r="S160" s="154"/>
    </row>
    <row r="161" spans="1:21" outlineLevel="2" x14ac:dyDescent="0.25">
      <c r="A161" s="152"/>
      <c r="B161" s="34"/>
      <c r="C161" s="34"/>
      <c r="D161" s="152" t="s">
        <v>191</v>
      </c>
      <c r="E161" s="153">
        <f t="shared" ref="E161:J165" si="106">+E13+E87</f>
        <v>2400992.34</v>
      </c>
      <c r="F161" s="153">
        <f t="shared" si="106"/>
        <v>2647794.14</v>
      </c>
      <c r="G161" s="567">
        <f>IF(E161=0,"n/a",+(F161/E161)-1)</f>
        <v>0.10279158158413804</v>
      </c>
      <c r="H161" s="153">
        <f t="shared" ref="H161" si="107">+H13+H87</f>
        <v>2351237</v>
      </c>
      <c r="I161" s="478">
        <f>IF(F161=0,"n/a",+(H161/F161)-1)</f>
        <v>-0.11200158483619882</v>
      </c>
      <c r="J161" s="153">
        <f t="shared" si="106"/>
        <v>4193240</v>
      </c>
      <c r="K161" s="166">
        <f>+(J161/F161)-1</f>
        <v>0.58367296635832866</v>
      </c>
      <c r="L161" s="449">
        <v>1908976</v>
      </c>
      <c r="M161" s="478">
        <f>IF(H161=0,"n/a",+(L161/H161)-1)</f>
        <v>-0.18809715906988533</v>
      </c>
      <c r="N161" s="449">
        <v>1766007</v>
      </c>
      <c r="O161" s="478">
        <f>IF(L161=0,"n/a",+(N161/L161)-1)</f>
        <v>-7.4893031656762532E-2</v>
      </c>
      <c r="P161" s="449">
        <v>2283804</v>
      </c>
      <c r="Q161" s="478">
        <f>IF(N161=0,"n/a",+(P161/N161)-1)</f>
        <v>0.29320212207539376</v>
      </c>
      <c r="R161" s="449">
        <v>1473748</v>
      </c>
      <c r="S161" s="484">
        <f>IF(P161=0,"n/a",+(R161/P161)-1)</f>
        <v>-0.35469593712945591</v>
      </c>
    </row>
    <row r="162" spans="1:21" outlineLevel="2" x14ac:dyDescent="0.25">
      <c r="A162" s="152"/>
      <c r="B162" s="34"/>
      <c r="C162" s="34"/>
      <c r="D162" s="152" t="s">
        <v>192</v>
      </c>
      <c r="E162" s="153">
        <f t="shared" si="106"/>
        <v>10647098.210000001</v>
      </c>
      <c r="F162" s="153">
        <f t="shared" si="106"/>
        <v>10528906.109999999</v>
      </c>
      <c r="G162" s="567">
        <f t="shared" ref="G162:G222" si="108">IF(E162=0,"n/a",+(F162/E162)-1)</f>
        <v>-1.1100874404351146E-2</v>
      </c>
      <c r="H162" s="153">
        <f t="shared" ref="H162" si="109">+H14+H88</f>
        <v>12150914</v>
      </c>
      <c r="I162" s="478">
        <f>IF(F162=0,"n/a",+(H162/F162)-1)</f>
        <v>0.15405284015777032</v>
      </c>
      <c r="J162" s="153">
        <f t="shared" si="106"/>
        <v>11643001</v>
      </c>
      <c r="K162" s="166">
        <f t="shared" ref="K162:K167" si="110">+(J162/F162)-1</f>
        <v>0.10581297604523909</v>
      </c>
      <c r="L162" s="449">
        <v>12425311</v>
      </c>
      <c r="M162" s="478">
        <f t="shared" ref="M162:M222" si="111">IF(H162=0,"n/a",+(L162/H162)-1)</f>
        <v>2.2582416433858388E-2</v>
      </c>
      <c r="N162" s="449">
        <v>12983132</v>
      </c>
      <c r="O162" s="478">
        <f>IF(L162=0,"n/a",+(N162/L162)-1)</f>
        <v>4.4893926598698508E-2</v>
      </c>
      <c r="P162" s="449">
        <v>13368912</v>
      </c>
      <c r="Q162" s="478">
        <f>IF(N162=0,"n/a",+(P162/N162)-1)</f>
        <v>2.971393959485269E-2</v>
      </c>
      <c r="R162" s="449">
        <v>13608426</v>
      </c>
      <c r="S162" s="484">
        <f>IF(P162=0,"n/a",+(R162/P162)-1)</f>
        <v>1.7915743629698611E-2</v>
      </c>
      <c r="U162" s="521" t="s">
        <v>492</v>
      </c>
    </row>
    <row r="163" spans="1:21" outlineLevel="2" x14ac:dyDescent="0.25">
      <c r="A163" s="152"/>
      <c r="B163" s="34"/>
      <c r="C163" s="34"/>
      <c r="D163" s="152" t="s">
        <v>193</v>
      </c>
      <c r="E163" s="153">
        <f t="shared" si="106"/>
        <v>-4769578.54</v>
      </c>
      <c r="F163" s="153">
        <f t="shared" si="106"/>
        <v>-5266349.7</v>
      </c>
      <c r="G163" s="567">
        <f t="shared" si="108"/>
        <v>0.10415409995533897</v>
      </c>
      <c r="H163" s="153">
        <f t="shared" ref="H163" si="112">+H15+H89</f>
        <v>-6328601</v>
      </c>
      <c r="I163" s="478">
        <f>IF(F163=0,"n/a",+(H163/F163)-1)</f>
        <v>0.20170542415745762</v>
      </c>
      <c r="J163" s="153">
        <f t="shared" si="106"/>
        <v>-5719983</v>
      </c>
      <c r="K163" s="166">
        <f t="shared" si="110"/>
        <v>8.6138089158796172E-2</v>
      </c>
      <c r="L163" s="449">
        <v>-6471516</v>
      </c>
      <c r="M163" s="478">
        <f t="shared" si="111"/>
        <v>2.2582400122870716E-2</v>
      </c>
      <c r="N163" s="449">
        <v>-6491566</v>
      </c>
      <c r="O163" s="478">
        <f>IF(L163=0,"n/a",+(N163/L163)-1)</f>
        <v>3.0981921392143619E-3</v>
      </c>
      <c r="P163" s="449">
        <v>-6684456</v>
      </c>
      <c r="Q163" s="478">
        <f>IF(N163=0,"n/a",+(P163/N163)-1)</f>
        <v>2.971393959485269E-2</v>
      </c>
      <c r="R163" s="449">
        <v>-6804213</v>
      </c>
      <c r="S163" s="484">
        <f>IF(P163=0,"n/a",+(R163/P163)-1)</f>
        <v>1.7915743629698611E-2</v>
      </c>
      <c r="U163" s="521" t="s">
        <v>492</v>
      </c>
    </row>
    <row r="164" spans="1:21" outlineLevel="2" x14ac:dyDescent="0.25">
      <c r="A164" s="152"/>
      <c r="B164" s="34"/>
      <c r="C164" s="34"/>
      <c r="D164" s="152" t="s">
        <v>194</v>
      </c>
      <c r="E164" s="153">
        <f t="shared" si="106"/>
        <v>0</v>
      </c>
      <c r="F164" s="153">
        <f t="shared" si="106"/>
        <v>0</v>
      </c>
      <c r="G164" s="567" t="str">
        <f t="shared" si="108"/>
        <v>n/a</v>
      </c>
      <c r="H164" s="153">
        <f t="shared" ref="H164" si="113">+H16+H90</f>
        <v>0</v>
      </c>
      <c r="I164" s="478" t="str">
        <f>IF(F164=0,"n/a",+(H164/F164)-1)</f>
        <v>n/a</v>
      </c>
      <c r="J164" s="153">
        <f t="shared" si="106"/>
        <v>0</v>
      </c>
      <c r="K164" s="166" t="e">
        <f t="shared" si="110"/>
        <v>#DIV/0!</v>
      </c>
      <c r="L164" s="449">
        <v>0</v>
      </c>
      <c r="M164" s="478" t="str">
        <f t="shared" si="111"/>
        <v>n/a</v>
      </c>
      <c r="N164" s="449"/>
      <c r="O164" s="478" t="str">
        <f>IF(L164=0,"n/a",+(N164/L164)-1)</f>
        <v>n/a</v>
      </c>
      <c r="P164" s="449"/>
      <c r="Q164" s="478" t="str">
        <f>IF(N164=0,"n/a",+(P164/N164)-1)</f>
        <v>n/a</v>
      </c>
      <c r="R164" s="449"/>
      <c r="S164" s="484" t="str">
        <f>IF(P164=0,"n/a",+(R164/P164)-1)</f>
        <v>n/a</v>
      </c>
      <c r="U164" s="521" t="s">
        <v>492</v>
      </c>
    </row>
    <row r="165" spans="1:21" outlineLevel="2" x14ac:dyDescent="0.25">
      <c r="A165" s="152"/>
      <c r="B165" s="34"/>
      <c r="C165" s="34"/>
      <c r="D165" s="152" t="s">
        <v>195</v>
      </c>
      <c r="E165" s="153">
        <f t="shared" si="106"/>
        <v>9034828.5500000007</v>
      </c>
      <c r="F165" s="153">
        <f t="shared" si="106"/>
        <v>7460839.8799999999</v>
      </c>
      <c r="G165" s="567">
        <f t="shared" si="108"/>
        <v>-0.17421345200845018</v>
      </c>
      <c r="H165" s="153">
        <f t="shared" ref="H165" si="114">+H17+H91</f>
        <v>3527045</v>
      </c>
      <c r="I165" s="478">
        <f>IF(F165=0,"n/a",+(H165/F165)-1)</f>
        <v>-0.52725898736215737</v>
      </c>
      <c r="J165" s="153">
        <f t="shared" si="106"/>
        <v>3678054</v>
      </c>
      <c r="K165" s="166">
        <f t="shared" si="110"/>
        <v>-0.507018772798003</v>
      </c>
      <c r="L165" s="449">
        <f>3456952+1200000</f>
        <v>4656952</v>
      </c>
      <c r="M165" s="478">
        <f t="shared" si="111"/>
        <v>0.32035514148529431</v>
      </c>
      <c r="N165" s="449">
        <f>3482965+1200000</f>
        <v>4682965</v>
      </c>
      <c r="O165" s="478">
        <f>IF(L165=0,"n/a",+(N165/L165)-1)</f>
        <v>5.5858424136645546E-3</v>
      </c>
      <c r="P165" s="449">
        <f>3537460+1200000</f>
        <v>4737460</v>
      </c>
      <c r="Q165" s="478">
        <f>IF(N165=0,"n/a",+(P165/N165)-1)</f>
        <v>1.1636858272483286E-2</v>
      </c>
      <c r="R165" s="449">
        <f>3580712+1200000</f>
        <v>4780712</v>
      </c>
      <c r="S165" s="484">
        <f>IF(P165=0,"n/a",+(R165/P165)-1)</f>
        <v>9.1297868478044109E-3</v>
      </c>
      <c r="U165" s="521" t="s">
        <v>492</v>
      </c>
    </row>
    <row r="166" spans="1:21" outlineLevel="2" x14ac:dyDescent="0.25">
      <c r="A166" s="152"/>
      <c r="B166" s="34"/>
      <c r="C166" s="34"/>
      <c r="D166" s="152"/>
      <c r="E166" s="153"/>
      <c r="F166" s="153"/>
      <c r="G166" s="491" t="str">
        <f t="shared" si="108"/>
        <v>n/a</v>
      </c>
      <c r="H166" s="153"/>
      <c r="I166" s="537"/>
      <c r="L166" s="190"/>
      <c r="M166" s="479" t="str">
        <f t="shared" si="111"/>
        <v>n/a</v>
      </c>
      <c r="N166" s="190"/>
      <c r="O166" s="479"/>
      <c r="P166" s="190"/>
      <c r="Q166" s="479"/>
      <c r="R166" s="190"/>
      <c r="S166" s="486"/>
    </row>
    <row r="167" spans="1:21" x14ac:dyDescent="0.25">
      <c r="A167" s="169"/>
      <c r="B167" s="168"/>
      <c r="C167" s="168"/>
      <c r="D167" s="169" t="s">
        <v>154</v>
      </c>
      <c r="E167" s="552">
        <f>SUM(E160:E166)</f>
        <v>17313340.560000002</v>
      </c>
      <c r="F167" s="552">
        <f>SUM(F160:F166)</f>
        <v>15371190.43</v>
      </c>
      <c r="G167" s="480">
        <f t="shared" si="108"/>
        <v>-0.11217651055089062</v>
      </c>
      <c r="H167" s="552">
        <f>SUM(H160:H166)</f>
        <v>11700595</v>
      </c>
      <c r="I167" s="477">
        <f>IF(F167=0,"n/a",+(H167/F167)-1)</f>
        <v>-0.23879708254970855</v>
      </c>
      <c r="J167" s="552">
        <f>SUM(J160:J166)</f>
        <v>13794312</v>
      </c>
      <c r="K167" s="171">
        <f t="shared" si="110"/>
        <v>-0.10258661729428586</v>
      </c>
      <c r="L167" s="552">
        <f>SUM(L160:L166)</f>
        <v>12519723</v>
      </c>
      <c r="M167" s="480">
        <f t="shared" si="111"/>
        <v>7.0007379966574357E-2</v>
      </c>
      <c r="N167" s="552">
        <f>SUM(N160:N166)</f>
        <v>12940538</v>
      </c>
      <c r="O167" s="480">
        <f>IF(L167=0,"n/a",+(N167/L167)-1)</f>
        <v>3.3612165380975334E-2</v>
      </c>
      <c r="P167" s="552">
        <f>SUM(P160:P166)</f>
        <v>13705720</v>
      </c>
      <c r="Q167" s="480">
        <f>IF(N167=0,"n/a",+(P167/N167)-1)</f>
        <v>5.9130617289636644E-2</v>
      </c>
      <c r="R167" s="552">
        <f>SUM(R160:R166)</f>
        <v>13058673</v>
      </c>
      <c r="S167" s="487">
        <f>IF(P167=0,"n/a",+(R167/P167)-1)</f>
        <v>-4.7209996993955783E-2</v>
      </c>
    </row>
    <row r="168" spans="1:21" x14ac:dyDescent="0.25">
      <c r="A168" s="152"/>
      <c r="B168" s="34"/>
      <c r="C168" s="34"/>
      <c r="D168" s="152"/>
      <c r="E168" s="153"/>
      <c r="F168" s="153"/>
      <c r="G168" s="568"/>
      <c r="H168" s="153"/>
      <c r="I168" s="537"/>
      <c r="J168" s="153"/>
      <c r="K168" s="153"/>
      <c r="L168" s="190"/>
      <c r="M168" s="479"/>
      <c r="N168" s="190"/>
      <c r="O168" s="479"/>
      <c r="P168" s="190"/>
      <c r="Q168" s="479"/>
      <c r="R168" s="190"/>
      <c r="S168" s="486"/>
    </row>
    <row r="169" spans="1:21" outlineLevel="1" x14ac:dyDescent="0.25">
      <c r="A169" s="152"/>
      <c r="B169" s="34"/>
      <c r="C169" s="34"/>
      <c r="D169" s="152" t="s">
        <v>155</v>
      </c>
      <c r="E169" s="153"/>
      <c r="F169" s="153"/>
      <c r="G169" s="567"/>
      <c r="H169" s="153"/>
      <c r="I169" s="478" t="str">
        <f t="shared" ref="I169:I174" si="115">IF(F169=0,"n/a",+(H169/F169)-1)</f>
        <v>n/a</v>
      </c>
      <c r="J169" s="153"/>
      <c r="K169" s="166"/>
      <c r="L169" s="153"/>
      <c r="M169" s="478" t="str">
        <f t="shared" si="111"/>
        <v>n/a</v>
      </c>
      <c r="N169" s="153"/>
      <c r="O169" s="478"/>
      <c r="P169" s="153"/>
      <c r="Q169" s="478"/>
      <c r="R169" s="153"/>
      <c r="S169" s="484"/>
    </row>
    <row r="170" spans="1:21" outlineLevel="1" x14ac:dyDescent="0.25">
      <c r="A170" s="152"/>
      <c r="B170" s="34"/>
      <c r="C170" s="34"/>
      <c r="D170" s="152" t="s">
        <v>196</v>
      </c>
      <c r="E170" s="153">
        <f t="shared" ref="E170:J172" si="116">+E22+E96</f>
        <v>28944250.140000001</v>
      </c>
      <c r="F170" s="153">
        <f t="shared" si="116"/>
        <v>35201752.950000003</v>
      </c>
      <c r="G170" s="567">
        <f t="shared" si="108"/>
        <v>0.2161915675732895</v>
      </c>
      <c r="H170" s="153">
        <f t="shared" ref="H170" si="117">+H22+H96</f>
        <v>34000000</v>
      </c>
      <c r="I170" s="478">
        <f t="shared" si="115"/>
        <v>-3.4139008693883865E-2</v>
      </c>
      <c r="J170" s="153">
        <f t="shared" si="116"/>
        <v>39755129</v>
      </c>
      <c r="K170" s="166">
        <f t="shared" ref="K170:K172" si="118">+(J170/F170)-1</f>
        <v>0.12935083251301549</v>
      </c>
      <c r="L170" s="189">
        <v>33042343</v>
      </c>
      <c r="M170" s="478">
        <f t="shared" si="111"/>
        <v>-2.8166382352941222E-2</v>
      </c>
      <c r="N170" s="189">
        <v>26042343</v>
      </c>
      <c r="O170" s="478">
        <f t="shared" ref="O170:S174" si="119">IF(L170=0,"n/a",+(N170/L170)-1)</f>
        <v>-0.21184938368323336</v>
      </c>
      <c r="P170" s="189">
        <v>29042343</v>
      </c>
      <c r="Q170" s="478">
        <f t="shared" si="119"/>
        <v>0.11519700819546075</v>
      </c>
      <c r="R170" s="189">
        <v>32042343</v>
      </c>
      <c r="S170" s="484">
        <f t="shared" si="119"/>
        <v>0.10329745089781506</v>
      </c>
      <c r="U170" s="521" t="s">
        <v>492</v>
      </c>
    </row>
    <row r="171" spans="1:21" outlineLevel="1" x14ac:dyDescent="0.25">
      <c r="A171" s="152"/>
      <c r="B171" s="34"/>
      <c r="C171" s="34"/>
      <c r="D171" s="152" t="s">
        <v>197</v>
      </c>
      <c r="E171" s="153">
        <f t="shared" si="116"/>
        <v>0</v>
      </c>
      <c r="F171" s="153">
        <f t="shared" si="116"/>
        <v>0</v>
      </c>
      <c r="G171" s="567" t="str">
        <f t="shared" si="108"/>
        <v>n/a</v>
      </c>
      <c r="H171" s="153">
        <f t="shared" ref="H171" si="120">+H23+H97</f>
        <v>0</v>
      </c>
      <c r="I171" s="478" t="str">
        <f t="shared" si="115"/>
        <v>n/a</v>
      </c>
      <c r="J171" s="153">
        <f t="shared" si="116"/>
        <v>2007690</v>
      </c>
      <c r="K171" s="166" t="e">
        <f t="shared" si="118"/>
        <v>#DIV/0!</v>
      </c>
      <c r="L171" s="189"/>
      <c r="M171" s="478" t="str">
        <f t="shared" si="111"/>
        <v>n/a</v>
      </c>
      <c r="N171" s="189">
        <v>4000000</v>
      </c>
      <c r="O171" s="478" t="str">
        <f t="shared" si="119"/>
        <v>n/a</v>
      </c>
      <c r="P171" s="189"/>
      <c r="Q171" s="478">
        <f t="shared" si="119"/>
        <v>-1</v>
      </c>
      <c r="R171" s="189"/>
      <c r="S171" s="484" t="str">
        <f t="shared" si="119"/>
        <v>n/a</v>
      </c>
      <c r="U171" s="521" t="s">
        <v>492</v>
      </c>
    </row>
    <row r="172" spans="1:21" outlineLevel="1" x14ac:dyDescent="0.25">
      <c r="A172" s="152"/>
      <c r="B172" s="34"/>
      <c r="C172" s="34"/>
      <c r="D172" s="152" t="s">
        <v>198</v>
      </c>
      <c r="E172" s="153">
        <f t="shared" si="116"/>
        <v>453969.67</v>
      </c>
      <c r="F172" s="153">
        <f t="shared" si="116"/>
        <v>862918.49</v>
      </c>
      <c r="G172" s="567">
        <f t="shared" si="108"/>
        <v>0.90082850689122029</v>
      </c>
      <c r="H172" s="153">
        <f t="shared" ref="H172" si="121">+H24+H98</f>
        <v>469731</v>
      </c>
      <c r="I172" s="478">
        <f t="shared" si="115"/>
        <v>-0.45564847034393707</v>
      </c>
      <c r="J172" s="153">
        <f t="shared" si="116"/>
        <v>933615</v>
      </c>
      <c r="K172" s="166">
        <f t="shared" si="118"/>
        <v>8.1927216555528926E-2</v>
      </c>
      <c r="L172" s="189">
        <v>438166</v>
      </c>
      <c r="M172" s="478">
        <f t="shared" si="111"/>
        <v>-6.7198034619814329E-2</v>
      </c>
      <c r="N172" s="189">
        <v>438166</v>
      </c>
      <c r="O172" s="478">
        <f t="shared" si="119"/>
        <v>0</v>
      </c>
      <c r="P172" s="189">
        <v>438166</v>
      </c>
      <c r="Q172" s="478">
        <f t="shared" si="119"/>
        <v>0</v>
      </c>
      <c r="R172" s="189">
        <v>438166</v>
      </c>
      <c r="S172" s="484">
        <f t="shared" si="119"/>
        <v>0</v>
      </c>
      <c r="U172" s="521" t="s">
        <v>492</v>
      </c>
    </row>
    <row r="173" spans="1:21" outlineLevel="1" x14ac:dyDescent="0.25">
      <c r="A173" s="152"/>
      <c r="B173" s="34"/>
      <c r="C173" s="34"/>
      <c r="D173" s="152"/>
      <c r="E173" s="153"/>
      <c r="F173" s="153"/>
      <c r="G173" s="568" t="str">
        <f t="shared" si="108"/>
        <v>n/a</v>
      </c>
      <c r="H173" s="153"/>
      <c r="I173" s="479" t="str">
        <f t="shared" si="115"/>
        <v>n/a</v>
      </c>
      <c r="J173" s="153"/>
      <c r="K173" s="153"/>
      <c r="L173" s="190"/>
      <c r="M173" s="479" t="str">
        <f t="shared" si="111"/>
        <v>n/a</v>
      </c>
      <c r="N173" s="190"/>
      <c r="O173" s="479" t="str">
        <f t="shared" si="119"/>
        <v>n/a</v>
      </c>
      <c r="P173" s="190"/>
      <c r="Q173" s="479" t="str">
        <f t="shared" si="119"/>
        <v>n/a</v>
      </c>
      <c r="R173" s="190"/>
      <c r="S173" s="486" t="str">
        <f t="shared" si="119"/>
        <v>n/a</v>
      </c>
    </row>
    <row r="174" spans="1:21" x14ac:dyDescent="0.25">
      <c r="A174" s="169"/>
      <c r="B174" s="168"/>
      <c r="C174" s="168"/>
      <c r="D174" s="169" t="s">
        <v>159</v>
      </c>
      <c r="E174" s="552">
        <f>SUM(E169:E173)</f>
        <v>29398219.810000002</v>
      </c>
      <c r="F174" s="552">
        <f>SUM(F169:F173)</f>
        <v>36064671.440000005</v>
      </c>
      <c r="G174" s="480">
        <f t="shared" si="108"/>
        <v>0.22676378614368908</v>
      </c>
      <c r="H174" s="552">
        <f>SUM(H169:H173)</f>
        <v>34469731</v>
      </c>
      <c r="I174" s="477">
        <f t="shared" si="115"/>
        <v>-4.4224455022513487E-2</v>
      </c>
      <c r="J174" s="552">
        <f>SUM(J169:J173)</f>
        <v>42696434</v>
      </c>
      <c r="K174" s="171">
        <f t="shared" ref="K174" si="122">+(J174/F174)-1</f>
        <v>0.18388528981979246</v>
      </c>
      <c r="L174" s="552">
        <f>SUM(L169:L173)</f>
        <v>33480509</v>
      </c>
      <c r="M174" s="480">
        <f t="shared" si="111"/>
        <v>-2.8698280238972584E-2</v>
      </c>
      <c r="N174" s="552">
        <f>SUM(N169:N173)</f>
        <v>30480509</v>
      </c>
      <c r="O174" s="480">
        <f t="shared" si="119"/>
        <v>-8.9604372502222085E-2</v>
      </c>
      <c r="P174" s="552">
        <f>SUM(P169:P173)</f>
        <v>29480509</v>
      </c>
      <c r="Q174" s="480">
        <f t="shared" si="119"/>
        <v>-3.280785107624018E-2</v>
      </c>
      <c r="R174" s="552">
        <f>SUM(R169:R173)</f>
        <v>32480509</v>
      </c>
      <c r="S174" s="487">
        <f t="shared" si="119"/>
        <v>0.10176215071456185</v>
      </c>
    </row>
    <row r="175" spans="1:21" x14ac:dyDescent="0.25">
      <c r="A175" s="152"/>
      <c r="B175" s="34"/>
      <c r="C175" s="34"/>
      <c r="D175" s="152"/>
      <c r="E175" s="153"/>
      <c r="F175" s="153"/>
      <c r="G175" s="568"/>
      <c r="H175" s="153"/>
      <c r="I175" s="537"/>
      <c r="J175" s="153"/>
      <c r="K175" s="153"/>
      <c r="L175" s="190"/>
      <c r="M175" s="479"/>
      <c r="N175" s="190"/>
      <c r="O175" s="479"/>
      <c r="P175" s="190"/>
      <c r="Q175" s="479"/>
      <c r="R175" s="190"/>
      <c r="S175" s="486"/>
    </row>
    <row r="176" spans="1:21" outlineLevel="1" x14ac:dyDescent="0.25">
      <c r="A176" s="152"/>
      <c r="B176" s="34"/>
      <c r="C176" s="34"/>
      <c r="D176" s="152" t="s">
        <v>160</v>
      </c>
      <c r="E176" s="153"/>
      <c r="F176" s="153"/>
      <c r="G176" s="568"/>
      <c r="H176" s="153"/>
      <c r="I176" s="537"/>
      <c r="J176" s="153"/>
      <c r="K176" s="153"/>
      <c r="L176" s="190"/>
      <c r="M176" s="479"/>
      <c r="N176" s="190"/>
      <c r="O176" s="479"/>
      <c r="P176" s="190"/>
      <c r="Q176" s="479"/>
      <c r="R176" s="190"/>
      <c r="S176" s="486"/>
    </row>
    <row r="177" spans="1:21" outlineLevel="1" x14ac:dyDescent="0.25">
      <c r="A177" s="152"/>
      <c r="B177" s="34"/>
      <c r="C177" s="34"/>
      <c r="D177" s="152" t="s">
        <v>199</v>
      </c>
      <c r="E177" s="153">
        <f t="shared" ref="E177:J180" si="123">+E29+E103</f>
        <v>41155672.469999999</v>
      </c>
      <c r="F177" s="153">
        <f t="shared" si="123"/>
        <v>41369307.810000002</v>
      </c>
      <c r="G177" s="567">
        <f t="shared" si="108"/>
        <v>5.1909087418200439E-3</v>
      </c>
      <c r="H177" s="153">
        <f t="shared" ref="H177" si="124">+H29+H103</f>
        <v>41838534</v>
      </c>
      <c r="I177" s="478">
        <f t="shared" ref="I177:I182" si="125">IF(F177=0,"n/a",+(H177/F177)-1)</f>
        <v>1.1342374693699142E-2</v>
      </c>
      <c r="J177" s="153">
        <f t="shared" si="123"/>
        <v>41955243</v>
      </c>
      <c r="K177" s="166">
        <f>+(J177/F177)-1</f>
        <v>1.4163524144302109E-2</v>
      </c>
      <c r="L177" s="449">
        <v>43003004</v>
      </c>
      <c r="M177" s="478">
        <f t="shared" si="111"/>
        <v>2.7832476157027886E-2</v>
      </c>
      <c r="N177" s="449">
        <v>43278004</v>
      </c>
      <c r="O177" s="478">
        <f t="shared" ref="O177:S182" si="126">IF(L177=0,"n/a",+(N177/L177)-1)</f>
        <v>6.3949020863751649E-3</v>
      </c>
      <c r="P177" s="449">
        <v>63431165</v>
      </c>
      <c r="Q177" s="478">
        <f t="shared" si="126"/>
        <v>0.46566752477771378</v>
      </c>
      <c r="R177" s="449">
        <v>63486165</v>
      </c>
      <c r="S177" s="484">
        <f t="shared" si="126"/>
        <v>8.6708166246030061E-4</v>
      </c>
    </row>
    <row r="178" spans="1:21" outlineLevel="1" x14ac:dyDescent="0.25">
      <c r="A178" s="152"/>
      <c r="B178" s="34"/>
      <c r="C178" s="34"/>
      <c r="D178" s="152" t="s">
        <v>200</v>
      </c>
      <c r="E178" s="153">
        <f t="shared" si="123"/>
        <v>65648.38</v>
      </c>
      <c r="F178" s="153">
        <f t="shared" si="123"/>
        <v>276308.23</v>
      </c>
      <c r="G178" s="567">
        <f t="shared" si="108"/>
        <v>3.2089116288932029</v>
      </c>
      <c r="H178" s="153">
        <f t="shared" ref="H178" si="127">+H30+H104</f>
        <v>0</v>
      </c>
      <c r="I178" s="478">
        <f t="shared" si="125"/>
        <v>-1</v>
      </c>
      <c r="J178" s="153">
        <f t="shared" si="123"/>
        <v>3007270</v>
      </c>
      <c r="K178" s="166">
        <f t="shared" ref="K178:K182" si="128">+(J178/F178)-1</f>
        <v>9.8837510920322575</v>
      </c>
      <c r="L178" s="449">
        <v>4957657</v>
      </c>
      <c r="M178" s="478" t="str">
        <f t="shared" si="111"/>
        <v>n/a</v>
      </c>
      <c r="N178" s="449">
        <v>18591213</v>
      </c>
      <c r="O178" s="478">
        <f t="shared" si="126"/>
        <v>2.7499998487188604</v>
      </c>
      <c r="P178" s="449">
        <v>0</v>
      </c>
      <c r="Q178" s="478">
        <f t="shared" si="126"/>
        <v>-1</v>
      </c>
      <c r="R178" s="449">
        <v>0</v>
      </c>
      <c r="S178" s="484" t="str">
        <f t="shared" si="126"/>
        <v>n/a</v>
      </c>
    </row>
    <row r="179" spans="1:21" outlineLevel="1" x14ac:dyDescent="0.25">
      <c r="A179" s="152"/>
      <c r="B179" s="34"/>
      <c r="C179" s="34"/>
      <c r="D179" s="152" t="s">
        <v>201</v>
      </c>
      <c r="E179" s="153">
        <f t="shared" si="123"/>
        <v>20834013.66</v>
      </c>
      <c r="F179" s="153">
        <f t="shared" si="123"/>
        <v>20195850.559999999</v>
      </c>
      <c r="G179" s="567">
        <f t="shared" si="108"/>
        <v>-3.0630828529465526E-2</v>
      </c>
      <c r="H179" s="153">
        <f t="shared" ref="H179" si="129">+H31+H105</f>
        <v>28430310</v>
      </c>
      <c r="I179" s="478">
        <f t="shared" si="125"/>
        <v>0.40773026199298634</v>
      </c>
      <c r="J179" s="153">
        <f t="shared" si="123"/>
        <v>21016345</v>
      </c>
      <c r="K179" s="166">
        <f t="shared" si="128"/>
        <v>4.0626882119294105E-2</v>
      </c>
      <c r="L179" s="449">
        <v>27279285</v>
      </c>
      <c r="M179" s="478">
        <f t="shared" si="111"/>
        <v>-4.04858406397961E-2</v>
      </c>
      <c r="N179" s="449">
        <v>30617798</v>
      </c>
      <c r="O179" s="478">
        <f t="shared" si="126"/>
        <v>0.12238271640917264</v>
      </c>
      <c r="P179" s="449">
        <v>33888819</v>
      </c>
      <c r="Q179" s="478">
        <f t="shared" si="126"/>
        <v>0.10683397284154794</v>
      </c>
      <c r="R179" s="449">
        <v>36389276</v>
      </c>
      <c r="S179" s="484">
        <f t="shared" si="126"/>
        <v>7.3784129213827043E-2</v>
      </c>
    </row>
    <row r="180" spans="1:21" outlineLevel="1" x14ac:dyDescent="0.25">
      <c r="A180" s="152"/>
      <c r="B180" s="34"/>
      <c r="C180" s="34"/>
      <c r="D180" s="152" t="s">
        <v>202</v>
      </c>
      <c r="E180" s="153">
        <f t="shared" si="123"/>
        <v>2038322.95</v>
      </c>
      <c r="F180" s="153">
        <f t="shared" si="123"/>
        <v>1993918.57</v>
      </c>
      <c r="G180" s="567">
        <f t="shared" si="108"/>
        <v>-2.1784761830798138E-2</v>
      </c>
      <c r="H180" s="153">
        <f t="shared" ref="H180" si="130">+H32+H106</f>
        <v>3100956</v>
      </c>
      <c r="I180" s="478">
        <f t="shared" si="125"/>
        <v>0.55520694107382718</v>
      </c>
      <c r="J180" s="153">
        <f t="shared" si="123"/>
        <v>1999119</v>
      </c>
      <c r="K180" s="166">
        <f t="shared" si="128"/>
        <v>2.6081456275317549E-3</v>
      </c>
      <c r="L180" s="449">
        <v>2609287</v>
      </c>
      <c r="M180" s="478">
        <f t="shared" si="111"/>
        <v>-0.15855400721583923</v>
      </c>
      <c r="N180" s="449">
        <v>2899508</v>
      </c>
      <c r="O180" s="478">
        <f t="shared" si="126"/>
        <v>0.11122617021431536</v>
      </c>
      <c r="P180" s="449">
        <v>3500103</v>
      </c>
      <c r="Q180" s="478">
        <f t="shared" si="126"/>
        <v>0.20713686597864189</v>
      </c>
      <c r="R180" s="449">
        <v>3560303</v>
      </c>
      <c r="S180" s="484">
        <f t="shared" si="126"/>
        <v>1.7199493843466973E-2</v>
      </c>
    </row>
    <row r="181" spans="1:21" x14ac:dyDescent="0.25">
      <c r="A181" s="152"/>
      <c r="B181" s="34"/>
      <c r="C181" s="34"/>
      <c r="D181" s="152"/>
      <c r="E181" s="153"/>
      <c r="F181" s="153"/>
      <c r="G181" s="567" t="str">
        <f t="shared" si="108"/>
        <v>n/a</v>
      </c>
      <c r="H181" s="153"/>
      <c r="I181" s="479" t="str">
        <f t="shared" si="125"/>
        <v>n/a</v>
      </c>
      <c r="J181" s="153"/>
      <c r="K181" s="166" t="e">
        <f t="shared" si="128"/>
        <v>#DIV/0!</v>
      </c>
      <c r="L181" s="450"/>
      <c r="M181" s="479" t="str">
        <f t="shared" si="111"/>
        <v>n/a</v>
      </c>
      <c r="N181" s="450"/>
      <c r="O181" s="479" t="str">
        <f t="shared" si="126"/>
        <v>n/a</v>
      </c>
      <c r="P181" s="450"/>
      <c r="Q181" s="479" t="str">
        <f t="shared" si="126"/>
        <v>n/a</v>
      </c>
      <c r="R181" s="450"/>
      <c r="S181" s="486" t="str">
        <f t="shared" si="126"/>
        <v>n/a</v>
      </c>
    </row>
    <row r="182" spans="1:21" x14ac:dyDescent="0.25">
      <c r="A182" s="169"/>
      <c r="B182" s="168"/>
      <c r="C182" s="168"/>
      <c r="D182" s="169" t="s">
        <v>165</v>
      </c>
      <c r="E182" s="551">
        <f>SUM(E176:E181)</f>
        <v>64093657.460000008</v>
      </c>
      <c r="F182" s="551">
        <f>SUM(F176:F181)</f>
        <v>63835385.169999994</v>
      </c>
      <c r="G182" s="480">
        <f t="shared" si="108"/>
        <v>-4.0296076122852131E-3</v>
      </c>
      <c r="H182" s="551">
        <f>SUM(H176:H181)</f>
        <v>73369800</v>
      </c>
      <c r="I182" s="477">
        <f t="shared" si="125"/>
        <v>0.14935940003508885</v>
      </c>
      <c r="J182" s="551">
        <f>SUM(J176:J181)</f>
        <v>67977977</v>
      </c>
      <c r="K182" s="171">
        <f t="shared" si="128"/>
        <v>6.4894913988031488E-2</v>
      </c>
      <c r="L182" s="551">
        <f>SUM(L176:L181)</f>
        <v>77849233</v>
      </c>
      <c r="M182" s="480">
        <f t="shared" si="111"/>
        <v>6.1052817371725077E-2</v>
      </c>
      <c r="N182" s="551">
        <f>SUM(N176:N181)</f>
        <v>95386523</v>
      </c>
      <c r="O182" s="480">
        <f t="shared" si="126"/>
        <v>0.22527248277449319</v>
      </c>
      <c r="P182" s="551">
        <f>SUM(P176:P181)</f>
        <v>100820087</v>
      </c>
      <c r="Q182" s="480">
        <f t="shared" si="126"/>
        <v>5.6963644644013378E-2</v>
      </c>
      <c r="R182" s="551">
        <f>SUM(R176:R181)</f>
        <v>103435744</v>
      </c>
      <c r="S182" s="487">
        <f t="shared" si="126"/>
        <v>2.5943808201633445E-2</v>
      </c>
      <c r="U182" s="521" t="s">
        <v>492</v>
      </c>
    </row>
    <row r="183" spans="1:21" x14ac:dyDescent="0.25">
      <c r="A183" s="152"/>
      <c r="B183" s="34"/>
      <c r="C183" s="34"/>
      <c r="D183" s="152"/>
      <c r="E183" s="153"/>
      <c r="F183" s="153"/>
      <c r="G183" s="568"/>
      <c r="H183" s="153"/>
      <c r="I183" s="537"/>
      <c r="J183" s="153"/>
      <c r="K183" s="153"/>
      <c r="L183" s="450"/>
      <c r="M183" s="479"/>
      <c r="N183" s="450"/>
      <c r="O183" s="479"/>
      <c r="P183" s="450"/>
      <c r="Q183" s="479"/>
      <c r="R183" s="450"/>
      <c r="S183" s="486"/>
    </row>
    <row r="184" spans="1:21" outlineLevel="1" x14ac:dyDescent="0.25">
      <c r="A184" s="152"/>
      <c r="B184" s="34"/>
      <c r="C184" s="34"/>
      <c r="D184" s="152" t="s">
        <v>166</v>
      </c>
      <c r="E184" s="153"/>
      <c r="F184" s="153"/>
      <c r="G184" s="568"/>
      <c r="H184" s="153"/>
      <c r="I184" s="537"/>
      <c r="J184" s="153"/>
      <c r="K184" s="153"/>
      <c r="L184" s="479"/>
      <c r="M184" s="479"/>
      <c r="N184" s="479"/>
      <c r="O184" s="479"/>
      <c r="P184" s="479"/>
      <c r="Q184" s="479"/>
      <c r="R184" s="479"/>
      <c r="S184" s="486"/>
    </row>
    <row r="185" spans="1:21" outlineLevel="1" x14ac:dyDescent="0.25">
      <c r="A185" s="152"/>
      <c r="B185" s="34"/>
      <c r="C185" s="34"/>
      <c r="D185" s="152" t="s">
        <v>199</v>
      </c>
      <c r="E185" s="153">
        <f t="shared" ref="E185:J187" si="131">+E37+E111</f>
        <v>-20086243.27</v>
      </c>
      <c r="F185" s="153">
        <f t="shared" si="131"/>
        <v>-21585019.510000002</v>
      </c>
      <c r="G185" s="567">
        <f t="shared" si="108"/>
        <v>7.461705107587302E-2</v>
      </c>
      <c r="H185" s="153">
        <f t="shared" ref="H185" si="132">+H37+H111</f>
        <v>-23938684</v>
      </c>
      <c r="I185" s="478">
        <f t="shared" ref="I185:I195" si="133">IF(F185=0,"n/a",+(H185/F185)-1)</f>
        <v>0.10904157343520504</v>
      </c>
      <c r="J185" s="153">
        <f t="shared" si="131"/>
        <v>-23411621</v>
      </c>
      <c r="K185" s="166">
        <f>+(J185/F185)-1</f>
        <v>8.4623573731483548E-2</v>
      </c>
      <c r="L185" s="449">
        <v>-25303367</v>
      </c>
      <c r="M185" s="478">
        <f t="shared" si="111"/>
        <v>5.7007436164828507E-2</v>
      </c>
      <c r="N185" s="449">
        <v>-26850534</v>
      </c>
      <c r="O185" s="478">
        <f t="shared" ref="O185:S195" si="134">IF(L185=0,"n/a",+(N185/L185)-1)</f>
        <v>6.1144708528315661E-2</v>
      </c>
      <c r="P185" s="449">
        <v>-28657567</v>
      </c>
      <c r="Q185" s="478">
        <f t="shared" si="134"/>
        <v>6.7299704355972878E-2</v>
      </c>
      <c r="R185" s="449">
        <v>-30473431</v>
      </c>
      <c r="S185" s="484">
        <f t="shared" si="134"/>
        <v>6.3364206738136586E-2</v>
      </c>
    </row>
    <row r="186" spans="1:21" outlineLevel="1" x14ac:dyDescent="0.25">
      <c r="A186" s="152"/>
      <c r="B186" s="34"/>
      <c r="C186" s="34"/>
      <c r="D186" s="152" t="s">
        <v>203</v>
      </c>
      <c r="E186" s="153">
        <f t="shared" si="131"/>
        <v>-729566.01</v>
      </c>
      <c r="F186" s="153">
        <f t="shared" si="131"/>
        <v>-945564.5</v>
      </c>
      <c r="G186" s="567">
        <f t="shared" si="108"/>
        <v>0.29606435475249171</v>
      </c>
      <c r="H186" s="153">
        <f t="shared" ref="H186" si="135">+H38+H112</f>
        <v>-1384054</v>
      </c>
      <c r="I186" s="478">
        <f t="shared" si="133"/>
        <v>0.463733039893101</v>
      </c>
      <c r="J186" s="153">
        <f t="shared" si="131"/>
        <v>-1180631</v>
      </c>
      <c r="K186" s="166">
        <f t="shared" ref="K186:K187" si="136">+(J186/F186)-1</f>
        <v>0.24859911724689332</v>
      </c>
      <c r="L186" s="449">
        <v>-1516706</v>
      </c>
      <c r="M186" s="478">
        <f t="shared" si="111"/>
        <v>9.5843081267060315E-2</v>
      </c>
      <c r="N186" s="449">
        <v>-1674796</v>
      </c>
      <c r="O186" s="478">
        <f t="shared" si="134"/>
        <v>0.10423246166363165</v>
      </c>
      <c r="P186" s="449">
        <v>-1872716</v>
      </c>
      <c r="Q186" s="478">
        <f t="shared" si="134"/>
        <v>0.11817558675802897</v>
      </c>
      <c r="R186" s="449">
        <v>-2083234</v>
      </c>
      <c r="S186" s="484">
        <f t="shared" si="134"/>
        <v>0.11241320093383078</v>
      </c>
    </row>
    <row r="187" spans="1:21" outlineLevel="1" x14ac:dyDescent="0.25">
      <c r="A187" s="152"/>
      <c r="B187" s="34"/>
      <c r="C187" s="34"/>
      <c r="D187" s="152" t="s">
        <v>204</v>
      </c>
      <c r="E187" s="153">
        <f t="shared" si="131"/>
        <v>-14939882.66</v>
      </c>
      <c r="F187" s="153">
        <f t="shared" si="131"/>
        <v>-13915516.65</v>
      </c>
      <c r="G187" s="567">
        <f t="shared" si="108"/>
        <v>-6.8565867169936623E-2</v>
      </c>
      <c r="H187" s="153">
        <f t="shared" ref="H187" si="137">+H39+H113</f>
        <v>-19669768</v>
      </c>
      <c r="I187" s="478">
        <f t="shared" si="133"/>
        <v>0.41351330997832547</v>
      </c>
      <c r="J187" s="153">
        <f t="shared" si="131"/>
        <v>-16316921</v>
      </c>
      <c r="K187" s="166">
        <f t="shared" si="136"/>
        <v>0.17257026170135048</v>
      </c>
      <c r="L187" s="449">
        <v>-18859832</v>
      </c>
      <c r="M187" s="478">
        <f t="shared" si="111"/>
        <v>-4.1176693085551386E-2</v>
      </c>
      <c r="N187" s="449">
        <v>-21537462</v>
      </c>
      <c r="O187" s="478">
        <f t="shared" si="134"/>
        <v>0.14197528376710888</v>
      </c>
      <c r="P187" s="449">
        <v>-24541595</v>
      </c>
      <c r="Q187" s="478">
        <f t="shared" si="134"/>
        <v>0.13948407662889895</v>
      </c>
      <c r="R187" s="449">
        <v>-27754602</v>
      </c>
      <c r="S187" s="484">
        <f t="shared" si="134"/>
        <v>0.13092087127996366</v>
      </c>
    </row>
    <row r="188" spans="1:21" x14ac:dyDescent="0.25">
      <c r="A188" s="152"/>
      <c r="B188" s="34"/>
      <c r="C188" s="34"/>
      <c r="D188" s="152"/>
      <c r="E188" s="153"/>
      <c r="F188" s="153"/>
      <c r="G188" s="568" t="str">
        <f t="shared" si="108"/>
        <v>n/a</v>
      </c>
      <c r="H188" s="153"/>
      <c r="I188" s="479" t="str">
        <f t="shared" si="133"/>
        <v>n/a</v>
      </c>
      <c r="J188" s="153"/>
      <c r="K188" s="153"/>
      <c r="L188" s="450"/>
      <c r="M188" s="479" t="str">
        <f t="shared" si="111"/>
        <v>n/a</v>
      </c>
      <c r="N188" s="450"/>
      <c r="O188" s="479" t="str">
        <f t="shared" si="134"/>
        <v>n/a</v>
      </c>
      <c r="P188" s="450"/>
      <c r="Q188" s="479" t="str">
        <f t="shared" si="134"/>
        <v>n/a</v>
      </c>
      <c r="R188" s="450"/>
      <c r="S188" s="486" t="str">
        <f t="shared" si="134"/>
        <v>n/a</v>
      </c>
    </row>
    <row r="189" spans="1:21" x14ac:dyDescent="0.25">
      <c r="A189" s="169"/>
      <c r="B189" s="168"/>
      <c r="C189" s="168"/>
      <c r="D189" s="169" t="s">
        <v>170</v>
      </c>
      <c r="E189" s="551">
        <f t="shared" ref="E189" si="138">SUM(E185:E188)</f>
        <v>-35755691.939999998</v>
      </c>
      <c r="F189" s="551">
        <f t="shared" ref="F189:H189" si="139">SUM(F185:F188)</f>
        <v>-36446100.660000004</v>
      </c>
      <c r="G189" s="480">
        <f t="shared" si="108"/>
        <v>1.9309057734319568E-2</v>
      </c>
      <c r="H189" s="551">
        <f t="shared" si="139"/>
        <v>-44992506</v>
      </c>
      <c r="I189" s="477">
        <f t="shared" si="133"/>
        <v>0.23449436799091572</v>
      </c>
      <c r="J189" s="551">
        <f t="shared" ref="J189" si="140">SUM(J185:J188)</f>
        <v>-40909173</v>
      </c>
      <c r="K189" s="171">
        <f t="shared" ref="K189" si="141">+(J189/F189)-1</f>
        <v>0.1224567857515213</v>
      </c>
      <c r="L189" s="551">
        <f t="shared" ref="L189" si="142">SUM(L185:L188)</f>
        <v>-45679905</v>
      </c>
      <c r="M189" s="480">
        <f t="shared" si="111"/>
        <v>1.5278077642530086E-2</v>
      </c>
      <c r="N189" s="551">
        <f t="shared" ref="N189" si="143">SUM(N185:N188)</f>
        <v>-50062792</v>
      </c>
      <c r="O189" s="480">
        <f t="shared" si="134"/>
        <v>9.5947813376582092E-2</v>
      </c>
      <c r="P189" s="551">
        <f t="shared" ref="P189" si="144">SUM(P185:P188)</f>
        <v>-55071878</v>
      </c>
      <c r="Q189" s="480">
        <f t="shared" si="134"/>
        <v>0.10005606559058866</v>
      </c>
      <c r="R189" s="551">
        <f t="shared" ref="R189" si="145">SUM(R185:R188)</f>
        <v>-60311267</v>
      </c>
      <c r="S189" s="487">
        <f t="shared" si="134"/>
        <v>9.5137285857584075E-2</v>
      </c>
      <c r="U189" s="521" t="s">
        <v>492</v>
      </c>
    </row>
    <row r="190" spans="1:21" ht="19.5" customHeight="1" x14ac:dyDescent="0.25">
      <c r="A190" s="152"/>
      <c r="B190" s="34"/>
      <c r="C190" s="34"/>
      <c r="D190" s="152"/>
      <c r="E190" s="190"/>
      <c r="F190" s="190"/>
      <c r="G190" s="568"/>
      <c r="H190" s="190"/>
      <c r="I190" s="537"/>
      <c r="J190" s="190"/>
      <c r="K190" s="153"/>
      <c r="L190" s="190"/>
      <c r="M190" s="479"/>
      <c r="N190" s="190"/>
      <c r="O190" s="479"/>
      <c r="P190" s="190"/>
      <c r="Q190" s="479"/>
      <c r="R190" s="190"/>
      <c r="S190" s="486"/>
    </row>
    <row r="191" spans="1:21" x14ac:dyDescent="0.25">
      <c r="A191" s="169"/>
      <c r="B191" s="168"/>
      <c r="C191" s="168"/>
      <c r="D191" s="169" t="s">
        <v>171</v>
      </c>
      <c r="E191" s="552">
        <f>+E189+E182</f>
        <v>28337965.520000011</v>
      </c>
      <c r="F191" s="552">
        <f>+F189+F182</f>
        <v>27389284.50999999</v>
      </c>
      <c r="G191" s="480">
        <f t="shared" si="108"/>
        <v>-3.3477385994081788E-2</v>
      </c>
      <c r="H191" s="552">
        <f>+H189+H182</f>
        <v>28377294</v>
      </c>
      <c r="I191" s="477">
        <f t="shared" si="133"/>
        <v>3.6072847745959979E-2</v>
      </c>
      <c r="J191" s="552">
        <f>+J189+J182</f>
        <v>27068804</v>
      </c>
      <c r="K191" s="171">
        <f t="shared" ref="K191" si="146">+(J191/F191)-1</f>
        <v>-1.1700944940090774E-2</v>
      </c>
      <c r="L191" s="552">
        <f>+L189+L182</f>
        <v>32169328</v>
      </c>
      <c r="M191" s="480">
        <f t="shared" si="111"/>
        <v>0.13362916139925107</v>
      </c>
      <c r="N191" s="552">
        <f>+N189+N182</f>
        <v>45323731</v>
      </c>
      <c r="O191" s="480">
        <f t="shared" si="134"/>
        <v>0.40891133939757762</v>
      </c>
      <c r="P191" s="552">
        <f>+P189+P182</f>
        <v>45748209</v>
      </c>
      <c r="Q191" s="480">
        <f t="shared" si="134"/>
        <v>9.3654690519631156E-3</v>
      </c>
      <c r="R191" s="552">
        <f>+R189+R182</f>
        <v>43124477</v>
      </c>
      <c r="S191" s="487">
        <f t="shared" si="134"/>
        <v>-5.735157850660344E-2</v>
      </c>
    </row>
    <row r="192" spans="1:21" x14ac:dyDescent="0.25">
      <c r="A192" s="152"/>
      <c r="B192" s="34"/>
      <c r="C192" s="34"/>
      <c r="D192" s="152"/>
      <c r="E192" s="153"/>
      <c r="F192" s="153"/>
      <c r="G192" s="568"/>
      <c r="H192" s="153"/>
      <c r="I192" s="479"/>
      <c r="J192" s="153"/>
      <c r="K192" s="153"/>
      <c r="L192" s="190"/>
      <c r="M192" s="479"/>
      <c r="N192" s="190"/>
      <c r="O192" s="479"/>
      <c r="P192" s="190"/>
      <c r="Q192" s="479"/>
      <c r="R192" s="190"/>
      <c r="S192" s="486"/>
    </row>
    <row r="193" spans="1:21" x14ac:dyDescent="0.25">
      <c r="A193" s="152"/>
      <c r="B193" s="34"/>
      <c r="C193" s="34"/>
      <c r="D193" s="152" t="s">
        <v>205</v>
      </c>
      <c r="E193" s="153">
        <f t="shared" ref="E193:J193" si="147">+E45+E119</f>
        <v>0</v>
      </c>
      <c r="F193" s="153">
        <f t="shared" si="147"/>
        <v>0</v>
      </c>
      <c r="G193" s="567" t="str">
        <f t="shared" si="108"/>
        <v>n/a</v>
      </c>
      <c r="H193" s="153">
        <f t="shared" ref="H193" si="148">+H45+H119</f>
        <v>0</v>
      </c>
      <c r="I193" s="478" t="str">
        <f t="shared" si="133"/>
        <v>n/a</v>
      </c>
      <c r="J193" s="153">
        <f t="shared" si="147"/>
        <v>0</v>
      </c>
      <c r="K193" s="166" t="e">
        <f>+(J193/F193)-1</f>
        <v>#DIV/0!</v>
      </c>
      <c r="L193" s="189">
        <v>0</v>
      </c>
      <c r="M193" s="478" t="str">
        <f t="shared" si="111"/>
        <v>n/a</v>
      </c>
      <c r="N193" s="189"/>
      <c r="O193" s="478" t="str">
        <f t="shared" si="134"/>
        <v>n/a</v>
      </c>
      <c r="P193" s="189"/>
      <c r="Q193" s="478" t="str">
        <f t="shared" si="134"/>
        <v>n/a</v>
      </c>
      <c r="R193" s="189"/>
      <c r="S193" s="484" t="str">
        <f t="shared" si="134"/>
        <v>n/a</v>
      </c>
    </row>
    <row r="194" spans="1:21" x14ac:dyDescent="0.25">
      <c r="A194" s="152"/>
      <c r="B194" s="34"/>
      <c r="C194" s="34"/>
      <c r="D194" s="152"/>
      <c r="E194" s="153"/>
      <c r="F194" s="153"/>
      <c r="G194" s="568"/>
      <c r="H194" s="153"/>
      <c r="I194" s="479"/>
      <c r="J194" s="153"/>
      <c r="K194" s="153"/>
      <c r="L194" s="190"/>
      <c r="M194" s="479"/>
      <c r="N194" s="190"/>
      <c r="O194" s="479"/>
      <c r="P194" s="190"/>
      <c r="Q194" s="479"/>
      <c r="R194" s="190"/>
      <c r="S194" s="486"/>
    </row>
    <row r="195" spans="1:21" s="177" customFormat="1" ht="13.8" thickBot="1" x14ac:dyDescent="0.3">
      <c r="A195" s="172"/>
      <c r="B195" s="172"/>
      <c r="C195" s="172"/>
      <c r="D195" s="173" t="s">
        <v>173</v>
      </c>
      <c r="E195" s="176">
        <f>+E193+E191+E174+E167</f>
        <v>75049525.890000015</v>
      </c>
      <c r="F195" s="176">
        <f>+F193+F191+F174+F167</f>
        <v>78825146.379999995</v>
      </c>
      <c r="G195" s="481">
        <f t="shared" si="108"/>
        <v>5.0308385632360952E-2</v>
      </c>
      <c r="H195" s="176">
        <f>+H193+H191+H174+H167</f>
        <v>74547620</v>
      </c>
      <c r="I195" s="481">
        <f t="shared" si="133"/>
        <v>-5.426601251558627E-2</v>
      </c>
      <c r="J195" s="176">
        <f>+J193+J191+J174+J167</f>
        <v>83559550</v>
      </c>
      <c r="K195" s="175">
        <f t="shared" ref="K195" si="149">+(J195/F195)-1</f>
        <v>6.006209740704338E-2</v>
      </c>
      <c r="L195" s="176">
        <f>+L193+L191+L174+L167</f>
        <v>78169560</v>
      </c>
      <c r="M195" s="481">
        <f t="shared" si="111"/>
        <v>4.8585588647900524E-2</v>
      </c>
      <c r="N195" s="176">
        <f>+N193+N191+N174+N167</f>
        <v>88744778</v>
      </c>
      <c r="O195" s="481">
        <f t="shared" si="134"/>
        <v>0.1352856278070389</v>
      </c>
      <c r="P195" s="176">
        <f>+P193+P191+P174+P167</f>
        <v>88934438</v>
      </c>
      <c r="Q195" s="481">
        <f t="shared" si="134"/>
        <v>2.1371398326108793E-3</v>
      </c>
      <c r="R195" s="176">
        <f>+R193+R191+R174+R167</f>
        <v>88663659</v>
      </c>
      <c r="S195" s="488">
        <f t="shared" si="134"/>
        <v>-3.0447035601663952E-3</v>
      </c>
    </row>
    <row r="196" spans="1:21" ht="5.4" customHeight="1" thickTop="1" x14ac:dyDescent="0.25">
      <c r="A196" s="152"/>
      <c r="B196" s="34"/>
      <c r="C196" s="34"/>
      <c r="D196" s="152"/>
      <c r="E196" s="153"/>
      <c r="F196" s="153"/>
      <c r="G196" s="568"/>
      <c r="H196" s="153"/>
      <c r="I196" s="537"/>
      <c r="J196" s="153"/>
      <c r="K196" s="153"/>
      <c r="L196" s="190"/>
      <c r="M196" s="479"/>
      <c r="N196" s="190"/>
      <c r="O196" s="479"/>
      <c r="P196" s="190"/>
      <c r="Q196" s="479"/>
      <c r="R196" s="190"/>
      <c r="S196" s="486"/>
    </row>
    <row r="197" spans="1:21" ht="6.6" customHeight="1" x14ac:dyDescent="0.25">
      <c r="A197" s="152"/>
      <c r="B197" s="34"/>
      <c r="C197" s="34"/>
      <c r="D197" s="152"/>
      <c r="E197" s="153"/>
      <c r="F197" s="153"/>
      <c r="G197" s="568"/>
      <c r="H197" s="153"/>
      <c r="I197" s="537"/>
      <c r="J197" s="153"/>
      <c r="K197" s="153"/>
      <c r="L197" s="190"/>
      <c r="M197" s="479"/>
      <c r="N197" s="190"/>
      <c r="O197" s="479"/>
      <c r="P197" s="190"/>
      <c r="Q197" s="479"/>
      <c r="R197" s="190"/>
      <c r="S197" s="486"/>
    </row>
    <row r="198" spans="1:21" x14ac:dyDescent="0.25">
      <c r="A198" s="152"/>
      <c r="B198" s="34"/>
      <c r="C198" s="34"/>
      <c r="D198" s="152" t="s">
        <v>174</v>
      </c>
      <c r="E198" s="153"/>
      <c r="F198" s="153"/>
      <c r="G198" s="568"/>
      <c r="H198" s="153"/>
      <c r="I198" s="537"/>
      <c r="J198" s="153"/>
      <c r="K198" s="153"/>
      <c r="L198" s="190"/>
      <c r="M198" s="479"/>
      <c r="N198" s="190"/>
      <c r="O198" s="479"/>
      <c r="P198" s="190"/>
      <c r="Q198" s="479"/>
      <c r="R198" s="190"/>
      <c r="S198" s="486"/>
    </row>
    <row r="199" spans="1:21" ht="8.4" customHeight="1" x14ac:dyDescent="0.25">
      <c r="A199" s="152"/>
      <c r="B199" s="34"/>
      <c r="C199" s="34"/>
      <c r="D199" s="152"/>
      <c r="E199" s="153"/>
      <c r="F199" s="153"/>
      <c r="G199" s="568"/>
      <c r="H199" s="153"/>
      <c r="I199" s="537"/>
      <c r="J199" s="153"/>
      <c r="K199" s="153"/>
      <c r="L199" s="190"/>
      <c r="M199" s="479"/>
      <c r="N199" s="190"/>
      <c r="O199" s="479"/>
      <c r="P199" s="190"/>
      <c r="Q199" s="479"/>
      <c r="R199" s="190"/>
      <c r="S199" s="486"/>
    </row>
    <row r="200" spans="1:21" x14ac:dyDescent="0.25">
      <c r="A200" s="152"/>
      <c r="B200" s="34"/>
      <c r="C200" s="34"/>
      <c r="D200" s="152" t="s">
        <v>175</v>
      </c>
      <c r="E200" s="153"/>
      <c r="F200" s="153"/>
      <c r="G200" s="568"/>
      <c r="H200" s="153"/>
      <c r="I200" s="537"/>
      <c r="J200" s="153"/>
      <c r="K200" s="153"/>
      <c r="L200" s="190"/>
      <c r="M200" s="479"/>
      <c r="N200" s="190"/>
      <c r="O200" s="479"/>
      <c r="P200" s="190"/>
      <c r="Q200" s="479"/>
      <c r="R200" s="190"/>
      <c r="S200" s="486"/>
    </row>
    <row r="201" spans="1:21" x14ac:dyDescent="0.25">
      <c r="A201" s="152"/>
      <c r="B201" s="34"/>
      <c r="C201" s="34"/>
      <c r="D201" s="152" t="s">
        <v>206</v>
      </c>
      <c r="E201" s="153">
        <f t="shared" ref="E201:J205" si="150">+E53+E127</f>
        <v>2139733.0299999998</v>
      </c>
      <c r="F201" s="153">
        <f t="shared" si="150"/>
        <v>2709511.52</v>
      </c>
      <c r="G201" s="567">
        <f t="shared" si="108"/>
        <v>0.26628485049838213</v>
      </c>
      <c r="H201" s="153">
        <f t="shared" ref="H201" si="151">+H53+H127</f>
        <v>2740306</v>
      </c>
      <c r="I201" s="478">
        <f t="shared" ref="I201:I222" si="152">IF(F201=0,"n/a",+(H201/F201)-1)</f>
        <v>1.1365325363148937E-2</v>
      </c>
      <c r="J201" s="153">
        <f t="shared" si="150"/>
        <v>2307189</v>
      </c>
      <c r="K201" s="166">
        <f t="shared" ref="K201:K205" si="153">+(J201/F201)-1</f>
        <v>-0.14848525906987098</v>
      </c>
      <c r="L201" s="449">
        <v>2982043</v>
      </c>
      <c r="M201" s="478">
        <f t="shared" si="111"/>
        <v>8.8215330696644889E-2</v>
      </c>
      <c r="N201" s="189">
        <v>3482965</v>
      </c>
      <c r="O201" s="478">
        <f t="shared" ref="O201:S222" si="154">IF(L201=0,"n/a",+(N201/L201)-1)</f>
        <v>0.16797946910892958</v>
      </c>
      <c r="P201" s="189">
        <v>3537460</v>
      </c>
      <c r="Q201" s="478">
        <f t="shared" si="154"/>
        <v>1.5646152057227081E-2</v>
      </c>
      <c r="R201" s="189">
        <v>3580712</v>
      </c>
      <c r="S201" s="484">
        <f t="shared" si="154"/>
        <v>1.2226852035076119E-2</v>
      </c>
    </row>
    <row r="202" spans="1:21" x14ac:dyDescent="0.25">
      <c r="A202" s="152"/>
      <c r="B202" s="34"/>
      <c r="C202" s="34"/>
      <c r="D202" s="152" t="s">
        <v>207</v>
      </c>
      <c r="E202" s="153">
        <f t="shared" si="150"/>
        <v>4258681.5</v>
      </c>
      <c r="F202" s="153">
        <f t="shared" si="150"/>
        <v>4489206.67</v>
      </c>
      <c r="G202" s="567">
        <f t="shared" si="108"/>
        <v>5.4130643486722363E-2</v>
      </c>
      <c r="H202" s="153">
        <f t="shared" ref="H202" si="155">+H54+H128</f>
        <v>4160061</v>
      </c>
      <c r="I202" s="478">
        <f t="shared" si="152"/>
        <v>-7.3319339962577335E-2</v>
      </c>
      <c r="J202" s="153">
        <f t="shared" si="150"/>
        <v>4821653</v>
      </c>
      <c r="K202" s="166">
        <f t="shared" si="153"/>
        <v>7.4054583457170198E-2</v>
      </c>
      <c r="L202" s="449">
        <v>4470208</v>
      </c>
      <c r="M202" s="478">
        <f t="shared" si="111"/>
        <v>7.4553474095692351E-2</v>
      </c>
      <c r="N202" s="189">
        <v>4155478</v>
      </c>
      <c r="O202" s="478">
        <f t="shared" si="154"/>
        <v>-7.0406119804716005E-2</v>
      </c>
      <c r="P202" s="189">
        <v>4290399</v>
      </c>
      <c r="Q202" s="478">
        <f t="shared" si="154"/>
        <v>3.2468226278661527E-2</v>
      </c>
      <c r="R202" s="189">
        <v>4407037</v>
      </c>
      <c r="S202" s="484">
        <f t="shared" si="154"/>
        <v>2.7185816517298234E-2</v>
      </c>
    </row>
    <row r="203" spans="1:21" x14ac:dyDescent="0.25">
      <c r="A203" s="152"/>
      <c r="B203" s="34"/>
      <c r="C203" s="34"/>
      <c r="D203" s="152" t="s">
        <v>208</v>
      </c>
      <c r="E203" s="153">
        <f t="shared" si="150"/>
        <v>4096752.75</v>
      </c>
      <c r="F203" s="153">
        <f t="shared" si="150"/>
        <v>3744092.64</v>
      </c>
      <c r="G203" s="567">
        <f t="shared" si="108"/>
        <v>-8.6082839634390895E-2</v>
      </c>
      <c r="H203" s="153">
        <f t="shared" ref="H203" si="156">+H55+H129</f>
        <v>3000000</v>
      </c>
      <c r="I203" s="478">
        <f t="shared" si="152"/>
        <v>-0.19873777482172561</v>
      </c>
      <c r="J203" s="153">
        <f t="shared" si="150"/>
        <v>4742463</v>
      </c>
      <c r="K203" s="166">
        <f t="shared" si="153"/>
        <v>0.26665215206854498</v>
      </c>
      <c r="L203" s="449">
        <v>3000000</v>
      </c>
      <c r="M203" s="478">
        <f t="shared" si="111"/>
        <v>0</v>
      </c>
      <c r="N203" s="189">
        <v>3000000</v>
      </c>
      <c r="O203" s="478">
        <f t="shared" si="154"/>
        <v>0</v>
      </c>
      <c r="P203" s="189">
        <v>3000000</v>
      </c>
      <c r="Q203" s="478">
        <f t="shared" si="154"/>
        <v>0</v>
      </c>
      <c r="R203" s="189">
        <v>3000000</v>
      </c>
      <c r="S203" s="484">
        <f t="shared" si="154"/>
        <v>0</v>
      </c>
    </row>
    <row r="204" spans="1:21" x14ac:dyDescent="0.25">
      <c r="A204" s="152"/>
      <c r="B204" s="34"/>
      <c r="C204" s="34"/>
      <c r="D204" s="152" t="s">
        <v>209</v>
      </c>
      <c r="E204" s="153">
        <f t="shared" si="150"/>
        <v>2730451.06</v>
      </c>
      <c r="F204" s="153">
        <f t="shared" si="150"/>
        <v>2839656.58</v>
      </c>
      <c r="G204" s="567">
        <f t="shared" si="108"/>
        <v>3.9995413798041168E-2</v>
      </c>
      <c r="H204" s="153">
        <f t="shared" ref="H204" si="157">+H56+H130</f>
        <v>2500000</v>
      </c>
      <c r="I204" s="478">
        <f t="shared" si="152"/>
        <v>-0.11961185109221906</v>
      </c>
      <c r="J204" s="153">
        <f t="shared" si="150"/>
        <v>2235176</v>
      </c>
      <c r="K204" s="166">
        <f t="shared" si="153"/>
        <v>-0.21287101555076071</v>
      </c>
      <c r="L204" s="449">
        <v>2800000</v>
      </c>
      <c r="M204" s="478">
        <f t="shared" si="111"/>
        <v>0.12000000000000011</v>
      </c>
      <c r="N204" s="189">
        <v>2884000</v>
      </c>
      <c r="O204" s="478">
        <f t="shared" si="154"/>
        <v>3.0000000000000027E-2</v>
      </c>
      <c r="P204" s="189">
        <v>2970520</v>
      </c>
      <c r="Q204" s="478">
        <f t="shared" si="154"/>
        <v>3.0000000000000027E-2</v>
      </c>
      <c r="R204" s="189">
        <v>3059636</v>
      </c>
      <c r="S204" s="484">
        <f t="shared" si="154"/>
        <v>3.0000134656558375E-2</v>
      </c>
    </row>
    <row r="205" spans="1:21" x14ac:dyDescent="0.25">
      <c r="A205" s="152"/>
      <c r="B205" s="34"/>
      <c r="C205" s="34"/>
      <c r="D205" s="152" t="s">
        <v>210</v>
      </c>
      <c r="E205" s="153">
        <f t="shared" si="150"/>
        <v>458248.18</v>
      </c>
      <c r="F205" s="153">
        <f t="shared" si="150"/>
        <v>470000</v>
      </c>
      <c r="G205" s="567">
        <f t="shared" si="108"/>
        <v>2.5645099125107373E-2</v>
      </c>
      <c r="H205" s="153">
        <f t="shared" ref="H205" si="158">+H57+H131</f>
        <v>470000</v>
      </c>
      <c r="I205" s="478">
        <f t="shared" si="152"/>
        <v>0</v>
      </c>
      <c r="J205" s="153">
        <f t="shared" si="150"/>
        <v>1244764</v>
      </c>
      <c r="K205" s="166">
        <f t="shared" si="153"/>
        <v>1.6484340425531916</v>
      </c>
      <c r="L205" s="449">
        <v>926871</v>
      </c>
      <c r="M205" s="478">
        <f t="shared" si="111"/>
        <v>0.97206595744680846</v>
      </c>
      <c r="N205" s="189">
        <v>1239773</v>
      </c>
      <c r="O205" s="478">
        <f t="shared" si="154"/>
        <v>0.3375895890582401</v>
      </c>
      <c r="P205" s="189">
        <v>1263275</v>
      </c>
      <c r="Q205" s="478">
        <f t="shared" si="154"/>
        <v>1.8956696104851511E-2</v>
      </c>
      <c r="R205" s="189">
        <v>1287238</v>
      </c>
      <c r="S205" s="484">
        <f t="shared" si="154"/>
        <v>1.8968949753616515E-2</v>
      </c>
    </row>
    <row r="206" spans="1:21" x14ac:dyDescent="0.25">
      <c r="A206" s="152"/>
      <c r="B206" s="34"/>
      <c r="C206" s="34"/>
      <c r="D206" s="152"/>
      <c r="E206" s="153"/>
      <c r="F206" s="153"/>
      <c r="G206" s="568" t="str">
        <f t="shared" si="108"/>
        <v>n/a</v>
      </c>
      <c r="H206" s="153"/>
      <c r="I206" s="479" t="str">
        <f t="shared" si="152"/>
        <v>n/a</v>
      </c>
      <c r="J206" s="153"/>
      <c r="K206" s="153"/>
      <c r="L206" s="450"/>
      <c r="M206" s="479" t="str">
        <f t="shared" si="111"/>
        <v>n/a</v>
      </c>
      <c r="N206" s="190"/>
      <c r="O206" s="479" t="str">
        <f t="shared" si="154"/>
        <v>n/a</v>
      </c>
      <c r="P206" s="190"/>
      <c r="Q206" s="479" t="str">
        <f t="shared" si="154"/>
        <v>n/a</v>
      </c>
      <c r="R206" s="190"/>
      <c r="S206" s="486" t="str">
        <f t="shared" si="154"/>
        <v>n/a</v>
      </c>
    </row>
    <row r="207" spans="1:21" x14ac:dyDescent="0.25">
      <c r="A207" s="169"/>
      <c r="B207" s="168"/>
      <c r="C207" s="168"/>
      <c r="D207" s="169" t="s">
        <v>181</v>
      </c>
      <c r="E207" s="551">
        <f>SUM(E200:E206)</f>
        <v>13683866.52</v>
      </c>
      <c r="F207" s="551">
        <f>SUM(F200:F206)</f>
        <v>14252467.41</v>
      </c>
      <c r="G207" s="480">
        <f t="shared" si="108"/>
        <v>4.1552648088823974E-2</v>
      </c>
      <c r="H207" s="551">
        <f>SUM(H200:H206)</f>
        <v>12870367</v>
      </c>
      <c r="I207" s="477">
        <f t="shared" si="152"/>
        <v>-9.6972711478033102E-2</v>
      </c>
      <c r="J207" s="551">
        <f>SUM(J200:J206)</f>
        <v>15351245</v>
      </c>
      <c r="K207" s="171">
        <f t="shared" ref="K207" si="159">+(J207/F207)-1</f>
        <v>7.7093850376325879E-2</v>
      </c>
      <c r="L207" s="551">
        <f>SUM(L200:L206)</f>
        <v>14179122</v>
      </c>
      <c r="M207" s="480">
        <f t="shared" si="111"/>
        <v>0.10168746547786855</v>
      </c>
      <c r="N207" s="551">
        <f>SUM(N200:N206)</f>
        <v>14762216</v>
      </c>
      <c r="O207" s="480">
        <f t="shared" si="154"/>
        <v>4.112342075905695E-2</v>
      </c>
      <c r="P207" s="551">
        <f>SUM(P200:P206)</f>
        <v>15061654</v>
      </c>
      <c r="Q207" s="480">
        <f t="shared" si="154"/>
        <v>2.028408201045151E-2</v>
      </c>
      <c r="R207" s="551">
        <f>SUM(R200:R206)</f>
        <v>15334623</v>
      </c>
      <c r="S207" s="487">
        <f t="shared" si="154"/>
        <v>1.8123441157259279E-2</v>
      </c>
      <c r="U207" s="521" t="s">
        <v>492</v>
      </c>
    </row>
    <row r="208" spans="1:21" x14ac:dyDescent="0.25">
      <c r="A208" s="152"/>
      <c r="B208" s="34"/>
      <c r="C208" s="34"/>
      <c r="D208" s="152"/>
      <c r="E208" s="153"/>
      <c r="F208" s="153"/>
      <c r="G208" s="568"/>
      <c r="H208" s="153"/>
      <c r="I208" s="479"/>
      <c r="J208" s="153"/>
      <c r="K208" s="153"/>
      <c r="L208" s="190"/>
      <c r="M208" s="479"/>
      <c r="N208" s="190"/>
      <c r="O208" s="479"/>
      <c r="P208" s="190"/>
      <c r="Q208" s="479"/>
      <c r="R208" s="190"/>
      <c r="S208" s="486"/>
    </row>
    <row r="209" spans="1:19" x14ac:dyDescent="0.25">
      <c r="A209" s="152"/>
      <c r="B209" s="34"/>
      <c r="C209" s="34"/>
      <c r="D209" s="152" t="s">
        <v>182</v>
      </c>
      <c r="E209" s="153"/>
      <c r="F209" s="153"/>
      <c r="G209" s="568"/>
      <c r="H209" s="153"/>
      <c r="I209" s="479"/>
      <c r="J209" s="153"/>
      <c r="K209" s="153"/>
      <c r="L209" s="190"/>
      <c r="M209" s="479"/>
      <c r="N209" s="190"/>
      <c r="O209" s="479"/>
      <c r="P209" s="190"/>
      <c r="Q209" s="479"/>
      <c r="R209" s="190"/>
      <c r="S209" s="486"/>
    </row>
    <row r="210" spans="1:19" x14ac:dyDescent="0.25">
      <c r="A210" s="152"/>
      <c r="B210" s="34"/>
      <c r="C210" s="34"/>
      <c r="D210" s="152" t="s">
        <v>211</v>
      </c>
      <c r="E210" s="153">
        <f t="shared" ref="E210:J210" si="160">+E62+E136</f>
        <v>8535000</v>
      </c>
      <c r="F210" s="153">
        <f t="shared" si="160"/>
        <v>8065000</v>
      </c>
      <c r="G210" s="567">
        <f t="shared" si="108"/>
        <v>-5.5067369654364429E-2</v>
      </c>
      <c r="H210" s="153">
        <f t="shared" ref="H210" si="161">+H62+H136</f>
        <v>7595000</v>
      </c>
      <c r="I210" s="478">
        <f t="shared" si="152"/>
        <v>-5.8276503409795399E-2</v>
      </c>
      <c r="J210" s="153">
        <f t="shared" si="160"/>
        <v>10360540</v>
      </c>
      <c r="K210" s="166">
        <f t="shared" ref="K210:K212" si="162">+(J210/F210)-1</f>
        <v>0.28462988220706764</v>
      </c>
      <c r="L210" s="189">
        <v>8284657</v>
      </c>
      <c r="M210" s="478">
        <f t="shared" si="111"/>
        <v>9.0804081632652967E-2</v>
      </c>
      <c r="N210" s="189">
        <v>16801035</v>
      </c>
      <c r="O210" s="478">
        <f t="shared" si="154"/>
        <v>1.0279698966414661</v>
      </c>
      <c r="P210" s="189">
        <v>15535820</v>
      </c>
      <c r="Q210" s="478">
        <f t="shared" si="154"/>
        <v>-7.5305777292887011E-2</v>
      </c>
      <c r="R210" s="189">
        <v>14246603</v>
      </c>
      <c r="S210" s="484">
        <f t="shared" si="154"/>
        <v>-8.2983518089164265E-2</v>
      </c>
    </row>
    <row r="211" spans="1:19" x14ac:dyDescent="0.25">
      <c r="A211" s="152"/>
      <c r="B211" s="34"/>
      <c r="C211" s="34"/>
      <c r="D211" s="152" t="s">
        <v>212</v>
      </c>
      <c r="E211" s="153"/>
      <c r="F211" s="153"/>
      <c r="G211" s="567" t="str">
        <f t="shared" si="108"/>
        <v>n/a</v>
      </c>
      <c r="H211" s="153"/>
      <c r="I211" s="478" t="str">
        <f t="shared" si="152"/>
        <v>n/a</v>
      </c>
      <c r="J211" s="153"/>
      <c r="K211" s="166" t="e">
        <f t="shared" si="162"/>
        <v>#DIV/0!</v>
      </c>
      <c r="L211" s="189"/>
      <c r="M211" s="478" t="str">
        <f t="shared" si="111"/>
        <v>n/a</v>
      </c>
      <c r="N211" s="189"/>
      <c r="O211" s="478" t="str">
        <f t="shared" si="154"/>
        <v>n/a</v>
      </c>
      <c r="P211" s="189"/>
      <c r="Q211" s="478" t="str">
        <f t="shared" si="154"/>
        <v>n/a</v>
      </c>
      <c r="R211" s="189"/>
      <c r="S211" s="484" t="str">
        <f t="shared" si="154"/>
        <v>n/a</v>
      </c>
    </row>
    <row r="212" spans="1:19" x14ac:dyDescent="0.25">
      <c r="A212" s="152"/>
      <c r="B212" s="34"/>
      <c r="C212" s="34"/>
      <c r="D212" s="152" t="s">
        <v>213</v>
      </c>
      <c r="E212" s="153">
        <f>+E64+E138</f>
        <v>605024.48</v>
      </c>
      <c r="F212" s="153">
        <f>+F64+F138</f>
        <v>656762.31000000006</v>
      </c>
      <c r="G212" s="567">
        <f t="shared" si="108"/>
        <v>8.5513614259046244E-2</v>
      </c>
      <c r="H212" s="153">
        <f>+H64+H138</f>
        <v>662527</v>
      </c>
      <c r="I212" s="478">
        <f t="shared" si="152"/>
        <v>8.7774373045248488E-3</v>
      </c>
      <c r="J212" s="153">
        <f>+J64+J138</f>
        <v>153262</v>
      </c>
      <c r="K212" s="166">
        <f t="shared" si="162"/>
        <v>-0.76664008018365126</v>
      </c>
      <c r="L212" s="189"/>
      <c r="M212" s="478">
        <f t="shared" si="111"/>
        <v>-1</v>
      </c>
      <c r="N212" s="189"/>
      <c r="O212" s="478" t="str">
        <f t="shared" si="154"/>
        <v>n/a</v>
      </c>
      <c r="P212" s="189"/>
      <c r="Q212" s="478" t="str">
        <f t="shared" si="154"/>
        <v>n/a</v>
      </c>
      <c r="R212" s="189"/>
      <c r="S212" s="484" t="str">
        <f t="shared" si="154"/>
        <v>n/a</v>
      </c>
    </row>
    <row r="213" spans="1:19" x14ac:dyDescent="0.25">
      <c r="A213" s="152"/>
      <c r="B213" s="34"/>
      <c r="C213" s="34"/>
      <c r="D213" s="152"/>
      <c r="E213" s="153"/>
      <c r="F213" s="153"/>
      <c r="G213" s="568" t="str">
        <f t="shared" si="108"/>
        <v>n/a</v>
      </c>
      <c r="H213" s="153"/>
      <c r="I213" s="479" t="str">
        <f t="shared" si="152"/>
        <v>n/a</v>
      </c>
      <c r="J213" s="153"/>
      <c r="K213" s="153"/>
      <c r="L213" s="190"/>
      <c r="M213" s="479" t="str">
        <f t="shared" si="111"/>
        <v>n/a</v>
      </c>
      <c r="N213" s="190"/>
      <c r="O213" s="479" t="str">
        <f t="shared" si="154"/>
        <v>n/a</v>
      </c>
      <c r="P213" s="190"/>
      <c r="Q213" s="479" t="str">
        <f t="shared" si="154"/>
        <v>n/a</v>
      </c>
      <c r="R213" s="190"/>
      <c r="S213" s="486" t="str">
        <f t="shared" si="154"/>
        <v>n/a</v>
      </c>
    </row>
    <row r="214" spans="1:19" x14ac:dyDescent="0.25">
      <c r="A214" s="169"/>
      <c r="B214" s="168"/>
      <c r="C214" s="168"/>
      <c r="D214" s="169" t="s">
        <v>186</v>
      </c>
      <c r="E214" s="552">
        <f>SUM(E209:E213)</f>
        <v>9140024.4800000004</v>
      </c>
      <c r="F214" s="552">
        <f>SUM(F209:F213)</f>
        <v>8721762.3100000005</v>
      </c>
      <c r="G214" s="480">
        <f t="shared" si="108"/>
        <v>-4.5761602817939062E-2</v>
      </c>
      <c r="H214" s="552">
        <f>SUM(H209:H213)</f>
        <v>8257527</v>
      </c>
      <c r="I214" s="477">
        <f t="shared" si="152"/>
        <v>-5.3227237053654619E-2</v>
      </c>
      <c r="J214" s="552">
        <f>SUM(J209:J213)</f>
        <v>10513802</v>
      </c>
      <c r="K214" s="171">
        <f t="shared" ref="K214" si="163">+(J214/F214)-1</f>
        <v>0.2054676138038436</v>
      </c>
      <c r="L214" s="552">
        <f>SUM(L209:L213)</f>
        <v>8284657</v>
      </c>
      <c r="M214" s="480">
        <f t="shared" si="111"/>
        <v>3.2854872893544051E-3</v>
      </c>
      <c r="N214" s="552">
        <f>SUM(N209:N213)</f>
        <v>16801035</v>
      </c>
      <c r="O214" s="482">
        <f t="shared" si="154"/>
        <v>1.0279698966414661</v>
      </c>
      <c r="P214" s="552">
        <f>SUM(P209:P213)</f>
        <v>15535820</v>
      </c>
      <c r="Q214" s="482">
        <f t="shared" si="154"/>
        <v>-7.5305777292887011E-2</v>
      </c>
      <c r="R214" s="552">
        <f>SUM(R209:R213)</f>
        <v>14246603</v>
      </c>
      <c r="S214" s="489">
        <f t="shared" si="154"/>
        <v>-8.2983518089164265E-2</v>
      </c>
    </row>
    <row r="215" spans="1:19" x14ac:dyDescent="0.25">
      <c r="A215" s="152"/>
      <c r="B215" s="34"/>
      <c r="C215" s="34"/>
      <c r="D215" s="152"/>
      <c r="E215" s="153"/>
      <c r="F215" s="153"/>
      <c r="G215" s="568"/>
      <c r="H215" s="153"/>
      <c r="I215" s="479"/>
      <c r="J215" s="153"/>
      <c r="K215" s="153"/>
      <c r="L215" s="190">
        <f>+L214-J214</f>
        <v>-2229145</v>
      </c>
      <c r="M215" s="479"/>
      <c r="N215" s="190">
        <f>+N214-L214</f>
        <v>8516378</v>
      </c>
      <c r="O215" s="479"/>
      <c r="P215" s="190">
        <f>+P214-N214</f>
        <v>-1265215</v>
      </c>
      <c r="Q215" s="479"/>
      <c r="R215" s="190">
        <f>+R214-P214</f>
        <v>-1289217</v>
      </c>
      <c r="S215" s="486"/>
    </row>
    <row r="216" spans="1:19" x14ac:dyDescent="0.25">
      <c r="A216" s="152"/>
      <c r="B216" s="34"/>
      <c r="C216" s="34"/>
      <c r="D216" s="152" t="s">
        <v>214</v>
      </c>
      <c r="E216" s="153">
        <f t="shared" ref="E216:J216" si="164">+E68+E142</f>
        <v>0</v>
      </c>
      <c r="F216" s="153">
        <f t="shared" si="164"/>
        <v>0</v>
      </c>
      <c r="G216" s="567" t="str">
        <f t="shared" si="108"/>
        <v>n/a</v>
      </c>
      <c r="H216" s="153">
        <f t="shared" ref="H216" si="165">+H68+H142</f>
        <v>0</v>
      </c>
      <c r="I216" s="478" t="str">
        <f t="shared" si="152"/>
        <v>n/a</v>
      </c>
      <c r="J216" s="153">
        <f t="shared" si="164"/>
        <v>0</v>
      </c>
      <c r="K216" s="166" t="e">
        <f>+(J216/F216)-1</f>
        <v>#DIV/0!</v>
      </c>
      <c r="L216" s="189"/>
      <c r="M216" s="478" t="str">
        <f t="shared" si="111"/>
        <v>n/a</v>
      </c>
      <c r="N216" s="189"/>
      <c r="O216" s="478" t="str">
        <f t="shared" si="154"/>
        <v>n/a</v>
      </c>
      <c r="P216" s="189"/>
      <c r="Q216" s="478" t="str">
        <f t="shared" si="154"/>
        <v>n/a</v>
      </c>
      <c r="R216" s="189"/>
      <c r="S216" s="484" t="str">
        <f t="shared" si="154"/>
        <v>n/a</v>
      </c>
    </row>
    <row r="217" spans="1:19" x14ac:dyDescent="0.25">
      <c r="A217" s="152"/>
      <c r="B217" s="34"/>
      <c r="C217" s="34"/>
      <c r="D217" s="152"/>
      <c r="E217" s="153"/>
      <c r="F217" s="153"/>
      <c r="G217" s="568"/>
      <c r="H217" s="153"/>
      <c r="I217" s="479"/>
      <c r="J217" s="153"/>
      <c r="K217" s="153"/>
      <c r="L217" s="190"/>
      <c r="M217" s="479"/>
      <c r="N217" s="190"/>
      <c r="O217" s="479"/>
      <c r="P217" s="190"/>
      <c r="Q217" s="479"/>
      <c r="R217" s="190"/>
      <c r="S217" s="486"/>
    </row>
    <row r="218" spans="1:19" s="177" customFormat="1" ht="13.8" thickBot="1" x14ac:dyDescent="0.3">
      <c r="A218" s="172"/>
      <c r="B218" s="172"/>
      <c r="C218" s="172"/>
      <c r="D218" s="173" t="s">
        <v>188</v>
      </c>
      <c r="E218" s="176">
        <f>E207+E214+E216</f>
        <v>22823891</v>
      </c>
      <c r="F218" s="176">
        <f>F207+F214+F216</f>
        <v>22974229.719999999</v>
      </c>
      <c r="G218" s="481">
        <f t="shared" si="108"/>
        <v>6.5869014183426167E-3</v>
      </c>
      <c r="H218" s="176">
        <f>H207+H214+H216</f>
        <v>21127894</v>
      </c>
      <c r="I218" s="481">
        <f t="shared" si="152"/>
        <v>-8.0365511379591026E-2</v>
      </c>
      <c r="J218" s="176">
        <f>J207+J214+J216</f>
        <v>25865047</v>
      </c>
      <c r="K218" s="175">
        <f t="shared" ref="K218" si="166">+(J218/F218)-1</f>
        <v>0.12582869220130699</v>
      </c>
      <c r="L218" s="176">
        <f>L207+L214+L216</f>
        <v>22463779</v>
      </c>
      <c r="M218" s="481">
        <f t="shared" si="111"/>
        <v>6.322849783324358E-2</v>
      </c>
      <c r="N218" s="176">
        <f>N207+N214+N216</f>
        <v>31563251</v>
      </c>
      <c r="O218" s="481">
        <f t="shared" si="154"/>
        <v>0.40507307341298193</v>
      </c>
      <c r="P218" s="176">
        <f>P207+P214+P216</f>
        <v>30597474</v>
      </c>
      <c r="Q218" s="481">
        <f t="shared" si="154"/>
        <v>-3.0598147193392711E-2</v>
      </c>
      <c r="R218" s="176">
        <f>R207+R214+R216</f>
        <v>29581226</v>
      </c>
      <c r="S218" s="488">
        <f t="shared" si="154"/>
        <v>-3.3213460692866348E-2</v>
      </c>
    </row>
    <row r="219" spans="1:19" ht="13.8" thickTop="1" x14ac:dyDescent="0.25">
      <c r="A219" s="152"/>
      <c r="B219" s="34"/>
      <c r="C219" s="34"/>
      <c r="D219" s="152"/>
      <c r="E219" s="153"/>
      <c r="F219" s="153"/>
      <c r="G219" s="568"/>
      <c r="H219" s="153"/>
      <c r="I219" s="479"/>
      <c r="J219" s="153"/>
      <c r="K219" s="153"/>
      <c r="L219" s="190"/>
      <c r="M219" s="479"/>
      <c r="N219" s="190"/>
      <c r="O219" s="479"/>
      <c r="P219" s="190"/>
      <c r="Q219" s="479"/>
      <c r="R219" s="190"/>
      <c r="S219" s="486"/>
    </row>
    <row r="220" spans="1:19" x14ac:dyDescent="0.25">
      <c r="A220" s="152"/>
      <c r="B220" s="34"/>
      <c r="C220" s="34"/>
      <c r="D220" s="152" t="s">
        <v>215</v>
      </c>
      <c r="E220" s="153">
        <f t="shared" ref="E220:J220" si="167">+E72+E146</f>
        <v>52225634.639999993</v>
      </c>
      <c r="F220" s="153">
        <f t="shared" si="167"/>
        <v>55850916.669999965</v>
      </c>
      <c r="G220" s="567">
        <f t="shared" si="108"/>
        <v>6.9415758276364592E-2</v>
      </c>
      <c r="H220" s="153">
        <f t="shared" ref="H220" si="168">+H72+H146</f>
        <v>53419726.000000052</v>
      </c>
      <c r="I220" s="478">
        <f t="shared" si="152"/>
        <v>-4.3530004786936916E-2</v>
      </c>
      <c r="J220" s="153">
        <f t="shared" si="167"/>
        <v>57694503</v>
      </c>
      <c r="K220" s="166">
        <f>+(J220/F220)-1</f>
        <v>3.3009061263810979E-2</v>
      </c>
      <c r="L220" s="189">
        <v>55705781</v>
      </c>
      <c r="M220" s="478">
        <f t="shared" si="111"/>
        <v>4.279421051317156E-2</v>
      </c>
      <c r="N220" s="189">
        <f>57181528-1</f>
        <v>57181527</v>
      </c>
      <c r="O220" s="478">
        <f t="shared" si="154"/>
        <v>2.6491792656133883E-2</v>
      </c>
      <c r="P220" s="189">
        <f>58336965-1</f>
        <v>58336964</v>
      </c>
      <c r="Q220" s="478">
        <f t="shared" si="154"/>
        <v>2.0206473324855478E-2</v>
      </c>
      <c r="R220" s="189">
        <f>59082434-1</f>
        <v>59082433</v>
      </c>
      <c r="S220" s="484">
        <f t="shared" si="154"/>
        <v>1.2778673226806925E-2</v>
      </c>
    </row>
    <row r="221" spans="1:19" ht="13.8" thickBot="1" x14ac:dyDescent="0.3">
      <c r="A221" s="191"/>
      <c r="B221" s="192"/>
      <c r="C221" s="192"/>
      <c r="D221" s="191"/>
      <c r="E221" s="193"/>
      <c r="F221" s="193"/>
      <c r="G221" s="568"/>
      <c r="H221" s="193"/>
      <c r="I221" s="479"/>
      <c r="J221" s="193"/>
      <c r="K221" s="193"/>
      <c r="L221" s="194"/>
      <c r="M221" s="479"/>
      <c r="N221" s="194"/>
      <c r="O221" s="479"/>
      <c r="P221" s="194"/>
      <c r="Q221" s="479"/>
      <c r="R221" s="194"/>
      <c r="S221" s="486"/>
    </row>
    <row r="222" spans="1:19" ht="13.8" thickBot="1" x14ac:dyDescent="0.3">
      <c r="A222" s="195"/>
      <c r="B222" s="195"/>
      <c r="C222" s="195"/>
      <c r="D222" s="196" t="s">
        <v>190</v>
      </c>
      <c r="E222" s="198">
        <f>+E220+E218</f>
        <v>75049525.639999986</v>
      </c>
      <c r="F222" s="198">
        <f>+F220+F218</f>
        <v>78825146.389999956</v>
      </c>
      <c r="G222" s="483">
        <f t="shared" si="108"/>
        <v>5.0308389264323905E-2</v>
      </c>
      <c r="H222" s="198">
        <f>+H220+H218</f>
        <v>74547620.00000006</v>
      </c>
      <c r="I222" s="483">
        <f t="shared" si="152"/>
        <v>-5.4266012635563743E-2</v>
      </c>
      <c r="J222" s="198">
        <f>+J220+J218</f>
        <v>83559550</v>
      </c>
      <c r="K222" s="197">
        <f t="shared" ref="K222" si="169">+(J222/F222)-1</f>
        <v>6.0062097272561177E-2</v>
      </c>
      <c r="L222" s="198">
        <f>+L220+L218</f>
        <v>78169560</v>
      </c>
      <c r="M222" s="483">
        <f t="shared" si="111"/>
        <v>4.8585588647899636E-2</v>
      </c>
      <c r="N222" s="198">
        <f>+N220+N218</f>
        <v>88744778</v>
      </c>
      <c r="O222" s="483">
        <f t="shared" si="154"/>
        <v>0.1352856278070389</v>
      </c>
      <c r="P222" s="198">
        <f>+P220+P218</f>
        <v>88934438</v>
      </c>
      <c r="Q222" s="483">
        <f t="shared" si="154"/>
        <v>2.1371398326108793E-3</v>
      </c>
      <c r="R222" s="198">
        <f>+R220+R218</f>
        <v>88663659</v>
      </c>
      <c r="S222" s="490">
        <f t="shared" si="154"/>
        <v>-3.0447035601663952E-3</v>
      </c>
    </row>
    <row r="223" spans="1:19" ht="3.6" customHeight="1" thickTop="1" thickBot="1" x14ac:dyDescent="0.3">
      <c r="D223" s="191"/>
      <c r="E223" s="457">
        <f>E222-E195</f>
        <v>-0.25000002980232239</v>
      </c>
      <c r="F223" s="457">
        <f>F222-F195</f>
        <v>9.9999606609344482E-3</v>
      </c>
      <c r="G223" s="457"/>
      <c r="H223" s="457">
        <f>H222-H195</f>
        <v>0</v>
      </c>
      <c r="I223" s="192"/>
      <c r="J223" s="457">
        <f>J222-J195</f>
        <v>0</v>
      </c>
      <c r="K223" s="192"/>
      <c r="L223" s="457">
        <f>L222-L195</f>
        <v>0</v>
      </c>
      <c r="M223" s="192"/>
      <c r="N223" s="457">
        <f>N222-N195</f>
        <v>0</v>
      </c>
      <c r="O223" s="192"/>
      <c r="P223" s="457">
        <f>P222-P195</f>
        <v>0</v>
      </c>
      <c r="Q223" s="192"/>
      <c r="R223" s="457">
        <f>R222-R195</f>
        <v>0</v>
      </c>
      <c r="S223" s="199"/>
    </row>
    <row r="225" spans="6:14" x14ac:dyDescent="0.25">
      <c r="F225" s="266"/>
      <c r="G225" s="266"/>
      <c r="H225" s="266"/>
    </row>
    <row r="227" spans="6:14" x14ac:dyDescent="0.25">
      <c r="F227" s="266"/>
      <c r="G227" s="266"/>
      <c r="H227" s="266"/>
      <c r="N227" s="516"/>
    </row>
    <row r="228" spans="6:14" x14ac:dyDescent="0.25">
      <c r="N228" s="516"/>
    </row>
    <row r="229" spans="6:14" x14ac:dyDescent="0.25">
      <c r="N229" s="517"/>
    </row>
  </sheetData>
  <mergeCells count="12">
    <mergeCell ref="D80:S80"/>
    <mergeCell ref="D151:S151"/>
    <mergeCell ref="D152:S152"/>
    <mergeCell ref="D153:S153"/>
    <mergeCell ref="D154:S154"/>
    <mergeCell ref="D79:S79"/>
    <mergeCell ref="D1:S1"/>
    <mergeCell ref="D3:S3"/>
    <mergeCell ref="D5:S5"/>
    <mergeCell ref="D6:S6"/>
    <mergeCell ref="D77:S77"/>
    <mergeCell ref="D78:S78"/>
  </mergeCells>
  <pageMargins left="0.25" right="0.25" top="0.25" bottom="0.5" header="0" footer="0.3"/>
  <pageSetup scale="55" fitToHeight="0" orientation="landscape" r:id="rId1"/>
  <headerFooter>
    <oddFooter>&amp;L&amp;D, Pg &amp;P&amp;R&amp;F</oddFooter>
  </headerFooter>
  <rowBreaks count="2" manualBreakCount="2">
    <brk id="74" min="3" max="14" man="1"/>
    <brk id="148" min="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showGridLines="0" topLeftCell="D1" zoomScale="85" zoomScaleNormal="85" workbookViewId="0">
      <pane xSplit="1" ySplit="8" topLeftCell="E9" activePane="bottomRight" state="frozen"/>
      <selection activeCell="D1" sqref="D1"/>
      <selection pane="topRight" activeCell="E1" sqref="E1"/>
      <selection pane="bottomLeft" activeCell="D9" sqref="D9"/>
      <selection pane="bottomRight" activeCell="G17" sqref="G17"/>
    </sheetView>
  </sheetViews>
  <sheetFormatPr defaultColWidth="9.109375" defaultRowHeight="13.2" outlineLevelRow="1" outlineLevelCol="1" x14ac:dyDescent="0.25"/>
  <cols>
    <col min="1" max="1" width="40.44140625" style="2" customWidth="1" outlineLevel="1"/>
    <col min="2" max="2" width="8.109375" style="2" customWidth="1" outlineLevel="1"/>
    <col min="3" max="3" width="9.109375" style="2" customWidth="1" outlineLevel="1"/>
    <col min="4" max="4" width="60.88671875" style="8" customWidth="1"/>
    <col min="5" max="12" width="17.6640625" style="4" customWidth="1"/>
    <col min="13" max="16384" width="9.109375" style="16"/>
  </cols>
  <sheetData>
    <row r="1" spans="1:14" ht="30" customHeight="1" x14ac:dyDescent="0.25">
      <c r="D1" s="616" t="s">
        <v>428</v>
      </c>
      <c r="E1" s="616"/>
      <c r="F1" s="616"/>
      <c r="G1" s="616"/>
      <c r="H1" s="616"/>
      <c r="I1" s="616"/>
      <c r="J1" s="616"/>
      <c r="K1" s="616"/>
      <c r="L1" s="616"/>
    </row>
    <row r="2" spans="1:14" x14ac:dyDescent="0.25">
      <c r="D2" s="629"/>
      <c r="E2" s="629"/>
      <c r="F2" s="629"/>
      <c r="G2" s="629"/>
      <c r="H2" s="629"/>
      <c r="I2" s="629"/>
      <c r="J2" s="629"/>
      <c r="K2" s="629"/>
      <c r="L2" s="629"/>
    </row>
    <row r="3" spans="1:14" ht="38.1" customHeight="1" x14ac:dyDescent="0.25">
      <c r="D3" s="630" t="str">
        <f>+PL!D4</f>
        <v>Modernization Project</v>
      </c>
      <c r="E3" s="630"/>
      <c r="F3" s="630"/>
      <c r="G3" s="630"/>
      <c r="H3" s="630"/>
      <c r="I3" s="630"/>
      <c r="J3" s="630"/>
      <c r="K3" s="630"/>
      <c r="L3" s="630"/>
    </row>
    <row r="4" spans="1:14" x14ac:dyDescent="0.25">
      <c r="D4" s="201"/>
      <c r="E4" s="9"/>
      <c r="F4" s="9"/>
      <c r="G4" s="9"/>
      <c r="H4" s="9"/>
      <c r="I4" s="9"/>
      <c r="J4" s="9"/>
      <c r="K4" s="9"/>
      <c r="L4" s="9"/>
    </row>
    <row r="5" spans="1:14" ht="21" x14ac:dyDescent="0.4">
      <c r="E5" s="590" t="s">
        <v>424</v>
      </c>
      <c r="F5" s="590"/>
      <c r="G5" s="590"/>
      <c r="H5" s="590"/>
      <c r="I5" s="590" t="s">
        <v>216</v>
      </c>
      <c r="J5" s="590"/>
      <c r="K5" s="590"/>
      <c r="L5" s="590"/>
    </row>
    <row r="6" spans="1:14" s="204" customFormat="1" ht="27.75" customHeight="1" x14ac:dyDescent="0.25">
      <c r="A6" s="202"/>
      <c r="B6" s="202"/>
      <c r="C6" s="202"/>
      <c r="D6" s="203"/>
      <c r="E6" s="621" t="s">
        <v>47</v>
      </c>
      <c r="F6" s="621"/>
      <c r="G6" s="621"/>
      <c r="H6" s="621"/>
      <c r="I6" s="621" t="s">
        <v>48</v>
      </c>
      <c r="J6" s="621"/>
      <c r="K6" s="621"/>
      <c r="L6" s="621"/>
    </row>
    <row r="7" spans="1:14" ht="15.6" x14ac:dyDescent="0.3">
      <c r="B7" s="3"/>
      <c r="D7" s="51"/>
      <c r="E7" s="145" t="s">
        <v>39</v>
      </c>
      <c r="F7" s="145" t="s">
        <v>55</v>
      </c>
      <c r="G7" s="533" t="s">
        <v>65</v>
      </c>
      <c r="H7" s="145" t="s">
        <v>65</v>
      </c>
      <c r="I7" s="205">
        <v>2017</v>
      </c>
      <c r="J7" s="43">
        <v>2018</v>
      </c>
      <c r="K7" s="43">
        <v>2019</v>
      </c>
      <c r="L7" s="43">
        <v>2020</v>
      </c>
    </row>
    <row r="8" spans="1:14" ht="31.2" x14ac:dyDescent="0.3">
      <c r="A8" s="3" t="s">
        <v>29</v>
      </c>
      <c r="D8" s="51"/>
      <c r="E8" s="45" t="s">
        <v>58</v>
      </c>
      <c r="F8" s="45" t="s">
        <v>58</v>
      </c>
      <c r="G8" s="45" t="s">
        <v>430</v>
      </c>
      <c r="H8" s="45" t="s">
        <v>58</v>
      </c>
      <c r="I8" s="207" t="s">
        <v>144</v>
      </c>
      <c r="J8" s="206" t="s">
        <v>145</v>
      </c>
      <c r="K8" s="206" t="s">
        <v>146</v>
      </c>
      <c r="L8" s="206" t="s">
        <v>488</v>
      </c>
    </row>
    <row r="9" spans="1:14" ht="15.6" x14ac:dyDescent="0.3">
      <c r="A9" s="3"/>
      <c r="D9" s="51"/>
      <c r="E9" s="145"/>
      <c r="F9" s="145"/>
      <c r="G9" s="533"/>
      <c r="H9" s="145"/>
      <c r="I9" s="208"/>
      <c r="J9" s="453"/>
      <c r="K9" s="145"/>
      <c r="L9" s="145"/>
    </row>
    <row r="10" spans="1:14" s="177" customFormat="1" ht="15.6" x14ac:dyDescent="0.3">
      <c r="A10" s="209" t="s">
        <v>217</v>
      </c>
      <c r="B10" s="210"/>
      <c r="C10" s="210"/>
      <c r="D10" s="211" t="str">
        <f>UPPER(MID(A10,FIND("]",A10)+2,LEN(A10)-FIND("]",A10)+2))</f>
        <v>BEGINNING CASH</v>
      </c>
      <c r="E10" s="212">
        <v>1601054.6397435875</v>
      </c>
      <c r="F10" s="212">
        <f t="shared" ref="F10:L10" si="0">+E49</f>
        <v>2400992.1797435479</v>
      </c>
      <c r="G10" s="212">
        <f>+F49</f>
        <v>2647794.239743541</v>
      </c>
      <c r="H10" s="212">
        <f>+F49</f>
        <v>2647794.239743541</v>
      </c>
      <c r="I10" s="213">
        <f t="shared" si="0"/>
        <v>4193240.089743569</v>
      </c>
      <c r="J10" s="213">
        <f t="shared" si="0"/>
        <v>1908976.089743569</v>
      </c>
      <c r="K10" s="213">
        <f t="shared" si="0"/>
        <v>1766007.089743569</v>
      </c>
      <c r="L10" s="213">
        <f t="shared" si="0"/>
        <v>2283804.089743569</v>
      </c>
    </row>
    <row r="11" spans="1:14" ht="15" x14ac:dyDescent="0.25">
      <c r="A11" s="8"/>
      <c r="B11" s="8"/>
      <c r="C11" s="8"/>
      <c r="D11" s="51"/>
      <c r="E11" s="50"/>
      <c r="F11" s="50"/>
      <c r="G11" s="50"/>
      <c r="H11" s="50"/>
      <c r="I11" s="214"/>
      <c r="J11" s="50"/>
      <c r="K11" s="50"/>
      <c r="L11" s="50"/>
    </row>
    <row r="12" spans="1:14" ht="15.6" x14ac:dyDescent="0.3">
      <c r="A12" s="8"/>
      <c r="B12" s="8"/>
      <c r="C12" s="8"/>
      <c r="D12" s="215" t="s">
        <v>218</v>
      </c>
      <c r="E12" s="50"/>
      <c r="F12" s="50"/>
      <c r="G12" s="50"/>
      <c r="H12" s="50"/>
      <c r="I12" s="214"/>
      <c r="J12" s="50"/>
      <c r="K12" s="50"/>
      <c r="L12" s="50"/>
    </row>
    <row r="13" spans="1:14" ht="15" x14ac:dyDescent="0.25">
      <c r="A13" s="8" t="s">
        <v>219</v>
      </c>
      <c r="B13" s="8"/>
      <c r="C13" s="8"/>
      <c r="D13" s="51" t="str">
        <f>"  "&amp;UPPER(MID(A13,FIND("]",A13)+1,LEN(A13)-FIND("]",A13)+1))</f>
        <v xml:space="preserve">   EXCESS REVENUE OVER EXPENSE</v>
      </c>
      <c r="E13" s="50">
        <v>9185015.4699999895</v>
      </c>
      <c r="F13" s="50">
        <f>+PL!F168</f>
        <v>3216332.6300000101</v>
      </c>
      <c r="G13" s="50">
        <f>+PL!H168</f>
        <v>717782</v>
      </c>
      <c r="H13" s="50">
        <f>+PL!J168</f>
        <v>1772889</v>
      </c>
      <c r="I13" s="214">
        <f>+PL!L168</f>
        <v>740474</v>
      </c>
      <c r="J13" s="50">
        <f>+PL!N168</f>
        <v>1475747</v>
      </c>
      <c r="K13" s="50">
        <f>+PL!P168</f>
        <v>1155436</v>
      </c>
      <c r="L13" s="50">
        <f>+PL!R168</f>
        <v>745469</v>
      </c>
      <c r="N13" s="521"/>
    </row>
    <row r="14" spans="1:14" ht="15" x14ac:dyDescent="0.25">
      <c r="A14" s="8" t="s">
        <v>220</v>
      </c>
      <c r="B14" s="8"/>
      <c r="C14" s="8"/>
      <c r="D14" s="51" t="str">
        <f t="shared" ref="D14:D16" si="1">"  "&amp;UPPER(MID(A14,FIND("]",A14)+1,LEN(A14)-FIND("]",A14)+1))</f>
        <v xml:space="preserve">   DEPRECIATION/AMORTIZATION</v>
      </c>
      <c r="E14" s="50">
        <v>4047524.0500000003</v>
      </c>
      <c r="F14" s="50">
        <f>+PL!F156</f>
        <v>4266138.1100000003</v>
      </c>
      <c r="G14" s="50">
        <f>+PL!H156</f>
        <v>4371699</v>
      </c>
      <c r="H14" s="50">
        <f>+PL!J156</f>
        <v>4348154</v>
      </c>
      <c r="I14" s="214">
        <f>+PL!L156</f>
        <v>4411523</v>
      </c>
      <c r="J14" s="50">
        <f>+PL!N156</f>
        <v>4278491</v>
      </c>
      <c r="K14" s="50">
        <f>+PL!P156</f>
        <v>4950119</v>
      </c>
      <c r="L14" s="50">
        <f>+PL!R156</f>
        <v>5199100</v>
      </c>
      <c r="N14" s="521"/>
    </row>
    <row r="15" spans="1:14" ht="15" x14ac:dyDescent="0.25">
      <c r="A15" s="8" t="s">
        <v>221</v>
      </c>
      <c r="B15" s="8"/>
      <c r="C15" s="8"/>
      <c r="D15" s="51" t="str">
        <f t="shared" si="1"/>
        <v xml:space="preserve">   PATIENT A/R</v>
      </c>
      <c r="E15" s="50">
        <v>-518557.00000000093</v>
      </c>
      <c r="F15" s="50">
        <f>-(SUM(BalSht!F162:F163)-SUM(BalSht!E162:E163))</f>
        <v>614963.26000000164</v>
      </c>
      <c r="G15" s="50">
        <f>-(SUM(BalSht!H162:H163)-SUM(BalSht!F162:F163))</f>
        <v>-559756.59000000078</v>
      </c>
      <c r="H15" s="50">
        <f>-(SUM(BalSht!J162:J163)-SUM(BalSht!F162:F163))</f>
        <v>-660461.59000000078</v>
      </c>
      <c r="I15" s="214">
        <f>-(SUM(BalSht!L162:L163)-SUM(BalSht!J162:J163))</f>
        <v>-30777</v>
      </c>
      <c r="J15" s="214">
        <f>-(SUM(BalSht!N162:N163)-SUM(BalSht!L162:L163))</f>
        <v>-537771</v>
      </c>
      <c r="K15" s="214">
        <f>-(SUM(BalSht!P162:P163)-SUM(BalSht!N162:N163))</f>
        <v>-192890</v>
      </c>
      <c r="L15" s="214">
        <f>-(SUM(BalSht!R162:R163)-SUM(BalSht!P162:P163))</f>
        <v>-119757</v>
      </c>
      <c r="N15" s="521"/>
    </row>
    <row r="16" spans="1:14" ht="15" x14ac:dyDescent="0.25">
      <c r="A16" s="8" t="s">
        <v>222</v>
      </c>
      <c r="B16" s="8"/>
      <c r="C16" s="8"/>
      <c r="D16" s="51" t="str">
        <f t="shared" si="1"/>
        <v xml:space="preserve">   OTHER CHANGES</v>
      </c>
      <c r="E16" s="50">
        <v>-7417394.4499999974</v>
      </c>
      <c r="F16" s="522">
        <f>(SUM(BalSht!F207:F207)-SUM(BalSht!E207:E207))-(SUM(BalSht!F164:F165)-SUM(BalSht!E164:E165))</f>
        <v>2142589.5600000015</v>
      </c>
      <c r="G16" s="522">
        <f>(SUM(BalSht!H207:H207)-SUM(BalSht!F207:F207))-(SUM(BalSht!H164:H165)-SUM(BalSht!F164:F165))</f>
        <v>2551694.4699999997</v>
      </c>
      <c r="H16" s="522">
        <f>(SUM(BalSht!J207:J207)-SUM(BalSht!F207:F207))-(SUM(BalSht!J164:J165)-SUM(BalSht!F164:F165))</f>
        <v>4881563.47</v>
      </c>
      <c r="I16" s="522">
        <f>(SUM(BalSht!L207:L207)-SUM(BalSht!J207:J207))-(SUM(BalSht!L164:L165)-SUM(BalSht!J164:J165))</f>
        <v>-2151021</v>
      </c>
      <c r="J16" s="522">
        <f>(SUM(BalSht!N207:N207)-SUM(BalSht!L207:L207))-(SUM(BalSht!N164:N165)-SUM(BalSht!L164:L165))</f>
        <v>557081</v>
      </c>
      <c r="K16" s="522">
        <f>(SUM(BalSht!P207:P207)-SUM(BalSht!N207:N207))-(SUM(BalSht!P164:P165)-SUM(BalSht!N164:N165))</f>
        <v>244943</v>
      </c>
      <c r="L16" s="522">
        <f>(SUM(BalSht!R207:R207)-SUM(BalSht!P207:P207))-(SUM(BalSht!R164:R165)-SUM(BalSht!P164:P165))</f>
        <v>229717</v>
      </c>
      <c r="N16" s="521"/>
    </row>
    <row r="17" spans="1:14" s="177" customFormat="1" ht="15.6" x14ac:dyDescent="0.3">
      <c r="A17" s="210"/>
      <c r="B17" s="210"/>
      <c r="C17" s="210"/>
      <c r="D17" s="211" t="s">
        <v>223</v>
      </c>
      <c r="E17" s="213">
        <f t="shared" ref="E17:L17" si="2">SUM(E13:E16)</f>
        <v>5296588.069999991</v>
      </c>
      <c r="F17" s="213">
        <f t="shared" si="2"/>
        <v>10240023.560000014</v>
      </c>
      <c r="G17" s="213">
        <f t="shared" ref="G17" si="3">SUM(G13:G16)</f>
        <v>7081418.879999999</v>
      </c>
      <c r="H17" s="213">
        <f t="shared" si="2"/>
        <v>10342144.879999999</v>
      </c>
      <c r="I17" s="213">
        <f t="shared" si="2"/>
        <v>2970199</v>
      </c>
      <c r="J17" s="212">
        <f t="shared" ref="J17" si="4">SUM(J13:J16)</f>
        <v>5773548</v>
      </c>
      <c r="K17" s="212">
        <f t="shared" si="2"/>
        <v>6157608</v>
      </c>
      <c r="L17" s="212">
        <f t="shared" si="2"/>
        <v>6054529</v>
      </c>
    </row>
    <row r="18" spans="1:14" ht="15" x14ac:dyDescent="0.25">
      <c r="A18" s="8"/>
      <c r="B18" s="8"/>
      <c r="C18" s="8"/>
      <c r="D18" s="51"/>
      <c r="E18" s="50"/>
      <c r="F18" s="50"/>
      <c r="G18" s="50"/>
      <c r="H18" s="522"/>
      <c r="I18" s="522"/>
      <c r="J18" s="50"/>
      <c r="K18" s="50"/>
      <c r="L18" s="50"/>
    </row>
    <row r="19" spans="1:14" ht="15.6" x14ac:dyDescent="0.3">
      <c r="A19" s="8"/>
      <c r="B19" s="8"/>
      <c r="C19" s="8"/>
      <c r="D19" s="215" t="s">
        <v>224</v>
      </c>
      <c r="E19" s="50"/>
      <c r="F19" s="522"/>
      <c r="G19" s="522"/>
      <c r="H19" s="522"/>
      <c r="I19" s="522"/>
      <c r="J19" s="50"/>
      <c r="K19" s="50"/>
      <c r="L19" s="50"/>
    </row>
    <row r="20" spans="1:14" ht="15" x14ac:dyDescent="0.25">
      <c r="A20" s="8"/>
      <c r="B20" s="8"/>
      <c r="C20" s="8"/>
      <c r="D20" s="51" t="s">
        <v>225</v>
      </c>
      <c r="E20" s="50"/>
      <c r="F20" s="50"/>
      <c r="G20" s="50"/>
      <c r="H20" s="522"/>
      <c r="I20" s="522"/>
      <c r="J20" s="50"/>
      <c r="K20" s="50"/>
      <c r="L20" s="50"/>
    </row>
    <row r="21" spans="1:14" ht="15" x14ac:dyDescent="0.25">
      <c r="A21" s="8" t="s">
        <v>226</v>
      </c>
      <c r="B21" s="8"/>
      <c r="C21" s="8"/>
      <c r="D21" s="51" t="str">
        <f t="shared" ref="D21:D24" si="5">"  "&amp;UPPER(MID(A21,FIND("]",A21)+1,LEN(A21)-FIND("]",A21)+1))</f>
        <v xml:space="preserve">   CAPITAL</v>
      </c>
      <c r="E21" s="50">
        <v>0</v>
      </c>
      <c r="F21" s="50">
        <v>0</v>
      </c>
      <c r="G21" s="50">
        <v>0</v>
      </c>
      <c r="H21" s="50">
        <v>0</v>
      </c>
      <c r="I21" s="214"/>
      <c r="J21" s="50"/>
      <c r="K21" s="50"/>
      <c r="L21" s="50"/>
    </row>
    <row r="22" spans="1:14" ht="15" x14ac:dyDescent="0.25">
      <c r="A22" s="8" t="s">
        <v>227</v>
      </c>
      <c r="B22" s="8"/>
      <c r="C22" s="8"/>
      <c r="D22" s="51" t="str">
        <f t="shared" si="5"/>
        <v xml:space="preserve">   CAPITALIZED INTEREST</v>
      </c>
      <c r="E22" s="50">
        <v>0</v>
      </c>
      <c r="F22" s="50">
        <v>0</v>
      </c>
      <c r="G22" s="50">
        <v>0</v>
      </c>
      <c r="H22" s="50">
        <v>0</v>
      </c>
      <c r="I22" s="214"/>
      <c r="J22" s="50"/>
      <c r="K22" s="50"/>
      <c r="L22" s="50"/>
    </row>
    <row r="23" spans="1:14" ht="15" x14ac:dyDescent="0.25">
      <c r="A23" s="8" t="s">
        <v>228</v>
      </c>
      <c r="B23" s="8"/>
      <c r="C23" s="8"/>
      <c r="D23" s="51" t="str">
        <f t="shared" si="5"/>
        <v xml:space="preserve">   CHANGE IN ACCUM DEPR LESS DEPRECIATION</v>
      </c>
      <c r="E23" s="50">
        <v>-2914833.4000000134</v>
      </c>
      <c r="F23" s="50">
        <f>-(SUM(BalSht!F189)-SUM(BalSht!E189))-PL!F156</f>
        <v>-3575729.3899999941</v>
      </c>
      <c r="G23" s="50">
        <v>-85648</v>
      </c>
      <c r="H23" s="50">
        <f>-(SUM(BalSht!J189)-SUM(BalSht!F189))-PL!J156</f>
        <v>114918.33999999613</v>
      </c>
      <c r="I23" s="50">
        <f>-(SUM(BalSht!L189)-SUM(BalSht!J189))-PL!L156</f>
        <v>359209</v>
      </c>
      <c r="J23" s="50">
        <f>-(SUM(BalSht!N189)-SUM(BalSht!L189))-PL!N156</f>
        <v>104396</v>
      </c>
      <c r="K23" s="50">
        <f>-(SUM(BalSht!P189)-SUM(BalSht!N189))-PL!P156</f>
        <v>58967</v>
      </c>
      <c r="L23" s="50">
        <f>-(SUM(BalSht!R189)-SUM(BalSht!P189))-PL!R156</f>
        <v>40289</v>
      </c>
      <c r="N23" s="521"/>
    </row>
    <row r="24" spans="1:14" ht="15" x14ac:dyDescent="0.25">
      <c r="A24" s="8" t="s">
        <v>229</v>
      </c>
      <c r="B24" s="8"/>
      <c r="C24" s="8"/>
      <c r="D24" s="51" t="str">
        <f t="shared" si="5"/>
        <v xml:space="preserve">   CHANGE IN CAPITAL  ASSETS</v>
      </c>
      <c r="E24" s="50">
        <v>-1295289.590000011</v>
      </c>
      <c r="F24" s="50">
        <f>-(SUM(BalSht!F182)-SUM(BalSht!E182))</f>
        <v>258272.29000001401</v>
      </c>
      <c r="G24" s="50">
        <v>-1886157</v>
      </c>
      <c r="H24" s="50">
        <f>-(SUM(BalSht!J182)-SUM(BalSht!F182))</f>
        <v>-4142591.8300000057</v>
      </c>
      <c r="I24" s="50">
        <f>-(SUM(BalSht!L182)-SUM(BalSht!J182))</f>
        <v>-9871256</v>
      </c>
      <c r="J24" s="50">
        <f>-(SUM(BalSht!N182)-SUM(BalSht!L182))</f>
        <v>-17537290</v>
      </c>
      <c r="K24" s="50">
        <f>-(SUM(BalSht!P182)-SUM(BalSht!N182))</f>
        <v>-5433564</v>
      </c>
      <c r="L24" s="50">
        <f>-(SUM(BalSht!R182)-SUM(BalSht!P182))</f>
        <v>-2615657</v>
      </c>
      <c r="N24" s="521"/>
    </row>
    <row r="25" spans="1:14" s="177" customFormat="1" ht="15.6" x14ac:dyDescent="0.3">
      <c r="A25" s="210"/>
      <c r="B25" s="210"/>
      <c r="C25" s="210"/>
      <c r="D25" s="211" t="s">
        <v>230</v>
      </c>
      <c r="E25" s="213">
        <f t="shared" ref="E25:L25" si="6">SUM(E21:E24)</f>
        <v>-4210122.9900000244</v>
      </c>
      <c r="F25" s="213">
        <f t="shared" si="6"/>
        <v>-3317457.0999999801</v>
      </c>
      <c r="G25" s="213">
        <f t="shared" ref="G25" si="7">SUM(G21:G24)</f>
        <v>-1971805</v>
      </c>
      <c r="H25" s="213">
        <f t="shared" si="6"/>
        <v>-4027673.4900000095</v>
      </c>
      <c r="I25" s="213">
        <f t="shared" si="6"/>
        <v>-9512047</v>
      </c>
      <c r="J25" s="212">
        <f t="shared" ref="J25" si="8">SUM(J21:J24)</f>
        <v>-17432894</v>
      </c>
      <c r="K25" s="212">
        <f t="shared" si="6"/>
        <v>-5374597</v>
      </c>
      <c r="L25" s="212">
        <f t="shared" si="6"/>
        <v>-2575368</v>
      </c>
    </row>
    <row r="26" spans="1:14" ht="15" x14ac:dyDescent="0.25">
      <c r="A26" s="8"/>
      <c r="B26" s="8"/>
      <c r="C26" s="8"/>
      <c r="D26" s="51"/>
      <c r="E26" s="50"/>
      <c r="F26" s="50"/>
      <c r="G26" s="50"/>
      <c r="H26" s="50"/>
      <c r="I26" s="214"/>
      <c r="J26" s="50"/>
      <c r="K26" s="50"/>
      <c r="L26" s="50"/>
    </row>
    <row r="27" spans="1:14" ht="15" x14ac:dyDescent="0.25">
      <c r="A27" s="8"/>
      <c r="B27" s="8"/>
      <c r="C27" s="8"/>
      <c r="D27" s="51" t="s">
        <v>231</v>
      </c>
      <c r="E27" s="50"/>
      <c r="F27" s="50"/>
      <c r="G27" s="50"/>
      <c r="H27" s="50"/>
      <c r="I27" s="214"/>
      <c r="J27" s="50"/>
      <c r="K27" s="50"/>
      <c r="L27" s="50"/>
    </row>
    <row r="28" spans="1:14" ht="15" x14ac:dyDescent="0.25">
      <c r="A28" s="8" t="s">
        <v>232</v>
      </c>
      <c r="B28" s="8"/>
      <c r="C28" s="8"/>
      <c r="D28" s="51" t="str">
        <f t="shared" ref="D28:D29" si="9">"  "&amp;UPPER(MID(A28,FIND("]",A28)+1,LEN(A28)-FIND("]",A28)+1))</f>
        <v xml:space="preserve">   FUNDED DEPRECIATION</v>
      </c>
      <c r="E28" s="50">
        <v>245680.33999999985</v>
      </c>
      <c r="F28" s="50">
        <f>-(SUM(BalSht!F170-SUM(BalSht!E170)))</f>
        <v>-6257502.8100000024</v>
      </c>
      <c r="G28" s="50">
        <v>-7000000</v>
      </c>
      <c r="H28" s="50">
        <f>-(SUM(BalSht!J170-SUM(BalSht!F170)))</f>
        <v>-4553376.049999997</v>
      </c>
      <c r="I28" s="50">
        <f>-(SUM(BalSht!L170-SUM(BalSht!J170)))</f>
        <v>6712786</v>
      </c>
      <c r="J28" s="50">
        <f>-(SUM(BalSht!N170-SUM(BalSht!L170)))</f>
        <v>7000000</v>
      </c>
      <c r="K28" s="50">
        <f>-(SUM(BalSht!P170-SUM(BalSht!N170)))</f>
        <v>-3000000</v>
      </c>
      <c r="L28" s="50">
        <f>-(SUM(BalSht!R170-SUM(BalSht!P170)))</f>
        <v>-3000000</v>
      </c>
      <c r="N28" s="521"/>
    </row>
    <row r="29" spans="1:14" ht="15" x14ac:dyDescent="0.25">
      <c r="A29" s="8" t="s">
        <v>233</v>
      </c>
      <c r="B29" s="8"/>
      <c r="C29" s="8"/>
      <c r="D29" s="51" t="str">
        <f t="shared" si="9"/>
        <v xml:space="preserve">   OTHER LT ASSETS &amp; ESCROWED BONDS &amp; OTHER</v>
      </c>
      <c r="E29" s="50">
        <v>-748.6699999999837</v>
      </c>
      <c r="F29" s="50">
        <f>-(SUM(BalSht!F171:F172)-SUM(BalSht!E171:E172))</f>
        <v>-408948.82</v>
      </c>
      <c r="G29" s="50">
        <v>-2101</v>
      </c>
      <c r="H29" s="50">
        <f>-(SUM(BalSht!J171:J172)-SUM(BalSht!F171:F172))</f>
        <v>-2078386.51</v>
      </c>
      <c r="I29" s="50">
        <f>-(SUM(BalSht!L171:L172)-SUM(BalSht!J171:J172))</f>
        <v>2503139</v>
      </c>
      <c r="J29" s="50">
        <f>-(SUM(BalSht!N171:N172)-SUM(BalSht!L171:L172))</f>
        <v>-4000000</v>
      </c>
      <c r="K29" s="50">
        <f>-(SUM(BalSht!P171:P172)-SUM(BalSht!N171:N172))</f>
        <v>4000000</v>
      </c>
      <c r="L29" s="50">
        <f>-(SUM(BalSht!R171:R172)-SUM(BalSht!P171:P172))</f>
        <v>0</v>
      </c>
      <c r="N29" s="521"/>
    </row>
    <row r="30" spans="1:14" ht="15.6" x14ac:dyDescent="0.3">
      <c r="A30" s="216"/>
      <c r="B30" s="216"/>
      <c r="C30" s="216"/>
      <c r="D30" s="211" t="s">
        <v>234</v>
      </c>
      <c r="E30" s="217">
        <f t="shared" ref="E30:L30" si="10">SUM(E28:E29)</f>
        <v>244931.66999999987</v>
      </c>
      <c r="F30" s="217">
        <f t="shared" si="10"/>
        <v>-6666451.6300000027</v>
      </c>
      <c r="G30" s="217">
        <f t="shared" ref="G30" si="11">SUM(G28:G29)</f>
        <v>-7002101</v>
      </c>
      <c r="H30" s="217">
        <f t="shared" si="10"/>
        <v>-6631762.5599999968</v>
      </c>
      <c r="I30" s="217">
        <f t="shared" si="10"/>
        <v>9215925</v>
      </c>
      <c r="J30" s="218">
        <f t="shared" ref="J30" si="12">SUM(J28:J29)</f>
        <v>3000000</v>
      </c>
      <c r="K30" s="218">
        <f t="shared" si="10"/>
        <v>1000000</v>
      </c>
      <c r="L30" s="218">
        <f t="shared" si="10"/>
        <v>-3000000</v>
      </c>
    </row>
    <row r="31" spans="1:14" ht="15" x14ac:dyDescent="0.25">
      <c r="A31" s="8"/>
      <c r="B31" s="8"/>
      <c r="C31" s="8"/>
      <c r="D31" s="51"/>
      <c r="E31" s="50"/>
      <c r="F31" s="50"/>
      <c r="G31" s="50"/>
      <c r="H31" s="50"/>
      <c r="I31" s="214"/>
      <c r="J31" s="50"/>
      <c r="K31" s="50"/>
      <c r="L31" s="50"/>
    </row>
    <row r="32" spans="1:14" s="177" customFormat="1" ht="15.6" x14ac:dyDescent="0.3">
      <c r="A32" s="210"/>
      <c r="B32" s="210"/>
      <c r="C32" s="210"/>
      <c r="D32" s="211" t="s">
        <v>235</v>
      </c>
      <c r="E32" s="213">
        <f t="shared" ref="E32:L32" si="13">E30+E25</f>
        <v>-3965191.3200000245</v>
      </c>
      <c r="F32" s="213">
        <f t="shared" si="13"/>
        <v>-9983908.7299999818</v>
      </c>
      <c r="G32" s="213">
        <f t="shared" ref="G32" si="14">G30+G25</f>
        <v>-8973906</v>
      </c>
      <c r="H32" s="213">
        <f t="shared" si="13"/>
        <v>-10659436.050000006</v>
      </c>
      <c r="I32" s="213">
        <f t="shared" si="13"/>
        <v>-296122</v>
      </c>
      <c r="J32" s="212">
        <f t="shared" ref="J32" si="15">J30+J25</f>
        <v>-14432894</v>
      </c>
      <c r="K32" s="212">
        <f t="shared" si="13"/>
        <v>-4374597</v>
      </c>
      <c r="L32" s="212">
        <f t="shared" si="13"/>
        <v>-5575368</v>
      </c>
    </row>
    <row r="33" spans="1:14" ht="15" x14ac:dyDescent="0.25">
      <c r="A33" s="8"/>
      <c r="B33" s="8"/>
      <c r="C33" s="8"/>
      <c r="D33" s="51"/>
      <c r="E33" s="50"/>
      <c r="F33" s="50"/>
      <c r="G33" s="50"/>
      <c r="H33" s="50"/>
      <c r="I33" s="214"/>
      <c r="J33" s="50"/>
      <c r="K33" s="50"/>
      <c r="L33" s="50"/>
    </row>
    <row r="34" spans="1:14" ht="15.6" x14ac:dyDescent="0.3">
      <c r="A34" s="8"/>
      <c r="B34" s="8"/>
      <c r="C34" s="8"/>
      <c r="D34" s="215" t="s">
        <v>236</v>
      </c>
      <c r="E34" s="50"/>
      <c r="F34" s="50"/>
      <c r="G34" s="50"/>
      <c r="H34" s="50"/>
      <c r="I34" s="214"/>
      <c r="J34" s="50"/>
      <c r="K34" s="50"/>
      <c r="L34" s="50"/>
    </row>
    <row r="35" spans="1:14" ht="15" x14ac:dyDescent="0.25">
      <c r="A35" s="8"/>
      <c r="B35" s="8"/>
      <c r="C35" s="8"/>
      <c r="D35" s="51" t="s">
        <v>237</v>
      </c>
      <c r="E35" s="50"/>
      <c r="F35" s="50"/>
      <c r="G35" s="50"/>
      <c r="H35" s="50"/>
      <c r="I35" s="214"/>
      <c r="J35" s="50"/>
      <c r="K35" s="50"/>
      <c r="L35" s="50"/>
    </row>
    <row r="36" spans="1:14" ht="15" x14ac:dyDescent="0.25">
      <c r="A36" s="8" t="s">
        <v>238</v>
      </c>
      <c r="B36" s="8"/>
      <c r="C36" s="8"/>
      <c r="D36" s="51" t="str">
        <f t="shared" ref="D36:D38" si="16">"  "&amp;UPPER(MID(A36,FIND("]",A36)+1,LEN(A36)-FIND("]",A36)+1))</f>
        <v xml:space="preserve">   BONDS &amp; MORTGAGES</v>
      </c>
      <c r="E36" s="50">
        <v>-458508.71000000089</v>
      </c>
      <c r="F36" s="50">
        <f>(SUM(BalSht!F210-SUM(BalSht!E210)))</f>
        <v>-470000</v>
      </c>
      <c r="G36" s="50">
        <v>-1395000</v>
      </c>
      <c r="H36" s="50">
        <f>(SUM(BalSht!J210-SUM(BalSht!F210)))</f>
        <v>2295540</v>
      </c>
      <c r="I36" s="50">
        <f>(SUM(BalSht!L210-SUM(BalSht!J210)))</f>
        <v>-2075883</v>
      </c>
      <c r="J36" s="50">
        <f>(SUM(BalSht!N210-SUM(BalSht!L210)))</f>
        <v>8516378</v>
      </c>
      <c r="K36" s="50">
        <f>(SUM(BalSht!P210-SUM(BalSht!N210)))</f>
        <v>-1265215</v>
      </c>
      <c r="L36" s="50">
        <f>(SUM(BalSht!R210-SUM(BalSht!P210)))</f>
        <v>-1289217</v>
      </c>
      <c r="N36" s="521"/>
    </row>
    <row r="37" spans="1:14" ht="15" x14ac:dyDescent="0.25">
      <c r="A37" s="8" t="s">
        <v>239</v>
      </c>
      <c r="B37" s="8"/>
      <c r="C37" s="8"/>
      <c r="D37" s="51" t="str">
        <f t="shared" si="16"/>
        <v xml:space="preserve">   REPAYMENT</v>
      </c>
      <c r="E37" s="50">
        <v>0</v>
      </c>
      <c r="F37" s="50">
        <v>0</v>
      </c>
      <c r="G37" s="50">
        <v>0</v>
      </c>
      <c r="H37" s="50">
        <v>0</v>
      </c>
      <c r="I37" s="50">
        <v>0</v>
      </c>
      <c r="J37" s="50"/>
      <c r="K37" s="50"/>
      <c r="L37" s="50"/>
    </row>
    <row r="38" spans="1:14" ht="15" x14ac:dyDescent="0.25">
      <c r="A38" s="8" t="s">
        <v>240</v>
      </c>
      <c r="B38" s="8"/>
      <c r="C38" s="8"/>
      <c r="D38" s="51" t="str">
        <f t="shared" si="16"/>
        <v xml:space="preserve">   CAPITAL LEASE &amp; OTHER LONG TERM DEBT</v>
      </c>
      <c r="E38" s="50">
        <v>-73699.310000000056</v>
      </c>
      <c r="F38" s="50">
        <f>SUM(BalSht!F211:F212)-SUM(BalSht!E211:E212)</f>
        <v>51737.830000000075</v>
      </c>
      <c r="G38" s="50">
        <v>31796</v>
      </c>
      <c r="H38" s="50">
        <f>SUM(BalSht!J211:J212)-SUM(BalSht!F211:F212)</f>
        <v>-503500.31000000006</v>
      </c>
      <c r="I38" s="50">
        <f>SUM(BalSht!L211:L212)-SUM(BalSht!J211:J212)</f>
        <v>-153262</v>
      </c>
      <c r="J38" s="50">
        <f>SUM(BalSht!N211:N212)-SUM(BalSht!L211:L212)</f>
        <v>0</v>
      </c>
      <c r="K38" s="50">
        <f>SUM(BalSht!P211:P212)-SUM(BalSht!N211:N212)</f>
        <v>0</v>
      </c>
      <c r="L38" s="50">
        <f>SUM(BalSht!R211:R212)-SUM(BalSht!P211:P212)</f>
        <v>0</v>
      </c>
      <c r="N38" s="521"/>
    </row>
    <row r="39" spans="1:14" s="177" customFormat="1" ht="15.6" x14ac:dyDescent="0.3">
      <c r="A39" s="210"/>
      <c r="B39" s="210"/>
      <c r="C39" s="210"/>
      <c r="D39" s="211" t="s">
        <v>241</v>
      </c>
      <c r="E39" s="213">
        <f t="shared" ref="E39:L39" si="17">SUM(E36:E38)</f>
        <v>-532208.02000000095</v>
      </c>
      <c r="F39" s="213">
        <f t="shared" si="17"/>
        <v>-418262.16999999993</v>
      </c>
      <c r="G39" s="213">
        <f t="shared" ref="G39" si="18">SUM(G36:G38)</f>
        <v>-1363204</v>
      </c>
      <c r="H39" s="213">
        <f t="shared" si="17"/>
        <v>1792039.69</v>
      </c>
      <c r="I39" s="213">
        <f t="shared" si="17"/>
        <v>-2229145</v>
      </c>
      <c r="J39" s="212">
        <f t="shared" ref="J39" si="19">SUM(J36:J38)</f>
        <v>8516378</v>
      </c>
      <c r="K39" s="212">
        <f t="shared" si="17"/>
        <v>-1265215</v>
      </c>
      <c r="L39" s="212">
        <f t="shared" si="17"/>
        <v>-1289217</v>
      </c>
    </row>
    <row r="40" spans="1:14" ht="15" x14ac:dyDescent="0.25">
      <c r="A40" s="8"/>
      <c r="B40" s="8"/>
      <c r="C40" s="8"/>
      <c r="D40" s="51"/>
      <c r="E40" s="50"/>
      <c r="F40" s="50"/>
      <c r="G40" s="50"/>
      <c r="H40" s="50"/>
      <c r="I40" s="214"/>
      <c r="J40" s="50"/>
      <c r="K40" s="50"/>
      <c r="L40" s="50"/>
    </row>
    <row r="41" spans="1:14" ht="15.6" x14ac:dyDescent="0.3">
      <c r="A41" s="8"/>
      <c r="B41" s="8"/>
      <c r="C41" s="8"/>
      <c r="D41" s="215" t="s">
        <v>242</v>
      </c>
      <c r="E41" s="50"/>
      <c r="F41" s="50"/>
      <c r="G41" s="50"/>
      <c r="H41" s="50"/>
      <c r="I41" s="214"/>
      <c r="J41" s="50"/>
      <c r="K41" s="50"/>
      <c r="L41" s="50"/>
    </row>
    <row r="42" spans="1:14" ht="15" x14ac:dyDescent="0.25">
      <c r="A42" s="8" t="s">
        <v>243</v>
      </c>
      <c r="B42" s="8"/>
      <c r="C42" s="8"/>
      <c r="D42" s="51" t="str">
        <f t="shared" ref="D42:D44" si="20">"  "&amp;UPPER(MID(A42,FIND("]",A42)+1,LEN(A42)-FIND("]",A42)+1))</f>
        <v xml:space="preserve">   MANUAL ADJUSTMENT</v>
      </c>
      <c r="E42" s="50">
        <v>0</v>
      </c>
      <c r="F42" s="50">
        <v>0</v>
      </c>
      <c r="G42" s="50"/>
      <c r="H42" s="50">
        <v>0</v>
      </c>
      <c r="I42" s="214"/>
      <c r="J42" s="50"/>
      <c r="K42" s="50"/>
      <c r="L42" s="50"/>
    </row>
    <row r="43" spans="1:14" ht="15" x14ac:dyDescent="0.25">
      <c r="A43" s="8" t="s">
        <v>244</v>
      </c>
      <c r="B43" s="8"/>
      <c r="C43" s="8"/>
      <c r="D43" s="51" t="str">
        <f t="shared" si="20"/>
        <v xml:space="preserve">   OTHER</v>
      </c>
      <c r="E43" s="50"/>
      <c r="F43" s="50">
        <v>0</v>
      </c>
      <c r="G43" s="50">
        <v>0</v>
      </c>
      <c r="H43" s="50">
        <v>0</v>
      </c>
      <c r="I43" s="214"/>
      <c r="J43" s="50"/>
      <c r="K43" s="50"/>
      <c r="L43" s="50"/>
    </row>
    <row r="44" spans="1:14" ht="15" x14ac:dyDescent="0.25">
      <c r="A44" s="8" t="s">
        <v>245</v>
      </c>
      <c r="B44" s="8"/>
      <c r="C44" s="8"/>
      <c r="D44" s="51" t="str">
        <f t="shared" si="20"/>
        <v xml:space="preserve">   CHANGE IN FUND BALANCE LESS NET INCOME</v>
      </c>
      <c r="E44" s="50">
        <v>748.80999999493361</v>
      </c>
      <c r="F44" s="50">
        <f>(SUM(BalSht!F220)-SUM(BalSht!E220))-PL!F168</f>
        <v>408949.39999996126</v>
      </c>
      <c r="G44" s="50">
        <v>2959134</v>
      </c>
      <c r="H44" s="50">
        <f>(SUM(BalSht!J220)-SUM(BalSht!F220))-PL!J168</f>
        <v>70697.330000035465</v>
      </c>
      <c r="I44" s="50">
        <f>(SUM(BalSht!L220)-SUM(BalSht!J220))-PL!L168</f>
        <v>-2729196</v>
      </c>
      <c r="J44" s="50">
        <f>(SUM(BalSht!N220)-SUM(BalSht!L220))-PL!N168</f>
        <v>-1</v>
      </c>
      <c r="K44" s="50">
        <f>(SUM(BalSht!P220)-SUM(BalSht!N220))-PL!P168</f>
        <v>1</v>
      </c>
      <c r="L44" s="50">
        <f>(SUM(BalSht!R220)-SUM(BalSht!P220))-PL!R168</f>
        <v>0</v>
      </c>
      <c r="N44" s="521"/>
    </row>
    <row r="45" spans="1:14" s="177" customFormat="1" ht="15.6" x14ac:dyDescent="0.3">
      <c r="A45" s="210"/>
      <c r="B45" s="210"/>
      <c r="C45" s="210"/>
      <c r="D45" s="211" t="s">
        <v>246</v>
      </c>
      <c r="E45" s="213">
        <f t="shared" ref="E45:L45" si="21">SUM(E42:E44)</f>
        <v>748.80999999493361</v>
      </c>
      <c r="F45" s="213">
        <f t="shared" si="21"/>
        <v>408949.39999996126</v>
      </c>
      <c r="G45" s="213">
        <f t="shared" ref="G45" si="22">SUM(G42:G44)</f>
        <v>2959134</v>
      </c>
      <c r="H45" s="213">
        <f t="shared" si="21"/>
        <v>70697.330000035465</v>
      </c>
      <c r="I45" s="213">
        <f t="shared" si="21"/>
        <v>-2729196</v>
      </c>
      <c r="J45" s="212">
        <f t="shared" ref="J45" si="23">SUM(J42:J44)</f>
        <v>-1</v>
      </c>
      <c r="K45" s="212">
        <f t="shared" si="21"/>
        <v>1</v>
      </c>
      <c r="L45" s="212">
        <f t="shared" si="21"/>
        <v>0</v>
      </c>
    </row>
    <row r="46" spans="1:14" ht="15" x14ac:dyDescent="0.25">
      <c r="A46" s="8"/>
      <c r="B46" s="8"/>
      <c r="C46" s="8"/>
      <c r="D46" s="51"/>
      <c r="E46" s="50"/>
      <c r="F46" s="50"/>
      <c r="G46" s="50"/>
      <c r="H46" s="50"/>
      <c r="I46" s="214"/>
      <c r="J46" s="50"/>
      <c r="K46" s="50"/>
      <c r="L46" s="50"/>
    </row>
    <row r="47" spans="1:14" s="177" customFormat="1" ht="15.6" x14ac:dyDescent="0.3">
      <c r="A47" s="210"/>
      <c r="B47" s="210"/>
      <c r="C47" s="210"/>
      <c r="D47" s="211" t="s">
        <v>247</v>
      </c>
      <c r="E47" s="213">
        <f t="shared" ref="E47:L47" si="24">E17+E32+E39+E45</f>
        <v>799937.53999996046</v>
      </c>
      <c r="F47" s="213">
        <f t="shared" si="24"/>
        <v>246802.05999999307</v>
      </c>
      <c r="G47" s="213">
        <f t="shared" ref="G47" si="25">G17+G32+G39+G45</f>
        <v>-296557.12000000104</v>
      </c>
      <c r="H47" s="213">
        <f t="shared" si="24"/>
        <v>1545445.850000028</v>
      </c>
      <c r="I47" s="213">
        <f t="shared" si="24"/>
        <v>-2284264</v>
      </c>
      <c r="J47" s="212">
        <f t="shared" ref="J47" si="26">J17+J32+J39+J45</f>
        <v>-142969</v>
      </c>
      <c r="K47" s="212">
        <f t="shared" si="24"/>
        <v>517797</v>
      </c>
      <c r="L47" s="212">
        <f t="shared" si="24"/>
        <v>-810056</v>
      </c>
    </row>
    <row r="48" spans="1:14" s="177" customFormat="1" ht="15.6" x14ac:dyDescent="0.3">
      <c r="A48" s="201"/>
      <c r="B48" s="201"/>
      <c r="C48" s="201"/>
      <c r="D48" s="215"/>
      <c r="E48" s="219"/>
      <c r="F48" s="219"/>
      <c r="G48" s="219"/>
      <c r="H48" s="219"/>
      <c r="I48" s="220"/>
      <c r="J48" s="219"/>
      <c r="K48" s="219"/>
      <c r="L48" s="219"/>
    </row>
    <row r="49" spans="1:12" s="177" customFormat="1" ht="16.2" thickBot="1" x14ac:dyDescent="0.35">
      <c r="A49" s="221"/>
      <c r="B49" s="221"/>
      <c r="C49" s="221"/>
      <c r="D49" s="222" t="s">
        <v>248</v>
      </c>
      <c r="E49" s="224">
        <f t="shared" ref="E49:L49" si="27">E10+E47</f>
        <v>2400992.1797435479</v>
      </c>
      <c r="F49" s="224">
        <f t="shared" si="27"/>
        <v>2647794.239743541</v>
      </c>
      <c r="G49" s="224">
        <f t="shared" ref="G49" si="28">G10+G47</f>
        <v>2351237.11974354</v>
      </c>
      <c r="H49" s="224">
        <f t="shared" si="27"/>
        <v>4193240.089743569</v>
      </c>
      <c r="I49" s="224">
        <f t="shared" si="27"/>
        <v>1908976.089743569</v>
      </c>
      <c r="J49" s="223">
        <f t="shared" ref="J49" si="29">J10+J47</f>
        <v>1766007.089743569</v>
      </c>
      <c r="K49" s="223">
        <f t="shared" si="27"/>
        <v>2283804.089743569</v>
      </c>
      <c r="L49" s="223">
        <f t="shared" si="27"/>
        <v>1473748.089743569</v>
      </c>
    </row>
    <row r="50" spans="1:12" ht="13.8" thickTop="1" x14ac:dyDescent="0.25">
      <c r="A50" s="8"/>
      <c r="B50" s="8"/>
      <c r="C50" s="8"/>
      <c r="E50" s="9">
        <f>+BalSht!E13-E49</f>
        <v>0.16025645192712545</v>
      </c>
      <c r="F50" s="9">
        <f>+BalSht!F13-F49</f>
        <v>-9.9743540864437819E-2</v>
      </c>
      <c r="G50" s="9">
        <f>+BalSht!H13-G49</f>
        <v>-0.1197435399517417</v>
      </c>
      <c r="H50" s="9">
        <f>+BalSht!J13-H49</f>
        <v>-8.9743569027632475E-2</v>
      </c>
      <c r="I50" s="523">
        <f>+BalSht!L161-I49</f>
        <v>-8.9743569027632475E-2</v>
      </c>
      <c r="J50" s="523">
        <f>+BalSht!N161-J49</f>
        <v>-8.9743569027632475E-2</v>
      </c>
      <c r="K50" s="523">
        <f>+BalSht!P161-K49</f>
        <v>-8.9743569027632475E-2</v>
      </c>
      <c r="L50" s="523">
        <f>+BalSht!R161-L49</f>
        <v>-8.9743569027632475E-2</v>
      </c>
    </row>
    <row r="51" spans="1:12" hidden="1" outlineLevel="1" x14ac:dyDescent="0.25">
      <c r="A51" s="8" t="s">
        <v>249</v>
      </c>
      <c r="B51" s="8"/>
      <c r="C51" s="8"/>
      <c r="D51" s="8" t="s">
        <v>250</v>
      </c>
      <c r="E51" s="9" t="e">
        <f>SUMIF('[7]Report Data'!$A:$A,Cashflow!$A51,'[7]Report Data'!B:B)</f>
        <v>#VALUE!</v>
      </c>
      <c r="F51" s="9" t="e">
        <f>SUMIF('[7]Report Data'!$A:$A,Cashflow!$A51,'[7]Report Data'!C:C)</f>
        <v>#VALUE!</v>
      </c>
      <c r="G51" s="9"/>
      <c r="H51" s="9" t="e">
        <f>+H87</f>
        <v>#VALUE!</v>
      </c>
      <c r="I51" s="9"/>
      <c r="J51" s="9"/>
      <c r="K51" s="9"/>
      <c r="L51" s="9"/>
    </row>
    <row r="52" spans="1:12" hidden="1" outlineLevel="1" x14ac:dyDescent="0.25">
      <c r="A52" s="8"/>
      <c r="B52" s="8"/>
      <c r="C52" s="8"/>
      <c r="E52" s="9"/>
      <c r="F52" s="9"/>
      <c r="G52" s="9"/>
      <c r="H52" s="9"/>
      <c r="I52" s="9"/>
      <c r="J52" s="9"/>
      <c r="K52" s="9"/>
      <c r="L52" s="9"/>
    </row>
    <row r="53" spans="1:12" hidden="1" outlineLevel="1" x14ac:dyDescent="0.25">
      <c r="A53" s="8"/>
      <c r="B53" s="8"/>
      <c r="C53" s="8"/>
      <c r="D53" s="8" t="s">
        <v>251</v>
      </c>
      <c r="E53" s="9" t="e">
        <f>E49-E51</f>
        <v>#VALUE!</v>
      </c>
      <c r="F53" s="9" t="e">
        <f>F49-F51</f>
        <v>#VALUE!</v>
      </c>
      <c r="G53" s="9"/>
      <c r="H53" s="9"/>
      <c r="I53" s="9"/>
      <c r="J53" s="9"/>
      <c r="K53" s="9"/>
      <c r="L53" s="9"/>
    </row>
    <row r="54" spans="1:12" hidden="1" outlineLevel="1" x14ac:dyDescent="0.25">
      <c r="A54" s="8"/>
      <c r="B54" s="8"/>
      <c r="C54" s="8"/>
      <c r="E54" s="9"/>
      <c r="F54" s="9"/>
      <c r="G54" s="9"/>
      <c r="H54" s="9"/>
      <c r="I54" s="9"/>
      <c r="J54" s="9"/>
      <c r="K54" s="9"/>
      <c r="L54" s="9"/>
    </row>
    <row r="55" spans="1:12" hidden="1" outlineLevel="1" x14ac:dyDescent="0.25">
      <c r="A55" s="8" t="s">
        <v>252</v>
      </c>
      <c r="B55" s="8"/>
      <c r="C55" s="8"/>
      <c r="D55" s="8" t="s">
        <v>253</v>
      </c>
      <c r="E55" s="9" t="e">
        <f>SUMIF('[7]Report Data'!$A:$A,Cashflow!$A55,'[7]Report Data'!B:B)</f>
        <v>#VALUE!</v>
      </c>
      <c r="F55" s="9" t="e">
        <f>SUMIF('[7]Report Data'!$A:$A,Cashflow!$A55,'[7]Report Data'!C:C)</f>
        <v>#VALUE!</v>
      </c>
      <c r="G55" s="9"/>
      <c r="H55" s="9" t="e">
        <f>SUMIF('[7]Report Data'!$A:$A,Cashflow!$A55,'[7]Report Data'!D:D)</f>
        <v>#VALUE!</v>
      </c>
      <c r="I55" s="9"/>
      <c r="J55" s="9"/>
      <c r="K55" s="9"/>
      <c r="L55" s="9"/>
    </row>
    <row r="56" spans="1:12" hidden="1" outlineLevel="1" x14ac:dyDescent="0.25">
      <c r="A56" s="8"/>
      <c r="B56" s="8"/>
      <c r="C56" s="8"/>
      <c r="E56" s="9"/>
      <c r="F56" s="9"/>
      <c r="G56" s="9"/>
      <c r="H56" s="9"/>
      <c r="I56" s="9"/>
      <c r="J56" s="9"/>
      <c r="K56" s="9"/>
      <c r="L56" s="9"/>
    </row>
    <row r="57" spans="1:12" hidden="1" outlineLevel="1" x14ac:dyDescent="0.25">
      <c r="A57" s="8"/>
      <c r="B57" s="8"/>
      <c r="C57" s="8"/>
      <c r="D57" s="8" t="s">
        <v>251</v>
      </c>
      <c r="E57" s="9" t="e">
        <f>E49-E55</f>
        <v>#VALUE!</v>
      </c>
      <c r="F57" s="9" t="e">
        <f>F49-F55</f>
        <v>#VALUE!</v>
      </c>
      <c r="G57" s="9"/>
      <c r="H57" s="9"/>
      <c r="I57" s="9"/>
      <c r="J57" s="9"/>
      <c r="K57" s="9"/>
      <c r="L57" s="9"/>
    </row>
    <row r="58" spans="1:12" hidden="1" outlineLevel="1" x14ac:dyDescent="0.25">
      <c r="A58" s="8"/>
      <c r="B58" s="8"/>
      <c r="C58" s="8"/>
      <c r="E58" s="9"/>
      <c r="F58" s="9"/>
      <c r="G58" s="9"/>
      <c r="H58" s="9"/>
      <c r="I58" s="9"/>
      <c r="J58" s="9"/>
      <c r="K58" s="9"/>
      <c r="L58" s="9"/>
    </row>
    <row r="59" spans="1:12" hidden="1" outlineLevel="1" x14ac:dyDescent="0.25">
      <c r="A59" s="8" t="s">
        <v>254</v>
      </c>
      <c r="B59" s="8"/>
      <c r="C59" s="8"/>
      <c r="D59" s="8" t="s">
        <v>255</v>
      </c>
      <c r="E59" s="9" t="e">
        <f>SUMIF('[7]Report Data'!$A:$A,Cashflow!$A59,'[7]Report Data'!B:B)</f>
        <v>#VALUE!</v>
      </c>
      <c r="F59" s="9" t="e">
        <f>SUMIF('[7]Report Data'!$A:$A,Cashflow!$A59,'[7]Report Data'!C:C)</f>
        <v>#VALUE!</v>
      </c>
      <c r="G59" s="9"/>
      <c r="H59" s="9"/>
      <c r="I59" s="9"/>
      <c r="J59" s="9"/>
      <c r="K59" s="9"/>
      <c r="L59" s="9"/>
    </row>
    <row r="60" spans="1:12" hidden="1" outlineLevel="1" x14ac:dyDescent="0.25">
      <c r="A60" s="8"/>
      <c r="B60" s="8"/>
      <c r="C60" s="8"/>
      <c r="E60" s="9"/>
      <c r="F60" s="9"/>
      <c r="G60" s="9"/>
      <c r="H60" s="9"/>
      <c r="I60" s="9"/>
      <c r="J60" s="9"/>
      <c r="K60" s="9"/>
      <c r="L60" s="9"/>
    </row>
    <row r="61" spans="1:12" hidden="1" outlineLevel="1" x14ac:dyDescent="0.25">
      <c r="A61" s="8"/>
      <c r="B61" s="8"/>
      <c r="C61" s="8"/>
      <c r="D61" s="8" t="s">
        <v>251</v>
      </c>
      <c r="E61" s="9" t="e">
        <f>E47-E59</f>
        <v>#VALUE!</v>
      </c>
      <c r="F61" s="9" t="e">
        <f>F47-F59</f>
        <v>#VALUE!</v>
      </c>
      <c r="G61" s="9"/>
      <c r="H61" s="9"/>
      <c r="I61" s="9"/>
      <c r="J61" s="9"/>
      <c r="K61" s="9"/>
      <c r="L61" s="9"/>
    </row>
    <row r="62" spans="1:12" collapsed="1" x14ac:dyDescent="0.25">
      <c r="A62" s="8"/>
      <c r="B62" s="8"/>
      <c r="C62" s="8"/>
      <c r="E62" s="9"/>
      <c r="F62" s="9"/>
      <c r="G62" s="9"/>
      <c r="H62" s="9"/>
      <c r="I62" s="515"/>
      <c r="J62" s="515"/>
      <c r="K62" s="515"/>
      <c r="L62" s="515"/>
    </row>
    <row r="63" spans="1:12" x14ac:dyDescent="0.25">
      <c r="A63" s="8"/>
      <c r="B63" s="8"/>
      <c r="C63" s="8"/>
      <c r="D63" s="201"/>
      <c r="E63" s="9"/>
      <c r="F63" s="9"/>
      <c r="G63" s="9"/>
      <c r="H63" s="9"/>
      <c r="I63" s="9"/>
      <c r="J63" s="9"/>
      <c r="K63" s="9"/>
      <c r="L63" s="9"/>
    </row>
    <row r="64" spans="1:12" x14ac:dyDescent="0.25">
      <c r="A64" s="147" t="s">
        <v>249</v>
      </c>
      <c r="B64" s="8"/>
      <c r="C64" s="8"/>
      <c r="D64" s="201" t="s">
        <v>248</v>
      </c>
      <c r="E64" s="9" t="e">
        <f>SUMIF('[7]Report Data'!$A:$A,Cashflow!$A64,'[7]Report Data'!B:B)</f>
        <v>#VALUE!</v>
      </c>
      <c r="F64" s="9" t="e">
        <f>SUMIF('[7]Report Data'!$A:$A,Cashflow!$A64,'[7]Report Data'!C:C)</f>
        <v>#VALUE!</v>
      </c>
      <c r="G64" s="9"/>
      <c r="H64" s="9"/>
      <c r="I64" s="9"/>
      <c r="J64" s="9"/>
      <c r="K64" s="9"/>
      <c r="L64" s="9"/>
    </row>
    <row r="65" spans="1:12" x14ac:dyDescent="0.25">
      <c r="A65" s="147" t="s">
        <v>252</v>
      </c>
      <c r="B65" s="8"/>
      <c r="C65" s="8"/>
      <c r="D65" s="201" t="s">
        <v>256</v>
      </c>
      <c r="E65" s="9" t="e">
        <f>SUMIF('[7]Report Data'!$A:$A,Cashflow!$A65,'[7]Report Data'!B:B)</f>
        <v>#VALUE!</v>
      </c>
      <c r="F65" s="9" t="e">
        <f>SUMIF('[7]Report Data'!$A:$A,Cashflow!$A65,'[7]Report Data'!C:C)</f>
        <v>#VALUE!</v>
      </c>
      <c r="G65" s="9"/>
      <c r="H65" s="9"/>
      <c r="I65" s="9"/>
      <c r="J65" s="9"/>
      <c r="K65" s="9"/>
      <c r="L65" s="9"/>
    </row>
    <row r="66" spans="1:12" x14ac:dyDescent="0.25">
      <c r="A66" s="225"/>
      <c r="B66" s="225"/>
      <c r="C66" s="225"/>
      <c r="D66" s="226" t="s">
        <v>257</v>
      </c>
      <c r="E66" s="227" t="e">
        <f>E64-E65</f>
        <v>#VALUE!</v>
      </c>
      <c r="F66" s="227" t="e">
        <f>F64-F65</f>
        <v>#VALUE!</v>
      </c>
      <c r="G66" s="227"/>
      <c r="H66" s="227"/>
      <c r="I66" s="227"/>
      <c r="J66" s="227"/>
      <c r="K66" s="227"/>
      <c r="L66" s="227"/>
    </row>
    <row r="67" spans="1:12" x14ac:dyDescent="0.25">
      <c r="A67" s="8"/>
      <c r="B67" s="8"/>
      <c r="C67" s="8"/>
      <c r="E67" s="9"/>
      <c r="F67" s="9"/>
      <c r="G67" s="9"/>
      <c r="H67" s="9"/>
      <c r="I67" s="9"/>
      <c r="J67" s="9"/>
      <c r="K67" s="9"/>
      <c r="L67" s="9"/>
    </row>
    <row r="68" spans="1:12" hidden="1" outlineLevel="1" x14ac:dyDescent="0.25">
      <c r="A68" s="228" t="s">
        <v>258</v>
      </c>
      <c r="B68" s="8"/>
      <c r="C68" s="8"/>
      <c r="E68" s="9"/>
      <c r="F68" s="9"/>
      <c r="G68" s="9"/>
      <c r="H68" s="9"/>
      <c r="I68" s="9"/>
      <c r="J68" s="9"/>
      <c r="K68" s="9"/>
      <c r="L68" s="9"/>
    </row>
    <row r="69" spans="1:12" hidden="1" outlineLevel="1" x14ac:dyDescent="0.25">
      <c r="A69" s="229" t="s">
        <v>259</v>
      </c>
      <c r="B69" s="8"/>
      <c r="C69" s="8"/>
      <c r="E69" s="9"/>
      <c r="F69" s="9" t="e">
        <f>SUMIF('[7]Report Data'!$A:$A,Cashflow!$A69,'[7]Report Data'!C:C)</f>
        <v>#VALUE!</v>
      </c>
      <c r="G69" s="9"/>
      <c r="H69" s="9" t="e">
        <f>SUMIF('[7]Report Data'!$A:$A,Cashflow!$A69,'[7]Report Data'!D:D)</f>
        <v>#VALUE!</v>
      </c>
      <c r="I69" s="9"/>
      <c r="J69" s="9"/>
      <c r="K69" s="9"/>
      <c r="L69" s="9"/>
    </row>
    <row r="70" spans="1:12" hidden="1" outlineLevel="1" x14ac:dyDescent="0.25">
      <c r="A70" s="229" t="s">
        <v>260</v>
      </c>
      <c r="B70" s="8"/>
      <c r="C70" s="8"/>
      <c r="E70" s="9"/>
      <c r="F70" s="9" t="e">
        <f>SUMIF('[7]Report Data'!$A:$A,Cashflow!$A70,'[7]Report Data'!C:C)</f>
        <v>#VALUE!</v>
      </c>
      <c r="G70" s="9"/>
      <c r="H70" s="9" t="e">
        <f>SUMIF('[7]Report Data'!$A:$A,Cashflow!$A70,'[7]Report Data'!D:D)</f>
        <v>#VALUE!</v>
      </c>
      <c r="I70" s="9"/>
      <c r="J70" s="9"/>
      <c r="K70" s="9"/>
      <c r="L70" s="9"/>
    </row>
    <row r="71" spans="1:12" hidden="1" outlineLevel="1" x14ac:dyDescent="0.25">
      <c r="A71" s="229" t="s">
        <v>150</v>
      </c>
      <c r="B71" s="8"/>
      <c r="C71" s="8"/>
      <c r="E71" s="9"/>
      <c r="F71" s="9" t="e">
        <f>SUMIF('[7]Report Data'!$A:$A,Cashflow!$A71,'[7]Report Data'!C:C)</f>
        <v>#VALUE!</v>
      </c>
      <c r="G71" s="9"/>
      <c r="H71" s="9" t="e">
        <f>SUMIF('[7]Report Data'!$A:$A,Cashflow!$A71,'[7]Report Data'!D:D)</f>
        <v>#VALUE!</v>
      </c>
      <c r="I71" s="9"/>
      <c r="J71" s="9"/>
      <c r="K71" s="9"/>
      <c r="L71" s="9"/>
    </row>
    <row r="72" spans="1:12" hidden="1" outlineLevel="1" x14ac:dyDescent="0.25">
      <c r="A72" s="229" t="s">
        <v>151</v>
      </c>
      <c r="B72" s="8"/>
      <c r="C72" s="8"/>
      <c r="E72" s="9"/>
      <c r="F72" s="9" t="e">
        <f>SUMIF('[7]Report Data'!$A:$A,Cashflow!$A72,'[7]Report Data'!C:C)</f>
        <v>#VALUE!</v>
      </c>
      <c r="G72" s="9"/>
      <c r="H72" s="9" t="e">
        <f>SUMIF('[7]Report Data'!$A:$A,Cashflow!$A72,'[7]Report Data'!D:D)</f>
        <v>#VALUE!</v>
      </c>
      <c r="I72" s="9"/>
      <c r="J72" s="9"/>
      <c r="K72" s="9"/>
      <c r="L72" s="9"/>
    </row>
    <row r="73" spans="1:12" hidden="1" outlineLevel="1" x14ac:dyDescent="0.25">
      <c r="A73" s="229" t="s">
        <v>152</v>
      </c>
      <c r="B73" s="8"/>
      <c r="C73" s="8"/>
      <c r="E73" s="9"/>
      <c r="F73" s="9" t="e">
        <f>SUMIF('[7]Report Data'!$A:$A,Cashflow!$A73,'[7]Report Data'!C:C)</f>
        <v>#VALUE!</v>
      </c>
      <c r="G73" s="9"/>
      <c r="H73" s="9" t="e">
        <f>SUMIF('[7]Report Data'!$A:$A,Cashflow!$A73,'[7]Report Data'!D:D)</f>
        <v>#VALUE!</v>
      </c>
      <c r="I73" s="9"/>
      <c r="J73" s="9"/>
      <c r="K73" s="9"/>
      <c r="L73" s="9"/>
    </row>
    <row r="74" spans="1:12" hidden="1" outlineLevel="1" x14ac:dyDescent="0.25">
      <c r="A74" s="229" t="s">
        <v>153</v>
      </c>
      <c r="B74" s="8"/>
      <c r="C74" s="8"/>
      <c r="E74" s="9"/>
      <c r="F74" s="9" t="e">
        <f>SUMIF('[7]Report Data'!$A:$A,Cashflow!$A74,'[7]Report Data'!C:C)</f>
        <v>#VALUE!</v>
      </c>
      <c r="G74" s="9"/>
      <c r="H74" s="9" t="e">
        <f>SUMIF('[7]Report Data'!$A:$A,Cashflow!$A74,'[7]Report Data'!D:D)</f>
        <v>#VALUE!</v>
      </c>
      <c r="I74" s="9"/>
      <c r="J74" s="9"/>
      <c r="K74" s="9"/>
      <c r="L74" s="9"/>
    </row>
    <row r="75" spans="1:12" hidden="1" outlineLevel="1" x14ac:dyDescent="0.25">
      <c r="A75" s="229" t="s">
        <v>261</v>
      </c>
      <c r="B75" s="8"/>
      <c r="C75" s="8"/>
      <c r="E75" s="9"/>
      <c r="F75" s="9" t="e">
        <f>SUMIF('[7]Report Data'!$A:$A,Cashflow!$A75,'[7]Report Data'!C:C)</f>
        <v>#VALUE!</v>
      </c>
      <c r="G75" s="9"/>
      <c r="H75" s="9" t="e">
        <f>SUMIF('[7]Report Data'!$A:$A,Cashflow!$A75,'[7]Report Data'!D:D)</f>
        <v>#VALUE!</v>
      </c>
      <c r="I75" s="9"/>
      <c r="J75" s="9"/>
      <c r="K75" s="9"/>
      <c r="L75" s="9"/>
    </row>
    <row r="76" spans="1:12" hidden="1" outlineLevel="1" x14ac:dyDescent="0.25">
      <c r="A76" s="147" t="s">
        <v>262</v>
      </c>
      <c r="B76" s="8"/>
      <c r="C76" s="8"/>
      <c r="E76" s="9"/>
      <c r="F76" s="9" t="e">
        <f>SUMIF('[7]Report Data'!$A:$A,Cashflow!$A76,'[7]Report Data'!C:C)</f>
        <v>#VALUE!</v>
      </c>
      <c r="G76" s="9"/>
      <c r="H76" s="9" t="e">
        <f>SUMIF('[7]Report Data'!$A:$A,Cashflow!$A76,'[7]Report Data'!D:D)</f>
        <v>#VALUE!</v>
      </c>
      <c r="I76" s="9"/>
      <c r="J76" s="9"/>
      <c r="K76" s="9"/>
      <c r="L76" s="9"/>
    </row>
    <row r="77" spans="1:12" hidden="1" outlineLevel="1" x14ac:dyDescent="0.25">
      <c r="A77" s="147" t="s">
        <v>263</v>
      </c>
      <c r="B77" s="8"/>
      <c r="C77" s="8"/>
      <c r="E77" s="9"/>
      <c r="F77" s="9" t="e">
        <f>SUMIF('[7]Report Data'!$A:$A,Cashflow!$A77,'[7]Report Data'!C:C)</f>
        <v>#VALUE!</v>
      </c>
      <c r="G77" s="9"/>
      <c r="H77" s="9" t="e">
        <f>SUMIF('[7]Report Data'!$A:$A,Cashflow!$A77,'[7]Report Data'!D:D)</f>
        <v>#VALUE!</v>
      </c>
      <c r="I77" s="9"/>
      <c r="J77" s="9"/>
      <c r="K77" s="9"/>
      <c r="L77" s="9"/>
    </row>
    <row r="78" spans="1:12" hidden="1" outlineLevel="1" x14ac:dyDescent="0.25">
      <c r="A78" s="147" t="s">
        <v>156</v>
      </c>
      <c r="B78" s="8"/>
      <c r="C78" s="8"/>
      <c r="E78" s="9"/>
      <c r="F78" s="9" t="e">
        <f>SUMIF('[7]Report Data'!$A:$A,Cashflow!$A78,'[7]Report Data'!C:C)</f>
        <v>#VALUE!</v>
      </c>
      <c r="G78" s="9"/>
      <c r="H78" s="9" t="e">
        <f>SUMIF('[7]Report Data'!$A:$A,Cashflow!$A78,'[7]Report Data'!D:D)</f>
        <v>#VALUE!</v>
      </c>
      <c r="I78" s="9"/>
      <c r="J78" s="9"/>
      <c r="K78" s="9"/>
      <c r="L78" s="9"/>
    </row>
    <row r="79" spans="1:12" hidden="1" outlineLevel="1" x14ac:dyDescent="0.25">
      <c r="A79" s="229" t="s">
        <v>157</v>
      </c>
      <c r="B79" s="8"/>
      <c r="C79" s="8"/>
      <c r="E79" s="9"/>
      <c r="F79" s="9" t="e">
        <f>SUMIF('[7]Report Data'!$A:$A,Cashflow!$A79,'[7]Report Data'!C:C)</f>
        <v>#VALUE!</v>
      </c>
      <c r="G79" s="9"/>
      <c r="H79" s="9" t="e">
        <f>SUMIF('[7]Report Data'!$A:$A,Cashflow!$A79,'[7]Report Data'!D:D)</f>
        <v>#VALUE!</v>
      </c>
      <c r="I79" s="9"/>
      <c r="J79" s="9"/>
      <c r="K79" s="9"/>
      <c r="L79" s="9"/>
    </row>
    <row r="80" spans="1:12" hidden="1" outlineLevel="1" x14ac:dyDescent="0.25">
      <c r="A80" s="229" t="s">
        <v>158</v>
      </c>
      <c r="B80" s="8"/>
      <c r="C80" s="8"/>
      <c r="E80" s="9"/>
      <c r="F80" s="9" t="e">
        <f>SUMIF('[7]Report Data'!$A:$A,Cashflow!$A80,'[7]Report Data'!C:C)</f>
        <v>#VALUE!</v>
      </c>
      <c r="G80" s="9"/>
      <c r="H80" s="9" t="e">
        <f>SUMIF('[7]Report Data'!$A:$A,Cashflow!$A80,'[7]Report Data'!D:D)</f>
        <v>#VALUE!</v>
      </c>
      <c r="I80" s="9"/>
      <c r="J80" s="9"/>
      <c r="K80" s="9"/>
      <c r="L80" s="9"/>
    </row>
    <row r="81" spans="1:12" hidden="1" outlineLevel="1" x14ac:dyDescent="0.25">
      <c r="A81" s="229" t="s">
        <v>172</v>
      </c>
      <c r="B81" s="8"/>
      <c r="C81" s="8"/>
      <c r="E81" s="9"/>
      <c r="F81" s="9" t="e">
        <f>SUMIF('[7]Report Data'!$A:$A,Cashflow!$A81,'[7]Report Data'!C:C)</f>
        <v>#VALUE!</v>
      </c>
      <c r="G81" s="9"/>
      <c r="H81" s="9" t="e">
        <f>SUMIF('[7]Report Data'!$A:$A,Cashflow!$A81,'[7]Report Data'!D:D)</f>
        <v>#VALUE!</v>
      </c>
      <c r="I81" s="9"/>
      <c r="J81" s="9"/>
      <c r="K81" s="9"/>
      <c r="L81" s="9"/>
    </row>
    <row r="82" spans="1:12" hidden="1" outlineLevel="1" x14ac:dyDescent="0.25">
      <c r="A82" s="229" t="s">
        <v>187</v>
      </c>
      <c r="B82" s="8"/>
      <c r="C82" s="8"/>
      <c r="E82" s="9"/>
      <c r="F82" s="9" t="e">
        <f>SUMIF('[7]Report Data'!$A:$A,Cashflow!$A82,'[7]Report Data'!C:C)</f>
        <v>#VALUE!</v>
      </c>
      <c r="G82" s="9"/>
      <c r="H82" s="9" t="e">
        <f>SUMIF('[7]Report Data'!$A:$A,Cashflow!$A82,'[7]Report Data'!D:D)</f>
        <v>#VALUE!</v>
      </c>
      <c r="I82" s="9"/>
      <c r="J82" s="9"/>
      <c r="K82" s="9"/>
      <c r="L82" s="9"/>
    </row>
    <row r="83" spans="1:12" hidden="1" outlineLevel="1" x14ac:dyDescent="0.25">
      <c r="A83" s="147" t="s">
        <v>183</v>
      </c>
      <c r="B83" s="8"/>
      <c r="C83" s="8"/>
      <c r="E83" s="9"/>
      <c r="F83" s="9" t="e">
        <f>SUMIF('[7]Report Data'!$A:$A,Cashflow!$A83,'[7]Report Data'!C:C)</f>
        <v>#VALUE!</v>
      </c>
      <c r="G83" s="9"/>
      <c r="H83" s="9" t="e">
        <f>SUMIF('[7]Report Data'!$A:$A,Cashflow!$A83,'[7]Report Data'!D:D)</f>
        <v>#VALUE!</v>
      </c>
      <c r="I83" s="9"/>
      <c r="J83" s="9"/>
      <c r="K83" s="9"/>
      <c r="L83" s="9"/>
    </row>
    <row r="84" spans="1:12" hidden="1" outlineLevel="1" x14ac:dyDescent="0.25">
      <c r="A84" s="147" t="s">
        <v>184</v>
      </c>
      <c r="B84" s="8"/>
      <c r="C84" s="8"/>
      <c r="E84" s="9"/>
      <c r="F84" s="9" t="e">
        <f>SUMIF('[7]Report Data'!$A:$A,Cashflow!$A84,'[7]Report Data'!C:C)</f>
        <v>#VALUE!</v>
      </c>
      <c r="G84" s="9"/>
      <c r="H84" s="9" t="e">
        <f>SUMIF('[7]Report Data'!$A:$A,Cashflow!$A84,'[7]Report Data'!D:D)</f>
        <v>#VALUE!</v>
      </c>
      <c r="I84" s="9"/>
      <c r="J84" s="9"/>
      <c r="K84" s="9"/>
      <c r="L84" s="9"/>
    </row>
    <row r="85" spans="1:12" hidden="1" outlineLevel="1" x14ac:dyDescent="0.25">
      <c r="A85" s="147" t="s">
        <v>185</v>
      </c>
      <c r="B85" s="8"/>
      <c r="C85" s="8"/>
      <c r="E85" s="9"/>
      <c r="F85" s="9" t="e">
        <f>SUMIF('[7]Report Data'!$A:$A,Cashflow!$A85,'[7]Report Data'!C:C)</f>
        <v>#VALUE!</v>
      </c>
      <c r="G85" s="9"/>
      <c r="H85" s="9" t="e">
        <f>SUMIF('[7]Report Data'!$A:$A,Cashflow!$A85,'[7]Report Data'!D:D)</f>
        <v>#VALUE!</v>
      </c>
      <c r="I85" s="9"/>
      <c r="J85" s="9"/>
      <c r="K85" s="9"/>
      <c r="L85" s="9"/>
    </row>
    <row r="86" spans="1:12" hidden="1" outlineLevel="1" x14ac:dyDescent="0.25">
      <c r="A86" s="147" t="s">
        <v>264</v>
      </c>
      <c r="B86" s="8"/>
      <c r="C86" s="8"/>
      <c r="E86" s="9"/>
      <c r="F86" s="9" t="e">
        <f>SUMIF('[7]Report Data'!$A:$A,Cashflow!$A86,'[7]Report Data'!C:C)</f>
        <v>#VALUE!</v>
      </c>
      <c r="G86" s="9"/>
      <c r="H86" s="9" t="e">
        <f>SUMIF('[7]Report Data'!$A:$A,Cashflow!$A86,'[7]Report Data'!D:D)</f>
        <v>#VALUE!</v>
      </c>
      <c r="I86" s="9"/>
      <c r="J86" s="9"/>
      <c r="K86" s="9"/>
      <c r="L86" s="9"/>
    </row>
    <row r="87" spans="1:12" hidden="1" outlineLevel="1" x14ac:dyDescent="0.25">
      <c r="A87" s="147" t="s">
        <v>149</v>
      </c>
      <c r="F87" s="9" t="e">
        <f>SUMIF('[7]Report Data'!$A:$A,Cashflow!$A87,'[7]Report Data'!C:C)</f>
        <v>#VALUE!</v>
      </c>
      <c r="G87" s="9"/>
      <c r="H87" s="9" t="e">
        <f>SUMIF('[7]Report Data'!$A:$A,Cashflow!$A87,'[7]Report Data'!D:D)</f>
        <v>#VALUE!</v>
      </c>
      <c r="I87" s="9"/>
      <c r="J87" s="9"/>
      <c r="K87" s="9"/>
      <c r="L87" s="9"/>
    </row>
    <row r="88" spans="1:12" collapsed="1" x14ac:dyDescent="0.25"/>
    <row r="92" spans="1:12" ht="15.6" x14ac:dyDescent="0.25">
      <c r="E92" s="621"/>
      <c r="F92" s="621"/>
      <c r="G92" s="621"/>
      <c r="H92" s="621"/>
      <c r="I92" s="621"/>
    </row>
  </sheetData>
  <mergeCells count="7">
    <mergeCell ref="E92:I92"/>
    <mergeCell ref="D1:L2"/>
    <mergeCell ref="D3:L3"/>
    <mergeCell ref="E5:H5"/>
    <mergeCell ref="I5:L5"/>
    <mergeCell ref="E6:H6"/>
    <mergeCell ref="I6:L6"/>
  </mergeCells>
  <pageMargins left="1.2" right="0.7" top="0.25" bottom="0.75" header="0.3" footer="0.3"/>
  <pageSetup scale="56" fitToHeight="0" orientation="landscape" r:id="rId1"/>
  <headerFooter>
    <oddFooter>&amp;L&amp;D, &amp;P&amp;R&amp;F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57"/>
  <sheetViews>
    <sheetView showGridLines="0" zoomScale="70" zoomScaleNormal="70" workbookViewId="0">
      <pane xSplit="2" ySplit="11" topLeftCell="C159" activePane="bottomRight" state="frozen"/>
      <selection pane="topRight" activeCell="C1" sqref="C1"/>
      <selection pane="bottomLeft" activeCell="A12" sqref="A12"/>
      <selection pane="bottomRight" activeCell="B100" sqref="B100:Q100"/>
    </sheetView>
  </sheetViews>
  <sheetFormatPr defaultColWidth="9.109375" defaultRowHeight="13.2" outlineLevelRow="1" x14ac:dyDescent="0.25"/>
  <cols>
    <col min="1" max="1" width="3.88671875" style="230" customWidth="1"/>
    <col min="2" max="2" width="47.109375" style="230" customWidth="1"/>
    <col min="3" max="6" width="18.6640625" style="230" customWidth="1"/>
    <col min="7" max="7" width="12.6640625" style="230" customWidth="1"/>
    <col min="8" max="8" width="18.6640625" style="230" customWidth="1"/>
    <col min="9" max="9" width="12.6640625" style="230" customWidth="1"/>
    <col min="10" max="10" width="15.6640625" style="230" customWidth="1"/>
    <col min="11" max="11" width="12.6640625" style="230" customWidth="1"/>
    <col min="12" max="12" width="15.5546875" style="230" customWidth="1"/>
    <col min="13" max="13" width="12.6640625" style="230" customWidth="1"/>
    <col min="14" max="14" width="15.6640625" style="230" customWidth="1"/>
    <col min="15" max="15" width="12.6640625" style="230" customWidth="1"/>
    <col min="16" max="16" width="15.6640625" style="230" customWidth="1"/>
    <col min="17" max="17" width="12.6640625" style="230" customWidth="1"/>
    <col min="18" max="16384" width="9.109375" style="230"/>
  </cols>
  <sheetData>
    <row r="2" spans="2:17" ht="22.8" x14ac:dyDescent="0.4">
      <c r="B2" s="637" t="str">
        <f>UPPER(+'Report Info'!B5)</f>
        <v>BRATTLEBORO MEMORIAL HOSPITAL</v>
      </c>
      <c r="C2" s="637"/>
      <c r="D2" s="637"/>
      <c r="E2" s="637"/>
      <c r="F2" s="637"/>
      <c r="G2" s="637"/>
      <c r="H2" s="637"/>
      <c r="I2" s="637"/>
      <c r="J2" s="637"/>
      <c r="K2" s="637"/>
      <c r="L2" s="637"/>
      <c r="M2" s="637"/>
      <c r="N2" s="637"/>
      <c r="O2" s="637"/>
      <c r="P2" s="637"/>
    </row>
    <row r="3" spans="2:17" ht="25.2" thickBot="1" x14ac:dyDescent="0.45">
      <c r="B3" s="231"/>
      <c r="C3" s="232"/>
      <c r="D3" s="232"/>
      <c r="E3" s="536"/>
      <c r="F3" s="536"/>
      <c r="G3" s="232"/>
      <c r="H3" s="232"/>
      <c r="I3" s="232"/>
      <c r="J3" s="579"/>
      <c r="K3" s="232"/>
      <c r="L3" s="579"/>
      <c r="M3" s="232"/>
      <c r="N3" s="579"/>
      <c r="O3" s="454"/>
      <c r="P3" s="579"/>
      <c r="Q3" s="232"/>
    </row>
    <row r="4" spans="2:17" ht="22.8" x14ac:dyDescent="0.4">
      <c r="B4" s="638" t="str">
        <f>+PL!D4</f>
        <v>Modernization Project</v>
      </c>
      <c r="C4" s="639"/>
      <c r="D4" s="639"/>
      <c r="E4" s="639"/>
      <c r="F4" s="639"/>
      <c r="G4" s="639"/>
      <c r="H4" s="639"/>
      <c r="I4" s="639"/>
      <c r="J4" s="639"/>
      <c r="K4" s="639"/>
      <c r="L4" s="639"/>
      <c r="M4" s="639"/>
      <c r="N4" s="639"/>
      <c r="O4" s="639"/>
      <c r="P4" s="639"/>
      <c r="Q4" s="640"/>
    </row>
    <row r="5" spans="2:17" x14ac:dyDescent="0.25">
      <c r="B5" s="641" t="s">
        <v>422</v>
      </c>
      <c r="C5" s="642"/>
      <c r="D5" s="642"/>
      <c r="E5" s="642"/>
      <c r="F5" s="642"/>
      <c r="G5" s="642"/>
      <c r="H5" s="642"/>
      <c r="I5" s="642"/>
      <c r="J5" s="642"/>
      <c r="K5" s="642"/>
      <c r="L5" s="642"/>
      <c r="M5" s="642"/>
      <c r="N5" s="642"/>
      <c r="O5" s="642"/>
      <c r="P5" s="642"/>
      <c r="Q5" s="643"/>
    </row>
    <row r="6" spans="2:17" s="30" customFormat="1" ht="15" customHeight="1" x14ac:dyDescent="0.25">
      <c r="B6" s="641"/>
      <c r="C6" s="642"/>
      <c r="D6" s="642"/>
      <c r="E6" s="642"/>
      <c r="F6" s="642"/>
      <c r="G6" s="642"/>
      <c r="H6" s="642"/>
      <c r="I6" s="642"/>
      <c r="J6" s="642"/>
      <c r="K6" s="642"/>
      <c r="L6" s="642"/>
      <c r="M6" s="642"/>
      <c r="N6" s="642"/>
      <c r="O6" s="642"/>
      <c r="P6" s="642"/>
      <c r="Q6" s="643"/>
    </row>
    <row r="7" spans="2:17" ht="6.6" customHeight="1" x14ac:dyDescent="0.25">
      <c r="B7" s="233"/>
      <c r="C7" s="126"/>
      <c r="D7" s="126"/>
      <c r="E7" s="126"/>
      <c r="F7" s="126"/>
      <c r="G7" s="126"/>
      <c r="H7" s="126"/>
      <c r="I7" s="126"/>
      <c r="J7" s="126"/>
      <c r="K7" s="126"/>
      <c r="L7" s="126"/>
      <c r="M7" s="126"/>
      <c r="N7" s="126"/>
      <c r="O7" s="126"/>
      <c r="P7" s="126"/>
      <c r="Q7" s="234"/>
    </row>
    <row r="8" spans="2:17" ht="15.6" x14ac:dyDescent="0.3">
      <c r="B8" s="631" t="s">
        <v>47</v>
      </c>
      <c r="C8" s="632"/>
      <c r="D8" s="632"/>
      <c r="E8" s="632"/>
      <c r="F8" s="632"/>
      <c r="G8" s="632"/>
      <c r="H8" s="632"/>
      <c r="I8" s="632"/>
      <c r="J8" s="632"/>
      <c r="K8" s="632"/>
      <c r="L8" s="632"/>
      <c r="M8" s="632"/>
      <c r="N8" s="632"/>
      <c r="O8" s="632"/>
      <c r="P8" s="632"/>
      <c r="Q8" s="633"/>
    </row>
    <row r="9" spans="2:17" x14ac:dyDescent="0.25">
      <c r="B9" s="233"/>
      <c r="C9" s="126"/>
      <c r="D9" s="126"/>
      <c r="E9" s="126"/>
      <c r="F9" s="126"/>
      <c r="G9" s="126"/>
      <c r="H9" s="126"/>
      <c r="I9" s="126"/>
      <c r="J9" s="126"/>
      <c r="K9" s="126"/>
      <c r="L9" s="126"/>
      <c r="M9" s="126"/>
      <c r="N9" s="126"/>
      <c r="O9" s="126"/>
      <c r="P9" s="126"/>
      <c r="Q9" s="234"/>
    </row>
    <row r="10" spans="2:17" ht="12.75" customHeight="1" x14ac:dyDescent="0.25">
      <c r="B10" s="233" t="s">
        <v>1</v>
      </c>
      <c r="C10" s="235" t="s">
        <v>39</v>
      </c>
      <c r="D10" s="235" t="s">
        <v>55</v>
      </c>
      <c r="E10" s="235"/>
      <c r="F10" s="235" t="s">
        <v>65</v>
      </c>
      <c r="G10" s="126"/>
      <c r="H10" s="235" t="s">
        <v>65</v>
      </c>
      <c r="I10" s="151"/>
      <c r="J10" s="159">
        <v>2017</v>
      </c>
      <c r="K10" s="467"/>
      <c r="L10" s="159">
        <v>2018</v>
      </c>
      <c r="M10" s="467"/>
      <c r="N10" s="159">
        <v>2019</v>
      </c>
      <c r="O10" s="467"/>
      <c r="P10" s="159">
        <v>2020</v>
      </c>
      <c r="Q10" s="167"/>
    </row>
    <row r="11" spans="2:17" ht="45" customHeight="1" x14ac:dyDescent="0.25">
      <c r="B11" s="233"/>
      <c r="C11" s="163" t="s">
        <v>429</v>
      </c>
      <c r="D11" s="163" t="s">
        <v>429</v>
      </c>
      <c r="E11" s="566" t="s">
        <v>57</v>
      </c>
      <c r="F11" s="163" t="s">
        <v>430</v>
      </c>
      <c r="G11" s="566" t="s">
        <v>57</v>
      </c>
      <c r="H11" s="163" t="s">
        <v>429</v>
      </c>
      <c r="I11" s="565" t="s">
        <v>57</v>
      </c>
      <c r="J11" s="238" t="s">
        <v>144</v>
      </c>
      <c r="K11" s="564" t="s">
        <v>520</v>
      </c>
      <c r="L11" s="238" t="s">
        <v>145</v>
      </c>
      <c r="M11" s="564" t="s">
        <v>521</v>
      </c>
      <c r="N11" s="238" t="s">
        <v>146</v>
      </c>
      <c r="O11" s="564" t="s">
        <v>521</v>
      </c>
      <c r="P11" s="238" t="s">
        <v>488</v>
      </c>
      <c r="Q11" s="563" t="s">
        <v>521</v>
      </c>
    </row>
    <row r="12" spans="2:17" ht="7.2" customHeight="1" x14ac:dyDescent="0.25">
      <c r="B12" s="240"/>
      <c r="C12" s="241"/>
      <c r="D12" s="241"/>
      <c r="E12" s="241"/>
      <c r="F12" s="241"/>
      <c r="G12" s="241"/>
      <c r="H12" s="241"/>
      <c r="I12" s="151"/>
      <c r="J12" s="126"/>
      <c r="K12" s="467"/>
      <c r="L12" s="126"/>
      <c r="M12" s="467"/>
      <c r="N12" s="126"/>
      <c r="O12" s="467"/>
      <c r="P12" s="126"/>
      <c r="Q12" s="167"/>
    </row>
    <row r="13" spans="2:17" ht="12.75" customHeight="1" x14ac:dyDescent="0.3">
      <c r="B13" s="242" t="s">
        <v>489</v>
      </c>
      <c r="C13" s="241"/>
      <c r="D13" s="241"/>
      <c r="E13" s="241"/>
      <c r="F13" s="241"/>
      <c r="G13" s="241"/>
      <c r="H13" s="241"/>
      <c r="I13" s="126"/>
      <c r="J13" s="578"/>
      <c r="K13" s="467"/>
      <c r="L13" s="578"/>
      <c r="M13" s="467"/>
      <c r="N13" s="578"/>
      <c r="O13" s="467"/>
      <c r="P13" s="578"/>
      <c r="Q13" s="167"/>
    </row>
    <row r="14" spans="2:17" ht="12.75" customHeight="1" x14ac:dyDescent="0.25">
      <c r="B14" s="240" t="s">
        <v>267</v>
      </c>
      <c r="C14" s="241">
        <v>48680431.999999993</v>
      </c>
      <c r="D14" s="241">
        <v>50089207</v>
      </c>
      <c r="E14" s="495">
        <f>IF(C14=0,"n/a",+D14/C14-1)</f>
        <v>2.8939246060922574E-2</v>
      </c>
      <c r="F14" s="241">
        <v>49198924.000000007</v>
      </c>
      <c r="G14" s="495">
        <f>IF(D14=0,"n/a",+F14/D14-1)</f>
        <v>-1.7773948787010996E-2</v>
      </c>
      <c r="H14" s="460">
        <v>47318122</v>
      </c>
      <c r="I14" s="495">
        <f>IF(D14=0,"n/a",+H14/D14-1)</f>
        <v>-5.5322996029863236E-2</v>
      </c>
      <c r="J14" s="460">
        <v>49169254</v>
      </c>
      <c r="K14" s="495">
        <f>IF(H14=0,"n/a",+J14/H14-1)</f>
        <v>3.9120994700508227E-2</v>
      </c>
      <c r="L14" s="460">
        <v>50743214</v>
      </c>
      <c r="M14" s="243">
        <f>IF(J14=0,"n/a",+L14/J14-1)</f>
        <v>3.2011061221307147E-2</v>
      </c>
      <c r="N14" s="460">
        <v>52370182</v>
      </c>
      <c r="O14" s="243">
        <f>IF(L14=0,"n/a",+N14/L14-1)</f>
        <v>3.2062770009010366E-2</v>
      </c>
      <c r="P14" s="460">
        <v>54051988</v>
      </c>
      <c r="Q14" s="248">
        <f>IF(N14=0,"n/a",+P14/N14-1)</f>
        <v>3.2113808579087966E-2</v>
      </c>
    </row>
    <row r="15" spans="2:17" ht="12.75" customHeight="1" x14ac:dyDescent="0.25">
      <c r="B15" s="240" t="s">
        <v>268</v>
      </c>
      <c r="C15" s="245">
        <v>7914102</v>
      </c>
      <c r="D15" s="245">
        <v>8428148.0000000019</v>
      </c>
      <c r="E15" s="494">
        <f t="shared" ref="E15:E63" si="0">IF(C15=0,"n/a",+D15/C15-1)</f>
        <v>6.4953168407483552E-2</v>
      </c>
      <c r="F15" s="245">
        <v>8079507</v>
      </c>
      <c r="G15" s="494">
        <f>IF(D15=0,"n/a",+F15/D15-1)</f>
        <v>-4.136626456963044E-2</v>
      </c>
      <c r="H15" s="461">
        <v>7934276</v>
      </c>
      <c r="I15" s="494">
        <f>IF(D15=0,"n/a",+H15/D15-1)</f>
        <v>-5.8597926851783111E-2</v>
      </c>
      <c r="J15" s="461">
        <v>8362604</v>
      </c>
      <c r="K15" s="494">
        <f t="shared" ref="K15:Q46" si="1">IF(H15=0,"n/a",+J15/H15-1)</f>
        <v>5.3984509739767095E-2</v>
      </c>
      <c r="L15" s="461">
        <v>8418417</v>
      </c>
      <c r="M15" s="494">
        <f t="shared" si="1"/>
        <v>6.6741172964783768E-3</v>
      </c>
      <c r="N15" s="461">
        <v>8474230</v>
      </c>
      <c r="O15" s="494">
        <f t="shared" si="1"/>
        <v>6.6298687746164653E-3</v>
      </c>
      <c r="P15" s="461">
        <v>8530044</v>
      </c>
      <c r="Q15" s="499">
        <f t="shared" si="1"/>
        <v>6.5863211170809066E-3</v>
      </c>
    </row>
    <row r="16" spans="2:17" ht="12.75" customHeight="1" x14ac:dyDescent="0.25">
      <c r="B16" s="240" t="s">
        <v>269</v>
      </c>
      <c r="C16" s="241">
        <v>56594533.999999978</v>
      </c>
      <c r="D16" s="241">
        <v>58517355</v>
      </c>
      <c r="E16" s="495">
        <f t="shared" si="0"/>
        <v>3.3975383559126549E-2</v>
      </c>
      <c r="F16" s="462">
        <f>+F14+F15</f>
        <v>57278431.000000007</v>
      </c>
      <c r="G16" s="495">
        <f>IF(D16=0,"n/a",+F16/D16-1)</f>
        <v>-2.1171907035100856E-2</v>
      </c>
      <c r="H16" s="462">
        <f>+H14+H15</f>
        <v>55252398</v>
      </c>
      <c r="I16" s="495">
        <f>IF(D16=0,"n/a",+H16/D16-1)</f>
        <v>-5.579467834798757E-2</v>
      </c>
      <c r="J16" s="462">
        <f>+J14+J15</f>
        <v>57531858</v>
      </c>
      <c r="K16" s="495">
        <f t="shared" si="1"/>
        <v>4.1255403973597726E-2</v>
      </c>
      <c r="L16" s="462">
        <f t="shared" ref="L16:P16" si="2">+L14+L15</f>
        <v>59161631</v>
      </c>
      <c r="M16" s="495">
        <f t="shared" si="1"/>
        <v>2.8328182969512339E-2</v>
      </c>
      <c r="N16" s="462">
        <f t="shared" ref="N16" si="3">+N14+N15</f>
        <v>60844412</v>
      </c>
      <c r="O16" s="495">
        <f t="shared" si="1"/>
        <v>2.8443789861033464E-2</v>
      </c>
      <c r="P16" s="462">
        <f t="shared" si="2"/>
        <v>62582032</v>
      </c>
      <c r="Q16" s="498">
        <f t="shared" si="1"/>
        <v>2.8558415520557601E-2</v>
      </c>
    </row>
    <row r="17" spans="2:17" ht="12.75" customHeight="1" x14ac:dyDescent="0.25">
      <c r="B17" s="240"/>
      <c r="C17" s="241"/>
      <c r="D17" s="241"/>
      <c r="E17" s="495"/>
      <c r="F17" s="241"/>
      <c r="G17" s="495"/>
      <c r="H17" s="462"/>
      <c r="I17" s="495"/>
      <c r="J17" s="462"/>
      <c r="K17" s="495"/>
      <c r="L17" s="462"/>
      <c r="M17" s="495"/>
      <c r="N17" s="462"/>
      <c r="O17" s="495"/>
      <c r="P17" s="462"/>
      <c r="Q17" s="498"/>
    </row>
    <row r="18" spans="2:17" ht="12.75" customHeight="1" x14ac:dyDescent="0.25">
      <c r="B18" s="240" t="s">
        <v>270</v>
      </c>
      <c r="C18" s="241">
        <v>-6673601</v>
      </c>
      <c r="D18" s="241">
        <v>-7878164.0000000009</v>
      </c>
      <c r="E18" s="495">
        <f t="shared" si="0"/>
        <v>0.18049670635088932</v>
      </c>
      <c r="F18" s="241">
        <v>-7633054</v>
      </c>
      <c r="G18" s="495">
        <f t="shared" ref="G18:G23" si="4">IF(D18=0,"n/a",+F18/D18-1)</f>
        <v>-3.1112579022218978E-2</v>
      </c>
      <c r="H18" s="463">
        <v>-9797244</v>
      </c>
      <c r="I18" s="495">
        <f t="shared" ref="I18:I23" si="5">IF(D18=0,"n/a",+H18/D18-1)</f>
        <v>0.24359482742425764</v>
      </c>
      <c r="J18" s="463">
        <v>-9057792</v>
      </c>
      <c r="K18" s="495">
        <f t="shared" si="1"/>
        <v>-7.547551127643648E-2</v>
      </c>
      <c r="L18" s="463">
        <v>-9348332</v>
      </c>
      <c r="M18" s="495">
        <f t="shared" si="1"/>
        <v>3.2076249929342548E-2</v>
      </c>
      <c r="N18" s="463">
        <v>-9004110</v>
      </c>
      <c r="O18" s="495">
        <f t="shared" si="1"/>
        <v>-3.6821756009521311E-2</v>
      </c>
      <c r="P18" s="463">
        <v>-9293168</v>
      </c>
      <c r="Q18" s="498">
        <f t="shared" si="1"/>
        <v>3.2102895233399042E-2</v>
      </c>
    </row>
    <row r="19" spans="2:17" ht="12.75" customHeight="1" x14ac:dyDescent="0.25">
      <c r="B19" s="240" t="s">
        <v>271</v>
      </c>
      <c r="C19" s="241">
        <v>-2926705.9999999995</v>
      </c>
      <c r="D19" s="241">
        <v>-3071460</v>
      </c>
      <c r="E19" s="495">
        <f t="shared" si="0"/>
        <v>4.945969974435438E-2</v>
      </c>
      <c r="F19" s="241">
        <v>-2987416.9999999995</v>
      </c>
      <c r="G19" s="495">
        <f t="shared" si="4"/>
        <v>-2.7362557220344863E-2</v>
      </c>
      <c r="H19" s="463">
        <v>-2778679</v>
      </c>
      <c r="I19" s="495">
        <f t="shared" si="5"/>
        <v>-9.5323071112760727E-2</v>
      </c>
      <c r="J19" s="463">
        <v>-3033973</v>
      </c>
      <c r="K19" s="495">
        <f t="shared" si="1"/>
        <v>9.1876031740262265E-2</v>
      </c>
      <c r="L19" s="463">
        <v>-3054222</v>
      </c>
      <c r="M19" s="495">
        <f t="shared" si="1"/>
        <v>6.6740870798784879E-3</v>
      </c>
      <c r="N19" s="463">
        <v>-3074471</v>
      </c>
      <c r="O19" s="495">
        <f t="shared" si="1"/>
        <v>6.6298389573515859E-3</v>
      </c>
      <c r="P19" s="463">
        <v>-3094720</v>
      </c>
      <c r="Q19" s="498">
        <f t="shared" si="1"/>
        <v>6.586173686465191E-3</v>
      </c>
    </row>
    <row r="20" spans="2:17" ht="12.75" customHeight="1" x14ac:dyDescent="0.25">
      <c r="B20" s="240" t="s">
        <v>272</v>
      </c>
      <c r="C20" s="241">
        <v>-2634253</v>
      </c>
      <c r="D20" s="241">
        <v>-3520013.0000000005</v>
      </c>
      <c r="E20" s="495">
        <f t="shared" si="0"/>
        <v>0.3362471258455435</v>
      </c>
      <c r="F20" s="241">
        <v>-3113975</v>
      </c>
      <c r="G20" s="495">
        <f t="shared" si="4"/>
        <v>-0.11535127853221006</v>
      </c>
      <c r="H20" s="463">
        <v>-3778102</v>
      </c>
      <c r="I20" s="495">
        <f t="shared" si="5"/>
        <v>7.3320467850544802E-2</v>
      </c>
      <c r="J20" s="463">
        <v>-3167826</v>
      </c>
      <c r="K20" s="495">
        <f t="shared" si="1"/>
        <v>-0.16152978400265527</v>
      </c>
      <c r="L20" s="463">
        <v>-2431156</v>
      </c>
      <c r="M20" s="495">
        <f t="shared" si="1"/>
        <v>-0.23254749471719727</v>
      </c>
      <c r="N20" s="463">
        <f>-2502476</f>
        <v>-2502476</v>
      </c>
      <c r="O20" s="495">
        <f t="shared" si="1"/>
        <v>2.9335838588720797E-2</v>
      </c>
      <c r="P20" s="463">
        <f>-2576142</f>
        <v>-2576142</v>
      </c>
      <c r="Q20" s="498">
        <f t="shared" si="1"/>
        <v>2.9437245352203156E-2</v>
      </c>
    </row>
    <row r="21" spans="2:17" ht="12.75" customHeight="1" x14ac:dyDescent="0.25">
      <c r="B21" s="240" t="s">
        <v>273</v>
      </c>
      <c r="C21" s="241">
        <v>-4333161.78</v>
      </c>
      <c r="D21" s="241">
        <v>-4437076.0000000009</v>
      </c>
      <c r="E21" s="495">
        <f t="shared" si="0"/>
        <v>2.3981154010825012E-2</v>
      </c>
      <c r="F21" s="241">
        <v>-5026252.0000000009</v>
      </c>
      <c r="G21" s="495">
        <f t="shared" si="4"/>
        <v>0.1327847438267904</v>
      </c>
      <c r="H21" s="463">
        <v>-920111</v>
      </c>
      <c r="I21" s="495">
        <f t="shared" si="5"/>
        <v>-0.79263122831342092</v>
      </c>
      <c r="J21" s="463">
        <v>-4842195</v>
      </c>
      <c r="K21" s="495">
        <f t="shared" si="1"/>
        <v>4.2626204881802305</v>
      </c>
      <c r="L21" s="463">
        <v>-4862312</v>
      </c>
      <c r="M21" s="495">
        <f t="shared" si="1"/>
        <v>4.1545208319779814E-3</v>
      </c>
      <c r="N21" s="463">
        <f>-5004953</f>
        <v>-5004953</v>
      </c>
      <c r="O21" s="495">
        <f t="shared" si="1"/>
        <v>2.9336044252199267E-2</v>
      </c>
      <c r="P21" s="463">
        <f>-5152284</f>
        <v>-5152284</v>
      </c>
      <c r="Q21" s="498">
        <f t="shared" si="1"/>
        <v>2.9437039668504417E-2</v>
      </c>
    </row>
    <row r="22" spans="2:17" ht="12.75" customHeight="1" thickBot="1" x14ac:dyDescent="0.3">
      <c r="B22" s="240" t="s">
        <v>274</v>
      </c>
      <c r="C22" s="249">
        <v>40026812.219999991</v>
      </c>
      <c r="D22" s="249">
        <v>39610641.999999993</v>
      </c>
      <c r="E22" s="496">
        <f t="shared" si="0"/>
        <v>-1.0397286141913931E-2</v>
      </c>
      <c r="F22" s="464">
        <f>SUM(F16:F21)</f>
        <v>38517733.000000007</v>
      </c>
      <c r="G22" s="496">
        <f t="shared" si="4"/>
        <v>-2.7591297308435125E-2</v>
      </c>
      <c r="H22" s="464">
        <f>SUM(H16:H21)</f>
        <v>37978262</v>
      </c>
      <c r="I22" s="496">
        <f t="shared" si="5"/>
        <v>-4.1210642331926728E-2</v>
      </c>
      <c r="J22" s="464">
        <f>SUM(J16:J21)</f>
        <v>37430072</v>
      </c>
      <c r="K22" s="496">
        <f t="shared" si="1"/>
        <v>-1.4434309816494517E-2</v>
      </c>
      <c r="L22" s="464">
        <f>SUM(L16:L21)</f>
        <v>39465609</v>
      </c>
      <c r="M22" s="496">
        <f t="shared" si="1"/>
        <v>5.4382396058441973E-2</v>
      </c>
      <c r="N22" s="464">
        <f>SUM(N16:N21)</f>
        <v>41258402</v>
      </c>
      <c r="O22" s="496">
        <f t="shared" si="1"/>
        <v>4.5426715700751075E-2</v>
      </c>
      <c r="P22" s="464">
        <f>SUM(P16:P21)</f>
        <v>42465718</v>
      </c>
      <c r="Q22" s="502">
        <f t="shared" si="1"/>
        <v>2.92623063782258E-2</v>
      </c>
    </row>
    <row r="23" spans="2:17" ht="12.75" customHeight="1" thickTop="1" x14ac:dyDescent="0.25">
      <c r="B23" s="504" t="s">
        <v>491</v>
      </c>
      <c r="C23" s="251">
        <v>0.70725579646967329</v>
      </c>
      <c r="D23" s="251">
        <v>0.6769041765472823</v>
      </c>
      <c r="E23" s="495">
        <f t="shared" si="0"/>
        <v>-4.2914628729652904E-2</v>
      </c>
      <c r="F23" s="251">
        <f>+F22/F16</f>
        <v>0.67246487600192828</v>
      </c>
      <c r="G23" s="495">
        <f t="shared" si="4"/>
        <v>-6.5582407365216699E-3</v>
      </c>
      <c r="H23" s="251">
        <f>+H22/H16</f>
        <v>0.68735952419657875</v>
      </c>
      <c r="I23" s="495">
        <f t="shared" si="5"/>
        <v>1.5445831199663473E-2</v>
      </c>
      <c r="J23" s="251">
        <f>+J22/J16</f>
        <v>0.65059730905961699</v>
      </c>
      <c r="K23" s="495">
        <f t="shared" si="1"/>
        <v>-5.3483241073776222E-2</v>
      </c>
      <c r="L23" s="251">
        <f>+L22/L16</f>
        <v>0.66708115264773549</v>
      </c>
      <c r="M23" s="495">
        <f t="shared" si="1"/>
        <v>2.5336476740035252E-2</v>
      </c>
      <c r="N23" s="251">
        <f>+N22/N16</f>
        <v>0.67809681520136966</v>
      </c>
      <c r="O23" s="495">
        <f t="shared" si="1"/>
        <v>1.6513227078761794E-2</v>
      </c>
      <c r="P23" s="251">
        <f>+P22/P16</f>
        <v>0.67856086871707844</v>
      </c>
      <c r="Q23" s="498">
        <f t="shared" si="1"/>
        <v>6.843469919128875E-4</v>
      </c>
    </row>
    <row r="24" spans="2:17" ht="12.75" customHeight="1" x14ac:dyDescent="0.3">
      <c r="B24" s="242" t="s">
        <v>275</v>
      </c>
      <c r="C24" s="241"/>
      <c r="D24" s="241"/>
      <c r="E24" s="495"/>
      <c r="F24" s="241"/>
      <c r="G24" s="495"/>
      <c r="H24" s="247"/>
      <c r="I24" s="495"/>
      <c r="J24" s="578"/>
      <c r="K24" s="537"/>
      <c r="L24" s="578"/>
      <c r="M24" s="537"/>
      <c r="N24" s="578"/>
      <c r="O24" s="537"/>
      <c r="P24" s="578"/>
      <c r="Q24" s="498"/>
    </row>
    <row r="25" spans="2:17" ht="12.75" customHeight="1" x14ac:dyDescent="0.25">
      <c r="B25" s="240" t="s">
        <v>267</v>
      </c>
      <c r="C25" s="241">
        <v>21429532</v>
      </c>
      <c r="D25" s="241">
        <v>25237005</v>
      </c>
      <c r="E25" s="495">
        <f t="shared" si="0"/>
        <v>0.17767410879528311</v>
      </c>
      <c r="F25" s="241">
        <v>24851588.999999996</v>
      </c>
      <c r="G25" s="495">
        <f t="shared" ref="G25:G27" si="6">IF(D25=0,"n/a",+F25/D25-1)</f>
        <v>-1.5271859715525027E-2</v>
      </c>
      <c r="H25" s="460">
        <v>27125477</v>
      </c>
      <c r="I25" s="495">
        <f>IF(D25=0,"n/a",+H25/D25-1)</f>
        <v>7.4829481549018917E-2</v>
      </c>
      <c r="J25" s="460">
        <v>28529999</v>
      </c>
      <c r="K25" s="495">
        <f t="shared" si="1"/>
        <v>5.1778702361621187E-2</v>
      </c>
      <c r="L25" s="460">
        <v>29443808</v>
      </c>
      <c r="M25" s="495">
        <f t="shared" si="1"/>
        <v>3.2029759271986036E-2</v>
      </c>
      <c r="N25" s="460">
        <v>30388399</v>
      </c>
      <c r="O25" s="495">
        <f t="shared" si="1"/>
        <v>3.2081142493525228E-2</v>
      </c>
      <c r="P25" s="460">
        <v>31364834</v>
      </c>
      <c r="Q25" s="498">
        <f t="shared" si="1"/>
        <v>3.2131834256882152E-2</v>
      </c>
    </row>
    <row r="26" spans="2:17" ht="12.75" customHeight="1" x14ac:dyDescent="0.25">
      <c r="B26" s="240" t="s">
        <v>268</v>
      </c>
      <c r="C26" s="245">
        <v>3725662.9999999986</v>
      </c>
      <c r="D26" s="245">
        <v>3885625.0000000005</v>
      </c>
      <c r="E26" s="494">
        <f t="shared" si="0"/>
        <v>4.2935176906768513E-2</v>
      </c>
      <c r="F26" s="245">
        <v>4553878.0000000009</v>
      </c>
      <c r="G26" s="494">
        <f t="shared" si="6"/>
        <v>0.17198082676532089</v>
      </c>
      <c r="H26" s="461">
        <v>2963780</v>
      </c>
      <c r="I26" s="494">
        <f>IF(D26=0,"n/a",+H26/D26-1)</f>
        <v>-0.23724497345986817</v>
      </c>
      <c r="J26" s="461">
        <v>4504042</v>
      </c>
      <c r="K26" s="494">
        <f t="shared" si="1"/>
        <v>0.51969511907091626</v>
      </c>
      <c r="L26" s="461">
        <v>4534103</v>
      </c>
      <c r="M26" s="494">
        <f t="shared" si="1"/>
        <v>6.6742272829605209E-3</v>
      </c>
      <c r="N26" s="461">
        <v>4564163</v>
      </c>
      <c r="O26" s="494">
        <f t="shared" si="1"/>
        <v>6.6297567567388249E-3</v>
      </c>
      <c r="P26" s="461">
        <v>4594224</v>
      </c>
      <c r="Q26" s="499">
        <f t="shared" si="1"/>
        <v>6.5863116632776109E-3</v>
      </c>
    </row>
    <row r="27" spans="2:17" ht="12.75" customHeight="1" x14ac:dyDescent="0.25">
      <c r="B27" s="240" t="s">
        <v>269</v>
      </c>
      <c r="C27" s="241">
        <v>25155195</v>
      </c>
      <c r="D27" s="241">
        <v>29122629.999999996</v>
      </c>
      <c r="E27" s="495">
        <f t="shared" si="0"/>
        <v>0.15771831623646704</v>
      </c>
      <c r="F27" s="462">
        <f t="shared" ref="F27:H27" si="7">+F25+F26</f>
        <v>29405466.999999996</v>
      </c>
      <c r="G27" s="495">
        <f t="shared" si="6"/>
        <v>9.7119319237308765E-3</v>
      </c>
      <c r="H27" s="462">
        <f t="shared" si="7"/>
        <v>30089257</v>
      </c>
      <c r="I27" s="495">
        <f>IF(D27=0,"n/a",+H27/D27-1)</f>
        <v>3.3191610785152426E-2</v>
      </c>
      <c r="J27" s="462">
        <f t="shared" ref="J27:P27" si="8">+J25+J26</f>
        <v>33034041</v>
      </c>
      <c r="K27" s="495">
        <f t="shared" si="1"/>
        <v>9.7868285680832834E-2</v>
      </c>
      <c r="L27" s="462">
        <f t="shared" si="8"/>
        <v>33977911</v>
      </c>
      <c r="M27" s="495">
        <f t="shared" si="1"/>
        <v>2.8572647227748993E-2</v>
      </c>
      <c r="N27" s="462">
        <f t="shared" ref="N27" si="9">+N25+N26</f>
        <v>34952562</v>
      </c>
      <c r="O27" s="495">
        <f t="shared" si="1"/>
        <v>2.868484174909991E-2</v>
      </c>
      <c r="P27" s="462">
        <f t="shared" si="8"/>
        <v>35959058</v>
      </c>
      <c r="Q27" s="498">
        <f t="shared" si="1"/>
        <v>2.8796057925596363E-2</v>
      </c>
    </row>
    <row r="28" spans="2:17" ht="12.75" customHeight="1" x14ac:dyDescent="0.25">
      <c r="B28" s="240"/>
      <c r="C28" s="241"/>
      <c r="D28" s="241"/>
      <c r="E28" s="495"/>
      <c r="F28" s="241"/>
      <c r="G28" s="495"/>
      <c r="H28" s="462"/>
      <c r="I28" s="495"/>
      <c r="J28" s="462"/>
      <c r="K28" s="495"/>
      <c r="L28" s="462"/>
      <c r="M28" s="495"/>
      <c r="N28" s="462"/>
      <c r="O28" s="495"/>
      <c r="P28" s="462"/>
      <c r="Q28" s="498"/>
    </row>
    <row r="29" spans="2:17" ht="12.75" customHeight="1" x14ac:dyDescent="0.25">
      <c r="B29" s="240" t="s">
        <v>270</v>
      </c>
      <c r="C29" s="241">
        <v>-15530884.000000002</v>
      </c>
      <c r="D29" s="241">
        <v>-18764946</v>
      </c>
      <c r="E29" s="495">
        <f t="shared" si="0"/>
        <v>0.20823425118621697</v>
      </c>
      <c r="F29" s="241">
        <v>-17984855.999999996</v>
      </c>
      <c r="G29" s="495">
        <f t="shared" ref="G29:G36" si="10">IF(D29=0,"n/a",+F29/D29-1)</f>
        <v>-4.1571662396470699E-2</v>
      </c>
      <c r="H29" s="463">
        <v>-18352868</v>
      </c>
      <c r="I29" s="495">
        <f t="shared" ref="I29:I36" si="11">IF(D29=0,"n/a",+H29/D29-1)</f>
        <v>-2.1959988587230694E-2</v>
      </c>
      <c r="J29" s="463">
        <v>-19027712</v>
      </c>
      <c r="K29" s="495">
        <f t="shared" si="1"/>
        <v>3.6770492764400586E-2</v>
      </c>
      <c r="L29" s="463">
        <v>-19922594</v>
      </c>
      <c r="M29" s="495">
        <f t="shared" si="1"/>
        <v>4.7030457471712861E-2</v>
      </c>
      <c r="N29" s="463">
        <v>-20847823</v>
      </c>
      <c r="O29" s="495">
        <f t="shared" si="1"/>
        <v>4.6441191342854182E-2</v>
      </c>
      <c r="P29" s="463">
        <v>-21804463</v>
      </c>
      <c r="Q29" s="498">
        <f t="shared" si="1"/>
        <v>4.5886805543197573E-2</v>
      </c>
    </row>
    <row r="30" spans="2:17" ht="12.75" customHeight="1" x14ac:dyDescent="0.25">
      <c r="B30" s="240" t="s">
        <v>271</v>
      </c>
      <c r="C30" s="241">
        <v>-2208095.0000000005</v>
      </c>
      <c r="D30" s="241">
        <v>-2382333</v>
      </c>
      <c r="E30" s="495">
        <f t="shared" si="0"/>
        <v>7.8908742603918558E-2</v>
      </c>
      <c r="F30" s="241">
        <v>-2528150</v>
      </c>
      <c r="G30" s="495">
        <f t="shared" si="10"/>
        <v>6.1207648133153603E-2</v>
      </c>
      <c r="H30" s="463">
        <v>-1986109</v>
      </c>
      <c r="I30" s="495">
        <f t="shared" si="11"/>
        <v>-0.16631763905381824</v>
      </c>
      <c r="J30" s="463">
        <v>-2672327</v>
      </c>
      <c r="K30" s="495">
        <f t="shared" si="1"/>
        <v>0.34550873089039924</v>
      </c>
      <c r="L30" s="463">
        <v>-2680943</v>
      </c>
      <c r="M30" s="495">
        <f t="shared" si="1"/>
        <v>3.2241563251802496E-3</v>
      </c>
      <c r="N30" s="463">
        <v>-2689390</v>
      </c>
      <c r="O30" s="495">
        <f t="shared" si="1"/>
        <v>3.1507570284037278E-3</v>
      </c>
      <c r="P30" s="463">
        <v>-2697667</v>
      </c>
      <c r="Q30" s="498">
        <f t="shared" si="1"/>
        <v>3.0776495785289626E-3</v>
      </c>
    </row>
    <row r="31" spans="2:17" ht="12.75" customHeight="1" x14ac:dyDescent="0.25">
      <c r="B31" s="240" t="s">
        <v>272</v>
      </c>
      <c r="C31" s="241">
        <v>0</v>
      </c>
      <c r="D31" s="241">
        <v>0</v>
      </c>
      <c r="E31" s="495" t="str">
        <f t="shared" si="0"/>
        <v>n/a</v>
      </c>
      <c r="F31" s="241"/>
      <c r="G31" s="495" t="str">
        <f t="shared" si="10"/>
        <v>n/a</v>
      </c>
      <c r="H31" s="463"/>
      <c r="I31" s="495" t="str">
        <f t="shared" si="11"/>
        <v>n/a</v>
      </c>
      <c r="J31" s="463"/>
      <c r="K31" s="495" t="str">
        <f t="shared" si="1"/>
        <v>n/a</v>
      </c>
      <c r="L31" s="463"/>
      <c r="M31" s="495" t="str">
        <f t="shared" si="1"/>
        <v>n/a</v>
      </c>
      <c r="N31" s="463"/>
      <c r="O31" s="495" t="str">
        <f t="shared" si="1"/>
        <v>n/a</v>
      </c>
      <c r="P31" s="463"/>
      <c r="Q31" s="498" t="str">
        <f t="shared" si="1"/>
        <v>n/a</v>
      </c>
    </row>
    <row r="32" spans="2:17" ht="12.75" customHeight="1" x14ac:dyDescent="0.25">
      <c r="B32" s="240" t="s">
        <v>273</v>
      </c>
      <c r="C32" s="241">
        <v>0</v>
      </c>
      <c r="D32" s="241">
        <v>0</v>
      </c>
      <c r="E32" s="495" t="str">
        <f t="shared" si="0"/>
        <v>n/a</v>
      </c>
      <c r="F32" s="241"/>
      <c r="G32" s="495" t="str">
        <f t="shared" si="10"/>
        <v>n/a</v>
      </c>
      <c r="H32" s="463"/>
      <c r="I32" s="495" t="str">
        <f t="shared" si="11"/>
        <v>n/a</v>
      </c>
      <c r="J32" s="463"/>
      <c r="K32" s="495" t="str">
        <f t="shared" si="1"/>
        <v>n/a</v>
      </c>
      <c r="L32" s="463"/>
      <c r="M32" s="495" t="str">
        <f t="shared" si="1"/>
        <v>n/a</v>
      </c>
      <c r="N32" s="463"/>
      <c r="O32" s="495" t="str">
        <f t="shared" si="1"/>
        <v>n/a</v>
      </c>
      <c r="P32" s="463"/>
      <c r="Q32" s="498" t="str">
        <f t="shared" si="1"/>
        <v>n/a</v>
      </c>
    </row>
    <row r="33" spans="2:17" ht="12.75" customHeight="1" x14ac:dyDescent="0.25">
      <c r="B33" s="240" t="s">
        <v>276</v>
      </c>
      <c r="C33" s="241">
        <v>0</v>
      </c>
      <c r="D33" s="241">
        <v>0</v>
      </c>
      <c r="E33" s="495" t="str">
        <f t="shared" si="0"/>
        <v>n/a</v>
      </c>
      <c r="F33" s="241"/>
      <c r="G33" s="495" t="str">
        <f t="shared" si="10"/>
        <v>n/a</v>
      </c>
      <c r="H33" s="463"/>
      <c r="I33" s="495" t="str">
        <f t="shared" si="11"/>
        <v>n/a</v>
      </c>
      <c r="J33" s="463"/>
      <c r="K33" s="495" t="str">
        <f t="shared" si="1"/>
        <v>n/a</v>
      </c>
      <c r="L33" s="463"/>
      <c r="M33" s="495" t="str">
        <f t="shared" si="1"/>
        <v>n/a</v>
      </c>
      <c r="N33" s="463"/>
      <c r="O33" s="495" t="str">
        <f t="shared" si="1"/>
        <v>n/a</v>
      </c>
      <c r="P33" s="463"/>
      <c r="Q33" s="498" t="str">
        <f t="shared" si="1"/>
        <v>n/a</v>
      </c>
    </row>
    <row r="34" spans="2:17" ht="12.75" customHeight="1" x14ac:dyDescent="0.25">
      <c r="B34" s="240" t="s">
        <v>277</v>
      </c>
      <c r="C34" s="241">
        <v>0</v>
      </c>
      <c r="D34" s="241">
        <v>0</v>
      </c>
      <c r="E34" s="495" t="str">
        <f t="shared" si="0"/>
        <v>n/a</v>
      </c>
      <c r="F34" s="241"/>
      <c r="G34" s="495" t="str">
        <f t="shared" si="10"/>
        <v>n/a</v>
      </c>
      <c r="H34" s="463"/>
      <c r="I34" s="495" t="str">
        <f t="shared" si="11"/>
        <v>n/a</v>
      </c>
      <c r="J34" s="463"/>
      <c r="K34" s="495" t="str">
        <f t="shared" si="1"/>
        <v>n/a</v>
      </c>
      <c r="L34" s="463"/>
      <c r="M34" s="495" t="str">
        <f t="shared" si="1"/>
        <v>n/a</v>
      </c>
      <c r="N34" s="463"/>
      <c r="O34" s="495" t="str">
        <f t="shared" si="1"/>
        <v>n/a</v>
      </c>
      <c r="P34" s="463"/>
      <c r="Q34" s="498" t="str">
        <f t="shared" si="1"/>
        <v>n/a</v>
      </c>
    </row>
    <row r="35" spans="2:17" ht="12.75" customHeight="1" thickBot="1" x14ac:dyDescent="0.3">
      <c r="B35" s="240" t="s">
        <v>274</v>
      </c>
      <c r="C35" s="249">
        <v>7416215.9999999991</v>
      </c>
      <c r="D35" s="249">
        <v>7975351.0000000065</v>
      </c>
      <c r="E35" s="496">
        <f t="shared" si="0"/>
        <v>7.539356998232094E-2</v>
      </c>
      <c r="F35" s="250">
        <f>SUM(F27:F34)</f>
        <v>8892461</v>
      </c>
      <c r="G35" s="496">
        <f t="shared" si="10"/>
        <v>0.11499305798578563</v>
      </c>
      <c r="H35" s="250">
        <f>SUM(H27:H34)</f>
        <v>9750280</v>
      </c>
      <c r="I35" s="496">
        <f t="shared" si="11"/>
        <v>0.22255183502268316</v>
      </c>
      <c r="J35" s="250">
        <f>SUM(J27:J34)</f>
        <v>11334002</v>
      </c>
      <c r="K35" s="496">
        <f t="shared" si="1"/>
        <v>0.16242836103168323</v>
      </c>
      <c r="L35" s="250">
        <f>SUM(L27:L34)</f>
        <v>11374374</v>
      </c>
      <c r="M35" s="496">
        <f t="shared" si="1"/>
        <v>3.562025134634661E-3</v>
      </c>
      <c r="N35" s="250">
        <f>SUM(N27:N34)</f>
        <v>11415349</v>
      </c>
      <c r="O35" s="496">
        <f t="shared" si="1"/>
        <v>3.6023960527409304E-3</v>
      </c>
      <c r="P35" s="250">
        <f>SUM(P27:P34)</f>
        <v>11456928</v>
      </c>
      <c r="Q35" s="502">
        <f t="shared" si="1"/>
        <v>3.6423765931290486E-3</v>
      </c>
    </row>
    <row r="36" spans="2:17" ht="12.75" customHeight="1" thickTop="1" x14ac:dyDescent="0.25">
      <c r="B36" s="504" t="s">
        <v>491</v>
      </c>
      <c r="C36" s="251">
        <v>0.294818465927217</v>
      </c>
      <c r="D36" s="251">
        <v>0.27385407842629622</v>
      </c>
      <c r="E36" s="495">
        <f t="shared" si="0"/>
        <v>-7.1109478963561012E-2</v>
      </c>
      <c r="F36" s="251"/>
      <c r="G36" s="495">
        <f t="shared" si="10"/>
        <v>-1</v>
      </c>
      <c r="H36" s="251">
        <f>+H35/H27</f>
        <v>0.32404522318380941</v>
      </c>
      <c r="I36" s="495">
        <f t="shared" si="11"/>
        <v>0.18327696649959302</v>
      </c>
      <c r="J36" s="251">
        <f>+J35/J27</f>
        <v>0.34310068211152245</v>
      </c>
      <c r="K36" s="495">
        <f t="shared" si="1"/>
        <v>5.8804936979133027E-2</v>
      </c>
      <c r="L36" s="251">
        <f>+L35/L27</f>
        <v>0.33475789609314122</v>
      </c>
      <c r="M36" s="495">
        <f t="shared" si="1"/>
        <v>-2.431585378098855E-2</v>
      </c>
      <c r="N36" s="251">
        <f>+N35/N27</f>
        <v>0.32659548676288735</v>
      </c>
      <c r="O36" s="495">
        <f t="shared" si="1"/>
        <v>-2.4383022553059686E-2</v>
      </c>
      <c r="P36" s="251">
        <f>+P35/P27</f>
        <v>0.31861034846908393</v>
      </c>
      <c r="Q36" s="498">
        <f t="shared" si="1"/>
        <v>-2.4449628416331248E-2</v>
      </c>
    </row>
    <row r="37" spans="2:17" ht="12.75" customHeight="1" x14ac:dyDescent="0.3">
      <c r="B37" s="242" t="s">
        <v>278</v>
      </c>
      <c r="C37" s="241"/>
      <c r="D37" s="241"/>
      <c r="E37" s="495"/>
      <c r="F37" s="241"/>
      <c r="G37" s="495"/>
      <c r="H37" s="247"/>
      <c r="I37" s="495"/>
      <c r="J37" s="578"/>
      <c r="K37" s="537"/>
      <c r="L37" s="578"/>
      <c r="M37" s="537"/>
      <c r="N37" s="578"/>
      <c r="O37" s="537"/>
      <c r="P37" s="578"/>
      <c r="Q37" s="498"/>
    </row>
    <row r="38" spans="2:17" ht="12.75" customHeight="1" x14ac:dyDescent="0.25">
      <c r="B38" s="240" t="s">
        <v>267</v>
      </c>
      <c r="C38" s="241">
        <v>54885985.000000022</v>
      </c>
      <c r="D38" s="241">
        <v>58647763.000000022</v>
      </c>
      <c r="E38" s="495">
        <f t="shared" si="0"/>
        <v>6.8538042999501503E-2</v>
      </c>
      <c r="F38" s="241">
        <v>58710552.99999997</v>
      </c>
      <c r="G38" s="495">
        <f t="shared" ref="G38:G40" si="12">IF(D38=0,"n/a",+F38/D38-1)</f>
        <v>1.0706290707105381E-3</v>
      </c>
      <c r="H38" s="244">
        <v>59154635</v>
      </c>
      <c r="I38" s="495">
        <f>IF(D38=0,"n/a",+H38/D38-1)</f>
        <v>8.6426484843076246E-3</v>
      </c>
      <c r="J38" s="244">
        <v>62392715</v>
      </c>
      <c r="K38" s="495">
        <f t="shared" si="1"/>
        <v>5.4739244016973387E-2</v>
      </c>
      <c r="L38" s="244">
        <v>64392455</v>
      </c>
      <c r="M38" s="495">
        <f t="shared" si="1"/>
        <v>3.2050857219468654E-2</v>
      </c>
      <c r="N38" s="244">
        <v>66459569</v>
      </c>
      <c r="O38" s="495">
        <f t="shared" si="1"/>
        <v>3.2101804473831708E-2</v>
      </c>
      <c r="P38" s="244">
        <v>68596382</v>
      </c>
      <c r="Q38" s="498">
        <f t="shared" si="1"/>
        <v>3.2152074293470001E-2</v>
      </c>
    </row>
    <row r="39" spans="2:17" ht="12.75" customHeight="1" x14ac:dyDescent="0.25">
      <c r="B39" s="240" t="s">
        <v>268</v>
      </c>
      <c r="C39" s="245">
        <v>5976750.9999999991</v>
      </c>
      <c r="D39" s="245">
        <v>6781247.0000000009</v>
      </c>
      <c r="E39" s="494">
        <f t="shared" si="0"/>
        <v>0.13460423564575508</v>
      </c>
      <c r="F39" s="245">
        <v>9023414.0000000019</v>
      </c>
      <c r="G39" s="494">
        <f t="shared" si="12"/>
        <v>0.33064228452377575</v>
      </c>
      <c r="H39" s="246">
        <v>4495691</v>
      </c>
      <c r="I39" s="494">
        <f>IF(D39=0,"n/a",+H39/D39-1)</f>
        <v>-0.33704066523458009</v>
      </c>
      <c r="J39" s="246">
        <v>4514941</v>
      </c>
      <c r="K39" s="494">
        <f t="shared" si="1"/>
        <v>4.2818779137623331E-3</v>
      </c>
      <c r="L39" s="246">
        <v>4545074</v>
      </c>
      <c r="M39" s="494">
        <f t="shared" si="1"/>
        <v>6.6740628504338151E-3</v>
      </c>
      <c r="N39" s="246">
        <v>4575208</v>
      </c>
      <c r="O39" s="494">
        <f t="shared" si="1"/>
        <v>6.630035066535811E-3</v>
      </c>
      <c r="P39" s="246">
        <v>4605341</v>
      </c>
      <c r="Q39" s="499">
        <f t="shared" si="1"/>
        <v>6.5861486516023415E-3</v>
      </c>
    </row>
    <row r="40" spans="2:17" ht="12.75" customHeight="1" x14ac:dyDescent="0.25">
      <c r="B40" s="240" t="s">
        <v>269</v>
      </c>
      <c r="C40" s="241">
        <v>60862735.999999993</v>
      </c>
      <c r="D40" s="241">
        <v>65429010.000000007</v>
      </c>
      <c r="E40" s="495">
        <f t="shared" si="0"/>
        <v>7.5025776034781222E-2</v>
      </c>
      <c r="F40" s="247">
        <f t="shared" ref="F40:J40" si="13">+F38+F39</f>
        <v>67733966.99999997</v>
      </c>
      <c r="G40" s="495">
        <f t="shared" si="12"/>
        <v>3.5228364298954817E-2</v>
      </c>
      <c r="H40" s="247">
        <f t="shared" si="13"/>
        <v>63650326</v>
      </c>
      <c r="I40" s="495">
        <f>IF(D40=0,"n/a",+H40/D40-1)</f>
        <v>-2.7184944415329038E-2</v>
      </c>
      <c r="J40" s="247">
        <f t="shared" si="13"/>
        <v>66907656</v>
      </c>
      <c r="K40" s="495">
        <f t="shared" si="1"/>
        <v>5.117538596738691E-2</v>
      </c>
      <c r="L40" s="247">
        <f t="shared" ref="L40" si="14">+L38+L39</f>
        <v>68937529</v>
      </c>
      <c r="M40" s="495">
        <f t="shared" si="1"/>
        <v>3.0338426442558353E-2</v>
      </c>
      <c r="N40" s="247">
        <f t="shared" ref="N40:P40" si="15">+N38+N39</f>
        <v>71034777</v>
      </c>
      <c r="O40" s="495">
        <f t="shared" si="1"/>
        <v>3.0422442324557375E-2</v>
      </c>
      <c r="P40" s="247">
        <f t="shared" si="15"/>
        <v>73201723</v>
      </c>
      <c r="Q40" s="498">
        <f t="shared" si="1"/>
        <v>3.0505424124862124E-2</v>
      </c>
    </row>
    <row r="41" spans="2:17" ht="12.75" customHeight="1" x14ac:dyDescent="0.25">
      <c r="B41" s="240"/>
      <c r="C41" s="241"/>
      <c r="D41" s="241"/>
      <c r="E41" s="495"/>
      <c r="F41" s="241"/>
      <c r="G41" s="495"/>
      <c r="H41" s="247"/>
      <c r="I41" s="495"/>
      <c r="J41" s="247"/>
      <c r="K41" s="495"/>
      <c r="L41" s="247"/>
      <c r="M41" s="495"/>
      <c r="N41" s="247"/>
      <c r="O41" s="495"/>
      <c r="P41" s="247"/>
      <c r="Q41" s="498"/>
    </row>
    <row r="42" spans="2:17" ht="12.75" customHeight="1" x14ac:dyDescent="0.25">
      <c r="B42" s="240" t="s">
        <v>270</v>
      </c>
      <c r="C42" s="241">
        <v>-34389153</v>
      </c>
      <c r="D42" s="241">
        <v>-34149210.999999993</v>
      </c>
      <c r="E42" s="495">
        <f t="shared" si="0"/>
        <v>-6.9772582069702604E-3</v>
      </c>
      <c r="F42" s="241">
        <v>-37579880.000000007</v>
      </c>
      <c r="G42" s="495">
        <f t="shared" ref="G42:G46" si="16">IF(D42=0,"n/a",+F42/D42-1)</f>
        <v>0.10046114974662279</v>
      </c>
      <c r="H42" s="463">
        <v>-36863381</v>
      </c>
      <c r="I42" s="495">
        <f>IF(D42=0,"n/a",+H42/D42-1)</f>
        <v>7.94797279503765E-2</v>
      </c>
      <c r="J42" s="463">
        <v>-38035969</v>
      </c>
      <c r="K42" s="495">
        <f t="shared" si="1"/>
        <v>3.1809019362602609E-2</v>
      </c>
      <c r="L42" s="463">
        <v>-39350153</v>
      </c>
      <c r="M42" s="495">
        <f t="shared" si="1"/>
        <v>3.4551085053203145E-2</v>
      </c>
      <c r="N42" s="463">
        <v>-41033307</v>
      </c>
      <c r="O42" s="495">
        <f t="shared" si="1"/>
        <v>4.2773759990208937E-2</v>
      </c>
      <c r="P42" s="463">
        <v>-42775091</v>
      </c>
      <c r="Q42" s="498">
        <f t="shared" si="1"/>
        <v>4.2448053236362249E-2</v>
      </c>
    </row>
    <row r="43" spans="2:17" ht="12.75" customHeight="1" x14ac:dyDescent="0.25">
      <c r="B43" s="240" t="s">
        <v>271</v>
      </c>
      <c r="C43" s="241">
        <v>-3339853.9999999995</v>
      </c>
      <c r="D43" s="241">
        <v>-4173618</v>
      </c>
      <c r="E43" s="495">
        <f t="shared" si="0"/>
        <v>0.24964085256421398</v>
      </c>
      <c r="F43" s="241">
        <v>-4557472.9999999991</v>
      </c>
      <c r="G43" s="495">
        <f t="shared" si="16"/>
        <v>9.197176167056953E-2</v>
      </c>
      <c r="H43" s="463">
        <v>-2272161</v>
      </c>
      <c r="I43" s="495">
        <f>IF(D43=0,"n/a",+H43/D43-1)</f>
        <v>-0.45558961074060922</v>
      </c>
      <c r="J43" s="463">
        <v>-2204037</v>
      </c>
      <c r="K43" s="495">
        <f t="shared" si="1"/>
        <v>-2.9982030322675213E-2</v>
      </c>
      <c r="L43" s="463">
        <v>-2200725</v>
      </c>
      <c r="M43" s="495">
        <f t="shared" si="1"/>
        <v>-1.5026970962828123E-3</v>
      </c>
      <c r="N43" s="463">
        <v>-2215316</v>
      </c>
      <c r="O43" s="495">
        <f t="shared" si="1"/>
        <v>6.6300878119711637E-3</v>
      </c>
      <c r="P43" s="463">
        <v>-2229906</v>
      </c>
      <c r="Q43" s="498">
        <f t="shared" si="1"/>
        <v>6.5859678709492275E-3</v>
      </c>
    </row>
    <row r="44" spans="2:17" ht="12.75" customHeight="1" x14ac:dyDescent="0.25">
      <c r="B44" s="240" t="s">
        <v>272</v>
      </c>
      <c r="C44" s="241">
        <v>0</v>
      </c>
      <c r="D44" s="241">
        <v>0</v>
      </c>
      <c r="E44" s="495" t="str">
        <f t="shared" si="0"/>
        <v>n/a</v>
      </c>
      <c r="F44" s="241"/>
      <c r="G44" s="495" t="str">
        <f t="shared" si="16"/>
        <v>n/a</v>
      </c>
      <c r="H44" s="244"/>
      <c r="I44" s="495" t="str">
        <f>IF(D44=0,"n/a",+H44/D44-1)</f>
        <v>n/a</v>
      </c>
      <c r="J44" s="244"/>
      <c r="K44" s="495" t="str">
        <f t="shared" si="1"/>
        <v>n/a</v>
      </c>
      <c r="L44" s="244"/>
      <c r="M44" s="495" t="str">
        <f t="shared" si="1"/>
        <v>n/a</v>
      </c>
      <c r="N44" s="244"/>
      <c r="O44" s="495" t="str">
        <f t="shared" si="1"/>
        <v>n/a</v>
      </c>
      <c r="P44" s="244"/>
      <c r="Q44" s="498" t="str">
        <f t="shared" si="1"/>
        <v>n/a</v>
      </c>
    </row>
    <row r="45" spans="2:17" ht="12.75" customHeight="1" x14ac:dyDescent="0.25">
      <c r="B45" s="240" t="s">
        <v>273</v>
      </c>
      <c r="C45" s="241">
        <v>0</v>
      </c>
      <c r="D45" s="241">
        <v>0</v>
      </c>
      <c r="E45" s="495" t="str">
        <f t="shared" si="0"/>
        <v>n/a</v>
      </c>
      <c r="F45" s="241"/>
      <c r="G45" s="495" t="str">
        <f t="shared" si="16"/>
        <v>n/a</v>
      </c>
      <c r="H45" s="244"/>
      <c r="I45" s="495" t="str">
        <f>IF(D45=0,"n/a",+H45/D45-1)</f>
        <v>n/a</v>
      </c>
      <c r="J45" s="244"/>
      <c r="K45" s="495" t="str">
        <f t="shared" si="1"/>
        <v>n/a</v>
      </c>
      <c r="L45" s="244"/>
      <c r="M45" s="495" t="str">
        <f t="shared" si="1"/>
        <v>n/a</v>
      </c>
      <c r="N45" s="244"/>
      <c r="O45" s="495" t="str">
        <f t="shared" si="1"/>
        <v>n/a</v>
      </c>
      <c r="P45" s="244"/>
      <c r="Q45" s="498" t="str">
        <f t="shared" si="1"/>
        <v>n/a</v>
      </c>
    </row>
    <row r="46" spans="2:17" ht="12.75" customHeight="1" thickBot="1" x14ac:dyDescent="0.3">
      <c r="B46" s="240" t="s">
        <v>274</v>
      </c>
      <c r="C46" s="249">
        <v>23133729.000000004</v>
      </c>
      <c r="D46" s="249">
        <v>27106181.000000011</v>
      </c>
      <c r="E46" s="496">
        <f t="shared" si="0"/>
        <v>0.17171689008719726</v>
      </c>
      <c r="F46" s="250">
        <f>+F40+F42+F43</f>
        <v>25596613.999999963</v>
      </c>
      <c r="G46" s="496">
        <f t="shared" si="16"/>
        <v>-5.5690877294741314E-2</v>
      </c>
      <c r="H46" s="250">
        <f>+H40+H42+H43</f>
        <v>24514784</v>
      </c>
      <c r="I46" s="496">
        <f>IF(D46=0,"n/a",+H46/D46-1)</f>
        <v>-9.5601700586298355E-2</v>
      </c>
      <c r="J46" s="250">
        <f>+J40+J42+J43</f>
        <v>26667650</v>
      </c>
      <c r="K46" s="496">
        <f t="shared" si="1"/>
        <v>8.7819089085182211E-2</v>
      </c>
      <c r="L46" s="250">
        <f>+L40+L42+L43</f>
        <v>27386651</v>
      </c>
      <c r="M46" s="496">
        <f t="shared" si="1"/>
        <v>2.6961543293090973E-2</v>
      </c>
      <c r="N46" s="250">
        <f>+N40+N42+N43</f>
        <v>27786154</v>
      </c>
      <c r="O46" s="496">
        <f t="shared" si="1"/>
        <v>1.458750834485012E-2</v>
      </c>
      <c r="P46" s="250">
        <f>+P40+P42+P43</f>
        <v>28196726</v>
      </c>
      <c r="Q46" s="502">
        <f t="shared" si="1"/>
        <v>1.4776136344742063E-2</v>
      </c>
    </row>
    <row r="47" spans="2:17" ht="12.75" customHeight="1" thickTop="1" x14ac:dyDescent="0.25">
      <c r="B47" s="504" t="s">
        <v>491</v>
      </c>
      <c r="C47" s="251">
        <v>0.3800967639706504</v>
      </c>
      <c r="D47" s="251">
        <v>0.41428383220226023</v>
      </c>
      <c r="E47" s="243">
        <f t="shared" si="0"/>
        <v>8.9943065745883732E-2</v>
      </c>
      <c r="F47" s="251">
        <f>+F46/F40</f>
        <v>0.37789923038170753</v>
      </c>
      <c r="G47" s="243"/>
      <c r="H47" s="251">
        <f>+H46/H40</f>
        <v>0.38514781526806319</v>
      </c>
      <c r="I47" s="243"/>
      <c r="J47" s="251">
        <f>+J46/J40</f>
        <v>0.39857396887435426</v>
      </c>
      <c r="K47" s="243"/>
      <c r="L47" s="251">
        <f>+L46/L40</f>
        <v>0.39726766243681289</v>
      </c>
      <c r="M47" s="243"/>
      <c r="N47" s="251">
        <f>+N46/N40</f>
        <v>0.39116268359651496</v>
      </c>
      <c r="O47" s="501"/>
      <c r="P47" s="251">
        <f>+P46/P40</f>
        <v>0.38519210811472293</v>
      </c>
      <c r="Q47" s="248"/>
    </row>
    <row r="48" spans="2:17" ht="7.2" customHeight="1" x14ac:dyDescent="0.25">
      <c r="B48" s="240"/>
      <c r="C48" s="241"/>
      <c r="D48" s="241"/>
      <c r="E48" s="243"/>
      <c r="F48" s="241"/>
      <c r="G48" s="243"/>
      <c r="H48" s="241"/>
      <c r="I48" s="243"/>
      <c r="J48" s="247"/>
      <c r="K48" s="243"/>
      <c r="L48" s="247"/>
      <c r="M48" s="243"/>
      <c r="N48" s="247"/>
      <c r="O48" s="243"/>
      <c r="P48" s="247"/>
      <c r="Q48" s="248"/>
    </row>
    <row r="49" spans="2:17" ht="12.75" customHeight="1" x14ac:dyDescent="0.25">
      <c r="B49" s="252" t="s">
        <v>279</v>
      </c>
      <c r="C49" s="241">
        <v>936015.42000000027</v>
      </c>
      <c r="D49" s="241">
        <v>1050745.9999999998</v>
      </c>
      <c r="E49" s="495">
        <f t="shared" si="0"/>
        <v>0.12257338666493278</v>
      </c>
      <c r="F49" s="241">
        <v>889342.99999999988</v>
      </c>
      <c r="G49" s="495">
        <f>IF(D49=0,"n/a",+F49/D49-1)</f>
        <v>-0.1536080080247747</v>
      </c>
      <c r="H49" s="244">
        <v>918389</v>
      </c>
      <c r="I49" s="495">
        <f>IF(D49=0,"n/a",+H49/D49-1)</f>
        <v>-0.12596479072963385</v>
      </c>
      <c r="J49" s="244">
        <v>976889</v>
      </c>
      <c r="K49" s="495">
        <f t="shared" ref="K49" si="17">IF(H49=0,"n/a",+J49/H49-1)</f>
        <v>6.3698498130966286E-2</v>
      </c>
      <c r="L49" s="244">
        <v>754085</v>
      </c>
      <c r="M49" s="495">
        <f t="shared" ref="M49" si="18">IF(J49=0,"n/a",+L49/J49-1)</f>
        <v>-0.22807504230265674</v>
      </c>
      <c r="N49" s="244">
        <v>776207</v>
      </c>
      <c r="O49" s="495">
        <f t="shared" ref="O49" si="19">IF(L49=0,"n/a",+N49/L49-1)</f>
        <v>2.9336215413381828E-2</v>
      </c>
      <c r="P49" s="244">
        <v>799056</v>
      </c>
      <c r="Q49" s="498">
        <f t="shared" ref="Q49" si="20">IF(N49=0,"n/a",+P49/N49-1)</f>
        <v>2.9436735303855821E-2</v>
      </c>
    </row>
    <row r="50" spans="2:17" ht="12.75" customHeight="1" x14ac:dyDescent="0.25">
      <c r="B50" s="240"/>
      <c r="C50" s="241"/>
      <c r="D50" s="241"/>
      <c r="E50" s="243" t="str">
        <f t="shared" si="0"/>
        <v>n/a</v>
      </c>
      <c r="F50" s="241"/>
      <c r="G50" s="243"/>
      <c r="H50" s="241"/>
      <c r="I50" s="243"/>
      <c r="J50" s="247"/>
      <c r="K50" s="243"/>
      <c r="L50" s="247"/>
      <c r="M50" s="243"/>
      <c r="N50" s="247"/>
      <c r="O50" s="243"/>
      <c r="P50" s="247"/>
      <c r="Q50" s="248"/>
    </row>
    <row r="51" spans="2:17" ht="12.75" customHeight="1" x14ac:dyDescent="0.3">
      <c r="B51" s="242" t="s">
        <v>280</v>
      </c>
      <c r="C51" s="126"/>
      <c r="D51" s="126"/>
      <c r="E51" s="243" t="str">
        <f t="shared" si="0"/>
        <v>n/a</v>
      </c>
      <c r="F51" s="126"/>
      <c r="G51" s="243"/>
      <c r="H51" s="126"/>
      <c r="I51" s="243"/>
      <c r="J51" s="247"/>
      <c r="K51" s="243"/>
      <c r="L51" s="247"/>
      <c r="M51" s="243"/>
      <c r="N51" s="247"/>
      <c r="O51" s="243"/>
      <c r="P51" s="247"/>
      <c r="Q51" s="248"/>
    </row>
    <row r="52" spans="2:17" ht="12.75" customHeight="1" x14ac:dyDescent="0.25">
      <c r="B52" s="240" t="s">
        <v>267</v>
      </c>
      <c r="C52" s="241">
        <v>124995948.99999996</v>
      </c>
      <c r="D52" s="241">
        <v>133973975.00000004</v>
      </c>
      <c r="E52" s="495">
        <f t="shared" si="0"/>
        <v>7.1826535754371479E-2</v>
      </c>
      <c r="F52" s="247">
        <f>+F14+F25+F38</f>
        <v>132761065.99999997</v>
      </c>
      <c r="G52" s="495">
        <f>IF(D52=0,"n/a",+F52/D52-1)</f>
        <v>-9.0533180044861661E-3</v>
      </c>
      <c r="H52" s="247">
        <f>+H14+H25+H38</f>
        <v>133598234</v>
      </c>
      <c r="I52" s="495">
        <f>IF(D52=0,"n/a",+H52/D52-1)</f>
        <v>-2.8045820093047791E-3</v>
      </c>
      <c r="J52" s="247">
        <f>+J14+J25+J38</f>
        <v>140091968</v>
      </c>
      <c r="K52" s="495">
        <f t="shared" ref="K52:Q63" si="21">IF(H52=0,"n/a",+J52/H52-1)</f>
        <v>4.8606435920403035E-2</v>
      </c>
      <c r="L52" s="247">
        <f>+L14+L25+L38</f>
        <v>144579477</v>
      </c>
      <c r="M52" s="495">
        <f t="shared" si="21"/>
        <v>3.2032593046305013E-2</v>
      </c>
      <c r="N52" s="247">
        <f>+N14+N25+N38</f>
        <v>149218150</v>
      </c>
      <c r="O52" s="495">
        <f t="shared" si="21"/>
        <v>3.2083896665361378E-2</v>
      </c>
      <c r="P52" s="247">
        <f>+P14+P25+P38</f>
        <v>154013204</v>
      </c>
      <c r="Q52" s="498">
        <f t="shared" si="21"/>
        <v>3.2134522509493557E-2</v>
      </c>
    </row>
    <row r="53" spans="2:17" ht="12.75" customHeight="1" x14ac:dyDescent="0.25">
      <c r="B53" s="240" t="s">
        <v>268</v>
      </c>
      <c r="C53" s="245">
        <v>17616516</v>
      </c>
      <c r="D53" s="245">
        <v>19095019.999999996</v>
      </c>
      <c r="E53" s="494">
        <f t="shared" si="0"/>
        <v>8.3927151089352447E-2</v>
      </c>
      <c r="F53" s="253">
        <f>+F15+F26+F39</f>
        <v>21656799</v>
      </c>
      <c r="G53" s="494">
        <f>IF(D53=0,"n/a",+F53/D53-1)</f>
        <v>0.13415953478969933</v>
      </c>
      <c r="H53" s="253">
        <f>+H15+H26+H39</f>
        <v>15393747</v>
      </c>
      <c r="I53" s="494">
        <f>IF(D53=0,"n/a",+H53/D53-1)</f>
        <v>-0.19383446574028185</v>
      </c>
      <c r="J53" s="253">
        <f>+J15+J26+J39</f>
        <v>17381587</v>
      </c>
      <c r="K53" s="494">
        <f t="shared" si="21"/>
        <v>0.12913295249038459</v>
      </c>
      <c r="L53" s="253">
        <f>+L15+L26+L39</f>
        <v>17497594</v>
      </c>
      <c r="M53" s="494">
        <f t="shared" si="21"/>
        <v>6.6741316543765805E-3</v>
      </c>
      <c r="N53" s="253">
        <f>+N15+N26+N39</f>
        <v>17613601</v>
      </c>
      <c r="O53" s="494">
        <f t="shared" si="21"/>
        <v>6.6298829427633432E-3</v>
      </c>
      <c r="P53" s="253">
        <f>+P15+P26+P39</f>
        <v>17729609</v>
      </c>
      <c r="Q53" s="499">
        <f t="shared" si="21"/>
        <v>6.5862738686994771E-3</v>
      </c>
    </row>
    <row r="54" spans="2:17" ht="12.75" customHeight="1" x14ac:dyDescent="0.25">
      <c r="B54" s="240" t="s">
        <v>269</v>
      </c>
      <c r="C54" s="241">
        <v>142612464.99999997</v>
      </c>
      <c r="D54" s="241">
        <v>153068995</v>
      </c>
      <c r="E54" s="495">
        <f t="shared" si="0"/>
        <v>7.3321290673995732E-2</v>
      </c>
      <c r="F54" s="247">
        <f t="shared" ref="F54" si="22">+F52+F53</f>
        <v>154417864.99999997</v>
      </c>
      <c r="G54" s="495">
        <f>IF(D54=0,"n/a",+F54/D54-1)</f>
        <v>8.812169962963301E-3</v>
      </c>
      <c r="H54" s="247">
        <f t="shared" ref="H54:J54" si="23">+H52+H53</f>
        <v>148991981</v>
      </c>
      <c r="I54" s="495">
        <f>IF(D54=0,"n/a",+H54/D54-1)</f>
        <v>-2.6635139271672936E-2</v>
      </c>
      <c r="J54" s="247">
        <f t="shared" si="23"/>
        <v>157473555</v>
      </c>
      <c r="K54" s="495">
        <f t="shared" si="21"/>
        <v>5.6926379145197048E-2</v>
      </c>
      <c r="L54" s="247">
        <f t="shared" ref="L54" si="24">+L52+L53</f>
        <v>162077071</v>
      </c>
      <c r="M54" s="495">
        <f t="shared" si="21"/>
        <v>2.9233581473409931E-2</v>
      </c>
      <c r="N54" s="247">
        <f t="shared" ref="N54:P54" si="25">+N52+N53</f>
        <v>166831751</v>
      </c>
      <c r="O54" s="495">
        <f t="shared" si="21"/>
        <v>2.9335920069779586E-2</v>
      </c>
      <c r="P54" s="247">
        <f t="shared" si="25"/>
        <v>171742813</v>
      </c>
      <c r="Q54" s="498">
        <f t="shared" si="21"/>
        <v>2.9437214262649558E-2</v>
      </c>
    </row>
    <row r="55" spans="2:17" ht="12.75" customHeight="1" x14ac:dyDescent="0.25">
      <c r="B55" s="240"/>
      <c r="C55" s="241"/>
      <c r="D55" s="241"/>
      <c r="E55" s="495"/>
      <c r="F55" s="247"/>
      <c r="G55" s="495"/>
      <c r="H55" s="247"/>
      <c r="I55" s="495"/>
      <c r="J55" s="247"/>
      <c r="K55" s="495"/>
      <c r="L55" s="247"/>
      <c r="M55" s="495"/>
      <c r="N55" s="247"/>
      <c r="O55" s="495"/>
      <c r="P55" s="247"/>
      <c r="Q55" s="498"/>
    </row>
    <row r="56" spans="2:17" ht="12.75" customHeight="1" x14ac:dyDescent="0.25">
      <c r="B56" s="240" t="s">
        <v>270</v>
      </c>
      <c r="C56" s="503">
        <v>-56593638</v>
      </c>
      <c r="D56" s="503">
        <v>-60792321.000000022</v>
      </c>
      <c r="E56" s="495">
        <f t="shared" si="0"/>
        <v>7.41900176129342E-2</v>
      </c>
      <c r="F56" s="503">
        <f>+F18+F29+F42</f>
        <v>-63197790</v>
      </c>
      <c r="G56" s="495">
        <f t="shared" ref="G56:G63" si="26">IF(D56=0,"n/a",+F56/D56-1)</f>
        <v>3.9568632360655887E-2</v>
      </c>
      <c r="H56" s="503">
        <f>+H18+H29+H42</f>
        <v>-65013493</v>
      </c>
      <c r="I56" s="495">
        <f t="shared" ref="I56:I63" si="27">IF(D56=0,"n/a",+H56/D56-1)</f>
        <v>6.9435940766268356E-2</v>
      </c>
      <c r="J56" s="503">
        <f>+J18+J29+J42</f>
        <v>-66121473</v>
      </c>
      <c r="K56" s="495">
        <f t="shared" si="21"/>
        <v>1.7042308432804854E-2</v>
      </c>
      <c r="L56" s="503">
        <f>+L18+L29+L42</f>
        <v>-68621079</v>
      </c>
      <c r="M56" s="495">
        <f t="shared" si="21"/>
        <v>3.780324131617574E-2</v>
      </c>
      <c r="N56" s="503">
        <f>+N18+N29+N42</f>
        <v>-70885240</v>
      </c>
      <c r="O56" s="495">
        <f t="shared" si="21"/>
        <v>3.2995123845254604E-2</v>
      </c>
      <c r="P56" s="503">
        <f>+P18+P29+P42</f>
        <v>-73872722</v>
      </c>
      <c r="Q56" s="498">
        <f t="shared" si="21"/>
        <v>4.21453323710268E-2</v>
      </c>
    </row>
    <row r="57" spans="2:17" ht="12.75" customHeight="1" x14ac:dyDescent="0.25">
      <c r="B57" s="240" t="s">
        <v>271</v>
      </c>
      <c r="C57" s="503">
        <v>-8474655</v>
      </c>
      <c r="D57" s="503">
        <v>-9627411</v>
      </c>
      <c r="E57" s="495">
        <f t="shared" si="0"/>
        <v>0.13602394433755705</v>
      </c>
      <c r="F57" s="503">
        <f>+F19+F30+F43</f>
        <v>-10073040</v>
      </c>
      <c r="G57" s="495">
        <f t="shared" si="26"/>
        <v>4.6287522159384364E-2</v>
      </c>
      <c r="H57" s="503">
        <f>+H19+H30+H43</f>
        <v>-7036949</v>
      </c>
      <c r="I57" s="495">
        <f t="shared" si="27"/>
        <v>-0.26907150842526617</v>
      </c>
      <c r="J57" s="503">
        <f>+J19+J30+J43</f>
        <v>-7910337</v>
      </c>
      <c r="K57" s="495">
        <f t="shared" si="21"/>
        <v>0.12411458431772071</v>
      </c>
      <c r="L57" s="503">
        <f>+L19+L30+L43</f>
        <v>-7935890</v>
      </c>
      <c r="M57" s="495">
        <f t="shared" si="21"/>
        <v>3.2303301363771908E-3</v>
      </c>
      <c r="N57" s="503">
        <f>+N19+N30+N43</f>
        <v>-7979177</v>
      </c>
      <c r="O57" s="495">
        <f t="shared" si="21"/>
        <v>5.4545866941200227E-3</v>
      </c>
      <c r="P57" s="503">
        <f>+P19+P30+P43</f>
        <v>-8022293</v>
      </c>
      <c r="Q57" s="498">
        <f t="shared" si="21"/>
        <v>5.403564803738492E-3</v>
      </c>
    </row>
    <row r="58" spans="2:17" ht="12.75" customHeight="1" x14ac:dyDescent="0.25">
      <c r="B58" s="240" t="s">
        <v>272</v>
      </c>
      <c r="C58" s="503">
        <v>-2634253</v>
      </c>
      <c r="D58" s="503">
        <v>-3520013.0000000005</v>
      </c>
      <c r="E58" s="495">
        <f t="shared" si="0"/>
        <v>0.3362471258455435</v>
      </c>
      <c r="F58" s="503">
        <f>+F20+F31+F44</f>
        <v>-3113975</v>
      </c>
      <c r="G58" s="495">
        <f t="shared" si="26"/>
        <v>-0.11535127853221006</v>
      </c>
      <c r="H58" s="503">
        <f>+H20+H31+H44</f>
        <v>-3778102</v>
      </c>
      <c r="I58" s="495">
        <f t="shared" si="27"/>
        <v>7.3320467850544802E-2</v>
      </c>
      <c r="J58" s="503">
        <f>+J20+J31+J44</f>
        <v>-3167826</v>
      </c>
      <c r="K58" s="495">
        <f t="shared" si="21"/>
        <v>-0.16152978400265527</v>
      </c>
      <c r="L58" s="503">
        <f>+L20+L31+L44</f>
        <v>-2431156</v>
      </c>
      <c r="M58" s="495">
        <f t="shared" si="21"/>
        <v>-0.23254749471719727</v>
      </c>
      <c r="N58" s="503">
        <f>+N20+N31+N44</f>
        <v>-2502476</v>
      </c>
      <c r="O58" s="495">
        <f t="shared" si="21"/>
        <v>2.9335838588720797E-2</v>
      </c>
      <c r="P58" s="503">
        <f>+P20+P31+P44</f>
        <v>-2576142</v>
      </c>
      <c r="Q58" s="498">
        <f t="shared" si="21"/>
        <v>2.9437245352203156E-2</v>
      </c>
    </row>
    <row r="59" spans="2:17" ht="12.75" customHeight="1" x14ac:dyDescent="0.25">
      <c r="B59" s="240" t="s">
        <v>273</v>
      </c>
      <c r="C59" s="503">
        <v>-4333161.78</v>
      </c>
      <c r="D59" s="503">
        <v>-4437076.0000000009</v>
      </c>
      <c r="E59" s="495">
        <f t="shared" si="0"/>
        <v>2.3981154010825012E-2</v>
      </c>
      <c r="F59" s="503">
        <f>+F21+F32+F45</f>
        <v>-5026252.0000000009</v>
      </c>
      <c r="G59" s="495">
        <f t="shared" si="26"/>
        <v>0.1327847438267904</v>
      </c>
      <c r="H59" s="503">
        <f>+H21+H32+H45</f>
        <v>-920111</v>
      </c>
      <c r="I59" s="495">
        <f t="shared" si="27"/>
        <v>-0.79263122831342092</v>
      </c>
      <c r="J59" s="503">
        <f>+J21+J32+J45</f>
        <v>-4842195</v>
      </c>
      <c r="K59" s="495">
        <f t="shared" si="21"/>
        <v>4.2626204881802305</v>
      </c>
      <c r="L59" s="503">
        <f>+L21+L32+L45</f>
        <v>-4862312</v>
      </c>
      <c r="M59" s="495">
        <f t="shared" si="21"/>
        <v>4.1545208319779814E-3</v>
      </c>
      <c r="N59" s="503">
        <f>+N21+N32+N45</f>
        <v>-5004953</v>
      </c>
      <c r="O59" s="495">
        <f t="shared" si="21"/>
        <v>2.9336044252199267E-2</v>
      </c>
      <c r="P59" s="503">
        <f>+P21+P32+P45</f>
        <v>-5152284</v>
      </c>
      <c r="Q59" s="498">
        <f t="shared" si="21"/>
        <v>2.9437039668504417E-2</v>
      </c>
    </row>
    <row r="60" spans="2:17" ht="12.75" customHeight="1" x14ac:dyDescent="0.25">
      <c r="B60" s="240" t="s">
        <v>279</v>
      </c>
      <c r="C60" s="503">
        <v>936015.42000000027</v>
      </c>
      <c r="D60" s="503">
        <v>1050745.9999999998</v>
      </c>
      <c r="E60" s="495">
        <f t="shared" si="0"/>
        <v>0.12257338666493278</v>
      </c>
      <c r="F60" s="503">
        <f>+F49</f>
        <v>889342.99999999988</v>
      </c>
      <c r="G60" s="495">
        <f t="shared" si="26"/>
        <v>-0.1536080080247747</v>
      </c>
      <c r="H60" s="503">
        <f>+H49</f>
        <v>918389</v>
      </c>
      <c r="I60" s="495">
        <f t="shared" si="27"/>
        <v>-0.12596479072963385</v>
      </c>
      <c r="J60" s="503">
        <f>+J49</f>
        <v>976889</v>
      </c>
      <c r="K60" s="495">
        <f t="shared" si="21"/>
        <v>6.3698498130966286E-2</v>
      </c>
      <c r="L60" s="503">
        <f>+L49</f>
        <v>754085</v>
      </c>
      <c r="M60" s="495">
        <f t="shared" si="21"/>
        <v>-0.22807504230265674</v>
      </c>
      <c r="N60" s="503">
        <f>+N49</f>
        <v>776207</v>
      </c>
      <c r="O60" s="495">
        <f t="shared" si="21"/>
        <v>2.9336215413381828E-2</v>
      </c>
      <c r="P60" s="503">
        <f>+P49</f>
        <v>799056</v>
      </c>
      <c r="Q60" s="498">
        <f t="shared" si="21"/>
        <v>2.9436735303855821E-2</v>
      </c>
    </row>
    <row r="61" spans="2:17" ht="12.75" customHeight="1" x14ac:dyDescent="0.25">
      <c r="B61" s="240" t="s">
        <v>276</v>
      </c>
      <c r="C61" s="503">
        <v>0</v>
      </c>
      <c r="D61" s="503">
        <v>0</v>
      </c>
      <c r="E61" s="495" t="str">
        <f t="shared" si="0"/>
        <v>n/a</v>
      </c>
      <c r="F61" s="503"/>
      <c r="G61" s="495" t="str">
        <f t="shared" si="26"/>
        <v>n/a</v>
      </c>
      <c r="H61" s="503"/>
      <c r="I61" s="495" t="str">
        <f t="shared" si="27"/>
        <v>n/a</v>
      </c>
      <c r="J61" s="503"/>
      <c r="K61" s="495" t="str">
        <f t="shared" si="21"/>
        <v>n/a</v>
      </c>
      <c r="L61" s="503"/>
      <c r="M61" s="495" t="str">
        <f t="shared" si="21"/>
        <v>n/a</v>
      </c>
      <c r="N61" s="503"/>
      <c r="O61" s="495" t="str">
        <f t="shared" si="21"/>
        <v>n/a</v>
      </c>
      <c r="P61" s="503"/>
      <c r="Q61" s="498" t="str">
        <f t="shared" si="21"/>
        <v>n/a</v>
      </c>
    </row>
    <row r="62" spans="2:17" ht="12.75" customHeight="1" x14ac:dyDescent="0.25">
      <c r="B62" s="240" t="s">
        <v>277</v>
      </c>
      <c r="C62" s="503">
        <v>0</v>
      </c>
      <c r="D62" s="503">
        <v>0</v>
      </c>
      <c r="E62" s="495" t="str">
        <f t="shared" si="0"/>
        <v>n/a</v>
      </c>
      <c r="F62" s="503"/>
      <c r="G62" s="495" t="str">
        <f t="shared" si="26"/>
        <v>n/a</v>
      </c>
      <c r="H62" s="503"/>
      <c r="I62" s="495" t="str">
        <f t="shared" si="27"/>
        <v>n/a</v>
      </c>
      <c r="J62" s="503"/>
      <c r="K62" s="495" t="str">
        <f t="shared" si="21"/>
        <v>n/a</v>
      </c>
      <c r="L62" s="503"/>
      <c r="M62" s="495" t="str">
        <f t="shared" si="21"/>
        <v>n/a</v>
      </c>
      <c r="N62" s="503"/>
      <c r="O62" s="495" t="str">
        <f t="shared" si="21"/>
        <v>n/a</v>
      </c>
      <c r="P62" s="503"/>
      <c r="Q62" s="498" t="str">
        <f t="shared" si="21"/>
        <v>n/a</v>
      </c>
    </row>
    <row r="63" spans="2:17" s="30" customFormat="1" ht="20.25" customHeight="1" thickBot="1" x14ac:dyDescent="0.3">
      <c r="B63" s="252" t="s">
        <v>274</v>
      </c>
      <c r="C63" s="254">
        <v>71512772.640000001</v>
      </c>
      <c r="D63" s="254">
        <v>75742920.000000015</v>
      </c>
      <c r="E63" s="497">
        <f t="shared" si="0"/>
        <v>5.9152333266322188E-2</v>
      </c>
      <c r="F63" s="255">
        <f>SUM(F54:F62)</f>
        <v>73896150.99999997</v>
      </c>
      <c r="G63" s="497">
        <f t="shared" si="26"/>
        <v>-2.4382067657281348E-2</v>
      </c>
      <c r="H63" s="255">
        <f>SUM(H54:H62)</f>
        <v>73161715</v>
      </c>
      <c r="I63" s="497">
        <f t="shared" si="27"/>
        <v>-3.4078498690042758E-2</v>
      </c>
      <c r="J63" s="255">
        <f>SUM(J54:J62)</f>
        <v>76408613</v>
      </c>
      <c r="K63" s="497">
        <f t="shared" si="21"/>
        <v>4.4379741508246529E-2</v>
      </c>
      <c r="L63" s="255">
        <f t="shared" ref="L63:P63" si="28">SUM(L54:L62)</f>
        <v>78980719</v>
      </c>
      <c r="M63" s="497">
        <f t="shared" si="21"/>
        <v>3.3662513936746796E-2</v>
      </c>
      <c r="N63" s="255">
        <f t="shared" ref="N63" si="29">SUM(N54:N62)</f>
        <v>81236112</v>
      </c>
      <c r="O63" s="497">
        <f t="shared" si="21"/>
        <v>2.8556248012885366E-2</v>
      </c>
      <c r="P63" s="255">
        <f t="shared" si="28"/>
        <v>82918428</v>
      </c>
      <c r="Q63" s="500">
        <f t="shared" si="21"/>
        <v>2.070896746018569E-2</v>
      </c>
    </row>
    <row r="64" spans="2:17" ht="12.75" customHeight="1" thickBot="1" x14ac:dyDescent="0.3">
      <c r="B64" s="504" t="s">
        <v>491</v>
      </c>
      <c r="C64" s="256">
        <f>+C63/C54</f>
        <v>0.50144826148261312</v>
      </c>
      <c r="D64" s="256">
        <f t="shared" ref="D64:P64" si="30">+D63/D54</f>
        <v>0.49482862287035995</v>
      </c>
      <c r="E64" s="256"/>
      <c r="F64" s="256">
        <f t="shared" ref="F64:H64" si="31">+F63/F54</f>
        <v>0.478546643550602</v>
      </c>
      <c r="G64" s="256"/>
      <c r="H64" s="256">
        <f t="shared" si="31"/>
        <v>0.49104464890630589</v>
      </c>
      <c r="I64" s="256"/>
      <c r="J64" s="256">
        <f t="shared" si="30"/>
        <v>0.48521552079014157</v>
      </c>
      <c r="K64" s="256"/>
      <c r="L64" s="256">
        <f t="shared" si="30"/>
        <v>0.4873034693476167</v>
      </c>
      <c r="M64" s="256"/>
      <c r="N64" s="256">
        <f t="shared" si="30"/>
        <v>0.48693436059422524</v>
      </c>
      <c r="O64" s="256"/>
      <c r="P64" s="257">
        <f t="shared" si="30"/>
        <v>0.48280581033687853</v>
      </c>
      <c r="Q64" s="258"/>
    </row>
    <row r="65" spans="2:16" ht="12.75" customHeight="1" outlineLevel="1" x14ac:dyDescent="0.25">
      <c r="B65" s="558" t="s">
        <v>257</v>
      </c>
      <c r="C65" s="530"/>
      <c r="D65" s="530"/>
      <c r="E65" s="530"/>
      <c r="F65" s="530"/>
      <c r="G65" s="530"/>
      <c r="H65" s="530"/>
      <c r="I65" s="531"/>
      <c r="J65" s="531"/>
      <c r="K65" s="531"/>
      <c r="P65" s="126"/>
    </row>
    <row r="66" spans="2:16" ht="12.75" customHeight="1" outlineLevel="1" x14ac:dyDescent="0.3">
      <c r="B66" s="559" t="s">
        <v>280</v>
      </c>
      <c r="C66" s="530"/>
      <c r="D66" s="530"/>
      <c r="E66" s="530"/>
      <c r="F66" s="530"/>
      <c r="G66" s="530"/>
      <c r="H66" s="530"/>
      <c r="I66" s="531"/>
      <c r="J66" s="531"/>
      <c r="K66" s="531"/>
      <c r="P66" s="126"/>
    </row>
    <row r="67" spans="2:16" ht="12.75" customHeight="1" outlineLevel="1" x14ac:dyDescent="0.25">
      <c r="B67" s="558" t="s">
        <v>267</v>
      </c>
      <c r="C67" s="530">
        <f t="shared" ref="C67:D69" si="32">+C14+C25+C38</f>
        <v>124995949.00000003</v>
      </c>
      <c r="D67" s="530">
        <f t="shared" si="32"/>
        <v>133973975.00000003</v>
      </c>
      <c r="E67" s="530"/>
      <c r="F67" s="530">
        <f t="shared" ref="F67" si="33">+F14+F25+F38</f>
        <v>132761065.99999997</v>
      </c>
      <c r="G67" s="530"/>
      <c r="H67" s="530">
        <f>+H14+H25+H38</f>
        <v>133598234</v>
      </c>
      <c r="I67" s="531"/>
      <c r="J67" s="530">
        <f>+J14+J25+J38</f>
        <v>140091968</v>
      </c>
      <c r="K67" s="531"/>
      <c r="L67" s="530">
        <f>+L14+L25+L38</f>
        <v>144579477</v>
      </c>
      <c r="N67" s="530">
        <f>+N14+N25+N38</f>
        <v>149218150</v>
      </c>
      <c r="P67" s="530">
        <f>+P14+P25+P38</f>
        <v>154013204</v>
      </c>
    </row>
    <row r="68" spans="2:16" ht="12.75" customHeight="1" outlineLevel="1" x14ac:dyDescent="0.25">
      <c r="B68" s="558" t="s">
        <v>268</v>
      </c>
      <c r="C68" s="530">
        <f t="shared" si="32"/>
        <v>17616515.999999996</v>
      </c>
      <c r="D68" s="530">
        <f t="shared" si="32"/>
        <v>19095020.000000004</v>
      </c>
      <c r="E68" s="530"/>
      <c r="F68" s="530">
        <f t="shared" ref="F68" si="34">+F15+F26+F39</f>
        <v>21656799</v>
      </c>
      <c r="G68" s="530"/>
      <c r="H68" s="530">
        <f>+H15+H26+H39</f>
        <v>15393747</v>
      </c>
      <c r="I68" s="531"/>
      <c r="J68" s="530">
        <f>+J15+J26+J39</f>
        <v>17381587</v>
      </c>
      <c r="K68" s="531"/>
      <c r="L68" s="530">
        <f>+L15+L26+L39</f>
        <v>17497594</v>
      </c>
      <c r="N68" s="530">
        <f>+N15+N26+N39</f>
        <v>17613601</v>
      </c>
      <c r="P68" s="530">
        <f>+P15+P26+P39</f>
        <v>17729609</v>
      </c>
    </row>
    <row r="69" spans="2:16" ht="12.75" customHeight="1" outlineLevel="1" x14ac:dyDescent="0.25">
      <c r="B69" s="558" t="s">
        <v>269</v>
      </c>
      <c r="C69" s="530">
        <f t="shared" si="32"/>
        <v>142612464.99999997</v>
      </c>
      <c r="D69" s="530">
        <f t="shared" si="32"/>
        <v>153068995</v>
      </c>
      <c r="E69" s="530"/>
      <c r="F69" s="530">
        <f t="shared" ref="F69" si="35">+F16+F27+F40</f>
        <v>154417864.99999997</v>
      </c>
      <c r="G69" s="530"/>
      <c r="H69" s="530">
        <f>+H16+H27+H40</f>
        <v>148991981</v>
      </c>
      <c r="I69" s="531"/>
      <c r="J69" s="530">
        <f>+J16+J27+J40</f>
        <v>157473555</v>
      </c>
      <c r="K69" s="531"/>
      <c r="L69" s="530">
        <f>+L16+L27+L40</f>
        <v>162077071</v>
      </c>
      <c r="N69" s="530">
        <f>+N16+N27+N40</f>
        <v>166831751</v>
      </c>
      <c r="P69" s="530">
        <f>+P16+P27+P40</f>
        <v>171742813</v>
      </c>
    </row>
    <row r="70" spans="2:16" ht="12.75" customHeight="1" outlineLevel="1" x14ac:dyDescent="0.25">
      <c r="B70" s="558"/>
      <c r="C70" s="530"/>
      <c r="D70" s="530"/>
      <c r="E70" s="530"/>
      <c r="F70" s="530"/>
      <c r="G70" s="530"/>
      <c r="H70" s="530"/>
      <c r="I70" s="531"/>
      <c r="J70" s="530"/>
      <c r="K70" s="531"/>
      <c r="L70" s="530"/>
      <c r="N70" s="530"/>
      <c r="P70" s="530"/>
    </row>
    <row r="71" spans="2:16" ht="12.75" customHeight="1" outlineLevel="1" x14ac:dyDescent="0.25">
      <c r="B71" s="558" t="s">
        <v>270</v>
      </c>
      <c r="C71" s="530">
        <f>+C18+C29+C42</f>
        <v>-56593638</v>
      </c>
      <c r="D71" s="530">
        <f>+D18+D29+D42</f>
        <v>-60792320.999999993</v>
      </c>
      <c r="E71" s="530"/>
      <c r="F71" s="530">
        <f>+F18+F29+F42</f>
        <v>-63197790</v>
      </c>
      <c r="G71" s="530"/>
      <c r="H71" s="530">
        <f>+H18+H29+H42</f>
        <v>-65013493</v>
      </c>
      <c r="I71" s="531"/>
      <c r="J71" s="530">
        <f>+J18+J29+J42</f>
        <v>-66121473</v>
      </c>
      <c r="K71" s="531"/>
      <c r="L71" s="530">
        <f>+L18+L29+L42</f>
        <v>-68621079</v>
      </c>
      <c r="N71" s="530">
        <f>+N18+N29+N42</f>
        <v>-70885240</v>
      </c>
      <c r="P71" s="530">
        <f>+P18+P29+P42</f>
        <v>-73872722</v>
      </c>
    </row>
    <row r="72" spans="2:16" ht="12.75" customHeight="1" outlineLevel="1" x14ac:dyDescent="0.25">
      <c r="B72" s="558" t="s">
        <v>271</v>
      </c>
      <c r="C72" s="530">
        <f>+C19+C30+C43</f>
        <v>-8474655</v>
      </c>
      <c r="D72" s="530">
        <f>+D19+D30+D43</f>
        <v>-9627411</v>
      </c>
      <c r="E72" s="530"/>
      <c r="F72" s="530">
        <f>+F19+F30+F43</f>
        <v>-10073040</v>
      </c>
      <c r="G72" s="530"/>
      <c r="H72" s="530">
        <f>+H19+H30+H43</f>
        <v>-7036949</v>
      </c>
      <c r="I72" s="531"/>
      <c r="J72" s="530">
        <f>+J19+J30+J43</f>
        <v>-7910337</v>
      </c>
      <c r="K72" s="531"/>
      <c r="L72" s="530">
        <f>+L19+L30+L43</f>
        <v>-7935890</v>
      </c>
      <c r="N72" s="530">
        <f>+N19+N30+N43</f>
        <v>-7979177</v>
      </c>
      <c r="P72" s="530">
        <f>+P19+P30+P43</f>
        <v>-8022293</v>
      </c>
    </row>
    <row r="73" spans="2:16" ht="12.75" customHeight="1" outlineLevel="1" x14ac:dyDescent="0.25">
      <c r="B73" s="558" t="s">
        <v>272</v>
      </c>
      <c r="C73" s="530">
        <f>+C58</f>
        <v>-2634253</v>
      </c>
      <c r="D73" s="530">
        <f>+D58</f>
        <v>-3520013.0000000005</v>
      </c>
      <c r="E73" s="530"/>
      <c r="F73" s="530">
        <f>+F58</f>
        <v>-3113975</v>
      </c>
      <c r="G73" s="530"/>
      <c r="H73" s="530">
        <f>+H58</f>
        <v>-3778102</v>
      </c>
      <c r="I73" s="531"/>
      <c r="J73" s="530">
        <f>+J58</f>
        <v>-3167826</v>
      </c>
      <c r="K73" s="531"/>
      <c r="L73" s="530">
        <f>+L58</f>
        <v>-2431156</v>
      </c>
      <c r="N73" s="530">
        <f>+N58</f>
        <v>-2502476</v>
      </c>
      <c r="P73" s="530">
        <f>+P58</f>
        <v>-2576142</v>
      </c>
    </row>
    <row r="74" spans="2:16" ht="12.75" customHeight="1" outlineLevel="1" x14ac:dyDescent="0.25">
      <c r="B74" s="558" t="s">
        <v>273</v>
      </c>
      <c r="C74" s="530">
        <f>+C59</f>
        <v>-4333161.78</v>
      </c>
      <c r="D74" s="530">
        <f>+D59</f>
        <v>-4437076.0000000009</v>
      </c>
      <c r="E74" s="530"/>
      <c r="F74" s="530">
        <f>+F59</f>
        <v>-5026252.0000000009</v>
      </c>
      <c r="G74" s="530"/>
      <c r="H74" s="530">
        <f>+H59</f>
        <v>-920111</v>
      </c>
      <c r="I74" s="531"/>
      <c r="J74" s="530">
        <f>+J59</f>
        <v>-4842195</v>
      </c>
      <c r="K74" s="531"/>
      <c r="L74" s="530">
        <f>+L59</f>
        <v>-4862312</v>
      </c>
      <c r="N74" s="530">
        <f>+N59</f>
        <v>-5004953</v>
      </c>
      <c r="P74" s="530">
        <f>+P59</f>
        <v>-5152284</v>
      </c>
    </row>
    <row r="75" spans="2:16" ht="12.75" customHeight="1" outlineLevel="1" x14ac:dyDescent="0.25">
      <c r="B75" s="558" t="s">
        <v>279</v>
      </c>
      <c r="C75" s="530">
        <f>+C49</f>
        <v>936015.42000000027</v>
      </c>
      <c r="D75" s="530">
        <f>+D49</f>
        <v>1050745.9999999998</v>
      </c>
      <c r="E75" s="530"/>
      <c r="F75" s="530">
        <f>+F49</f>
        <v>889342.99999999988</v>
      </c>
      <c r="G75" s="530"/>
      <c r="H75" s="530">
        <f>+H49</f>
        <v>918389</v>
      </c>
      <c r="I75" s="531"/>
      <c r="J75" s="530">
        <f>+J49</f>
        <v>976889</v>
      </c>
      <c r="K75" s="531"/>
      <c r="L75" s="530">
        <f>+L49</f>
        <v>754085</v>
      </c>
      <c r="N75" s="530">
        <f>+N49</f>
        <v>776207</v>
      </c>
      <c r="P75" s="530">
        <f>+P49</f>
        <v>799056</v>
      </c>
    </row>
    <row r="76" spans="2:16" ht="12.75" customHeight="1" outlineLevel="1" x14ac:dyDescent="0.25">
      <c r="B76" s="558" t="s">
        <v>276</v>
      </c>
      <c r="C76" s="530">
        <f>+C33</f>
        <v>0</v>
      </c>
      <c r="D76" s="530">
        <f>+D33</f>
        <v>0</v>
      </c>
      <c r="E76" s="530"/>
      <c r="F76" s="530">
        <f>+F33</f>
        <v>0</v>
      </c>
      <c r="G76" s="530"/>
      <c r="H76" s="530">
        <f>+H33</f>
        <v>0</v>
      </c>
      <c r="I76" s="531"/>
      <c r="J76" s="530">
        <f>+J33</f>
        <v>0</v>
      </c>
      <c r="K76" s="531"/>
      <c r="L76" s="530">
        <f>+L33</f>
        <v>0</v>
      </c>
      <c r="N76" s="530">
        <f>+N33</f>
        <v>0</v>
      </c>
      <c r="P76" s="530">
        <f>+P33</f>
        <v>0</v>
      </c>
    </row>
    <row r="77" spans="2:16" ht="12.75" customHeight="1" outlineLevel="1" x14ac:dyDescent="0.25">
      <c r="B77" s="558" t="s">
        <v>277</v>
      </c>
      <c r="C77" s="530">
        <f>+C34</f>
        <v>0</v>
      </c>
      <c r="D77" s="530">
        <f>+D34</f>
        <v>0</v>
      </c>
      <c r="E77" s="530"/>
      <c r="F77" s="530">
        <f>+F34</f>
        <v>0</v>
      </c>
      <c r="G77" s="530"/>
      <c r="H77" s="530">
        <f>+H34</f>
        <v>0</v>
      </c>
      <c r="I77" s="531"/>
      <c r="J77" s="530">
        <f>+J34</f>
        <v>0</v>
      </c>
      <c r="K77" s="531"/>
      <c r="L77" s="530">
        <f>+L34</f>
        <v>0</v>
      </c>
      <c r="N77" s="530">
        <f>+N34</f>
        <v>0</v>
      </c>
      <c r="P77" s="530">
        <f>+P34</f>
        <v>0</v>
      </c>
    </row>
    <row r="78" spans="2:16" ht="12.75" customHeight="1" outlineLevel="1" thickBot="1" x14ac:dyDescent="0.3">
      <c r="B78" s="560" t="s">
        <v>274</v>
      </c>
      <c r="C78" s="561">
        <f>+C22+C35+C46+C49</f>
        <v>71512772.640000001</v>
      </c>
      <c r="D78" s="561">
        <f>+D22+D35+D46+D49</f>
        <v>75742920.000000015</v>
      </c>
      <c r="E78" s="561"/>
      <c r="F78" s="561">
        <f>+F22+F35+F46+F49</f>
        <v>73896150.99999997</v>
      </c>
      <c r="G78" s="561"/>
      <c r="H78" s="561">
        <f>+H22+H35+H46+H49</f>
        <v>73161715</v>
      </c>
      <c r="I78" s="531"/>
      <c r="J78" s="561">
        <f>+J22+J35+J46+J49</f>
        <v>76408613</v>
      </c>
      <c r="K78" s="531"/>
      <c r="L78" s="561">
        <f>+L22+L35+L46+L49</f>
        <v>78980719</v>
      </c>
      <c r="N78" s="561">
        <f>+N22+N35+N46+N49</f>
        <v>81236112</v>
      </c>
      <c r="P78" s="561">
        <f>+P22+P35+P46+P49</f>
        <v>82918428</v>
      </c>
    </row>
    <row r="79" spans="2:16" ht="12.75" customHeight="1" outlineLevel="1" x14ac:dyDescent="0.25">
      <c r="B79" s="558"/>
      <c r="C79" s="530"/>
      <c r="D79" s="530"/>
      <c r="E79" s="530"/>
      <c r="F79" s="530"/>
      <c r="G79" s="530"/>
      <c r="H79" s="530"/>
      <c r="I79" s="531"/>
      <c r="J79" s="531"/>
      <c r="K79" s="531"/>
      <c r="P79" s="126"/>
    </row>
    <row r="80" spans="2:16" ht="12.75" customHeight="1" outlineLevel="1" x14ac:dyDescent="0.25">
      <c r="B80" s="558" t="s">
        <v>257</v>
      </c>
      <c r="C80" s="530"/>
      <c r="D80" s="530"/>
      <c r="E80" s="530"/>
      <c r="F80" s="530"/>
      <c r="G80" s="530"/>
      <c r="H80" s="530"/>
      <c r="I80" s="531"/>
      <c r="J80" s="531"/>
      <c r="K80" s="531"/>
      <c r="P80" s="126"/>
    </row>
    <row r="81" spans="2:16" ht="12.75" customHeight="1" outlineLevel="1" x14ac:dyDescent="0.3">
      <c r="B81" s="559" t="s">
        <v>280</v>
      </c>
      <c r="C81" s="530"/>
      <c r="D81" s="530"/>
      <c r="E81" s="530"/>
      <c r="F81" s="530"/>
      <c r="G81" s="530"/>
      <c r="H81" s="530"/>
      <c r="I81" s="531"/>
      <c r="J81" s="531"/>
      <c r="K81" s="531"/>
      <c r="P81" s="126"/>
    </row>
    <row r="82" spans="2:16" ht="12.75" customHeight="1" outlineLevel="1" x14ac:dyDescent="0.25">
      <c r="B82" s="558" t="s">
        <v>267</v>
      </c>
      <c r="C82" s="530">
        <f>+C52-C67</f>
        <v>0</v>
      </c>
      <c r="D82" s="530">
        <f t="shared" ref="D82:H82" si="36">+D52-D67</f>
        <v>0</v>
      </c>
      <c r="E82" s="530"/>
      <c r="F82" s="530">
        <f t="shared" ref="F82" si="37">+F52-F67</f>
        <v>0</v>
      </c>
      <c r="G82" s="530"/>
      <c r="H82" s="530">
        <f t="shared" si="36"/>
        <v>0</v>
      </c>
      <c r="I82" s="531"/>
      <c r="J82" s="530">
        <f t="shared" ref="J82" si="38">+J52-J67</f>
        <v>0</v>
      </c>
      <c r="K82" s="531"/>
      <c r="L82" s="530">
        <f t="shared" ref="L82" si="39">+L52-L67</f>
        <v>0</v>
      </c>
      <c r="N82" s="530">
        <f t="shared" ref="N82" si="40">+N52-N67</f>
        <v>0</v>
      </c>
      <c r="P82" s="530">
        <f t="shared" ref="P82" si="41">+P52-P67</f>
        <v>0</v>
      </c>
    </row>
    <row r="83" spans="2:16" ht="12.75" customHeight="1" outlineLevel="1" x14ac:dyDescent="0.25">
      <c r="B83" s="558" t="s">
        <v>268</v>
      </c>
      <c r="C83" s="530">
        <f t="shared" ref="C83:H87" si="42">+C53-C68</f>
        <v>0</v>
      </c>
      <c r="D83" s="530">
        <f t="shared" si="42"/>
        <v>0</v>
      </c>
      <c r="E83" s="530"/>
      <c r="F83" s="530">
        <f t="shared" ref="F83" si="43">+F53-F68</f>
        <v>0</v>
      </c>
      <c r="G83" s="530"/>
      <c r="H83" s="530">
        <f t="shared" si="42"/>
        <v>0</v>
      </c>
      <c r="I83" s="531"/>
      <c r="J83" s="530">
        <f t="shared" ref="J83" si="44">+J53-J68</f>
        <v>0</v>
      </c>
      <c r="K83" s="531"/>
      <c r="L83" s="530">
        <f t="shared" ref="L83" si="45">+L53-L68</f>
        <v>0</v>
      </c>
      <c r="N83" s="530">
        <f t="shared" ref="N83" si="46">+N53-N68</f>
        <v>0</v>
      </c>
      <c r="P83" s="530">
        <f t="shared" ref="P83" si="47">+P53-P68</f>
        <v>0</v>
      </c>
    </row>
    <row r="84" spans="2:16" ht="12.75" customHeight="1" outlineLevel="1" x14ac:dyDescent="0.25">
      <c r="B84" s="558" t="s">
        <v>269</v>
      </c>
      <c r="C84" s="530">
        <f t="shared" si="42"/>
        <v>0</v>
      </c>
      <c r="D84" s="530">
        <f t="shared" si="42"/>
        <v>0</v>
      </c>
      <c r="E84" s="530"/>
      <c r="F84" s="530">
        <f t="shared" ref="F84" si="48">+F54-F69</f>
        <v>0</v>
      </c>
      <c r="G84" s="530"/>
      <c r="H84" s="530">
        <f t="shared" si="42"/>
        <v>0</v>
      </c>
      <c r="I84" s="531"/>
      <c r="J84" s="530">
        <f t="shared" ref="J84" si="49">+J54-J69</f>
        <v>0</v>
      </c>
      <c r="K84" s="531"/>
      <c r="L84" s="530">
        <f t="shared" ref="L84" si="50">+L54-L69</f>
        <v>0</v>
      </c>
      <c r="N84" s="530">
        <f t="shared" ref="N84" si="51">+N54-N69</f>
        <v>0</v>
      </c>
      <c r="P84" s="530">
        <f t="shared" ref="P84" si="52">+P54-P69</f>
        <v>0</v>
      </c>
    </row>
    <row r="85" spans="2:16" ht="12.75" customHeight="1" outlineLevel="1" x14ac:dyDescent="0.25">
      <c r="B85" s="558"/>
      <c r="C85" s="530">
        <f t="shared" si="42"/>
        <v>0</v>
      </c>
      <c r="D85" s="530">
        <f t="shared" si="42"/>
        <v>0</v>
      </c>
      <c r="E85" s="530"/>
      <c r="F85" s="530">
        <f t="shared" ref="F85" si="53">+F55-F70</f>
        <v>0</v>
      </c>
      <c r="G85" s="530"/>
      <c r="H85" s="530">
        <f t="shared" si="42"/>
        <v>0</v>
      </c>
      <c r="I85" s="531"/>
      <c r="J85" s="530">
        <f t="shared" ref="J85" si="54">+J55-J70</f>
        <v>0</v>
      </c>
      <c r="K85" s="531"/>
      <c r="L85" s="530">
        <f t="shared" ref="L85" si="55">+L55-L70</f>
        <v>0</v>
      </c>
      <c r="N85" s="530">
        <f t="shared" ref="N85" si="56">+N55-N70</f>
        <v>0</v>
      </c>
      <c r="P85" s="530">
        <f t="shared" ref="P85" si="57">+P55-P70</f>
        <v>0</v>
      </c>
    </row>
    <row r="86" spans="2:16" ht="12.75" customHeight="1" outlineLevel="1" x14ac:dyDescent="0.25">
      <c r="B86" s="558" t="s">
        <v>270</v>
      </c>
      <c r="C86" s="530">
        <f t="shared" si="42"/>
        <v>0</v>
      </c>
      <c r="D86" s="530">
        <f t="shared" si="42"/>
        <v>0</v>
      </c>
      <c r="E86" s="530"/>
      <c r="F86" s="530">
        <f t="shared" ref="F86" si="58">+F56-F71</f>
        <v>0</v>
      </c>
      <c r="G86" s="530"/>
      <c r="H86" s="530">
        <f t="shared" si="42"/>
        <v>0</v>
      </c>
      <c r="I86" s="531"/>
      <c r="J86" s="530">
        <f t="shared" ref="J86" si="59">+J56-J71</f>
        <v>0</v>
      </c>
      <c r="K86" s="531"/>
      <c r="L86" s="530">
        <f t="shared" ref="L86" si="60">+L56-L71</f>
        <v>0</v>
      </c>
      <c r="N86" s="530">
        <f t="shared" ref="N86" si="61">+N56-N71</f>
        <v>0</v>
      </c>
      <c r="P86" s="530">
        <f t="shared" ref="P86" si="62">+P56-P71</f>
        <v>0</v>
      </c>
    </row>
    <row r="87" spans="2:16" ht="12.75" customHeight="1" outlineLevel="1" x14ac:dyDescent="0.25">
      <c r="B87" s="558" t="s">
        <v>271</v>
      </c>
      <c r="C87" s="530">
        <f t="shared" si="42"/>
        <v>0</v>
      </c>
      <c r="D87" s="530">
        <f t="shared" si="42"/>
        <v>0</v>
      </c>
      <c r="E87" s="530"/>
      <c r="F87" s="530">
        <f t="shared" ref="F87" si="63">+F57-F72</f>
        <v>0</v>
      </c>
      <c r="G87" s="530"/>
      <c r="H87" s="530">
        <f t="shared" si="42"/>
        <v>0</v>
      </c>
      <c r="I87" s="531"/>
      <c r="J87" s="530">
        <f t="shared" ref="J87" si="64">+J57-J72</f>
        <v>0</v>
      </c>
      <c r="K87" s="531"/>
      <c r="L87" s="530">
        <f t="shared" ref="L87" si="65">+L57-L72</f>
        <v>0</v>
      </c>
      <c r="N87" s="530">
        <f t="shared" ref="N87" si="66">+N57-N72</f>
        <v>0</v>
      </c>
      <c r="P87" s="530">
        <f t="shared" ref="P87" si="67">+P57-P72</f>
        <v>0</v>
      </c>
    </row>
    <row r="88" spans="2:16" ht="12.75" customHeight="1" outlineLevel="1" x14ac:dyDescent="0.25">
      <c r="B88" s="558" t="s">
        <v>272</v>
      </c>
      <c r="C88" s="530"/>
      <c r="D88" s="530"/>
      <c r="E88" s="530"/>
      <c r="F88" s="530"/>
      <c r="G88" s="530"/>
      <c r="H88" s="530"/>
      <c r="I88" s="531"/>
      <c r="J88" s="530"/>
      <c r="K88" s="531"/>
      <c r="L88" s="530"/>
      <c r="N88" s="530"/>
      <c r="P88" s="530"/>
    </row>
    <row r="89" spans="2:16" ht="12.75" customHeight="1" outlineLevel="1" x14ac:dyDescent="0.25">
      <c r="B89" s="558" t="s">
        <v>273</v>
      </c>
      <c r="C89" s="530"/>
      <c r="D89" s="530"/>
      <c r="E89" s="530"/>
      <c r="F89" s="530"/>
      <c r="G89" s="530"/>
      <c r="H89" s="530"/>
      <c r="I89" s="531"/>
      <c r="J89" s="530"/>
      <c r="K89" s="531"/>
      <c r="L89" s="530"/>
      <c r="N89" s="530"/>
      <c r="P89" s="530"/>
    </row>
    <row r="90" spans="2:16" ht="12.75" customHeight="1" outlineLevel="1" x14ac:dyDescent="0.25">
      <c r="B90" s="558" t="s">
        <v>279</v>
      </c>
      <c r="C90" s="530">
        <f t="shared" ref="C90:H93" si="68">+C60-C75</f>
        <v>0</v>
      </c>
      <c r="D90" s="530">
        <f t="shared" si="68"/>
        <v>0</v>
      </c>
      <c r="E90" s="530"/>
      <c r="F90" s="530">
        <f t="shared" ref="F90" si="69">+F60-F75</f>
        <v>0</v>
      </c>
      <c r="G90" s="530"/>
      <c r="H90" s="530">
        <f t="shared" si="68"/>
        <v>0</v>
      </c>
      <c r="I90" s="531"/>
      <c r="J90" s="530">
        <f t="shared" ref="J90" si="70">+J60-J75</f>
        <v>0</v>
      </c>
      <c r="K90" s="531"/>
      <c r="L90" s="530">
        <f t="shared" ref="L90" si="71">+L60-L75</f>
        <v>0</v>
      </c>
      <c r="N90" s="530">
        <f t="shared" ref="N90" si="72">+N60-N75</f>
        <v>0</v>
      </c>
      <c r="P90" s="530">
        <f t="shared" ref="P90" si="73">+P60-P75</f>
        <v>0</v>
      </c>
    </row>
    <row r="91" spans="2:16" ht="12.75" customHeight="1" outlineLevel="1" x14ac:dyDescent="0.25">
      <c r="B91" s="558" t="s">
        <v>276</v>
      </c>
      <c r="C91" s="530">
        <f t="shared" si="68"/>
        <v>0</v>
      </c>
      <c r="D91" s="530">
        <f t="shared" si="68"/>
        <v>0</v>
      </c>
      <c r="E91" s="530"/>
      <c r="F91" s="530">
        <f t="shared" ref="F91" si="74">+F61-F76</f>
        <v>0</v>
      </c>
      <c r="G91" s="530"/>
      <c r="H91" s="530">
        <f t="shared" si="68"/>
        <v>0</v>
      </c>
      <c r="I91" s="531"/>
      <c r="J91" s="530">
        <f t="shared" ref="J91" si="75">+J61-J76</f>
        <v>0</v>
      </c>
      <c r="K91" s="531"/>
      <c r="L91" s="530">
        <f t="shared" ref="L91" si="76">+L61-L76</f>
        <v>0</v>
      </c>
      <c r="N91" s="530">
        <f t="shared" ref="N91" si="77">+N61-N76</f>
        <v>0</v>
      </c>
      <c r="P91" s="530">
        <f t="shared" ref="P91" si="78">+P61-P76</f>
        <v>0</v>
      </c>
    </row>
    <row r="92" spans="2:16" ht="12.75" customHeight="1" outlineLevel="1" x14ac:dyDescent="0.25">
      <c r="B92" s="558" t="s">
        <v>277</v>
      </c>
      <c r="C92" s="530">
        <f t="shared" si="68"/>
        <v>0</v>
      </c>
      <c r="D92" s="530">
        <f t="shared" si="68"/>
        <v>0</v>
      </c>
      <c r="E92" s="530"/>
      <c r="F92" s="530">
        <f t="shared" ref="F92" si="79">+F62-F77</f>
        <v>0</v>
      </c>
      <c r="G92" s="530"/>
      <c r="H92" s="530">
        <f t="shared" si="68"/>
        <v>0</v>
      </c>
      <c r="I92" s="531"/>
      <c r="J92" s="530">
        <f t="shared" ref="J92" si="80">+J62-J77</f>
        <v>0</v>
      </c>
      <c r="K92" s="531"/>
      <c r="L92" s="530">
        <f t="shared" ref="L92" si="81">+L62-L77</f>
        <v>0</v>
      </c>
      <c r="N92" s="530">
        <f t="shared" ref="N92" si="82">+N62-N77</f>
        <v>0</v>
      </c>
      <c r="P92" s="530">
        <f t="shared" ref="P92" si="83">+P62-P77</f>
        <v>0</v>
      </c>
    </row>
    <row r="93" spans="2:16" ht="12.75" customHeight="1" outlineLevel="1" x14ac:dyDescent="0.25">
      <c r="B93" s="560" t="s">
        <v>274</v>
      </c>
      <c r="C93" s="530">
        <f t="shared" si="68"/>
        <v>0</v>
      </c>
      <c r="D93" s="530">
        <f t="shared" si="68"/>
        <v>0</v>
      </c>
      <c r="E93" s="530"/>
      <c r="F93" s="530">
        <f t="shared" ref="F93" si="84">+F63-F78</f>
        <v>0</v>
      </c>
      <c r="G93" s="530"/>
      <c r="H93" s="530">
        <f t="shared" si="68"/>
        <v>0</v>
      </c>
      <c r="I93" s="531"/>
      <c r="J93" s="530">
        <f t="shared" ref="J93" si="85">+J63-J78</f>
        <v>0</v>
      </c>
      <c r="K93" s="531"/>
      <c r="L93" s="530">
        <f t="shared" ref="L93" si="86">+L63-L78</f>
        <v>0</v>
      </c>
      <c r="N93" s="530">
        <f t="shared" ref="N93" si="87">+N63-N78</f>
        <v>0</v>
      </c>
      <c r="P93" s="530">
        <f t="shared" ref="P93" si="88">+P63-P78</f>
        <v>0</v>
      </c>
    </row>
    <row r="94" spans="2:16" ht="12.75" customHeight="1" outlineLevel="1" x14ac:dyDescent="0.25">
      <c r="B94" s="558"/>
      <c r="C94" s="530"/>
      <c r="D94" s="530"/>
      <c r="E94" s="530"/>
      <c r="F94" s="530"/>
      <c r="G94" s="530"/>
      <c r="H94" s="530"/>
      <c r="I94" s="531"/>
      <c r="J94" s="530"/>
      <c r="K94" s="531"/>
      <c r="L94" s="530"/>
      <c r="N94" s="530"/>
      <c r="P94" s="530"/>
    </row>
    <row r="95" spans="2:16" ht="2.4" customHeight="1" outlineLevel="1" x14ac:dyDescent="0.25">
      <c r="B95" s="558"/>
      <c r="C95" s="530"/>
      <c r="D95" s="530"/>
      <c r="E95" s="530"/>
      <c r="F95" s="530"/>
      <c r="G95" s="530"/>
      <c r="H95" s="530"/>
      <c r="I95" s="531"/>
      <c r="J95" s="530"/>
      <c r="K95" s="531"/>
      <c r="L95" s="530"/>
      <c r="N95" s="530"/>
      <c r="P95" s="530"/>
    </row>
    <row r="96" spans="2:16" ht="12.75" customHeight="1" outlineLevel="1" x14ac:dyDescent="0.25">
      <c r="B96" s="531" t="s">
        <v>0</v>
      </c>
      <c r="C96" s="530"/>
      <c r="D96" s="530"/>
      <c r="E96" s="530"/>
      <c r="F96" s="530"/>
      <c r="G96" s="530"/>
      <c r="H96" s="530"/>
      <c r="I96" s="531"/>
      <c r="J96" s="530"/>
      <c r="K96" s="531"/>
      <c r="L96" s="530"/>
      <c r="N96" s="530"/>
      <c r="P96" s="530"/>
    </row>
    <row r="97" spans="2:17" ht="12.75" customHeight="1" outlineLevel="1" x14ac:dyDescent="0.25">
      <c r="B97" s="562" t="s">
        <v>281</v>
      </c>
      <c r="C97" s="532">
        <f>+'[8]Report Data'!C158</f>
        <v>71512772.839999974</v>
      </c>
      <c r="D97" s="532">
        <f>+'[8]Report Data'!D158</f>
        <v>75742920.329999968</v>
      </c>
      <c r="E97" s="532"/>
      <c r="F97" s="532">
        <f>+'[8]Report Data'!E158</f>
        <v>73896151.00000003</v>
      </c>
      <c r="G97" s="532"/>
      <c r="H97" s="532">
        <f>+'[8]Report Data'!E158</f>
        <v>73896151.00000003</v>
      </c>
      <c r="I97" s="531"/>
      <c r="J97" s="532"/>
      <c r="K97" s="531"/>
      <c r="L97" s="532"/>
      <c r="N97" s="532"/>
      <c r="P97" s="532"/>
    </row>
    <row r="98" spans="2:17" x14ac:dyDescent="0.25">
      <c r="H98" s="466">
        <f>+PL!J26</f>
        <v>73161717</v>
      </c>
      <c r="J98" s="466">
        <f>+PL!L26</f>
        <v>76408612</v>
      </c>
      <c r="L98" s="466">
        <f>+PL!N26</f>
        <v>78980720</v>
      </c>
      <c r="N98" s="466">
        <f>+PL!P26</f>
        <v>81236114</v>
      </c>
      <c r="P98" s="466">
        <f>+PL!R26</f>
        <v>82918425</v>
      </c>
    </row>
    <row r="99" spans="2:17" ht="13.8" thickBot="1" x14ac:dyDescent="0.3">
      <c r="H99" s="465">
        <f>+H98-H63</f>
        <v>2</v>
      </c>
      <c r="J99" s="465">
        <f>+J98-J63</f>
        <v>-1</v>
      </c>
      <c r="L99" s="465">
        <f>+L98-L63</f>
        <v>1</v>
      </c>
      <c r="N99" s="465">
        <f>+N98-N63</f>
        <v>2</v>
      </c>
      <c r="P99" s="465">
        <f>+P98-P63</f>
        <v>-3</v>
      </c>
    </row>
    <row r="100" spans="2:17" ht="5.4" customHeight="1" outlineLevel="1" x14ac:dyDescent="0.4">
      <c r="B100" s="644" t="str">
        <f>+B4</f>
        <v>Modernization Project</v>
      </c>
      <c r="C100" s="645"/>
      <c r="D100" s="645"/>
      <c r="E100" s="645"/>
      <c r="F100" s="645"/>
      <c r="G100" s="645"/>
      <c r="H100" s="645"/>
      <c r="I100" s="645"/>
      <c r="J100" s="645"/>
      <c r="K100" s="645"/>
      <c r="L100" s="645"/>
      <c r="M100" s="645"/>
      <c r="N100" s="645"/>
      <c r="O100" s="645"/>
      <c r="P100" s="645"/>
      <c r="Q100" s="646"/>
    </row>
    <row r="101" spans="2:17" x14ac:dyDescent="0.25">
      <c r="B101" s="233"/>
      <c r="C101" s="126"/>
      <c r="D101" s="126"/>
      <c r="E101" s="126"/>
      <c r="F101" s="126"/>
      <c r="G101" s="126"/>
      <c r="H101" s="126"/>
      <c r="I101" s="126"/>
      <c r="J101" s="126"/>
      <c r="K101" s="126"/>
      <c r="L101" s="126"/>
      <c r="M101" s="126"/>
      <c r="N101" s="126"/>
      <c r="O101" s="126"/>
      <c r="P101" s="126"/>
      <c r="Q101" s="234"/>
    </row>
    <row r="102" spans="2:17" ht="17.399999999999999" x14ac:dyDescent="0.3">
      <c r="B102" s="634" t="s">
        <v>265</v>
      </c>
      <c r="C102" s="635"/>
      <c r="D102" s="635"/>
      <c r="E102" s="635"/>
      <c r="F102" s="635"/>
      <c r="G102" s="635"/>
      <c r="H102" s="635"/>
      <c r="I102" s="635"/>
      <c r="J102" s="635"/>
      <c r="K102" s="635"/>
      <c r="L102" s="635"/>
      <c r="M102" s="635"/>
      <c r="N102" s="635"/>
      <c r="O102" s="635"/>
      <c r="P102" s="635"/>
      <c r="Q102" s="636"/>
    </row>
    <row r="103" spans="2:17" ht="17.399999999999999" x14ac:dyDescent="0.3">
      <c r="B103" s="647" t="s">
        <v>54</v>
      </c>
      <c r="C103" s="648"/>
      <c r="D103" s="648"/>
      <c r="E103" s="648"/>
      <c r="F103" s="648"/>
      <c r="G103" s="648"/>
      <c r="H103" s="648"/>
      <c r="I103" s="648"/>
      <c r="J103" s="648"/>
      <c r="K103" s="648"/>
      <c r="L103" s="648"/>
      <c r="M103" s="648"/>
      <c r="N103" s="648"/>
      <c r="O103" s="648"/>
      <c r="P103" s="648"/>
      <c r="Q103" s="649"/>
    </row>
    <row r="104" spans="2:17" ht="15.6" x14ac:dyDescent="0.3">
      <c r="B104" s="631" t="s">
        <v>282</v>
      </c>
      <c r="C104" s="632"/>
      <c r="D104" s="632"/>
      <c r="E104" s="632"/>
      <c r="F104" s="632"/>
      <c r="G104" s="632"/>
      <c r="H104" s="632"/>
      <c r="I104" s="632"/>
      <c r="J104" s="632"/>
      <c r="K104" s="632"/>
      <c r="L104" s="632"/>
      <c r="M104" s="632"/>
      <c r="N104" s="632"/>
      <c r="O104" s="632"/>
      <c r="P104" s="632"/>
      <c r="Q104" s="633"/>
    </row>
    <row r="105" spans="2:17" x14ac:dyDescent="0.25">
      <c r="B105" s="233"/>
      <c r="C105" s="126"/>
      <c r="D105" s="126"/>
      <c r="E105" s="126"/>
      <c r="F105" s="126"/>
      <c r="G105" s="126"/>
      <c r="H105" s="126"/>
      <c r="I105" s="126"/>
      <c r="J105" s="126"/>
      <c r="K105" s="126"/>
      <c r="L105" s="126"/>
      <c r="M105" s="126"/>
      <c r="N105" s="126"/>
      <c r="O105" s="126"/>
      <c r="P105" s="126"/>
      <c r="Q105" s="234"/>
    </row>
    <row r="106" spans="2:17" ht="13.8" x14ac:dyDescent="0.25">
      <c r="B106" s="233" t="s">
        <v>1</v>
      </c>
      <c r="C106" s="235" t="str">
        <f>+C10</f>
        <v>2014</v>
      </c>
      <c r="D106" s="235" t="str">
        <f>+D10</f>
        <v>2015</v>
      </c>
      <c r="E106" s="235"/>
      <c r="F106" s="235" t="str">
        <f>+F10</f>
        <v>2016</v>
      </c>
      <c r="G106" s="126"/>
      <c r="H106" s="235" t="str">
        <f>+H10</f>
        <v>2016</v>
      </c>
      <c r="I106" s="126"/>
      <c r="J106" s="235">
        <f>+J10</f>
        <v>2017</v>
      </c>
      <c r="K106" s="126"/>
      <c r="L106" s="259" t="s">
        <v>53</v>
      </c>
      <c r="M106" s="126"/>
      <c r="N106" s="235">
        <f>+N10</f>
        <v>2019</v>
      </c>
      <c r="O106" s="126"/>
      <c r="P106" s="235">
        <f>+P10</f>
        <v>2020</v>
      </c>
      <c r="Q106" s="234"/>
    </row>
    <row r="107" spans="2:17" x14ac:dyDescent="0.25">
      <c r="B107" s="233"/>
      <c r="C107" s="260" t="str">
        <f>+C11</f>
        <v>Actual</v>
      </c>
      <c r="D107" s="260" t="str">
        <f>+D11</f>
        <v>Actual</v>
      </c>
      <c r="E107" s="260"/>
      <c r="F107" s="260" t="str">
        <f>+F11</f>
        <v>Budget</v>
      </c>
      <c r="G107" s="260" t="str">
        <f>+G11</f>
        <v>% change</v>
      </c>
      <c r="H107" s="260" t="str">
        <f>+H11</f>
        <v>Actual</v>
      </c>
      <c r="I107" s="237" t="s">
        <v>57</v>
      </c>
      <c r="J107" s="15" t="s">
        <v>144</v>
      </c>
      <c r="K107" s="237" t="s">
        <v>57</v>
      </c>
      <c r="L107" s="15" t="s">
        <v>145</v>
      </c>
      <c r="M107" s="237" t="s">
        <v>57</v>
      </c>
      <c r="N107" s="15" t="s">
        <v>146</v>
      </c>
      <c r="O107" s="237" t="s">
        <v>57</v>
      </c>
      <c r="P107" s="15" t="s">
        <v>488</v>
      </c>
      <c r="Q107" s="261" t="s">
        <v>57</v>
      </c>
    </row>
    <row r="108" spans="2:17" ht="13.8" x14ac:dyDescent="0.25">
      <c r="B108" s="240"/>
      <c r="C108" s="241"/>
      <c r="D108" s="241"/>
      <c r="E108" s="241"/>
      <c r="F108" s="241"/>
      <c r="G108" s="241"/>
      <c r="H108" s="241"/>
      <c r="I108" s="126"/>
      <c r="J108" s="126"/>
      <c r="K108" s="126"/>
      <c r="L108" s="126"/>
      <c r="M108" s="126"/>
      <c r="N108" s="126"/>
      <c r="O108" s="126"/>
      <c r="P108" s="126"/>
      <c r="Q108" s="234"/>
    </row>
    <row r="109" spans="2:17" ht="15.6" x14ac:dyDescent="0.3">
      <c r="B109" s="242" t="s">
        <v>266</v>
      </c>
      <c r="C109" s="241"/>
      <c r="D109" s="241"/>
      <c r="E109" s="241"/>
      <c r="F109" s="241"/>
      <c r="G109" s="241"/>
      <c r="H109" s="241"/>
      <c r="I109" s="126"/>
      <c r="J109" s="126"/>
      <c r="K109" s="126"/>
      <c r="L109" s="126"/>
      <c r="M109" s="126"/>
      <c r="N109" s="126"/>
      <c r="O109" s="126"/>
      <c r="P109" s="126"/>
      <c r="Q109" s="234"/>
    </row>
    <row r="110" spans="2:17" ht="13.8" x14ac:dyDescent="0.25">
      <c r="B110" s="240" t="s">
        <v>267</v>
      </c>
      <c r="C110" s="241">
        <f>+C172-C14</f>
        <v>0</v>
      </c>
      <c r="D110" s="241">
        <f>+D172-D14</f>
        <v>0</v>
      </c>
      <c r="E110" s="495" t="str">
        <f>IF(C110=0,"n/a",+D110/C110-1)</f>
        <v>n/a</v>
      </c>
      <c r="F110" s="241"/>
      <c r="G110" s="495" t="str">
        <f>IF(D110=0,"n/a",+F110/D110-1)</f>
        <v>n/a</v>
      </c>
      <c r="H110" s="460">
        <f>+H172-H14</f>
        <v>0</v>
      </c>
      <c r="I110" s="495" t="str">
        <f>IF(D110=0,"n/a",+H110/D110-1)</f>
        <v>n/a</v>
      </c>
      <c r="J110" s="460">
        <f>+J172-J14</f>
        <v>0</v>
      </c>
      <c r="K110" s="495" t="str">
        <f>IF(H110=0,"n/a",+J110/H110-1)</f>
        <v>n/a</v>
      </c>
      <c r="L110" s="460">
        <f>+L172-L14</f>
        <v>0</v>
      </c>
      <c r="M110" s="243" t="str">
        <f>IF(J110=0,"n/a",+L110/J110-1)</f>
        <v>n/a</v>
      </c>
      <c r="N110" s="460">
        <f>+N172-N14</f>
        <v>41812</v>
      </c>
      <c r="O110" s="243" t="str">
        <f>IF(L110=0,"n/a",+N110/L110-1)</f>
        <v>n/a</v>
      </c>
      <c r="P110" s="460">
        <f>+P172-P14</f>
        <v>43275</v>
      </c>
      <c r="Q110" s="498">
        <f>IF(N110=0,"n/a",+P110/N110-1)</f>
        <v>3.4989955036831555E-2</v>
      </c>
    </row>
    <row r="111" spans="2:17" ht="13.8" x14ac:dyDescent="0.25">
      <c r="B111" s="240" t="s">
        <v>268</v>
      </c>
      <c r="C111" s="245">
        <f>+C173-C15</f>
        <v>0</v>
      </c>
      <c r="D111" s="245">
        <f>+D173-D15</f>
        <v>0</v>
      </c>
      <c r="E111" s="494" t="str">
        <f t="shared" ref="E111:E159" si="89">IF(C111=0,"n/a",+D111/C111-1)</f>
        <v>n/a</v>
      </c>
      <c r="F111" s="245"/>
      <c r="G111" s="494" t="str">
        <f>IF(D111=0,"n/a",+F111/D111-1)</f>
        <v>n/a</v>
      </c>
      <c r="H111" s="461">
        <f>+H173-H15</f>
        <v>0</v>
      </c>
      <c r="I111" s="494" t="str">
        <f t="shared" ref="I111:I142" si="90">IF(D111=0,"n/a",+H111/D111-1)</f>
        <v>n/a</v>
      </c>
      <c r="J111" s="461">
        <f>+J173-J15</f>
        <v>0</v>
      </c>
      <c r="K111" s="494" t="str">
        <f t="shared" ref="K111:Q142" si="91">IF(H111=0,"n/a",+J111/H111-1)</f>
        <v>n/a</v>
      </c>
      <c r="L111" s="461">
        <f>+L173-L15</f>
        <v>0</v>
      </c>
      <c r="M111" s="494" t="str">
        <f t="shared" si="91"/>
        <v>n/a</v>
      </c>
      <c r="N111" s="461">
        <f>+N173-N15</f>
        <v>38522</v>
      </c>
      <c r="O111" s="494" t="str">
        <f t="shared" si="91"/>
        <v>n/a</v>
      </c>
      <c r="P111" s="461">
        <f>+P173-P15</f>
        <v>38521</v>
      </c>
      <c r="Q111" s="499">
        <f t="shared" si="91"/>
        <v>-2.5959192149982435E-5</v>
      </c>
    </row>
    <row r="112" spans="2:17" ht="12.75" customHeight="1" x14ac:dyDescent="0.25">
      <c r="B112" s="240" t="s">
        <v>269</v>
      </c>
      <c r="C112" s="241">
        <f>+C110+C111</f>
        <v>0</v>
      </c>
      <c r="D112" s="241">
        <f>+D110+D111</f>
        <v>0</v>
      </c>
      <c r="E112" s="495" t="str">
        <f t="shared" si="89"/>
        <v>n/a</v>
      </c>
      <c r="F112" s="241"/>
      <c r="G112" s="495" t="str">
        <f>IF(D112=0,"n/a",+F112/D112-1)</f>
        <v>n/a</v>
      </c>
      <c r="H112" s="462">
        <f>+H110+H111</f>
        <v>0</v>
      </c>
      <c r="I112" s="495" t="str">
        <f t="shared" si="90"/>
        <v>n/a</v>
      </c>
      <c r="J112" s="462">
        <f>+J110+J111</f>
        <v>0</v>
      </c>
      <c r="K112" s="495" t="str">
        <f t="shared" si="91"/>
        <v>n/a</v>
      </c>
      <c r="L112" s="462">
        <f>+L110+L111</f>
        <v>0</v>
      </c>
      <c r="M112" s="495" t="str">
        <f t="shared" si="91"/>
        <v>n/a</v>
      </c>
      <c r="N112" s="462">
        <f>+N110+N111</f>
        <v>80334</v>
      </c>
      <c r="O112" s="495" t="str">
        <f t="shared" si="91"/>
        <v>n/a</v>
      </c>
      <c r="P112" s="462">
        <f>+P110+P111</f>
        <v>81796</v>
      </c>
      <c r="Q112" s="498">
        <f t="shared" si="91"/>
        <v>1.8199019095277214E-2</v>
      </c>
    </row>
    <row r="113" spans="2:17" ht="13.8" x14ac:dyDescent="0.25">
      <c r="B113" s="240"/>
      <c r="C113" s="241"/>
      <c r="D113" s="241"/>
      <c r="E113" s="495"/>
      <c r="F113" s="241"/>
      <c r="G113" s="495"/>
      <c r="H113" s="462"/>
      <c r="I113" s="495"/>
      <c r="J113" s="462"/>
      <c r="K113" s="495"/>
      <c r="L113" s="462"/>
      <c r="M113" s="495"/>
      <c r="N113" s="462"/>
      <c r="O113" s="495"/>
      <c r="P113" s="462"/>
      <c r="Q113" s="498"/>
    </row>
    <row r="114" spans="2:17" ht="13.8" x14ac:dyDescent="0.25">
      <c r="B114" s="240" t="s">
        <v>270</v>
      </c>
      <c r="C114" s="241">
        <f t="shared" ref="C114:D117" si="92">+C176-C18</f>
        <v>0</v>
      </c>
      <c r="D114" s="241">
        <f t="shared" si="92"/>
        <v>0</v>
      </c>
      <c r="E114" s="495" t="str">
        <f t="shared" si="89"/>
        <v>n/a</v>
      </c>
      <c r="F114" s="241"/>
      <c r="G114" s="495" t="str">
        <f t="shared" ref="G114:G119" si="93">IF(D114=0,"n/a",+F114/D114-1)</f>
        <v>n/a</v>
      </c>
      <c r="H114" s="463">
        <f>+H176-H18</f>
        <v>0</v>
      </c>
      <c r="I114" s="495" t="str">
        <f t="shared" si="90"/>
        <v>n/a</v>
      </c>
      <c r="J114" s="463">
        <f>+J176-J18</f>
        <v>0</v>
      </c>
      <c r="K114" s="495" t="str">
        <f t="shared" si="91"/>
        <v>n/a</v>
      </c>
      <c r="L114" s="463">
        <f>+L176-L18</f>
        <v>0</v>
      </c>
      <c r="M114" s="495" t="str">
        <f t="shared" si="91"/>
        <v>n/a</v>
      </c>
      <c r="N114" s="463">
        <f>+N176-N18</f>
        <v>-7377</v>
      </c>
      <c r="O114" s="495" t="str">
        <f t="shared" si="91"/>
        <v>n/a</v>
      </c>
      <c r="P114" s="463">
        <f>+P176-P18</f>
        <v>-7636</v>
      </c>
      <c r="Q114" s="498">
        <f t="shared" si="91"/>
        <v>3.5109122949708471E-2</v>
      </c>
    </row>
    <row r="115" spans="2:17" ht="13.8" x14ac:dyDescent="0.25">
      <c r="B115" s="240" t="s">
        <v>271</v>
      </c>
      <c r="C115" s="241">
        <f t="shared" si="92"/>
        <v>0</v>
      </c>
      <c r="D115" s="241">
        <f t="shared" si="92"/>
        <v>0</v>
      </c>
      <c r="E115" s="495" t="str">
        <f t="shared" si="89"/>
        <v>n/a</v>
      </c>
      <c r="F115" s="241"/>
      <c r="G115" s="495" t="str">
        <f t="shared" si="93"/>
        <v>n/a</v>
      </c>
      <c r="H115" s="463">
        <f>+H177-H19</f>
        <v>0</v>
      </c>
      <c r="I115" s="495" t="str">
        <f t="shared" si="90"/>
        <v>n/a</v>
      </c>
      <c r="J115" s="463">
        <f>+J177-J19</f>
        <v>0</v>
      </c>
      <c r="K115" s="495" t="str">
        <f t="shared" si="91"/>
        <v>n/a</v>
      </c>
      <c r="L115" s="463">
        <f>+L177-L19</f>
        <v>0</v>
      </c>
      <c r="M115" s="495" t="str">
        <f t="shared" si="91"/>
        <v>n/a</v>
      </c>
      <c r="N115" s="463">
        <f>+N177-N19</f>
        <v>-13976</v>
      </c>
      <c r="O115" s="495" t="str">
        <f t="shared" si="91"/>
        <v>n/a</v>
      </c>
      <c r="P115" s="463">
        <f>+P177-P19</f>
        <v>-13976</v>
      </c>
      <c r="Q115" s="498">
        <f t="shared" si="91"/>
        <v>0</v>
      </c>
    </row>
    <row r="116" spans="2:17" ht="13.8" x14ac:dyDescent="0.25">
      <c r="B116" s="240" t="s">
        <v>272</v>
      </c>
      <c r="C116" s="241">
        <f t="shared" si="92"/>
        <v>0</v>
      </c>
      <c r="D116" s="241">
        <f t="shared" si="92"/>
        <v>0</v>
      </c>
      <c r="E116" s="495" t="str">
        <f t="shared" si="89"/>
        <v>n/a</v>
      </c>
      <c r="F116" s="241"/>
      <c r="G116" s="495" t="str">
        <f t="shared" si="93"/>
        <v>n/a</v>
      </c>
      <c r="H116" s="463">
        <f>+H178-H20</f>
        <v>0</v>
      </c>
      <c r="I116" s="495" t="str">
        <f t="shared" si="90"/>
        <v>n/a</v>
      </c>
      <c r="J116" s="463">
        <f>+J178-J20</f>
        <v>0</v>
      </c>
      <c r="K116" s="495" t="str">
        <f t="shared" si="91"/>
        <v>n/a</v>
      </c>
      <c r="L116" s="463">
        <f>+L178-L20</f>
        <v>0</v>
      </c>
      <c r="M116" s="495" t="str">
        <f t="shared" si="91"/>
        <v>n/a</v>
      </c>
      <c r="N116" s="463">
        <f>+N178-N20</f>
        <v>-2899</v>
      </c>
      <c r="O116" s="495" t="str">
        <f t="shared" si="91"/>
        <v>n/a</v>
      </c>
      <c r="P116" s="463">
        <f>+P178-P20</f>
        <v>-2958</v>
      </c>
      <c r="Q116" s="498">
        <f t="shared" si="91"/>
        <v>2.0351845463953078E-2</v>
      </c>
    </row>
    <row r="117" spans="2:17" ht="13.8" x14ac:dyDescent="0.25">
      <c r="B117" s="240" t="s">
        <v>273</v>
      </c>
      <c r="C117" s="241">
        <f t="shared" si="92"/>
        <v>0</v>
      </c>
      <c r="D117" s="241">
        <f t="shared" si="92"/>
        <v>0</v>
      </c>
      <c r="E117" s="495" t="str">
        <f t="shared" si="89"/>
        <v>n/a</v>
      </c>
      <c r="F117" s="241"/>
      <c r="G117" s="495" t="str">
        <f t="shared" si="93"/>
        <v>n/a</v>
      </c>
      <c r="H117" s="463">
        <f>+H179-H21</f>
        <v>0</v>
      </c>
      <c r="I117" s="495" t="str">
        <f t="shared" si="90"/>
        <v>n/a</v>
      </c>
      <c r="J117" s="463">
        <f>+J179-J21</f>
        <v>0</v>
      </c>
      <c r="K117" s="495" t="str">
        <f t="shared" si="91"/>
        <v>n/a</v>
      </c>
      <c r="L117" s="463">
        <f>+L179-L21</f>
        <v>0</v>
      </c>
      <c r="M117" s="495" t="str">
        <f t="shared" si="91"/>
        <v>n/a</v>
      </c>
      <c r="N117" s="463">
        <f>+N179-N21</f>
        <v>-5797</v>
      </c>
      <c r="O117" s="495" t="str">
        <f t="shared" si="91"/>
        <v>n/a</v>
      </c>
      <c r="P117" s="463">
        <f>+P179-P21</f>
        <v>-5916</v>
      </c>
      <c r="Q117" s="498">
        <f t="shared" si="91"/>
        <v>2.0527859237536639E-2</v>
      </c>
    </row>
    <row r="118" spans="2:17" ht="14.4" thickBot="1" x14ac:dyDescent="0.3">
      <c r="B118" s="240" t="s">
        <v>274</v>
      </c>
      <c r="C118" s="249">
        <f>+C112+C114+C115</f>
        <v>0</v>
      </c>
      <c r="D118" s="249">
        <f>+D112+D114+D115</f>
        <v>0</v>
      </c>
      <c r="E118" s="496" t="str">
        <f t="shared" si="89"/>
        <v>n/a</v>
      </c>
      <c r="F118" s="249"/>
      <c r="G118" s="496" t="str">
        <f t="shared" si="93"/>
        <v>n/a</v>
      </c>
      <c r="H118" s="464">
        <f>+H112+H114+H115</f>
        <v>0</v>
      </c>
      <c r="I118" s="496" t="str">
        <f t="shared" si="90"/>
        <v>n/a</v>
      </c>
      <c r="J118" s="464">
        <f>+J112+J114+J115</f>
        <v>0</v>
      </c>
      <c r="K118" s="496" t="str">
        <f t="shared" si="91"/>
        <v>n/a</v>
      </c>
      <c r="L118" s="464">
        <f>+L112+L114+L115</f>
        <v>0</v>
      </c>
      <c r="M118" s="496" t="str">
        <f t="shared" si="91"/>
        <v>n/a</v>
      </c>
      <c r="N118" s="464">
        <f>+N112+N114+N115</f>
        <v>58981</v>
      </c>
      <c r="O118" s="496" t="str">
        <f t="shared" si="91"/>
        <v>n/a</v>
      </c>
      <c r="P118" s="464">
        <f>+P112+P114+P115</f>
        <v>60184</v>
      </c>
      <c r="Q118" s="502">
        <f t="shared" si="91"/>
        <v>2.0396398840304419E-2</v>
      </c>
    </row>
    <row r="119" spans="2:17" ht="14.4" thickTop="1" x14ac:dyDescent="0.25">
      <c r="B119" s="504" t="s">
        <v>491</v>
      </c>
      <c r="C119" s="251" t="e">
        <f t="shared" ref="C119" si="94">+C118/C112</f>
        <v>#DIV/0!</v>
      </c>
      <c r="D119" s="251" t="e">
        <f t="shared" ref="D119" si="95">+D118/D112</f>
        <v>#DIV/0!</v>
      </c>
      <c r="E119" s="495" t="e">
        <f t="shared" si="89"/>
        <v>#DIV/0!</v>
      </c>
      <c r="F119" s="251"/>
      <c r="G119" s="495" t="e">
        <f t="shared" si="93"/>
        <v>#DIV/0!</v>
      </c>
      <c r="H119" s="251" t="e">
        <f t="shared" ref="H119" si="96">+H118/H112</f>
        <v>#DIV/0!</v>
      </c>
      <c r="I119" s="495" t="e">
        <f t="shared" si="90"/>
        <v>#DIV/0!</v>
      </c>
      <c r="J119" s="251" t="e">
        <f t="shared" ref="J119" si="97">+J118/J112</f>
        <v>#DIV/0!</v>
      </c>
      <c r="K119" s="495" t="e">
        <f t="shared" si="91"/>
        <v>#DIV/0!</v>
      </c>
      <c r="L119" s="251" t="e">
        <f t="shared" ref="L119" si="98">+L118/L112</f>
        <v>#DIV/0!</v>
      </c>
      <c r="M119" s="495" t="e">
        <f t="shared" si="91"/>
        <v>#DIV/0!</v>
      </c>
      <c r="N119" s="251">
        <f t="shared" ref="N119" si="99">+N118/N112</f>
        <v>0.73419722657903252</v>
      </c>
      <c r="O119" s="495" t="e">
        <f t="shared" si="91"/>
        <v>#DIV/0!</v>
      </c>
      <c r="P119" s="251">
        <f t="shared" ref="P119" si="100">+P118/P112</f>
        <v>0.73578170081666583</v>
      </c>
      <c r="Q119" s="498">
        <f t="shared" si="91"/>
        <v>2.1581043625240603E-3</v>
      </c>
    </row>
    <row r="120" spans="2:17" ht="15.6" x14ac:dyDescent="0.3">
      <c r="B120" s="242" t="s">
        <v>275</v>
      </c>
      <c r="C120" s="241"/>
      <c r="D120" s="241"/>
      <c r="E120" s="495"/>
      <c r="F120" s="241"/>
      <c r="G120" s="495"/>
      <c r="H120" s="247"/>
      <c r="I120" s="495"/>
      <c r="J120" s="247"/>
      <c r="K120" s="495"/>
      <c r="L120" s="247"/>
      <c r="M120" s="495"/>
      <c r="N120" s="247"/>
      <c r="O120" s="495"/>
      <c r="P120" s="247"/>
      <c r="Q120" s="498"/>
    </row>
    <row r="121" spans="2:17" ht="13.8" x14ac:dyDescent="0.25">
      <c r="B121" s="240" t="s">
        <v>267</v>
      </c>
      <c r="C121" s="241">
        <f>+C183-C25</f>
        <v>0</v>
      </c>
      <c r="D121" s="241">
        <f>+D183-D25</f>
        <v>0</v>
      </c>
      <c r="E121" s="495" t="str">
        <f t="shared" si="89"/>
        <v>n/a</v>
      </c>
      <c r="F121" s="241"/>
      <c r="G121" s="495" t="str">
        <f t="shared" ref="G121:G123" si="101">IF(D121=0,"n/a",+F121/D121-1)</f>
        <v>n/a</v>
      </c>
      <c r="H121" s="460">
        <f>+H183-H25</f>
        <v>0</v>
      </c>
      <c r="I121" s="495" t="str">
        <f t="shared" si="90"/>
        <v>n/a</v>
      </c>
      <c r="J121" s="460">
        <f>+J183-J25</f>
        <v>0</v>
      </c>
      <c r="K121" s="495" t="str">
        <f t="shared" si="91"/>
        <v>n/a</v>
      </c>
      <c r="L121" s="460">
        <f>+L183-L25</f>
        <v>0</v>
      </c>
      <c r="M121" s="495" t="str">
        <f t="shared" si="91"/>
        <v>n/a</v>
      </c>
      <c r="N121" s="460">
        <f>+N183-N25</f>
        <v>23205</v>
      </c>
      <c r="O121" s="495" t="str">
        <f t="shared" si="91"/>
        <v>n/a</v>
      </c>
      <c r="P121" s="460">
        <f>+P183-P25</f>
        <v>24017</v>
      </c>
      <c r="Q121" s="498">
        <f t="shared" si="91"/>
        <v>3.4992458521870384E-2</v>
      </c>
    </row>
    <row r="122" spans="2:17" ht="13.8" x14ac:dyDescent="0.25">
      <c r="B122" s="240" t="s">
        <v>268</v>
      </c>
      <c r="C122" s="245">
        <f>+C184-C26</f>
        <v>0</v>
      </c>
      <c r="D122" s="245">
        <f>+D184-D26</f>
        <v>0</v>
      </c>
      <c r="E122" s="494" t="str">
        <f t="shared" si="89"/>
        <v>n/a</v>
      </c>
      <c r="F122" s="245"/>
      <c r="G122" s="494" t="str">
        <f t="shared" si="101"/>
        <v>n/a</v>
      </c>
      <c r="H122" s="461">
        <f>+H184-H26</f>
        <v>0</v>
      </c>
      <c r="I122" s="494" t="str">
        <f t="shared" si="90"/>
        <v>n/a</v>
      </c>
      <c r="J122" s="461">
        <f>+J184-J26</f>
        <v>0</v>
      </c>
      <c r="K122" s="494" t="str">
        <f t="shared" si="91"/>
        <v>n/a</v>
      </c>
      <c r="L122" s="461">
        <f>+L184-L26</f>
        <v>0</v>
      </c>
      <c r="M122" s="494" t="str">
        <f t="shared" si="91"/>
        <v>n/a</v>
      </c>
      <c r="N122" s="461">
        <f>+N184-N26</f>
        <v>20748</v>
      </c>
      <c r="O122" s="494" t="str">
        <f t="shared" si="91"/>
        <v>n/a</v>
      </c>
      <c r="P122" s="461">
        <f>+P184-P26</f>
        <v>20747</v>
      </c>
      <c r="Q122" s="499">
        <f t="shared" si="91"/>
        <v>-4.8197416618434019E-5</v>
      </c>
    </row>
    <row r="123" spans="2:17" ht="12.75" customHeight="1" x14ac:dyDescent="0.25">
      <c r="B123" s="240" t="s">
        <v>269</v>
      </c>
      <c r="C123" s="241">
        <f t="shared" ref="C123" si="102">+C121+C122</f>
        <v>0</v>
      </c>
      <c r="D123" s="241">
        <f t="shared" ref="D123" si="103">+D121+D122</f>
        <v>0</v>
      </c>
      <c r="E123" s="495" t="str">
        <f t="shared" si="89"/>
        <v>n/a</v>
      </c>
      <c r="F123" s="241"/>
      <c r="G123" s="495" t="str">
        <f t="shared" si="101"/>
        <v>n/a</v>
      </c>
      <c r="H123" s="462">
        <f t="shared" ref="H123" si="104">+H121+H122</f>
        <v>0</v>
      </c>
      <c r="I123" s="495" t="str">
        <f t="shared" si="90"/>
        <v>n/a</v>
      </c>
      <c r="J123" s="462">
        <f t="shared" ref="J123" si="105">+J121+J122</f>
        <v>0</v>
      </c>
      <c r="K123" s="495" t="str">
        <f t="shared" si="91"/>
        <v>n/a</v>
      </c>
      <c r="L123" s="462">
        <f t="shared" ref="L123" si="106">+L121+L122</f>
        <v>0</v>
      </c>
      <c r="M123" s="495" t="str">
        <f t="shared" si="91"/>
        <v>n/a</v>
      </c>
      <c r="N123" s="462">
        <f t="shared" ref="N123" si="107">+N121+N122</f>
        <v>43953</v>
      </c>
      <c r="O123" s="495" t="str">
        <f t="shared" si="91"/>
        <v>n/a</v>
      </c>
      <c r="P123" s="462">
        <f t="shared" ref="P123" si="108">+P121+P122</f>
        <v>44764</v>
      </c>
      <c r="Q123" s="498">
        <f t="shared" si="91"/>
        <v>1.8451527768297948E-2</v>
      </c>
    </row>
    <row r="124" spans="2:17" ht="13.8" x14ac:dyDescent="0.25">
      <c r="B124" s="240"/>
      <c r="C124" s="241"/>
      <c r="D124" s="241"/>
      <c r="E124" s="495"/>
      <c r="F124" s="241"/>
      <c r="G124" s="495"/>
      <c r="H124" s="462"/>
      <c r="I124" s="495"/>
      <c r="J124" s="462"/>
      <c r="K124" s="495"/>
      <c r="L124" s="462"/>
      <c r="M124" s="495"/>
      <c r="N124" s="462"/>
      <c r="O124" s="495"/>
      <c r="P124" s="462"/>
      <c r="Q124" s="498"/>
    </row>
    <row r="125" spans="2:17" ht="13.8" x14ac:dyDescent="0.25">
      <c r="B125" s="240" t="s">
        <v>270</v>
      </c>
      <c r="C125" s="241">
        <f t="shared" ref="C125" si="109">+C187-C29</f>
        <v>0</v>
      </c>
      <c r="D125" s="241">
        <f t="shared" ref="D125" si="110">+D187-D29</f>
        <v>0</v>
      </c>
      <c r="E125" s="495" t="str">
        <f t="shared" si="89"/>
        <v>n/a</v>
      </c>
      <c r="F125" s="241"/>
      <c r="G125" s="495" t="str">
        <f t="shared" ref="G125:G132" si="111">IF(D125=0,"n/a",+F125/D125-1)</f>
        <v>n/a</v>
      </c>
      <c r="H125" s="463">
        <f t="shared" ref="H125" si="112">+H187-H29</f>
        <v>0</v>
      </c>
      <c r="I125" s="495" t="str">
        <f t="shared" si="90"/>
        <v>n/a</v>
      </c>
      <c r="J125" s="463">
        <f t="shared" ref="J125" si="113">+J187-J29</f>
        <v>-1</v>
      </c>
      <c r="K125" s="495" t="str">
        <f t="shared" si="91"/>
        <v>n/a</v>
      </c>
      <c r="L125" s="463">
        <f t="shared" ref="L125:L130" si="114">+L187-L29</f>
        <v>0</v>
      </c>
      <c r="M125" s="495">
        <f t="shared" si="91"/>
        <v>-1</v>
      </c>
      <c r="N125" s="463">
        <f t="shared" ref="N125" si="115">+N187-N29</f>
        <v>-16367</v>
      </c>
      <c r="O125" s="495" t="str">
        <f t="shared" si="91"/>
        <v>n/a</v>
      </c>
      <c r="P125" s="463">
        <f t="shared" ref="P125" si="116">+P187-P29</f>
        <v>-17152</v>
      </c>
      <c r="Q125" s="498">
        <f t="shared" si="91"/>
        <v>4.7962363291989885E-2</v>
      </c>
    </row>
    <row r="126" spans="2:17" ht="13.8" x14ac:dyDescent="0.25">
      <c r="B126" s="240" t="s">
        <v>271</v>
      </c>
      <c r="C126" s="241">
        <f t="shared" ref="C126" si="117">+C188-C30</f>
        <v>0</v>
      </c>
      <c r="D126" s="241">
        <f t="shared" ref="D126" si="118">+D188-D30</f>
        <v>0</v>
      </c>
      <c r="E126" s="495" t="str">
        <f t="shared" si="89"/>
        <v>n/a</v>
      </c>
      <c r="F126" s="241"/>
      <c r="G126" s="495" t="str">
        <f t="shared" si="111"/>
        <v>n/a</v>
      </c>
      <c r="H126" s="463">
        <f t="shared" ref="H126" si="119">+H188-H30</f>
        <v>0</v>
      </c>
      <c r="I126" s="495" t="str">
        <f t="shared" si="90"/>
        <v>n/a</v>
      </c>
      <c r="J126" s="463">
        <f t="shared" ref="J126" si="120">+J188-J30</f>
        <v>0</v>
      </c>
      <c r="K126" s="495" t="str">
        <f t="shared" si="91"/>
        <v>n/a</v>
      </c>
      <c r="L126" s="463">
        <f t="shared" si="114"/>
        <v>0</v>
      </c>
      <c r="M126" s="495" t="str">
        <f t="shared" si="91"/>
        <v>n/a</v>
      </c>
      <c r="N126" s="463">
        <f t="shared" ref="N126" si="121">+N188-N30</f>
        <v>-12225</v>
      </c>
      <c r="O126" s="495" t="str">
        <f t="shared" si="91"/>
        <v>n/a</v>
      </c>
      <c r="P126" s="463">
        <f t="shared" ref="P126" si="122">+P188-P30</f>
        <v>-12183</v>
      </c>
      <c r="Q126" s="498">
        <f t="shared" si="91"/>
        <v>-3.4355828220858919E-3</v>
      </c>
    </row>
    <row r="127" spans="2:17" ht="13.8" x14ac:dyDescent="0.25">
      <c r="B127" s="240" t="s">
        <v>272</v>
      </c>
      <c r="C127" s="241">
        <f t="shared" ref="C127" si="123">+C189-C31</f>
        <v>0</v>
      </c>
      <c r="D127" s="241">
        <f t="shared" ref="D127" si="124">+D189-D31</f>
        <v>0</v>
      </c>
      <c r="E127" s="495" t="str">
        <f t="shared" si="89"/>
        <v>n/a</v>
      </c>
      <c r="F127" s="241"/>
      <c r="G127" s="495" t="str">
        <f t="shared" si="111"/>
        <v>n/a</v>
      </c>
      <c r="H127" s="463">
        <f t="shared" ref="H127" si="125">+H189-H31</f>
        <v>0</v>
      </c>
      <c r="I127" s="495" t="str">
        <f t="shared" si="90"/>
        <v>n/a</v>
      </c>
      <c r="J127" s="463">
        <f t="shared" ref="J127" si="126">+J189-J31</f>
        <v>0</v>
      </c>
      <c r="K127" s="495" t="str">
        <f t="shared" si="91"/>
        <v>n/a</v>
      </c>
      <c r="L127" s="463">
        <f t="shared" si="114"/>
        <v>0</v>
      </c>
      <c r="M127" s="495" t="str">
        <f t="shared" si="91"/>
        <v>n/a</v>
      </c>
      <c r="N127" s="463">
        <f t="shared" ref="N127" si="127">+N189-N31</f>
        <v>0</v>
      </c>
      <c r="O127" s="495" t="str">
        <f t="shared" si="91"/>
        <v>n/a</v>
      </c>
      <c r="P127" s="463">
        <f t="shared" ref="P127" si="128">+P189-P31</f>
        <v>0</v>
      </c>
      <c r="Q127" s="498" t="str">
        <f t="shared" si="91"/>
        <v>n/a</v>
      </c>
    </row>
    <row r="128" spans="2:17" ht="13.8" x14ac:dyDescent="0.25">
      <c r="B128" s="240" t="s">
        <v>273</v>
      </c>
      <c r="C128" s="241">
        <f t="shared" ref="C128" si="129">+C190-C32</f>
        <v>0</v>
      </c>
      <c r="D128" s="241">
        <f t="shared" ref="D128" si="130">+D190-D32</f>
        <v>0</v>
      </c>
      <c r="E128" s="495" t="str">
        <f t="shared" si="89"/>
        <v>n/a</v>
      </c>
      <c r="F128" s="241"/>
      <c r="G128" s="495" t="str">
        <f t="shared" si="111"/>
        <v>n/a</v>
      </c>
      <c r="H128" s="463">
        <f t="shared" ref="H128" si="131">+H190-H32</f>
        <v>0</v>
      </c>
      <c r="I128" s="495" t="str">
        <f t="shared" si="90"/>
        <v>n/a</v>
      </c>
      <c r="J128" s="463">
        <f t="shared" ref="J128" si="132">+J190-J32</f>
        <v>0</v>
      </c>
      <c r="K128" s="495" t="str">
        <f t="shared" si="91"/>
        <v>n/a</v>
      </c>
      <c r="L128" s="463">
        <f t="shared" si="114"/>
        <v>0</v>
      </c>
      <c r="M128" s="495" t="str">
        <f t="shared" si="91"/>
        <v>n/a</v>
      </c>
      <c r="N128" s="463">
        <f t="shared" ref="N128" si="133">+N190-N32</f>
        <v>0</v>
      </c>
      <c r="O128" s="495" t="str">
        <f t="shared" si="91"/>
        <v>n/a</v>
      </c>
      <c r="P128" s="463">
        <f t="shared" ref="P128" si="134">+P190-P32</f>
        <v>0</v>
      </c>
      <c r="Q128" s="498" t="str">
        <f t="shared" si="91"/>
        <v>n/a</v>
      </c>
    </row>
    <row r="129" spans="2:17" ht="13.8" x14ac:dyDescent="0.25">
      <c r="B129" s="240" t="s">
        <v>276</v>
      </c>
      <c r="C129" s="241">
        <f t="shared" ref="C129" si="135">+C191-C33</f>
        <v>0</v>
      </c>
      <c r="D129" s="241">
        <f t="shared" ref="D129" si="136">+D191-D33</f>
        <v>0</v>
      </c>
      <c r="E129" s="495" t="str">
        <f t="shared" si="89"/>
        <v>n/a</v>
      </c>
      <c r="F129" s="241"/>
      <c r="G129" s="495" t="str">
        <f t="shared" si="111"/>
        <v>n/a</v>
      </c>
      <c r="H129" s="463">
        <f t="shared" ref="H129" si="137">+H191-H33</f>
        <v>0</v>
      </c>
      <c r="I129" s="495" t="str">
        <f t="shared" si="90"/>
        <v>n/a</v>
      </c>
      <c r="J129" s="463">
        <f t="shared" ref="J129" si="138">+J191-J33</f>
        <v>0</v>
      </c>
      <c r="K129" s="495" t="str">
        <f t="shared" si="91"/>
        <v>n/a</v>
      </c>
      <c r="L129" s="463">
        <f t="shared" si="114"/>
        <v>0</v>
      </c>
      <c r="M129" s="495" t="str">
        <f t="shared" si="91"/>
        <v>n/a</v>
      </c>
      <c r="N129" s="463">
        <f t="shared" ref="N129" si="139">+N191-N33</f>
        <v>0</v>
      </c>
      <c r="O129" s="495" t="str">
        <f t="shared" si="91"/>
        <v>n/a</v>
      </c>
      <c r="P129" s="463">
        <f t="shared" ref="P129" si="140">+P191-P33</f>
        <v>0</v>
      </c>
      <c r="Q129" s="498" t="str">
        <f t="shared" si="91"/>
        <v>n/a</v>
      </c>
    </row>
    <row r="130" spans="2:17" ht="13.8" x14ac:dyDescent="0.25">
      <c r="B130" s="240" t="s">
        <v>277</v>
      </c>
      <c r="C130" s="241">
        <f t="shared" ref="C130" si="141">+C192-C34</f>
        <v>0</v>
      </c>
      <c r="D130" s="241">
        <f t="shared" ref="D130" si="142">+D192-D34</f>
        <v>0</v>
      </c>
      <c r="E130" s="495" t="str">
        <f t="shared" si="89"/>
        <v>n/a</v>
      </c>
      <c r="F130" s="241"/>
      <c r="G130" s="495" t="str">
        <f t="shared" si="111"/>
        <v>n/a</v>
      </c>
      <c r="H130" s="463">
        <f t="shared" ref="H130" si="143">+H192-H34</f>
        <v>0</v>
      </c>
      <c r="I130" s="495" t="str">
        <f t="shared" si="90"/>
        <v>n/a</v>
      </c>
      <c r="J130" s="463">
        <f t="shared" ref="J130" si="144">+J192-J34</f>
        <v>0</v>
      </c>
      <c r="K130" s="495" t="str">
        <f t="shared" si="91"/>
        <v>n/a</v>
      </c>
      <c r="L130" s="463">
        <f t="shared" si="114"/>
        <v>0</v>
      </c>
      <c r="M130" s="495" t="str">
        <f t="shared" si="91"/>
        <v>n/a</v>
      </c>
      <c r="N130" s="463">
        <f t="shared" ref="N130" si="145">+N192-N34</f>
        <v>0</v>
      </c>
      <c r="O130" s="495" t="str">
        <f t="shared" si="91"/>
        <v>n/a</v>
      </c>
      <c r="P130" s="463">
        <f t="shared" ref="P130" si="146">+P192-P34</f>
        <v>0</v>
      </c>
      <c r="Q130" s="498" t="str">
        <f t="shared" si="91"/>
        <v>n/a</v>
      </c>
    </row>
    <row r="131" spans="2:17" ht="14.4" thickBot="1" x14ac:dyDescent="0.3">
      <c r="B131" s="240" t="s">
        <v>274</v>
      </c>
      <c r="C131" s="249">
        <f>SUM(C123:C130)</f>
        <v>0</v>
      </c>
      <c r="D131" s="249">
        <f>SUM(D123:D130)</f>
        <v>0</v>
      </c>
      <c r="E131" s="496" t="str">
        <f t="shared" si="89"/>
        <v>n/a</v>
      </c>
      <c r="F131" s="249"/>
      <c r="G131" s="496" t="str">
        <f t="shared" si="111"/>
        <v>n/a</v>
      </c>
      <c r="H131" s="250">
        <f>SUM(H123:H130)</f>
        <v>0</v>
      </c>
      <c r="I131" s="496" t="str">
        <f t="shared" si="90"/>
        <v>n/a</v>
      </c>
      <c r="J131" s="250">
        <f>SUM(J123:J130)</f>
        <v>-1</v>
      </c>
      <c r="K131" s="496" t="str">
        <f t="shared" si="91"/>
        <v>n/a</v>
      </c>
      <c r="L131" s="250">
        <f>SUM(L123:L130)</f>
        <v>0</v>
      </c>
      <c r="M131" s="496">
        <f t="shared" si="91"/>
        <v>-1</v>
      </c>
      <c r="N131" s="250">
        <f>SUM(N123:N130)</f>
        <v>15361</v>
      </c>
      <c r="O131" s="496" t="str">
        <f t="shared" si="91"/>
        <v>n/a</v>
      </c>
      <c r="P131" s="250">
        <f>SUM(P123:P130)</f>
        <v>15429</v>
      </c>
      <c r="Q131" s="502">
        <f t="shared" si="91"/>
        <v>4.4267951305254627E-3</v>
      </c>
    </row>
    <row r="132" spans="2:17" ht="14.4" thickTop="1" x14ac:dyDescent="0.25">
      <c r="B132" s="504" t="s">
        <v>491</v>
      </c>
      <c r="C132" s="251" t="e">
        <f t="shared" ref="C132" si="147">+C131/C123</f>
        <v>#DIV/0!</v>
      </c>
      <c r="D132" s="251" t="e">
        <f t="shared" ref="D132" si="148">+D131/D123</f>
        <v>#DIV/0!</v>
      </c>
      <c r="E132" s="495" t="e">
        <f t="shared" si="89"/>
        <v>#DIV/0!</v>
      </c>
      <c r="F132" s="251"/>
      <c r="G132" s="495" t="e">
        <f t="shared" si="111"/>
        <v>#DIV/0!</v>
      </c>
      <c r="H132" s="251" t="e">
        <f t="shared" ref="H132" si="149">+H131/H123</f>
        <v>#DIV/0!</v>
      </c>
      <c r="I132" s="495" t="e">
        <f t="shared" si="90"/>
        <v>#DIV/0!</v>
      </c>
      <c r="J132" s="251" t="e">
        <f t="shared" ref="J132" si="150">+J131/J123</f>
        <v>#DIV/0!</v>
      </c>
      <c r="K132" s="495" t="e">
        <f t="shared" si="91"/>
        <v>#DIV/0!</v>
      </c>
      <c r="L132" s="251" t="e">
        <f t="shared" ref="L132" si="151">+L131/L123</f>
        <v>#DIV/0!</v>
      </c>
      <c r="M132" s="495" t="e">
        <f t="shared" si="91"/>
        <v>#DIV/0!</v>
      </c>
      <c r="N132" s="251">
        <f t="shared" ref="N132" si="152">+N131/N123</f>
        <v>0.34948695197142404</v>
      </c>
      <c r="O132" s="495" t="e">
        <f t="shared" si="91"/>
        <v>#DIV/0!</v>
      </c>
      <c r="P132" s="251">
        <f t="shared" ref="P132" si="153">+P131/P123</f>
        <v>0.34467429184165849</v>
      </c>
      <c r="Q132" s="498">
        <f t="shared" si="91"/>
        <v>-1.3770643231793889E-2</v>
      </c>
    </row>
    <row r="133" spans="2:17" ht="15.6" x14ac:dyDescent="0.3">
      <c r="B133" s="242" t="s">
        <v>278</v>
      </c>
      <c r="C133" s="241"/>
      <c r="D133" s="241"/>
      <c r="E133" s="495"/>
      <c r="F133" s="241"/>
      <c r="G133" s="495"/>
      <c r="H133" s="247"/>
      <c r="I133" s="495"/>
      <c r="J133" s="247"/>
      <c r="K133" s="495"/>
      <c r="L133" s="247"/>
      <c r="M133" s="495"/>
      <c r="N133" s="247"/>
      <c r="O133" s="495"/>
      <c r="P133" s="247"/>
      <c r="Q133" s="498"/>
    </row>
    <row r="134" spans="2:17" ht="13.8" x14ac:dyDescent="0.25">
      <c r="B134" s="240" t="s">
        <v>267</v>
      </c>
      <c r="C134" s="241">
        <f>+C196-C38</f>
        <v>0</v>
      </c>
      <c r="D134" s="241">
        <f>+D196-D38</f>
        <v>0</v>
      </c>
      <c r="E134" s="495" t="str">
        <f t="shared" si="89"/>
        <v>n/a</v>
      </c>
      <c r="F134" s="241"/>
      <c r="G134" s="495" t="str">
        <f t="shared" ref="G134:G136" si="154">IF(D134=0,"n/a",+F134/D134-1)</f>
        <v>n/a</v>
      </c>
      <c r="H134" s="244">
        <f>+H196-H38</f>
        <v>0</v>
      </c>
      <c r="I134" s="495" t="str">
        <f t="shared" si="90"/>
        <v>n/a</v>
      </c>
      <c r="J134" s="244">
        <f>+J196-J38</f>
        <v>0</v>
      </c>
      <c r="K134" s="495" t="str">
        <f t="shared" si="91"/>
        <v>n/a</v>
      </c>
      <c r="L134" s="244">
        <f>+L196-L38</f>
        <v>0</v>
      </c>
      <c r="M134" s="495" t="str">
        <f t="shared" si="91"/>
        <v>n/a</v>
      </c>
      <c r="N134" s="244">
        <f>+N196-N38</f>
        <v>48148</v>
      </c>
      <c r="O134" s="495" t="str">
        <f t="shared" si="91"/>
        <v>n/a</v>
      </c>
      <c r="P134" s="244">
        <f>+P196-P38</f>
        <v>49833</v>
      </c>
      <c r="Q134" s="498">
        <f t="shared" si="91"/>
        <v>3.4996261526958561E-2</v>
      </c>
    </row>
    <row r="135" spans="2:17" ht="13.8" x14ac:dyDescent="0.25">
      <c r="B135" s="240" t="s">
        <v>268</v>
      </c>
      <c r="C135" s="245">
        <f>+C197-C39</f>
        <v>0</v>
      </c>
      <c r="D135" s="245">
        <f>+D197-D39</f>
        <v>0</v>
      </c>
      <c r="E135" s="494" t="str">
        <f t="shared" si="89"/>
        <v>n/a</v>
      </c>
      <c r="F135" s="245"/>
      <c r="G135" s="494" t="str">
        <f t="shared" si="154"/>
        <v>n/a</v>
      </c>
      <c r="H135" s="246">
        <f>+H197-H39</f>
        <v>0</v>
      </c>
      <c r="I135" s="494" t="str">
        <f t="shared" si="90"/>
        <v>n/a</v>
      </c>
      <c r="J135" s="246">
        <f>+J197-J39</f>
        <v>0</v>
      </c>
      <c r="K135" s="494" t="str">
        <f t="shared" si="91"/>
        <v>n/a</v>
      </c>
      <c r="L135" s="246">
        <f>+L197-L39</f>
        <v>0</v>
      </c>
      <c r="M135" s="494" t="str">
        <f t="shared" si="91"/>
        <v>n/a</v>
      </c>
      <c r="N135" s="246">
        <f>+N197-N39</f>
        <v>20797</v>
      </c>
      <c r="O135" s="494" t="str">
        <f t="shared" si="91"/>
        <v>n/a</v>
      </c>
      <c r="P135" s="246">
        <f>+P197-P39</f>
        <v>20798</v>
      </c>
      <c r="Q135" s="499">
        <f t="shared" si="91"/>
        <v>4.808385824883743E-5</v>
      </c>
    </row>
    <row r="136" spans="2:17" ht="12.75" customHeight="1" x14ac:dyDescent="0.25">
      <c r="B136" s="240" t="s">
        <v>269</v>
      </c>
      <c r="C136" s="241">
        <f t="shared" ref="C136" si="155">+C134+C135</f>
        <v>0</v>
      </c>
      <c r="D136" s="241">
        <f t="shared" ref="D136" si="156">+D134+D135</f>
        <v>0</v>
      </c>
      <c r="E136" s="495" t="str">
        <f t="shared" si="89"/>
        <v>n/a</v>
      </c>
      <c r="F136" s="241"/>
      <c r="G136" s="495" t="str">
        <f t="shared" si="154"/>
        <v>n/a</v>
      </c>
      <c r="H136" s="247">
        <f t="shared" ref="H136" si="157">+H134+H135</f>
        <v>0</v>
      </c>
      <c r="I136" s="495" t="str">
        <f t="shared" si="90"/>
        <v>n/a</v>
      </c>
      <c r="J136" s="247">
        <f t="shared" ref="J136" si="158">+J134+J135</f>
        <v>0</v>
      </c>
      <c r="K136" s="495" t="str">
        <f t="shared" si="91"/>
        <v>n/a</v>
      </c>
      <c r="L136" s="247">
        <f t="shared" ref="L136" si="159">+L134+L135</f>
        <v>0</v>
      </c>
      <c r="M136" s="495" t="str">
        <f t="shared" si="91"/>
        <v>n/a</v>
      </c>
      <c r="N136" s="247">
        <f t="shared" ref="N136" si="160">+N134+N135</f>
        <v>68945</v>
      </c>
      <c r="O136" s="495" t="str">
        <f t="shared" si="91"/>
        <v>n/a</v>
      </c>
      <c r="P136" s="247">
        <f t="shared" ref="P136" si="161">+P134+P135</f>
        <v>70631</v>
      </c>
      <c r="Q136" s="498">
        <f t="shared" si="91"/>
        <v>2.4454275146856164E-2</v>
      </c>
    </row>
    <row r="137" spans="2:17" ht="13.8" x14ac:dyDescent="0.25">
      <c r="B137" s="240"/>
      <c r="C137" s="241"/>
      <c r="D137" s="241"/>
      <c r="E137" s="495"/>
      <c r="F137" s="241"/>
      <c r="G137" s="495"/>
      <c r="H137" s="247"/>
      <c r="I137" s="495"/>
      <c r="J137" s="247"/>
      <c r="K137" s="495"/>
      <c r="L137" s="247"/>
      <c r="M137" s="495"/>
      <c r="N137" s="247"/>
      <c r="O137" s="495"/>
      <c r="P137" s="247"/>
      <c r="Q137" s="498"/>
    </row>
    <row r="138" spans="2:17" ht="13.8" x14ac:dyDescent="0.25">
      <c r="B138" s="240" t="s">
        <v>270</v>
      </c>
      <c r="C138" s="241">
        <f t="shared" ref="C138" si="162">+C200-C42</f>
        <v>0</v>
      </c>
      <c r="D138" s="241">
        <f t="shared" ref="D138" si="163">+D200-D42</f>
        <v>0</v>
      </c>
      <c r="E138" s="495" t="str">
        <f t="shared" si="89"/>
        <v>n/a</v>
      </c>
      <c r="F138" s="241"/>
      <c r="G138" s="495" t="str">
        <f t="shared" ref="G138:G142" si="164">IF(D138=0,"n/a",+F138/D138-1)</f>
        <v>n/a</v>
      </c>
      <c r="H138" s="463">
        <f t="shared" ref="H138" si="165">+H200-H42</f>
        <v>0</v>
      </c>
      <c r="I138" s="495" t="str">
        <f t="shared" si="90"/>
        <v>n/a</v>
      </c>
      <c r="J138" s="463">
        <f t="shared" ref="J138" si="166">+J200-J42</f>
        <v>0</v>
      </c>
      <c r="K138" s="495" t="str">
        <f t="shared" si="91"/>
        <v>n/a</v>
      </c>
      <c r="L138" s="463">
        <f t="shared" ref="L138:L141" si="167">+L200-L42</f>
        <v>0</v>
      </c>
      <c r="M138" s="495" t="str">
        <f t="shared" si="91"/>
        <v>n/a</v>
      </c>
      <c r="N138" s="463">
        <f t="shared" ref="N138" si="168">+N200-N42</f>
        <v>-33982</v>
      </c>
      <c r="O138" s="495" t="str">
        <f t="shared" si="91"/>
        <v>n/a</v>
      </c>
      <c r="P138" s="463">
        <f t="shared" ref="P138" si="169">+P200-P42</f>
        <v>-35246</v>
      </c>
      <c r="Q138" s="498">
        <f t="shared" si="91"/>
        <v>3.7196162674357103E-2</v>
      </c>
    </row>
    <row r="139" spans="2:17" ht="13.8" x14ac:dyDescent="0.25">
      <c r="B139" s="240" t="s">
        <v>271</v>
      </c>
      <c r="C139" s="241">
        <f t="shared" ref="C139" si="170">+C201-C43</f>
        <v>0</v>
      </c>
      <c r="D139" s="241">
        <f t="shared" ref="D139" si="171">+D201-D43</f>
        <v>0</v>
      </c>
      <c r="E139" s="495" t="str">
        <f t="shared" si="89"/>
        <v>n/a</v>
      </c>
      <c r="F139" s="241"/>
      <c r="G139" s="495" t="str">
        <f t="shared" si="164"/>
        <v>n/a</v>
      </c>
      <c r="H139" s="463">
        <f t="shared" ref="H139" si="172">+H201-H43</f>
        <v>0</v>
      </c>
      <c r="I139" s="495" t="str">
        <f t="shared" si="90"/>
        <v>n/a</v>
      </c>
      <c r="J139" s="463">
        <f t="shared" ref="J139" si="173">+J201-J43</f>
        <v>0</v>
      </c>
      <c r="K139" s="495" t="str">
        <f t="shared" si="91"/>
        <v>n/a</v>
      </c>
      <c r="L139" s="463">
        <f t="shared" si="167"/>
        <v>0</v>
      </c>
      <c r="M139" s="495" t="str">
        <f t="shared" si="91"/>
        <v>n/a</v>
      </c>
      <c r="N139" s="463">
        <f t="shared" ref="N139" si="174">+N201-N43</f>
        <v>-10070</v>
      </c>
      <c r="O139" s="495" t="str">
        <f t="shared" si="91"/>
        <v>n/a</v>
      </c>
      <c r="P139" s="463">
        <f t="shared" ref="P139" si="175">+P201-P43</f>
        <v>-10070</v>
      </c>
      <c r="Q139" s="498">
        <f t="shared" si="91"/>
        <v>0</v>
      </c>
    </row>
    <row r="140" spans="2:17" ht="13.8" x14ac:dyDescent="0.25">
      <c r="B140" s="240" t="s">
        <v>272</v>
      </c>
      <c r="C140" s="241">
        <f t="shared" ref="C140" si="176">+C202-C44</f>
        <v>0</v>
      </c>
      <c r="D140" s="241">
        <f t="shared" ref="D140" si="177">+D202-D44</f>
        <v>0</v>
      </c>
      <c r="E140" s="495" t="str">
        <f t="shared" si="89"/>
        <v>n/a</v>
      </c>
      <c r="F140" s="241"/>
      <c r="G140" s="495" t="str">
        <f t="shared" si="164"/>
        <v>n/a</v>
      </c>
      <c r="H140" s="244">
        <f t="shared" ref="H140" si="178">+H202-H44</f>
        <v>0</v>
      </c>
      <c r="I140" s="495" t="str">
        <f t="shared" si="90"/>
        <v>n/a</v>
      </c>
      <c r="J140" s="244">
        <f t="shared" ref="J140" si="179">+J202-J44</f>
        <v>0</v>
      </c>
      <c r="K140" s="495" t="str">
        <f t="shared" si="91"/>
        <v>n/a</v>
      </c>
      <c r="L140" s="244">
        <f t="shared" si="167"/>
        <v>0</v>
      </c>
      <c r="M140" s="495" t="str">
        <f t="shared" si="91"/>
        <v>n/a</v>
      </c>
      <c r="N140" s="244">
        <f t="shared" ref="N140" si="180">+N202-N44</f>
        <v>0</v>
      </c>
      <c r="O140" s="495" t="str">
        <f t="shared" si="91"/>
        <v>n/a</v>
      </c>
      <c r="P140" s="244">
        <f t="shared" ref="P140" si="181">+P202-P44</f>
        <v>0</v>
      </c>
      <c r="Q140" s="498" t="str">
        <f t="shared" si="91"/>
        <v>n/a</v>
      </c>
    </row>
    <row r="141" spans="2:17" ht="13.8" x14ac:dyDescent="0.25">
      <c r="B141" s="240" t="s">
        <v>273</v>
      </c>
      <c r="C141" s="241">
        <f t="shared" ref="C141" si="182">+C203-C45</f>
        <v>0</v>
      </c>
      <c r="D141" s="241">
        <f t="shared" ref="D141" si="183">+D203-D45</f>
        <v>0</v>
      </c>
      <c r="E141" s="495" t="str">
        <f t="shared" si="89"/>
        <v>n/a</v>
      </c>
      <c r="F141" s="241"/>
      <c r="G141" s="495" t="str">
        <f t="shared" si="164"/>
        <v>n/a</v>
      </c>
      <c r="H141" s="244">
        <f t="shared" ref="H141" si="184">+H203-H45</f>
        <v>0</v>
      </c>
      <c r="I141" s="495" t="str">
        <f t="shared" si="90"/>
        <v>n/a</v>
      </c>
      <c r="J141" s="244">
        <f t="shared" ref="J141" si="185">+J203-J45</f>
        <v>0</v>
      </c>
      <c r="K141" s="495" t="str">
        <f t="shared" si="91"/>
        <v>n/a</v>
      </c>
      <c r="L141" s="244">
        <f t="shared" si="167"/>
        <v>0</v>
      </c>
      <c r="M141" s="495" t="str">
        <f t="shared" si="91"/>
        <v>n/a</v>
      </c>
      <c r="N141" s="244">
        <f t="shared" ref="N141" si="186">+N203-N45</f>
        <v>0</v>
      </c>
      <c r="O141" s="495" t="str">
        <f t="shared" si="91"/>
        <v>n/a</v>
      </c>
      <c r="P141" s="244">
        <f t="shared" ref="P141" si="187">+P203-P45</f>
        <v>0</v>
      </c>
      <c r="Q141" s="498" t="str">
        <f t="shared" si="91"/>
        <v>n/a</v>
      </c>
    </row>
    <row r="142" spans="2:17" ht="14.4" thickBot="1" x14ac:dyDescent="0.3">
      <c r="B142" s="240" t="s">
        <v>274</v>
      </c>
      <c r="C142" s="249">
        <f>+C136+C138+C139</f>
        <v>0</v>
      </c>
      <c r="D142" s="249">
        <f>+D136+D138+D139</f>
        <v>0</v>
      </c>
      <c r="E142" s="496" t="str">
        <f t="shared" si="89"/>
        <v>n/a</v>
      </c>
      <c r="F142" s="249"/>
      <c r="G142" s="496" t="str">
        <f t="shared" si="164"/>
        <v>n/a</v>
      </c>
      <c r="H142" s="250">
        <f>+H136+H138+H139</f>
        <v>0</v>
      </c>
      <c r="I142" s="496" t="str">
        <f t="shared" si="90"/>
        <v>n/a</v>
      </c>
      <c r="J142" s="250">
        <f>+J136+J138+J139</f>
        <v>0</v>
      </c>
      <c r="K142" s="496" t="str">
        <f t="shared" si="91"/>
        <v>n/a</v>
      </c>
      <c r="L142" s="250">
        <f>+L136+L138+L139</f>
        <v>0</v>
      </c>
      <c r="M142" s="496" t="str">
        <f t="shared" si="91"/>
        <v>n/a</v>
      </c>
      <c r="N142" s="250">
        <f>+N136+N138+N139</f>
        <v>24893</v>
      </c>
      <c r="O142" s="496" t="str">
        <f t="shared" si="91"/>
        <v>n/a</v>
      </c>
      <c r="P142" s="250">
        <f>+P136+P138+P139</f>
        <v>25315</v>
      </c>
      <c r="Q142" s="502">
        <f t="shared" si="91"/>
        <v>1.6952556943719221E-2</v>
      </c>
    </row>
    <row r="143" spans="2:17" ht="14.4" thickTop="1" x14ac:dyDescent="0.25">
      <c r="B143" s="504" t="s">
        <v>491</v>
      </c>
      <c r="C143" s="251" t="e">
        <f t="shared" ref="C143" si="188">+C142/C136</f>
        <v>#DIV/0!</v>
      </c>
      <c r="D143" s="251" t="e">
        <f t="shared" ref="D143" si="189">+D142/D136</f>
        <v>#DIV/0!</v>
      </c>
      <c r="E143" s="243" t="e">
        <f t="shared" si="89"/>
        <v>#DIV/0!</v>
      </c>
      <c r="F143" s="251"/>
      <c r="G143" s="243"/>
      <c r="H143" s="251" t="e">
        <f t="shared" ref="H143" si="190">+H142/H136</f>
        <v>#DIV/0!</v>
      </c>
      <c r="I143" s="243"/>
      <c r="J143" s="251" t="e">
        <f t="shared" ref="J143" si="191">+J142/J136</f>
        <v>#DIV/0!</v>
      </c>
      <c r="K143" s="243"/>
      <c r="L143" s="251" t="e">
        <f t="shared" ref="L143" si="192">+L142/L136</f>
        <v>#DIV/0!</v>
      </c>
      <c r="M143" s="243"/>
      <c r="N143" s="251">
        <f t="shared" ref="N143" si="193">+N142/N136</f>
        <v>0.36105591413445498</v>
      </c>
      <c r="O143" s="501"/>
      <c r="P143" s="251">
        <f t="shared" ref="P143" si="194">+P142/P136</f>
        <v>0.35841202871260497</v>
      </c>
      <c r="Q143" s="248"/>
    </row>
    <row r="144" spans="2:17" ht="13.8" x14ac:dyDescent="0.25">
      <c r="B144" s="240"/>
      <c r="C144" s="241"/>
      <c r="D144" s="241"/>
      <c r="E144" s="243"/>
      <c r="F144" s="241"/>
      <c r="G144" s="243"/>
      <c r="H144" s="241"/>
      <c r="I144" s="243"/>
      <c r="J144" s="247"/>
      <c r="K144" s="243"/>
      <c r="L144" s="247"/>
      <c r="M144" s="243"/>
      <c r="N144" s="247"/>
      <c r="O144" s="243"/>
      <c r="P144" s="247"/>
      <c r="Q144" s="248"/>
    </row>
    <row r="145" spans="2:17" ht="13.8" x14ac:dyDescent="0.25">
      <c r="B145" s="252" t="s">
        <v>279</v>
      </c>
      <c r="C145" s="241"/>
      <c r="D145" s="241"/>
      <c r="E145" s="495" t="str">
        <f t="shared" si="89"/>
        <v>n/a</v>
      </c>
      <c r="F145" s="241"/>
      <c r="G145" s="495" t="str">
        <f>IF(D145=0,"n/a",+F145/D145-1)</f>
        <v>n/a</v>
      </c>
      <c r="H145" s="244"/>
      <c r="I145" s="495" t="str">
        <f t="shared" ref="I145" si="195">IF(D145=0,"n/a",+H145/D145-1)</f>
        <v>n/a</v>
      </c>
      <c r="J145" s="244"/>
      <c r="K145" s="495" t="str">
        <f t="shared" ref="K145:Q145" si="196">IF(H145=0,"n/a",+J145/H145-1)</f>
        <v>n/a</v>
      </c>
      <c r="L145" s="244"/>
      <c r="M145" s="495" t="str">
        <f t="shared" si="196"/>
        <v>n/a</v>
      </c>
      <c r="N145" s="244"/>
      <c r="O145" s="495" t="str">
        <f t="shared" si="196"/>
        <v>n/a</v>
      </c>
      <c r="P145" s="244"/>
      <c r="Q145" s="498" t="str">
        <f t="shared" si="196"/>
        <v>n/a</v>
      </c>
    </row>
    <row r="146" spans="2:17" ht="13.8" x14ac:dyDescent="0.25">
      <c r="B146" s="240"/>
      <c r="C146" s="241"/>
      <c r="D146" s="241"/>
      <c r="E146" s="243" t="str">
        <f t="shared" si="89"/>
        <v>n/a</v>
      </c>
      <c r="F146" s="241"/>
      <c r="G146" s="243"/>
      <c r="H146" s="241"/>
      <c r="I146" s="243"/>
      <c r="J146" s="247"/>
      <c r="K146" s="243"/>
      <c r="L146" s="247"/>
      <c r="M146" s="243"/>
      <c r="N146" s="247"/>
      <c r="O146" s="243"/>
      <c r="P146" s="247"/>
      <c r="Q146" s="248"/>
    </row>
    <row r="147" spans="2:17" ht="18.75" customHeight="1" x14ac:dyDescent="0.3">
      <c r="B147" s="242" t="s">
        <v>280</v>
      </c>
      <c r="C147" s="126"/>
      <c r="D147" s="126"/>
      <c r="E147" s="243" t="str">
        <f t="shared" si="89"/>
        <v>n/a</v>
      </c>
      <c r="F147" s="126"/>
      <c r="G147" s="243"/>
      <c r="H147" s="126"/>
      <c r="I147" s="243"/>
      <c r="J147" s="247"/>
      <c r="K147" s="243"/>
      <c r="L147" s="247"/>
      <c r="M147" s="243"/>
      <c r="N147" s="247"/>
      <c r="O147" s="243"/>
      <c r="P147" s="247"/>
      <c r="Q147" s="248"/>
    </row>
    <row r="148" spans="2:17" ht="13.8" x14ac:dyDescent="0.25">
      <c r="B148" s="240" t="s">
        <v>267</v>
      </c>
      <c r="C148" s="241">
        <f>+C210-C52</f>
        <v>0</v>
      </c>
      <c r="D148" s="241">
        <f>+D210-D52</f>
        <v>0</v>
      </c>
      <c r="E148" s="495" t="str">
        <f t="shared" si="89"/>
        <v>n/a</v>
      </c>
      <c r="F148" s="241"/>
      <c r="G148" s="495" t="str">
        <f>IF(D148=0,"n/a",+F148/D148-1)</f>
        <v>n/a</v>
      </c>
      <c r="H148" s="247">
        <f>+H210-H52</f>
        <v>0</v>
      </c>
      <c r="I148" s="495" t="str">
        <f t="shared" ref="I148:I159" si="197">IF(D148=0,"n/a",+H148/D148-1)</f>
        <v>n/a</v>
      </c>
      <c r="J148" s="247">
        <f>+J210-J52</f>
        <v>0</v>
      </c>
      <c r="K148" s="495" t="str">
        <f t="shared" ref="K148:Q159" si="198">IF(H148=0,"n/a",+J148/H148-1)</f>
        <v>n/a</v>
      </c>
      <c r="L148" s="247">
        <f>+L210-L52</f>
        <v>0</v>
      </c>
      <c r="M148" s="495" t="str">
        <f t="shared" si="198"/>
        <v>n/a</v>
      </c>
      <c r="N148" s="247">
        <f>+N210-N52</f>
        <v>113165</v>
      </c>
      <c r="O148" s="495" t="str">
        <f t="shared" si="198"/>
        <v>n/a</v>
      </c>
      <c r="P148" s="247">
        <f>+P210-P52</f>
        <v>117125</v>
      </c>
      <c r="Q148" s="498">
        <f t="shared" si="198"/>
        <v>3.4993151592807026E-2</v>
      </c>
    </row>
    <row r="149" spans="2:17" ht="13.8" x14ac:dyDescent="0.25">
      <c r="B149" s="240" t="s">
        <v>268</v>
      </c>
      <c r="C149" s="245">
        <f>+C211-C53</f>
        <v>0</v>
      </c>
      <c r="D149" s="245">
        <f>+D211-D53</f>
        <v>0</v>
      </c>
      <c r="E149" s="494" t="str">
        <f t="shared" si="89"/>
        <v>n/a</v>
      </c>
      <c r="F149" s="245"/>
      <c r="G149" s="494" t="str">
        <f>IF(D149=0,"n/a",+F149/D149-1)</f>
        <v>n/a</v>
      </c>
      <c r="H149" s="253">
        <f>+H211-H53</f>
        <v>0</v>
      </c>
      <c r="I149" s="494" t="str">
        <f t="shared" si="197"/>
        <v>n/a</v>
      </c>
      <c r="J149" s="253">
        <f>+J211-J53</f>
        <v>0</v>
      </c>
      <c r="K149" s="494" t="str">
        <f t="shared" si="198"/>
        <v>n/a</v>
      </c>
      <c r="L149" s="253">
        <f>+L211-L53</f>
        <v>0</v>
      </c>
      <c r="M149" s="494" t="str">
        <f t="shared" si="198"/>
        <v>n/a</v>
      </c>
      <c r="N149" s="253">
        <f>+N211-N53</f>
        <v>80067</v>
      </c>
      <c r="O149" s="494" t="str">
        <f t="shared" si="198"/>
        <v>n/a</v>
      </c>
      <c r="P149" s="253">
        <f>+P211-P53</f>
        <v>80066</v>
      </c>
      <c r="Q149" s="499">
        <f t="shared" si="198"/>
        <v>-1.2489540010207634E-5</v>
      </c>
    </row>
    <row r="150" spans="2:17" ht="12.75" customHeight="1" x14ac:dyDescent="0.25">
      <c r="B150" s="240" t="s">
        <v>269</v>
      </c>
      <c r="C150" s="241">
        <f t="shared" ref="C150" si="199">+C148+C149</f>
        <v>0</v>
      </c>
      <c r="D150" s="241">
        <f t="shared" ref="D150" si="200">+D148+D149</f>
        <v>0</v>
      </c>
      <c r="E150" s="495" t="str">
        <f t="shared" si="89"/>
        <v>n/a</v>
      </c>
      <c r="F150" s="241"/>
      <c r="G150" s="495" t="str">
        <f>IF(D150=0,"n/a",+F150/D150-1)</f>
        <v>n/a</v>
      </c>
      <c r="H150" s="247">
        <f t="shared" ref="H150" si="201">+H148+H149</f>
        <v>0</v>
      </c>
      <c r="I150" s="495" t="str">
        <f t="shared" si="197"/>
        <v>n/a</v>
      </c>
      <c r="J150" s="247">
        <f t="shared" ref="J150" si="202">+J148+J149</f>
        <v>0</v>
      </c>
      <c r="K150" s="495" t="str">
        <f t="shared" si="198"/>
        <v>n/a</v>
      </c>
      <c r="L150" s="247">
        <f t="shared" ref="L150:N150" si="203">+L148+L149</f>
        <v>0</v>
      </c>
      <c r="M150" s="495" t="str">
        <f t="shared" si="198"/>
        <v>n/a</v>
      </c>
      <c r="N150" s="247">
        <f t="shared" si="203"/>
        <v>193232</v>
      </c>
      <c r="O150" s="495" t="str">
        <f t="shared" si="198"/>
        <v>n/a</v>
      </c>
      <c r="P150" s="247">
        <f t="shared" ref="P150" si="204">+P148+P149</f>
        <v>197191</v>
      </c>
      <c r="Q150" s="498">
        <f t="shared" si="198"/>
        <v>2.0488324915127976E-2</v>
      </c>
    </row>
    <row r="151" spans="2:17" ht="13.8" x14ac:dyDescent="0.25">
      <c r="B151" s="240"/>
      <c r="C151" s="241"/>
      <c r="D151" s="241"/>
      <c r="E151" s="495"/>
      <c r="F151" s="241"/>
      <c r="G151" s="495"/>
      <c r="H151" s="247"/>
      <c r="I151" s="495"/>
      <c r="J151" s="247"/>
      <c r="K151" s="495"/>
      <c r="L151" s="247"/>
      <c r="M151" s="495"/>
      <c r="N151" s="247"/>
      <c r="O151" s="495"/>
      <c r="P151" s="247"/>
      <c r="Q151" s="498"/>
    </row>
    <row r="152" spans="2:17" ht="13.8" x14ac:dyDescent="0.25">
      <c r="B152" s="240" t="s">
        <v>270</v>
      </c>
      <c r="C152" s="503">
        <f t="shared" ref="C152" si="205">+C214-C56</f>
        <v>0</v>
      </c>
      <c r="D152" s="503">
        <f t="shared" ref="D152" si="206">+D214-D56</f>
        <v>0</v>
      </c>
      <c r="E152" s="495" t="str">
        <f t="shared" si="89"/>
        <v>n/a</v>
      </c>
      <c r="F152" s="503"/>
      <c r="G152" s="495" t="str">
        <f t="shared" ref="G152:G159" si="207">IF(D152=0,"n/a",+F152/D152-1)</f>
        <v>n/a</v>
      </c>
      <c r="H152" s="503">
        <f t="shared" ref="H152" si="208">+H214-H56</f>
        <v>0</v>
      </c>
      <c r="I152" s="495" t="str">
        <f t="shared" si="197"/>
        <v>n/a</v>
      </c>
      <c r="J152" s="503">
        <f t="shared" ref="J152" si="209">+J214-J56</f>
        <v>-1</v>
      </c>
      <c r="K152" s="495" t="str">
        <f t="shared" si="198"/>
        <v>n/a</v>
      </c>
      <c r="L152" s="503">
        <f t="shared" ref="L152:N158" si="210">+L214-L56</f>
        <v>0</v>
      </c>
      <c r="M152" s="495">
        <f t="shared" si="198"/>
        <v>-1</v>
      </c>
      <c r="N152" s="503">
        <f t="shared" si="210"/>
        <v>-57726</v>
      </c>
      <c r="O152" s="495" t="str">
        <f t="shared" si="198"/>
        <v>n/a</v>
      </c>
      <c r="P152" s="503">
        <f t="shared" ref="P152" si="211">+P214-P56</f>
        <v>-60034</v>
      </c>
      <c r="Q152" s="498">
        <f t="shared" si="198"/>
        <v>3.9981983854762149E-2</v>
      </c>
    </row>
    <row r="153" spans="2:17" ht="13.8" x14ac:dyDescent="0.25">
      <c r="B153" s="240" t="s">
        <v>271</v>
      </c>
      <c r="C153" s="503">
        <f t="shared" ref="C153" si="212">+C215-C57</f>
        <v>0</v>
      </c>
      <c r="D153" s="503">
        <f t="shared" ref="D153" si="213">+D215-D57</f>
        <v>0</v>
      </c>
      <c r="E153" s="495" t="str">
        <f t="shared" si="89"/>
        <v>n/a</v>
      </c>
      <c r="F153" s="503"/>
      <c r="G153" s="495" t="str">
        <f t="shared" si="207"/>
        <v>n/a</v>
      </c>
      <c r="H153" s="503">
        <f t="shared" ref="H153" si="214">+H215-H57</f>
        <v>0</v>
      </c>
      <c r="I153" s="495" t="str">
        <f t="shared" si="197"/>
        <v>n/a</v>
      </c>
      <c r="J153" s="503">
        <f t="shared" ref="J153" si="215">+J215-J57</f>
        <v>0</v>
      </c>
      <c r="K153" s="495" t="str">
        <f t="shared" si="198"/>
        <v>n/a</v>
      </c>
      <c r="L153" s="503">
        <f t="shared" si="210"/>
        <v>0</v>
      </c>
      <c r="M153" s="495" t="str">
        <f t="shared" si="198"/>
        <v>n/a</v>
      </c>
      <c r="N153" s="503">
        <f t="shared" si="210"/>
        <v>-36271</v>
      </c>
      <c r="O153" s="495" t="str">
        <f t="shared" si="198"/>
        <v>n/a</v>
      </c>
      <c r="P153" s="503">
        <f t="shared" ref="P153" si="216">+P215-P57</f>
        <v>-36229</v>
      </c>
      <c r="Q153" s="498">
        <f t="shared" si="198"/>
        <v>-1.1579498773124364E-3</v>
      </c>
    </row>
    <row r="154" spans="2:17" ht="13.8" x14ac:dyDescent="0.25">
      <c r="B154" s="240" t="s">
        <v>272</v>
      </c>
      <c r="C154" s="503">
        <f t="shared" ref="C154" si="217">+C216-C58</f>
        <v>0</v>
      </c>
      <c r="D154" s="503">
        <f t="shared" ref="D154" si="218">+D216-D58</f>
        <v>0</v>
      </c>
      <c r="E154" s="495" t="str">
        <f t="shared" si="89"/>
        <v>n/a</v>
      </c>
      <c r="F154" s="503"/>
      <c r="G154" s="495" t="str">
        <f t="shared" si="207"/>
        <v>n/a</v>
      </c>
      <c r="H154" s="503">
        <f t="shared" ref="H154" si="219">+H216-H58</f>
        <v>0</v>
      </c>
      <c r="I154" s="495" t="str">
        <f t="shared" si="197"/>
        <v>n/a</v>
      </c>
      <c r="J154" s="503">
        <f t="shared" ref="J154" si="220">+J216-J58</f>
        <v>0</v>
      </c>
      <c r="K154" s="495" t="str">
        <f t="shared" si="198"/>
        <v>n/a</v>
      </c>
      <c r="L154" s="503">
        <f t="shared" si="210"/>
        <v>0</v>
      </c>
      <c r="M154" s="495" t="str">
        <f t="shared" si="198"/>
        <v>n/a</v>
      </c>
      <c r="N154" s="503">
        <f t="shared" si="210"/>
        <v>-2899</v>
      </c>
      <c r="O154" s="495" t="str">
        <f t="shared" si="198"/>
        <v>n/a</v>
      </c>
      <c r="P154" s="503">
        <f t="shared" ref="P154" si="221">+P216-P58</f>
        <v>-2958</v>
      </c>
      <c r="Q154" s="498">
        <f t="shared" si="198"/>
        <v>2.0351845463953078E-2</v>
      </c>
    </row>
    <row r="155" spans="2:17" ht="13.8" x14ac:dyDescent="0.25">
      <c r="B155" s="240" t="s">
        <v>273</v>
      </c>
      <c r="C155" s="503">
        <f t="shared" ref="C155" si="222">+C217-C59</f>
        <v>0</v>
      </c>
      <c r="D155" s="503">
        <f t="shared" ref="D155" si="223">+D217-D59</f>
        <v>0</v>
      </c>
      <c r="E155" s="495" t="str">
        <f t="shared" si="89"/>
        <v>n/a</v>
      </c>
      <c r="F155" s="503"/>
      <c r="G155" s="495" t="str">
        <f t="shared" si="207"/>
        <v>n/a</v>
      </c>
      <c r="H155" s="503">
        <f t="shared" ref="H155" si="224">+H217-H59</f>
        <v>0</v>
      </c>
      <c r="I155" s="495" t="str">
        <f t="shared" si="197"/>
        <v>n/a</v>
      </c>
      <c r="J155" s="503">
        <f t="shared" ref="J155" si="225">+J217-J59</f>
        <v>0</v>
      </c>
      <c r="K155" s="495" t="str">
        <f t="shared" si="198"/>
        <v>n/a</v>
      </c>
      <c r="L155" s="503">
        <f t="shared" si="210"/>
        <v>0</v>
      </c>
      <c r="M155" s="495" t="str">
        <f t="shared" si="198"/>
        <v>n/a</v>
      </c>
      <c r="N155" s="503">
        <f t="shared" si="210"/>
        <v>-5797</v>
      </c>
      <c r="O155" s="495" t="str">
        <f t="shared" si="198"/>
        <v>n/a</v>
      </c>
      <c r="P155" s="503">
        <f t="shared" ref="P155" si="226">+P217-P59</f>
        <v>-5916</v>
      </c>
      <c r="Q155" s="498">
        <f t="shared" si="198"/>
        <v>2.0527859237536639E-2</v>
      </c>
    </row>
    <row r="156" spans="2:17" ht="13.8" x14ac:dyDescent="0.25">
      <c r="B156" s="240" t="s">
        <v>279</v>
      </c>
      <c r="C156" s="503">
        <f t="shared" ref="C156" si="227">+C218-C60</f>
        <v>0</v>
      </c>
      <c r="D156" s="503">
        <f t="shared" ref="D156" si="228">+D218-D60</f>
        <v>0</v>
      </c>
      <c r="E156" s="495" t="str">
        <f t="shared" si="89"/>
        <v>n/a</v>
      </c>
      <c r="F156" s="503"/>
      <c r="G156" s="495" t="str">
        <f t="shared" si="207"/>
        <v>n/a</v>
      </c>
      <c r="H156" s="503">
        <f t="shared" ref="H156" si="229">+H218-H60</f>
        <v>0</v>
      </c>
      <c r="I156" s="495" t="str">
        <f t="shared" si="197"/>
        <v>n/a</v>
      </c>
      <c r="J156" s="503">
        <f t="shared" ref="J156" si="230">+J218-J60</f>
        <v>0</v>
      </c>
      <c r="K156" s="495" t="str">
        <f t="shared" si="198"/>
        <v>n/a</v>
      </c>
      <c r="L156" s="503">
        <f t="shared" si="210"/>
        <v>0</v>
      </c>
      <c r="M156" s="495" t="str">
        <f t="shared" si="198"/>
        <v>n/a</v>
      </c>
      <c r="N156" s="503">
        <f t="shared" si="210"/>
        <v>899</v>
      </c>
      <c r="O156" s="495" t="str">
        <f t="shared" si="198"/>
        <v>n/a</v>
      </c>
      <c r="P156" s="503">
        <f t="shared" ref="P156" si="231">+P218-P60</f>
        <v>918</v>
      </c>
      <c r="Q156" s="498">
        <f t="shared" si="198"/>
        <v>2.1134593993325845E-2</v>
      </c>
    </row>
    <row r="157" spans="2:17" ht="13.8" x14ac:dyDescent="0.25">
      <c r="B157" s="240" t="s">
        <v>276</v>
      </c>
      <c r="C157" s="503">
        <f t="shared" ref="C157" si="232">+C219-C61</f>
        <v>0</v>
      </c>
      <c r="D157" s="503">
        <f t="shared" ref="D157" si="233">+D219-D61</f>
        <v>0</v>
      </c>
      <c r="E157" s="495" t="str">
        <f t="shared" si="89"/>
        <v>n/a</v>
      </c>
      <c r="F157" s="503"/>
      <c r="G157" s="495" t="str">
        <f t="shared" si="207"/>
        <v>n/a</v>
      </c>
      <c r="H157" s="503">
        <f t="shared" ref="H157" si="234">+H219-H61</f>
        <v>0</v>
      </c>
      <c r="I157" s="495" t="str">
        <f t="shared" si="197"/>
        <v>n/a</v>
      </c>
      <c r="J157" s="503">
        <f t="shared" ref="J157" si="235">+J219-J61</f>
        <v>0</v>
      </c>
      <c r="K157" s="495" t="str">
        <f t="shared" si="198"/>
        <v>n/a</v>
      </c>
      <c r="L157" s="503">
        <f t="shared" si="210"/>
        <v>0</v>
      </c>
      <c r="M157" s="495" t="str">
        <f t="shared" si="198"/>
        <v>n/a</v>
      </c>
      <c r="N157" s="503">
        <f t="shared" si="210"/>
        <v>0</v>
      </c>
      <c r="O157" s="495" t="str">
        <f t="shared" si="198"/>
        <v>n/a</v>
      </c>
      <c r="P157" s="503">
        <f t="shared" ref="P157" si="236">+P219-P61</f>
        <v>0</v>
      </c>
      <c r="Q157" s="498" t="str">
        <f t="shared" si="198"/>
        <v>n/a</v>
      </c>
    </row>
    <row r="158" spans="2:17" ht="13.8" x14ac:dyDescent="0.25">
      <c r="B158" s="240" t="s">
        <v>277</v>
      </c>
      <c r="C158" s="503">
        <f t="shared" ref="C158" si="237">+C220-C62</f>
        <v>0</v>
      </c>
      <c r="D158" s="503">
        <f t="shared" ref="D158" si="238">+D220-D62</f>
        <v>0</v>
      </c>
      <c r="E158" s="495" t="str">
        <f t="shared" si="89"/>
        <v>n/a</v>
      </c>
      <c r="F158" s="503"/>
      <c r="G158" s="495" t="str">
        <f t="shared" si="207"/>
        <v>n/a</v>
      </c>
      <c r="H158" s="503">
        <f t="shared" ref="H158" si="239">+H220-H62</f>
        <v>0</v>
      </c>
      <c r="I158" s="495" t="str">
        <f t="shared" si="197"/>
        <v>n/a</v>
      </c>
      <c r="J158" s="503">
        <f t="shared" ref="J158" si="240">+J220-J62</f>
        <v>0</v>
      </c>
      <c r="K158" s="495" t="str">
        <f t="shared" si="198"/>
        <v>n/a</v>
      </c>
      <c r="L158" s="503">
        <f t="shared" si="210"/>
        <v>0</v>
      </c>
      <c r="M158" s="495" t="str">
        <f t="shared" si="198"/>
        <v>n/a</v>
      </c>
      <c r="N158" s="503">
        <f t="shared" si="210"/>
        <v>0</v>
      </c>
      <c r="O158" s="495" t="str">
        <f t="shared" si="198"/>
        <v>n/a</v>
      </c>
      <c r="P158" s="503">
        <f t="shared" ref="P158" si="241">+P220-P62</f>
        <v>0</v>
      </c>
      <c r="Q158" s="498" t="str">
        <f t="shared" si="198"/>
        <v>n/a</v>
      </c>
    </row>
    <row r="159" spans="2:17" ht="14.4" thickBot="1" x14ac:dyDescent="0.3">
      <c r="B159" s="252" t="s">
        <v>274</v>
      </c>
      <c r="C159" s="254">
        <f t="shared" ref="C159" si="242">SUM(C150:C158)</f>
        <v>0</v>
      </c>
      <c r="D159" s="254">
        <f t="shared" ref="D159" si="243">SUM(D150:D158)</f>
        <v>0</v>
      </c>
      <c r="E159" s="497" t="str">
        <f t="shared" si="89"/>
        <v>n/a</v>
      </c>
      <c r="F159" s="254"/>
      <c r="G159" s="497" t="str">
        <f t="shared" si="207"/>
        <v>n/a</v>
      </c>
      <c r="H159" s="255">
        <f t="shared" ref="H159" si="244">SUM(H150:H158)</f>
        <v>0</v>
      </c>
      <c r="I159" s="497" t="str">
        <f t="shared" si="197"/>
        <v>n/a</v>
      </c>
      <c r="J159" s="255">
        <f t="shared" ref="J159" si="245">SUM(J150:J158)</f>
        <v>-1</v>
      </c>
      <c r="K159" s="497" t="str">
        <f t="shared" si="198"/>
        <v>n/a</v>
      </c>
      <c r="L159" s="255">
        <f t="shared" ref="L159:P159" si="246">SUM(L150:L158)</f>
        <v>0</v>
      </c>
      <c r="M159" s="497">
        <f t="shared" si="198"/>
        <v>-1</v>
      </c>
      <c r="N159" s="255">
        <f t="shared" ref="N159" si="247">SUM(N150:N158)</f>
        <v>91438</v>
      </c>
      <c r="O159" s="497" t="str">
        <f t="shared" si="198"/>
        <v>n/a</v>
      </c>
      <c r="P159" s="255">
        <f t="shared" si="246"/>
        <v>92972</v>
      </c>
      <c r="Q159" s="500">
        <f t="shared" si="198"/>
        <v>1.6776394934272298E-2</v>
      </c>
    </row>
    <row r="160" spans="2:17" ht="14.4" thickBot="1" x14ac:dyDescent="0.3">
      <c r="B160" s="504" t="s">
        <v>491</v>
      </c>
      <c r="C160" s="256" t="e">
        <f>+C159/C150</f>
        <v>#DIV/0!</v>
      </c>
      <c r="D160" s="256" t="e">
        <f t="shared" ref="D160" si="248">+D159/D150</f>
        <v>#DIV/0!</v>
      </c>
      <c r="E160" s="256"/>
      <c r="F160" s="256"/>
      <c r="G160" s="256"/>
      <c r="H160" s="256" t="e">
        <f t="shared" ref="H160" si="249">+H159/H150</f>
        <v>#DIV/0!</v>
      </c>
      <c r="I160" s="256"/>
      <c r="J160" s="256" t="e">
        <f t="shared" ref="J160" si="250">+J159/J150</f>
        <v>#DIV/0!</v>
      </c>
      <c r="K160" s="256"/>
      <c r="L160" s="256" t="e">
        <f t="shared" ref="L160" si="251">+L159/L150</f>
        <v>#DIV/0!</v>
      </c>
      <c r="M160" s="256"/>
      <c r="N160" s="256">
        <f t="shared" ref="N160:P160" si="252">+N159/N150</f>
        <v>0.47320319615798623</v>
      </c>
      <c r="O160" s="256"/>
      <c r="P160" s="257">
        <f t="shared" si="252"/>
        <v>0.4714819641870065</v>
      </c>
      <c r="Q160" s="258"/>
    </row>
    <row r="161" spans="2:17" ht="13.8" thickBot="1" x14ac:dyDescent="0.3">
      <c r="P161" s="126"/>
    </row>
    <row r="162" spans="2:17" ht="5.4" customHeight="1" outlineLevel="1" x14ac:dyDescent="0.4">
      <c r="B162" s="644" t="str">
        <f>+B100</f>
        <v>Modernization Project</v>
      </c>
      <c r="C162" s="645"/>
      <c r="D162" s="645"/>
      <c r="E162" s="645"/>
      <c r="F162" s="645"/>
      <c r="G162" s="645"/>
      <c r="H162" s="645"/>
      <c r="I162" s="645"/>
      <c r="J162" s="645"/>
      <c r="K162" s="645"/>
      <c r="L162" s="645"/>
      <c r="M162" s="645"/>
      <c r="N162" s="645"/>
      <c r="O162" s="645"/>
      <c r="P162" s="645"/>
      <c r="Q162" s="646"/>
    </row>
    <row r="163" spans="2:17" ht="17.399999999999999" x14ac:dyDescent="0.3">
      <c r="B163" s="647"/>
      <c r="C163" s="648"/>
      <c r="D163" s="648"/>
      <c r="E163" s="648"/>
      <c r="F163" s="648"/>
      <c r="G163" s="648"/>
      <c r="H163" s="648"/>
      <c r="I163" s="648"/>
      <c r="J163" s="648"/>
      <c r="K163" s="648"/>
      <c r="L163" s="648"/>
      <c r="M163" s="648"/>
      <c r="N163" s="648"/>
      <c r="O163" s="648"/>
      <c r="P163" s="648"/>
      <c r="Q163" s="649"/>
    </row>
    <row r="164" spans="2:17" ht="17.399999999999999" x14ac:dyDescent="0.3">
      <c r="B164" s="634" t="s">
        <v>265</v>
      </c>
      <c r="C164" s="635"/>
      <c r="D164" s="635"/>
      <c r="E164" s="635"/>
      <c r="F164" s="635"/>
      <c r="G164" s="635"/>
      <c r="H164" s="635"/>
      <c r="I164" s="635"/>
      <c r="J164" s="635"/>
      <c r="K164" s="635"/>
      <c r="L164" s="635"/>
      <c r="M164" s="635"/>
      <c r="N164" s="635"/>
      <c r="O164" s="635"/>
      <c r="P164" s="635"/>
      <c r="Q164" s="636"/>
    </row>
    <row r="165" spans="2:17" x14ac:dyDescent="0.25">
      <c r="B165" s="233"/>
      <c r="C165" s="126"/>
      <c r="D165" s="126"/>
      <c r="E165" s="126"/>
      <c r="F165" s="126"/>
      <c r="G165" s="126"/>
      <c r="H165" s="126"/>
      <c r="I165" s="126"/>
      <c r="J165" s="126"/>
      <c r="K165" s="126"/>
      <c r="L165" s="126"/>
      <c r="M165" s="126"/>
      <c r="N165" s="126"/>
      <c r="O165" s="126"/>
      <c r="P165" s="126"/>
      <c r="Q165" s="234"/>
    </row>
    <row r="166" spans="2:17" ht="15.6" x14ac:dyDescent="0.3">
      <c r="B166" s="631" t="s">
        <v>48</v>
      </c>
      <c r="C166" s="632"/>
      <c r="D166" s="632"/>
      <c r="E166" s="632"/>
      <c r="F166" s="632"/>
      <c r="G166" s="632"/>
      <c r="H166" s="632"/>
      <c r="I166" s="632"/>
      <c r="J166" s="632"/>
      <c r="K166" s="632"/>
      <c r="L166" s="632"/>
      <c r="M166" s="632"/>
      <c r="N166" s="632"/>
      <c r="O166" s="632"/>
      <c r="P166" s="632"/>
      <c r="Q166" s="633"/>
    </row>
    <row r="167" spans="2:17" ht="15.6" x14ac:dyDescent="0.3">
      <c r="B167" s="262"/>
      <c r="C167" s="263"/>
      <c r="D167" s="263"/>
      <c r="E167" s="535"/>
      <c r="F167" s="535"/>
      <c r="G167" s="263"/>
      <c r="H167" s="263"/>
      <c r="I167" s="263"/>
      <c r="J167" s="263"/>
      <c r="K167" s="263"/>
      <c r="L167" s="263"/>
      <c r="M167" s="263"/>
      <c r="N167" s="455"/>
      <c r="O167" s="455"/>
      <c r="P167" s="263"/>
      <c r="Q167" s="264"/>
    </row>
    <row r="168" spans="2:17" x14ac:dyDescent="0.25">
      <c r="B168" s="233"/>
      <c r="C168" s="260" t="str">
        <f>+C10</f>
        <v>2014</v>
      </c>
      <c r="D168" s="260" t="str">
        <f>+D10</f>
        <v>2015</v>
      </c>
      <c r="E168" s="260"/>
      <c r="F168" s="260"/>
      <c r="G168" s="260"/>
      <c r="H168" s="260" t="str">
        <f>+H10</f>
        <v>2016</v>
      </c>
      <c r="I168" s="260"/>
      <c r="J168" s="260">
        <f>+J10</f>
        <v>2017</v>
      </c>
      <c r="K168" s="260"/>
      <c r="L168" s="260">
        <f>+L10</f>
        <v>2018</v>
      </c>
      <c r="M168" s="260"/>
      <c r="N168" s="260">
        <f>+N10</f>
        <v>2019</v>
      </c>
      <c r="O168" s="260"/>
      <c r="P168" s="260">
        <f>+P10</f>
        <v>2020</v>
      </c>
      <c r="Q168" s="265"/>
    </row>
    <row r="169" spans="2:17" x14ac:dyDescent="0.25">
      <c r="B169" s="233" t="s">
        <v>1</v>
      </c>
      <c r="C169" s="260" t="str">
        <f>+C11</f>
        <v>Actual</v>
      </c>
      <c r="D169" s="260" t="str">
        <f>+D11</f>
        <v>Actual</v>
      </c>
      <c r="E169" s="260"/>
      <c r="F169" s="260"/>
      <c r="G169" s="260" t="s">
        <v>57</v>
      </c>
      <c r="H169" s="260" t="str">
        <f>+H11</f>
        <v>Actual</v>
      </c>
      <c r="I169" s="260" t="s">
        <v>57</v>
      </c>
      <c r="J169" s="260" t="s">
        <v>144</v>
      </c>
      <c r="K169" s="260" t="s">
        <v>57</v>
      </c>
      <c r="L169" s="260" t="s">
        <v>145</v>
      </c>
      <c r="M169" s="260" t="s">
        <v>57</v>
      </c>
      <c r="N169" s="260" t="s">
        <v>146</v>
      </c>
      <c r="O169" s="260" t="s">
        <v>57</v>
      </c>
      <c r="P169" s="260" t="s">
        <v>488</v>
      </c>
      <c r="Q169" s="265" t="s">
        <v>57</v>
      </c>
    </row>
    <row r="170" spans="2:17" ht="13.8" x14ac:dyDescent="0.25">
      <c r="B170" s="240"/>
      <c r="C170" s="241"/>
      <c r="D170" s="241"/>
      <c r="E170" s="241"/>
      <c r="F170" s="241"/>
      <c r="G170" s="241"/>
      <c r="H170" s="241"/>
      <c r="I170" s="126"/>
      <c r="J170" s="126"/>
      <c r="K170" s="126"/>
      <c r="L170" s="126"/>
      <c r="M170" s="126"/>
      <c r="N170" s="126"/>
      <c r="O170" s="467"/>
      <c r="P170" s="126"/>
      <c r="Q170" s="167"/>
    </row>
    <row r="171" spans="2:17" ht="15.6" x14ac:dyDescent="0.3">
      <c r="B171" s="242" t="s">
        <v>266</v>
      </c>
      <c r="C171" s="241"/>
      <c r="D171" s="241"/>
      <c r="E171" s="241"/>
      <c r="F171" s="241"/>
      <c r="G171" s="241"/>
      <c r="H171" s="241"/>
      <c r="I171" s="241"/>
      <c r="J171" s="241"/>
      <c r="K171" s="241"/>
      <c r="L171" s="241"/>
      <c r="M171" s="241"/>
      <c r="N171" s="241"/>
      <c r="O171" s="467"/>
      <c r="P171" s="241"/>
      <c r="Q171" s="167"/>
    </row>
    <row r="172" spans="2:17" ht="13.8" x14ac:dyDescent="0.25">
      <c r="B172" s="240" t="s">
        <v>267</v>
      </c>
      <c r="C172" s="241">
        <v>48680431.999999993</v>
      </c>
      <c r="D172" s="241">
        <v>50089207</v>
      </c>
      <c r="E172" s="495">
        <f>IF(C172=0,"n/a",+D172/C172-1)</f>
        <v>2.8939246060922574E-2</v>
      </c>
      <c r="F172" s="241">
        <v>47318122</v>
      </c>
      <c r="G172" s="495">
        <f>IF(D172=0,"n/a",+F172/D172-1)</f>
        <v>-5.5322996029863236E-2</v>
      </c>
      <c r="H172" s="460">
        <v>47318122</v>
      </c>
      <c r="I172" s="495">
        <f>IF(D172=0,"n/a",+H172/D172-1)</f>
        <v>-5.5322996029863236E-2</v>
      </c>
      <c r="J172" s="460">
        <v>49169254</v>
      </c>
      <c r="K172" s="495">
        <f>IF(H172=0,"n/a",+J172/H172-1)</f>
        <v>3.9120994700508227E-2</v>
      </c>
      <c r="L172" s="460">
        <v>50743214</v>
      </c>
      <c r="M172" s="243">
        <f>IF(J172=0,"n/a",+L172/J172-1)</f>
        <v>3.2011061221307147E-2</v>
      </c>
      <c r="N172" s="460">
        <v>52411994</v>
      </c>
      <c r="O172" s="243">
        <f>IF(L172=0,"n/a",+N172/L172-1)</f>
        <v>3.2886761961904876E-2</v>
      </c>
      <c r="P172" s="460">
        <v>54095263</v>
      </c>
      <c r="Q172" s="498">
        <f>IF(N172=0,"n/a",+P172/N172-1)</f>
        <v>3.2116103043131616E-2</v>
      </c>
    </row>
    <row r="173" spans="2:17" ht="13.8" x14ac:dyDescent="0.25">
      <c r="B173" s="240" t="s">
        <v>268</v>
      </c>
      <c r="C173" s="245">
        <v>7914102</v>
      </c>
      <c r="D173" s="245">
        <v>8428148.0000000019</v>
      </c>
      <c r="E173" s="494">
        <f t="shared" ref="E173:E221" si="253">IF(C173=0,"n/a",+D173/C173-1)</f>
        <v>6.4953168407483552E-2</v>
      </c>
      <c r="F173" s="245">
        <v>7934276</v>
      </c>
      <c r="G173" s="494">
        <f>IF(D173=0,"n/a",+F173/D173-1)</f>
        <v>-5.8597926851783111E-2</v>
      </c>
      <c r="H173" s="461">
        <v>7934276</v>
      </c>
      <c r="I173" s="494">
        <f>IF(D173=0,"n/a",+H173/D173-1)</f>
        <v>-5.8597926851783111E-2</v>
      </c>
      <c r="J173" s="461">
        <v>8362604</v>
      </c>
      <c r="K173" s="494">
        <f t="shared" ref="K173:Q204" si="254">IF(H173=0,"n/a",+J173/H173-1)</f>
        <v>5.3984509739767095E-2</v>
      </c>
      <c r="L173" s="461">
        <v>8418417</v>
      </c>
      <c r="M173" s="494">
        <f t="shared" si="254"/>
        <v>6.6741172964783768E-3</v>
      </c>
      <c r="N173" s="461">
        <v>8512752</v>
      </c>
      <c r="O173" s="494">
        <f t="shared" si="254"/>
        <v>1.1205788451676746E-2</v>
      </c>
      <c r="P173" s="461">
        <v>8568565</v>
      </c>
      <c r="Q173" s="499">
        <f t="shared" si="254"/>
        <v>6.5563991527064491E-3</v>
      </c>
    </row>
    <row r="174" spans="2:17" ht="12.75" customHeight="1" x14ac:dyDescent="0.25">
      <c r="B174" s="240" t="s">
        <v>269</v>
      </c>
      <c r="C174" s="241">
        <v>56594533.999999978</v>
      </c>
      <c r="D174" s="241">
        <v>58517355</v>
      </c>
      <c r="E174" s="495">
        <f t="shared" si="253"/>
        <v>3.3975383559126549E-2</v>
      </c>
      <c r="F174" s="241">
        <f>+F172+F173</f>
        <v>55252398</v>
      </c>
      <c r="G174" s="495">
        <f>IF(D174=0,"n/a",+F174/D174-1)</f>
        <v>-5.579467834798757E-2</v>
      </c>
      <c r="H174" s="462">
        <f>+H172+H173</f>
        <v>55252398</v>
      </c>
      <c r="I174" s="495">
        <f>IF(D174=0,"n/a",+H174/D174-1)</f>
        <v>-5.579467834798757E-2</v>
      </c>
      <c r="J174" s="462">
        <f>+J172+J173</f>
        <v>57531858</v>
      </c>
      <c r="K174" s="495">
        <f t="shared" si="254"/>
        <v>4.1255403973597726E-2</v>
      </c>
      <c r="L174" s="462">
        <f>+L172+L173</f>
        <v>59161631</v>
      </c>
      <c r="M174" s="495">
        <f t="shared" si="254"/>
        <v>2.8328182969512339E-2</v>
      </c>
      <c r="N174" s="462">
        <f>+N172+N173</f>
        <v>60924746</v>
      </c>
      <c r="O174" s="495">
        <f t="shared" si="254"/>
        <v>2.9801663175918813E-2</v>
      </c>
      <c r="P174" s="462">
        <f>+P172+P173</f>
        <v>62663828</v>
      </c>
      <c r="Q174" s="498">
        <f t="shared" si="254"/>
        <v>2.8544755853393333E-2</v>
      </c>
    </row>
    <row r="175" spans="2:17" ht="13.8" x14ac:dyDescent="0.25">
      <c r="B175" s="504" t="s">
        <v>502</v>
      </c>
      <c r="C175" s="241">
        <f>+C174/C$212</f>
        <v>0.39684142616846285</v>
      </c>
      <c r="D175" s="241">
        <f>+D174/D$212</f>
        <v>0.3822939779541899</v>
      </c>
      <c r="E175" s="495"/>
      <c r="F175" s="241">
        <f>+F174/F$212</f>
        <v>0.37084142132454767</v>
      </c>
      <c r="G175" s="495"/>
      <c r="H175" s="462">
        <f>+H174/H$212</f>
        <v>0.37084142132454767</v>
      </c>
      <c r="I175" s="495"/>
      <c r="J175" s="462">
        <f>+J174/J$212</f>
        <v>0.36534298092146328</v>
      </c>
      <c r="K175" s="495"/>
      <c r="L175" s="462">
        <f>+L174/L$212</f>
        <v>0.36502159518911836</v>
      </c>
      <c r="M175" s="495"/>
      <c r="N175" s="462">
        <f>+N174/N$212</f>
        <v>0.36476427002540091</v>
      </c>
      <c r="O175" s="495"/>
      <c r="P175" s="462">
        <f>+P174/P$212</f>
        <v>0.36445170723620546</v>
      </c>
      <c r="Q175" s="498"/>
    </row>
    <row r="176" spans="2:17" ht="13.8" x14ac:dyDescent="0.25">
      <c r="B176" s="240" t="s">
        <v>270</v>
      </c>
      <c r="C176" s="241">
        <v>-6673601</v>
      </c>
      <c r="D176" s="241">
        <v>-7878164.0000000009</v>
      </c>
      <c r="E176" s="495">
        <f t="shared" si="253"/>
        <v>0.18049670635088932</v>
      </c>
      <c r="F176" s="241">
        <v>-9797244</v>
      </c>
      <c r="G176" s="495">
        <f t="shared" ref="G176:G181" si="255">IF(D176=0,"n/a",+F176/D176-1)</f>
        <v>0.24359482742425764</v>
      </c>
      <c r="H176" s="463">
        <v>-9797244</v>
      </c>
      <c r="I176" s="495">
        <f t="shared" ref="I176:I181" si="256">IF(D176=0,"n/a",+H176/D176-1)</f>
        <v>0.24359482742425764</v>
      </c>
      <c r="J176" s="463">
        <v>-9057792</v>
      </c>
      <c r="K176" s="495">
        <f t="shared" si="254"/>
        <v>-7.547551127643648E-2</v>
      </c>
      <c r="L176" s="463">
        <v>-9348332</v>
      </c>
      <c r="M176" s="495">
        <f t="shared" si="254"/>
        <v>3.2076249929342548E-2</v>
      </c>
      <c r="N176" s="463">
        <v>-9011487</v>
      </c>
      <c r="O176" s="495">
        <f t="shared" si="254"/>
        <v>-3.6032631275825455E-2</v>
      </c>
      <c r="P176" s="463">
        <v>-9300804</v>
      </c>
      <c r="Q176" s="498">
        <f t="shared" si="254"/>
        <v>3.210535619704058E-2</v>
      </c>
    </row>
    <row r="177" spans="2:17" ht="13.8" x14ac:dyDescent="0.25">
      <c r="B177" s="240" t="s">
        <v>271</v>
      </c>
      <c r="C177" s="241">
        <v>-2926705.9999999995</v>
      </c>
      <c r="D177" s="241">
        <v>-3071460</v>
      </c>
      <c r="E177" s="495">
        <f t="shared" si="253"/>
        <v>4.945969974435438E-2</v>
      </c>
      <c r="F177" s="241">
        <v>-2778679</v>
      </c>
      <c r="G177" s="495">
        <f t="shared" si="255"/>
        <v>-9.5323071112760727E-2</v>
      </c>
      <c r="H177" s="463">
        <v>-2778679</v>
      </c>
      <c r="I177" s="495">
        <f t="shared" si="256"/>
        <v>-9.5323071112760727E-2</v>
      </c>
      <c r="J177" s="463">
        <v>-3033973</v>
      </c>
      <c r="K177" s="495">
        <f t="shared" si="254"/>
        <v>9.1876031740262265E-2</v>
      </c>
      <c r="L177" s="463">
        <v>-3054222</v>
      </c>
      <c r="M177" s="495">
        <f t="shared" si="254"/>
        <v>6.6740870798784879E-3</v>
      </c>
      <c r="N177" s="463">
        <v>-3088447</v>
      </c>
      <c r="O177" s="495">
        <f t="shared" si="254"/>
        <v>1.1205799709385955E-2</v>
      </c>
      <c r="P177" s="463">
        <v>-3108696</v>
      </c>
      <c r="Q177" s="498">
        <f t="shared" si="254"/>
        <v>6.5563695928729793E-3</v>
      </c>
    </row>
    <row r="178" spans="2:17" ht="13.8" x14ac:dyDescent="0.25">
      <c r="B178" s="240" t="s">
        <v>272</v>
      </c>
      <c r="C178" s="241">
        <v>-2634253</v>
      </c>
      <c r="D178" s="241">
        <v>-3520013.0000000005</v>
      </c>
      <c r="E178" s="495">
        <f t="shared" si="253"/>
        <v>0.3362471258455435</v>
      </c>
      <c r="F178" s="241">
        <v>-3778102</v>
      </c>
      <c r="G178" s="495">
        <f t="shared" si="255"/>
        <v>7.3320467850544802E-2</v>
      </c>
      <c r="H178" s="463">
        <v>-3778102</v>
      </c>
      <c r="I178" s="495">
        <f t="shared" si="256"/>
        <v>7.3320467850544802E-2</v>
      </c>
      <c r="J178" s="463">
        <v>-3167826</v>
      </c>
      <c r="K178" s="495">
        <f t="shared" si="254"/>
        <v>-0.16152978400265527</v>
      </c>
      <c r="L178" s="463">
        <v>-2431156</v>
      </c>
      <c r="M178" s="495">
        <f t="shared" si="254"/>
        <v>-0.23254749471719727</v>
      </c>
      <c r="N178" s="463">
        <v>-2505375</v>
      </c>
      <c r="O178" s="495">
        <f t="shared" si="254"/>
        <v>3.0528275437692987E-2</v>
      </c>
      <c r="P178" s="463">
        <v>-2579100</v>
      </c>
      <c r="Q178" s="498">
        <f t="shared" si="254"/>
        <v>2.9426732525070998E-2</v>
      </c>
    </row>
    <row r="179" spans="2:17" ht="13.8" x14ac:dyDescent="0.25">
      <c r="B179" s="240" t="s">
        <v>273</v>
      </c>
      <c r="C179" s="241">
        <v>-4333161.78</v>
      </c>
      <c r="D179" s="241">
        <v>-4437076.0000000009</v>
      </c>
      <c r="E179" s="495">
        <f t="shared" si="253"/>
        <v>2.3981154010825012E-2</v>
      </c>
      <c r="F179" s="241">
        <v>-920111</v>
      </c>
      <c r="G179" s="495">
        <f t="shared" si="255"/>
        <v>-0.79263122831342092</v>
      </c>
      <c r="H179" s="463">
        <v>-920111</v>
      </c>
      <c r="I179" s="495">
        <f t="shared" si="256"/>
        <v>-0.79263122831342092</v>
      </c>
      <c r="J179" s="463">
        <v>-4842195</v>
      </c>
      <c r="K179" s="495">
        <f t="shared" si="254"/>
        <v>4.2626204881802305</v>
      </c>
      <c r="L179" s="463">
        <v>-4862312</v>
      </c>
      <c r="M179" s="495">
        <f t="shared" si="254"/>
        <v>4.1545208319779814E-3</v>
      </c>
      <c r="N179" s="463">
        <v>-5010750</v>
      </c>
      <c r="O179" s="495">
        <f t="shared" si="254"/>
        <v>3.0528275437692987E-2</v>
      </c>
      <c r="P179" s="463">
        <v>-5158200</v>
      </c>
      <c r="Q179" s="498">
        <f t="shared" si="254"/>
        <v>2.9426732525070998E-2</v>
      </c>
    </row>
    <row r="180" spans="2:17" ht="14.4" thickBot="1" x14ac:dyDescent="0.3">
      <c r="B180" s="240" t="s">
        <v>274</v>
      </c>
      <c r="C180" s="249">
        <v>40026812.219999991</v>
      </c>
      <c r="D180" s="249">
        <v>39610641.999999993</v>
      </c>
      <c r="E180" s="496">
        <f t="shared" si="253"/>
        <v>-1.0397286141913931E-2</v>
      </c>
      <c r="F180" s="249">
        <f>SUM(F174:F179)</f>
        <v>37978262.370841421</v>
      </c>
      <c r="G180" s="496">
        <f t="shared" si="255"/>
        <v>-4.1210632969760241E-2</v>
      </c>
      <c r="H180" s="464">
        <f>SUM(H174:H179)</f>
        <v>37978262.370841421</v>
      </c>
      <c r="I180" s="496">
        <f t="shared" si="256"/>
        <v>-4.1210632969760241E-2</v>
      </c>
      <c r="J180" s="464">
        <f>SUM(J174:J179)</f>
        <v>37430072.365342982</v>
      </c>
      <c r="K180" s="496">
        <f t="shared" si="254"/>
        <v>-1.4434309820328228E-2</v>
      </c>
      <c r="L180" s="464">
        <f>SUM(L174:L179)</f>
        <v>39465609.365021594</v>
      </c>
      <c r="M180" s="496">
        <f t="shared" si="254"/>
        <v>5.4382395519046334E-2</v>
      </c>
      <c r="N180" s="464">
        <f>SUM(N174:N179)</f>
        <v>41308687.364764273</v>
      </c>
      <c r="O180" s="496">
        <f t="shared" si="254"/>
        <v>4.6700862583822111E-2</v>
      </c>
      <c r="P180" s="464">
        <f>SUM(P174:P179)</f>
        <v>42517028.364451706</v>
      </c>
      <c r="Q180" s="502">
        <f t="shared" si="254"/>
        <v>2.9251498335387316E-2</v>
      </c>
    </row>
    <row r="181" spans="2:17" ht="14.4" thickTop="1" x14ac:dyDescent="0.25">
      <c r="B181" s="504" t="s">
        <v>491</v>
      </c>
      <c r="C181" s="251">
        <v>0.70725579646967329</v>
      </c>
      <c r="D181" s="251">
        <v>0.6769041765472823</v>
      </c>
      <c r="E181" s="495">
        <f t="shared" si="253"/>
        <v>-4.2914628729652904E-2</v>
      </c>
      <c r="F181" s="251">
        <f>+F180/F174</f>
        <v>0.68735953090834934</v>
      </c>
      <c r="G181" s="495">
        <f t="shared" si="255"/>
        <v>1.5445841115055758E-2</v>
      </c>
      <c r="H181" s="251">
        <f>+H180/H174</f>
        <v>0.68735953090834934</v>
      </c>
      <c r="I181" s="495">
        <f t="shared" si="256"/>
        <v>1.5445841115055758E-2</v>
      </c>
      <c r="J181" s="251">
        <f>+J180/J174</f>
        <v>0.65059731540988963</v>
      </c>
      <c r="K181" s="495">
        <f t="shared" si="254"/>
        <v>-5.3483241077458055E-2</v>
      </c>
      <c r="L181" s="251">
        <f>+L180/L174</f>
        <v>0.66708115881763963</v>
      </c>
      <c r="M181" s="495">
        <f t="shared" si="254"/>
        <v>2.5336476215498838E-2</v>
      </c>
      <c r="N181" s="251">
        <f>+N180/N174</f>
        <v>0.6780280604660095</v>
      </c>
      <c r="O181" s="495">
        <f t="shared" si="254"/>
        <v>1.6410149655212258E-2</v>
      </c>
      <c r="P181" s="251">
        <f>+P180/P174</f>
        <v>0.67849395291413905</v>
      </c>
      <c r="Q181" s="498">
        <f t="shared" si="254"/>
        <v>6.8712856486996543E-4</v>
      </c>
    </row>
    <row r="182" spans="2:17" ht="15.6" x14ac:dyDescent="0.3">
      <c r="B182" s="242" t="s">
        <v>275</v>
      </c>
      <c r="C182" s="241"/>
      <c r="D182" s="241">
        <f>SUM(D174:D179)</f>
        <v>39610642.382293977</v>
      </c>
      <c r="E182" s="495"/>
      <c r="F182" s="241"/>
      <c r="G182" s="495"/>
      <c r="H182" s="247"/>
      <c r="I182" s="495"/>
      <c r="J182" s="247"/>
      <c r="K182" s="495"/>
      <c r="L182" s="247"/>
      <c r="M182" s="495"/>
      <c r="N182" s="247"/>
      <c r="O182" s="495"/>
      <c r="P182" s="247"/>
      <c r="Q182" s="498"/>
    </row>
    <row r="183" spans="2:17" ht="13.8" x14ac:dyDescent="0.25">
      <c r="B183" s="240" t="s">
        <v>267</v>
      </c>
      <c r="C183" s="241">
        <v>21429532</v>
      </c>
      <c r="D183" s="241">
        <v>25237005</v>
      </c>
      <c r="E183" s="495">
        <f t="shared" si="253"/>
        <v>0.17767410879528311</v>
      </c>
      <c r="F183" s="241">
        <v>27125477</v>
      </c>
      <c r="G183" s="495">
        <f t="shared" ref="G183:G185" si="257">IF(D183=0,"n/a",+F183/D183-1)</f>
        <v>7.4829481549018917E-2</v>
      </c>
      <c r="H183" s="460">
        <v>27125477</v>
      </c>
      <c r="I183" s="495">
        <f>IF(D183=0,"n/a",+H183/D183-1)</f>
        <v>7.4829481549018917E-2</v>
      </c>
      <c r="J183" s="460">
        <v>28529999</v>
      </c>
      <c r="K183" s="495">
        <f t="shared" si="254"/>
        <v>5.1778702361621187E-2</v>
      </c>
      <c r="L183" s="460">
        <v>29443808</v>
      </c>
      <c r="M183" s="495">
        <f t="shared" si="254"/>
        <v>3.2029759271986036E-2</v>
      </c>
      <c r="N183" s="460">
        <v>30411604</v>
      </c>
      <c r="O183" s="495">
        <f t="shared" si="254"/>
        <v>3.2869253868249571E-2</v>
      </c>
      <c r="P183" s="460">
        <v>31388851</v>
      </c>
      <c r="Q183" s="498">
        <f t="shared" si="254"/>
        <v>3.2134017002194204E-2</v>
      </c>
    </row>
    <row r="184" spans="2:17" ht="13.8" x14ac:dyDescent="0.25">
      <c r="B184" s="240" t="s">
        <v>268</v>
      </c>
      <c r="C184" s="245">
        <v>3725662.9999999986</v>
      </c>
      <c r="D184" s="245">
        <v>3885625.0000000005</v>
      </c>
      <c r="E184" s="494">
        <f t="shared" si="253"/>
        <v>4.2935176906768513E-2</v>
      </c>
      <c r="F184" s="245">
        <v>2963780</v>
      </c>
      <c r="G184" s="494">
        <f t="shared" si="257"/>
        <v>-0.23724497345986817</v>
      </c>
      <c r="H184" s="461">
        <v>2963780</v>
      </c>
      <c r="I184" s="494">
        <f>IF(D184=0,"n/a",+H184/D184-1)</f>
        <v>-0.23724497345986817</v>
      </c>
      <c r="J184" s="461">
        <v>4504042</v>
      </c>
      <c r="K184" s="494">
        <f t="shared" si="254"/>
        <v>0.51969511907091626</v>
      </c>
      <c r="L184" s="461">
        <v>4534103</v>
      </c>
      <c r="M184" s="494">
        <f t="shared" si="254"/>
        <v>6.6742272829605209E-3</v>
      </c>
      <c r="N184" s="461">
        <v>4584911</v>
      </c>
      <c r="O184" s="494">
        <f t="shared" si="254"/>
        <v>1.1205744554104724E-2</v>
      </c>
      <c r="P184" s="461">
        <v>4614971</v>
      </c>
      <c r="Q184" s="499">
        <f t="shared" si="254"/>
        <v>6.5562886607830606E-3</v>
      </c>
    </row>
    <row r="185" spans="2:17" ht="12.75" customHeight="1" x14ac:dyDescent="0.25">
      <c r="B185" s="240" t="s">
        <v>269</v>
      </c>
      <c r="C185" s="241">
        <v>25155195</v>
      </c>
      <c r="D185" s="241">
        <v>29122629.999999996</v>
      </c>
      <c r="E185" s="495">
        <f t="shared" si="253"/>
        <v>0.15771831623646704</v>
      </c>
      <c r="F185" s="241">
        <f t="shared" ref="F185:H185" si="258">+F183+F184</f>
        <v>30089257</v>
      </c>
      <c r="G185" s="495">
        <f t="shared" si="257"/>
        <v>3.3191610785152426E-2</v>
      </c>
      <c r="H185" s="462">
        <f t="shared" si="258"/>
        <v>30089257</v>
      </c>
      <c r="I185" s="495">
        <f>IF(D185=0,"n/a",+H185/D185-1)</f>
        <v>3.3191610785152426E-2</v>
      </c>
      <c r="J185" s="462">
        <f t="shared" ref="J185:L185" si="259">+J183+J184</f>
        <v>33034041</v>
      </c>
      <c r="K185" s="495">
        <f t="shared" si="254"/>
        <v>9.7868285680832834E-2</v>
      </c>
      <c r="L185" s="462">
        <f t="shared" si="259"/>
        <v>33977911</v>
      </c>
      <c r="M185" s="495">
        <f t="shared" si="254"/>
        <v>2.8572647227748993E-2</v>
      </c>
      <c r="N185" s="462">
        <f t="shared" ref="N185" si="260">+N183+N184</f>
        <v>34996515</v>
      </c>
      <c r="O185" s="495">
        <f t="shared" si="254"/>
        <v>2.9978417448912609E-2</v>
      </c>
      <c r="P185" s="462">
        <f t="shared" ref="P185" si="261">+P183+P184</f>
        <v>36003822</v>
      </c>
      <c r="Q185" s="498">
        <f t="shared" si="254"/>
        <v>2.8783065970997335E-2</v>
      </c>
    </row>
    <row r="186" spans="2:17" ht="13.8" x14ac:dyDescent="0.25">
      <c r="B186" s="504" t="s">
        <v>502</v>
      </c>
      <c r="C186" s="241">
        <f>+C185/C$212</f>
        <v>0.1763884734760037</v>
      </c>
      <c r="D186" s="241">
        <f>+D185/D$212</f>
        <v>0.19025819043236022</v>
      </c>
      <c r="E186" s="495"/>
      <c r="F186" s="241">
        <f>+F185/F$212</f>
        <v>0.20195219097059997</v>
      </c>
      <c r="G186" s="495"/>
      <c r="H186" s="462">
        <f>+H185/H$212</f>
        <v>0.20195219097059997</v>
      </c>
      <c r="I186" s="495"/>
      <c r="J186" s="462">
        <f>+J185/J$212</f>
        <v>0.20977516510629357</v>
      </c>
      <c r="K186" s="495"/>
      <c r="L186" s="462">
        <f>+L185/L$212</f>
        <v>0.20964045555833125</v>
      </c>
      <c r="M186" s="495"/>
      <c r="N186" s="462">
        <f>+N185/N$212</f>
        <v>0.20952862482853837</v>
      </c>
      <c r="O186" s="495"/>
      <c r="P186" s="462">
        <f>+P185/P$212</f>
        <v>0.20939758731190911</v>
      </c>
      <c r="Q186" s="498"/>
    </row>
    <row r="187" spans="2:17" ht="13.8" x14ac:dyDescent="0.25">
      <c r="B187" s="240" t="s">
        <v>270</v>
      </c>
      <c r="C187" s="241">
        <v>-15530884.000000002</v>
      </c>
      <c r="D187" s="241">
        <v>-18764946</v>
      </c>
      <c r="E187" s="495">
        <f t="shared" si="253"/>
        <v>0.20823425118621697</v>
      </c>
      <c r="F187" s="241">
        <v>-18352868</v>
      </c>
      <c r="G187" s="495">
        <f t="shared" ref="G187:G194" si="262">IF(D187=0,"n/a",+F187/D187-1)</f>
        <v>-2.1959988587230694E-2</v>
      </c>
      <c r="H187" s="463">
        <v>-18352868</v>
      </c>
      <c r="I187" s="495">
        <f t="shared" ref="I187:I193" si="263">IF(D187=0,"n/a",+H187/D187-1)</f>
        <v>-2.1959988587230694E-2</v>
      </c>
      <c r="J187" s="463">
        <v>-19027713</v>
      </c>
      <c r="K187" s="495">
        <f t="shared" si="254"/>
        <v>3.6770547251797403E-2</v>
      </c>
      <c r="L187" s="463">
        <v>-19922594</v>
      </c>
      <c r="M187" s="495">
        <f t="shared" si="254"/>
        <v>4.7030402445107367E-2</v>
      </c>
      <c r="N187" s="463">
        <v>-20864190</v>
      </c>
      <c r="O187" s="495">
        <f t="shared" si="254"/>
        <v>4.7262720908733069E-2</v>
      </c>
      <c r="P187" s="463">
        <v>-21821615</v>
      </c>
      <c r="Q187" s="498">
        <f t="shared" si="254"/>
        <v>4.5888433723044075E-2</v>
      </c>
    </row>
    <row r="188" spans="2:17" ht="13.8" x14ac:dyDescent="0.25">
      <c r="B188" s="240" t="s">
        <v>271</v>
      </c>
      <c r="C188" s="241">
        <v>-2208095.0000000005</v>
      </c>
      <c r="D188" s="241">
        <v>-2382333</v>
      </c>
      <c r="E188" s="495">
        <f t="shared" si="253"/>
        <v>7.8908742603918558E-2</v>
      </c>
      <c r="F188" s="241">
        <v>-1986109</v>
      </c>
      <c r="G188" s="495">
        <f t="shared" si="262"/>
        <v>-0.16631763905381824</v>
      </c>
      <c r="H188" s="463">
        <v>-1986109</v>
      </c>
      <c r="I188" s="495">
        <f t="shared" si="263"/>
        <v>-0.16631763905381824</v>
      </c>
      <c r="J188" s="463">
        <v>-2672327</v>
      </c>
      <c r="K188" s="495">
        <f t="shared" si="254"/>
        <v>0.34550873089039924</v>
      </c>
      <c r="L188" s="463">
        <v>-2680943</v>
      </c>
      <c r="M188" s="495">
        <f t="shared" si="254"/>
        <v>3.2241563251802496E-3</v>
      </c>
      <c r="N188" s="463">
        <v>-2701615</v>
      </c>
      <c r="O188" s="495">
        <f t="shared" si="254"/>
        <v>7.7107196982553194E-3</v>
      </c>
      <c r="P188" s="463">
        <v>-2709850</v>
      </c>
      <c r="Q188" s="498">
        <f t="shared" si="254"/>
        <v>3.0481767387284808E-3</v>
      </c>
    </row>
    <row r="189" spans="2:17" ht="13.8" x14ac:dyDescent="0.25">
      <c r="B189" s="240" t="s">
        <v>272</v>
      </c>
      <c r="C189" s="241">
        <v>0</v>
      </c>
      <c r="D189" s="241">
        <v>0</v>
      </c>
      <c r="E189" s="495" t="str">
        <f t="shared" si="253"/>
        <v>n/a</v>
      </c>
      <c r="F189" s="241"/>
      <c r="G189" s="495" t="str">
        <f t="shared" si="262"/>
        <v>n/a</v>
      </c>
      <c r="H189" s="463"/>
      <c r="I189" s="495" t="str">
        <f t="shared" si="263"/>
        <v>n/a</v>
      </c>
      <c r="J189" s="463"/>
      <c r="K189" s="495" t="str">
        <f t="shared" si="254"/>
        <v>n/a</v>
      </c>
      <c r="L189" s="463"/>
      <c r="M189" s="495" t="str">
        <f t="shared" si="254"/>
        <v>n/a</v>
      </c>
      <c r="N189" s="463"/>
      <c r="O189" s="495" t="str">
        <f t="shared" si="254"/>
        <v>n/a</v>
      </c>
      <c r="P189" s="463"/>
      <c r="Q189" s="498" t="str">
        <f t="shared" si="254"/>
        <v>n/a</v>
      </c>
    </row>
    <row r="190" spans="2:17" ht="13.8" x14ac:dyDescent="0.25">
      <c r="B190" s="240" t="s">
        <v>273</v>
      </c>
      <c r="C190" s="241">
        <v>0</v>
      </c>
      <c r="D190" s="241">
        <v>0</v>
      </c>
      <c r="E190" s="495" t="str">
        <f t="shared" si="253"/>
        <v>n/a</v>
      </c>
      <c r="F190" s="241"/>
      <c r="G190" s="495" t="str">
        <f t="shared" si="262"/>
        <v>n/a</v>
      </c>
      <c r="H190" s="463"/>
      <c r="I190" s="495" t="str">
        <f t="shared" si="263"/>
        <v>n/a</v>
      </c>
      <c r="J190" s="463"/>
      <c r="K190" s="495" t="str">
        <f t="shared" si="254"/>
        <v>n/a</v>
      </c>
      <c r="L190" s="463"/>
      <c r="M190" s="495" t="str">
        <f t="shared" si="254"/>
        <v>n/a</v>
      </c>
      <c r="N190" s="463"/>
      <c r="O190" s="495" t="str">
        <f t="shared" si="254"/>
        <v>n/a</v>
      </c>
      <c r="P190" s="463"/>
      <c r="Q190" s="498" t="str">
        <f t="shared" si="254"/>
        <v>n/a</v>
      </c>
    </row>
    <row r="191" spans="2:17" ht="13.8" x14ac:dyDescent="0.25">
      <c r="B191" s="240" t="s">
        <v>276</v>
      </c>
      <c r="C191" s="241">
        <v>0</v>
      </c>
      <c r="D191" s="241">
        <v>0</v>
      </c>
      <c r="E191" s="495" t="str">
        <f t="shared" si="253"/>
        <v>n/a</v>
      </c>
      <c r="F191" s="241"/>
      <c r="G191" s="495" t="str">
        <f t="shared" si="262"/>
        <v>n/a</v>
      </c>
      <c r="H191" s="463"/>
      <c r="I191" s="495" t="str">
        <f t="shared" si="263"/>
        <v>n/a</v>
      </c>
      <c r="J191" s="463"/>
      <c r="K191" s="495" t="str">
        <f t="shared" si="254"/>
        <v>n/a</v>
      </c>
      <c r="L191" s="463"/>
      <c r="M191" s="495" t="str">
        <f t="shared" si="254"/>
        <v>n/a</v>
      </c>
      <c r="N191" s="463"/>
      <c r="O191" s="495" t="str">
        <f t="shared" si="254"/>
        <v>n/a</v>
      </c>
      <c r="P191" s="463"/>
      <c r="Q191" s="498" t="str">
        <f t="shared" si="254"/>
        <v>n/a</v>
      </c>
    </row>
    <row r="192" spans="2:17" ht="13.8" x14ac:dyDescent="0.25">
      <c r="B192" s="240" t="s">
        <v>277</v>
      </c>
      <c r="C192" s="241">
        <v>0</v>
      </c>
      <c r="D192" s="241">
        <v>0</v>
      </c>
      <c r="E192" s="495" t="str">
        <f t="shared" si="253"/>
        <v>n/a</v>
      </c>
      <c r="F192" s="241"/>
      <c r="G192" s="495" t="str">
        <f t="shared" si="262"/>
        <v>n/a</v>
      </c>
      <c r="H192" s="463"/>
      <c r="I192" s="495" t="str">
        <f t="shared" si="263"/>
        <v>n/a</v>
      </c>
      <c r="J192" s="463"/>
      <c r="K192" s="495" t="str">
        <f t="shared" si="254"/>
        <v>n/a</v>
      </c>
      <c r="L192" s="463"/>
      <c r="M192" s="495" t="str">
        <f t="shared" si="254"/>
        <v>n/a</v>
      </c>
      <c r="N192" s="463"/>
      <c r="O192" s="495" t="str">
        <f t="shared" si="254"/>
        <v>n/a</v>
      </c>
      <c r="P192" s="463"/>
      <c r="Q192" s="498" t="str">
        <f t="shared" si="254"/>
        <v>n/a</v>
      </c>
    </row>
    <row r="193" spans="2:17" ht="14.4" thickBot="1" x14ac:dyDescent="0.3">
      <c r="B193" s="240" t="s">
        <v>274</v>
      </c>
      <c r="C193" s="249">
        <v>7416215.9999999991</v>
      </c>
      <c r="D193" s="249">
        <v>7975351.0000000065</v>
      </c>
      <c r="E193" s="496">
        <f t="shared" si="253"/>
        <v>7.539356998232094E-2</v>
      </c>
      <c r="F193" s="249">
        <f>SUM(F185:F192)</f>
        <v>9750280.2019521892</v>
      </c>
      <c r="G193" s="496">
        <f t="shared" si="262"/>
        <v>0.2225518603447274</v>
      </c>
      <c r="H193" s="250">
        <f>SUM(H185:H192)</f>
        <v>9750280.2019521892</v>
      </c>
      <c r="I193" s="496">
        <f t="shared" si="263"/>
        <v>0.2225518603447274</v>
      </c>
      <c r="J193" s="250">
        <f>SUM(J185:J192)</f>
        <v>11334001.209775165</v>
      </c>
      <c r="K193" s="496">
        <f t="shared" si="254"/>
        <v>0.16242825590857213</v>
      </c>
      <c r="L193" s="250">
        <f>SUM(L185:L192)</f>
        <v>11374374.209640458</v>
      </c>
      <c r="M193" s="496">
        <f t="shared" si="254"/>
        <v>3.5621136011942944E-3</v>
      </c>
      <c r="N193" s="250">
        <f>SUM(N185:N192)</f>
        <v>11430710.209528625</v>
      </c>
      <c r="O193" s="496">
        <f t="shared" si="254"/>
        <v>4.95288785561665E-3</v>
      </c>
      <c r="P193" s="250">
        <f>SUM(P185:P192)</f>
        <v>11472357.209397584</v>
      </c>
      <c r="Q193" s="502">
        <f t="shared" si="254"/>
        <v>3.6434306447767906E-3</v>
      </c>
    </row>
    <row r="194" spans="2:17" ht="14.4" thickTop="1" x14ac:dyDescent="0.25">
      <c r="B194" s="504" t="s">
        <v>491</v>
      </c>
      <c r="C194" s="251">
        <v>0.294818465927217</v>
      </c>
      <c r="D194" s="251">
        <v>0.27385407842629622</v>
      </c>
      <c r="E194" s="495">
        <f t="shared" si="253"/>
        <v>-7.1109478963561012E-2</v>
      </c>
      <c r="F194" s="251">
        <f>+F193/F185</f>
        <v>0.32404522989557999</v>
      </c>
      <c r="G194" s="495">
        <f t="shared" si="262"/>
        <v>0.1832769910081582</v>
      </c>
      <c r="H194" s="251">
        <f>+H193/H185</f>
        <v>0.32404522989557999</v>
      </c>
      <c r="I194" s="495"/>
      <c r="J194" s="251">
        <f>+J193/J185</f>
        <v>0.34310065818999147</v>
      </c>
      <c r="K194" s="495"/>
      <c r="L194" s="251">
        <f>+L193/L185</f>
        <v>0.33475790226304547</v>
      </c>
      <c r="M194" s="495"/>
      <c r="N194" s="251">
        <f>+N193/N185</f>
        <v>0.32662424271469959</v>
      </c>
      <c r="O194" s="495"/>
      <c r="P194" s="251">
        <f>+P193/P185</f>
        <v>0.31864275991025576</v>
      </c>
      <c r="Q194" s="498"/>
    </row>
    <row r="195" spans="2:17" ht="15.6" x14ac:dyDescent="0.3">
      <c r="B195" s="242" t="s">
        <v>278</v>
      </c>
      <c r="C195" s="241"/>
      <c r="D195" s="241"/>
      <c r="E195" s="495"/>
      <c r="F195" s="241"/>
      <c r="G195" s="495"/>
      <c r="H195" s="247"/>
      <c r="I195" s="495"/>
      <c r="J195" s="247"/>
      <c r="K195" s="495"/>
      <c r="L195" s="247"/>
      <c r="M195" s="495"/>
      <c r="N195" s="247"/>
      <c r="O195" s="495"/>
      <c r="P195" s="247"/>
      <c r="Q195" s="498"/>
    </row>
    <row r="196" spans="2:17" ht="13.8" x14ac:dyDescent="0.25">
      <c r="B196" s="240" t="s">
        <v>267</v>
      </c>
      <c r="C196" s="241">
        <v>54885985.000000022</v>
      </c>
      <c r="D196" s="241">
        <v>58647763.000000022</v>
      </c>
      <c r="E196" s="495">
        <f t="shared" si="253"/>
        <v>6.8538042999501503E-2</v>
      </c>
      <c r="F196" s="241">
        <v>59154635</v>
      </c>
      <c r="G196" s="495">
        <f t="shared" ref="G196:G198" si="264">IF(D196=0,"n/a",+F196/D196-1)</f>
        <v>8.6426484843076246E-3</v>
      </c>
      <c r="H196" s="244">
        <v>59154635</v>
      </c>
      <c r="I196" s="495">
        <f>IF(D196=0,"n/a",+H196/D196-1)</f>
        <v>8.6426484843076246E-3</v>
      </c>
      <c r="J196" s="244">
        <v>62392715</v>
      </c>
      <c r="K196" s="495">
        <f t="shared" si="254"/>
        <v>5.4739244016973387E-2</v>
      </c>
      <c r="L196" s="244">
        <v>64392455</v>
      </c>
      <c r="M196" s="495">
        <f t="shared" si="254"/>
        <v>3.2050857219468654E-2</v>
      </c>
      <c r="N196" s="244">
        <v>66507717</v>
      </c>
      <c r="O196" s="495">
        <f t="shared" si="254"/>
        <v>3.2849531827913614E-2</v>
      </c>
      <c r="P196" s="244">
        <v>68646215</v>
      </c>
      <c r="Q196" s="498">
        <f t="shared" si="254"/>
        <v>3.2154133331625312E-2</v>
      </c>
    </row>
    <row r="197" spans="2:17" ht="13.8" x14ac:dyDescent="0.25">
      <c r="B197" s="240" t="s">
        <v>268</v>
      </c>
      <c r="C197" s="245">
        <v>5976750.9999999991</v>
      </c>
      <c r="D197" s="245">
        <v>6781247.0000000009</v>
      </c>
      <c r="E197" s="494">
        <f t="shared" si="253"/>
        <v>0.13460423564575508</v>
      </c>
      <c r="F197" s="245">
        <v>4495691</v>
      </c>
      <c r="G197" s="494">
        <f t="shared" si="264"/>
        <v>-0.33704066523458009</v>
      </c>
      <c r="H197" s="246">
        <v>4495691</v>
      </c>
      <c r="I197" s="494">
        <f>IF(D197=0,"n/a",+H197/D197-1)</f>
        <v>-0.33704066523458009</v>
      </c>
      <c r="J197" s="246">
        <v>4514941</v>
      </c>
      <c r="K197" s="494">
        <f t="shared" si="254"/>
        <v>4.2818779137623331E-3</v>
      </c>
      <c r="L197" s="246">
        <v>4545074</v>
      </c>
      <c r="M197" s="494">
        <f t="shared" si="254"/>
        <v>6.6740628504338151E-3</v>
      </c>
      <c r="N197" s="246">
        <v>4596005</v>
      </c>
      <c r="O197" s="494">
        <f t="shared" si="254"/>
        <v>1.1205758146072053E-2</v>
      </c>
      <c r="P197" s="246">
        <v>4626139</v>
      </c>
      <c r="Q197" s="499">
        <f t="shared" si="254"/>
        <v>6.5565637983422409E-3</v>
      </c>
    </row>
    <row r="198" spans="2:17" ht="12.75" customHeight="1" x14ac:dyDescent="0.25">
      <c r="B198" s="240" t="s">
        <v>269</v>
      </c>
      <c r="C198" s="241">
        <v>60862735.999999993</v>
      </c>
      <c r="D198" s="241">
        <v>65429010.000000007</v>
      </c>
      <c r="E198" s="495">
        <f t="shared" si="253"/>
        <v>7.5025776034781222E-2</v>
      </c>
      <c r="F198" s="241">
        <f t="shared" ref="F198:H198" si="265">+F196+F197</f>
        <v>63650326</v>
      </c>
      <c r="G198" s="495">
        <f t="shared" si="264"/>
        <v>-2.7184944415329038E-2</v>
      </c>
      <c r="H198" s="247">
        <f t="shared" si="265"/>
        <v>63650326</v>
      </c>
      <c r="I198" s="495">
        <f>IF(D198=0,"n/a",+H198/D198-1)</f>
        <v>-2.7184944415329038E-2</v>
      </c>
      <c r="J198" s="247">
        <f t="shared" ref="J198:L198" si="266">+J196+J197</f>
        <v>66907656</v>
      </c>
      <c r="K198" s="495">
        <f t="shared" si="254"/>
        <v>5.117538596738691E-2</v>
      </c>
      <c r="L198" s="247">
        <f t="shared" si="266"/>
        <v>68937529</v>
      </c>
      <c r="M198" s="495">
        <f t="shared" si="254"/>
        <v>3.0338426442558353E-2</v>
      </c>
      <c r="N198" s="247">
        <f t="shared" ref="N198" si="267">+N196+N197</f>
        <v>71103722</v>
      </c>
      <c r="O198" s="495">
        <f t="shared" si="254"/>
        <v>3.1422550698038565E-2</v>
      </c>
      <c r="P198" s="247">
        <f t="shared" ref="P198" si="268">+P196+P197</f>
        <v>73272354</v>
      </c>
      <c r="Q198" s="498">
        <f t="shared" si="254"/>
        <v>3.0499556689873364E-2</v>
      </c>
    </row>
    <row r="199" spans="2:17" ht="13.8" x14ac:dyDescent="0.25">
      <c r="B199" s="504" t="s">
        <v>502</v>
      </c>
      <c r="C199" s="539">
        <f>+C198/C$212</f>
        <v>0.42677010035553348</v>
      </c>
      <c r="D199" s="539">
        <f>+D198/D$212</f>
        <v>0.4274478316134499</v>
      </c>
      <c r="E199" s="495"/>
      <c r="F199" s="539">
        <f>+F198/F$212</f>
        <v>0.42720638770485236</v>
      </c>
      <c r="G199" s="495"/>
      <c r="H199" s="539">
        <f>+H198/H$212</f>
        <v>0.42720638770485236</v>
      </c>
      <c r="I199" s="495"/>
      <c r="J199" s="539">
        <f>+J198/J$212</f>
        <v>0.42488185397224315</v>
      </c>
      <c r="K199" s="495"/>
      <c r="L199" s="539">
        <f>+L198/L$212</f>
        <v>0.42533794925255036</v>
      </c>
      <c r="M199" s="495"/>
      <c r="N199" s="539">
        <f>+N198/N$212</f>
        <v>0.42570710514606069</v>
      </c>
      <c r="O199" s="495"/>
      <c r="P199" s="539">
        <f>+P198/P$212</f>
        <v>0.42615070545188544</v>
      </c>
      <c r="Q199" s="498"/>
    </row>
    <row r="200" spans="2:17" ht="13.8" x14ac:dyDescent="0.25">
      <c r="B200" s="240" t="s">
        <v>270</v>
      </c>
      <c r="C200" s="241">
        <v>-34389153</v>
      </c>
      <c r="D200" s="241">
        <v>-34149210.999999993</v>
      </c>
      <c r="E200" s="495">
        <f t="shared" si="253"/>
        <v>-6.9772582069702604E-3</v>
      </c>
      <c r="F200" s="241">
        <v>-36863381</v>
      </c>
      <c r="G200" s="495">
        <f t="shared" ref="G200:G204" si="269">IF(D200=0,"n/a",+F200/D200-1)</f>
        <v>7.94797279503765E-2</v>
      </c>
      <c r="H200" s="463">
        <v>-36863381</v>
      </c>
      <c r="I200" s="495">
        <f>IF(D200=0,"n/a",+H200/D200-1)</f>
        <v>7.94797279503765E-2</v>
      </c>
      <c r="J200" s="463">
        <v>-38035969</v>
      </c>
      <c r="K200" s="495">
        <f t="shared" si="254"/>
        <v>3.1809019362602609E-2</v>
      </c>
      <c r="L200" s="463">
        <v>-39350153</v>
      </c>
      <c r="M200" s="495">
        <f t="shared" si="254"/>
        <v>3.4551085053203145E-2</v>
      </c>
      <c r="N200" s="463">
        <v>-41067289</v>
      </c>
      <c r="O200" s="495">
        <f t="shared" si="254"/>
        <v>4.3637339859898372E-2</v>
      </c>
      <c r="P200" s="463">
        <v>-42810337</v>
      </c>
      <c r="Q200" s="498">
        <f t="shared" si="254"/>
        <v>4.2443707448037271E-2</v>
      </c>
    </row>
    <row r="201" spans="2:17" ht="13.8" x14ac:dyDescent="0.25">
      <c r="B201" s="240" t="s">
        <v>271</v>
      </c>
      <c r="C201" s="241">
        <v>-3339853.9999999995</v>
      </c>
      <c r="D201" s="241">
        <v>-4173618</v>
      </c>
      <c r="E201" s="495">
        <f t="shared" si="253"/>
        <v>0.24964085256421398</v>
      </c>
      <c r="F201" s="241">
        <v>-2272161</v>
      </c>
      <c r="G201" s="495">
        <f t="shared" si="269"/>
        <v>-0.45558961074060922</v>
      </c>
      <c r="H201" s="463">
        <v>-2272161</v>
      </c>
      <c r="I201" s="495">
        <f>IF(D201=0,"n/a",+H201/D201-1)</f>
        <v>-0.45558961074060922</v>
      </c>
      <c r="J201" s="463">
        <v>-2204037</v>
      </c>
      <c r="K201" s="495">
        <f t="shared" si="254"/>
        <v>-2.9982030322675213E-2</v>
      </c>
      <c r="L201" s="463">
        <v>-2200725</v>
      </c>
      <c r="M201" s="495">
        <f t="shared" si="254"/>
        <v>-1.5026970962828123E-3</v>
      </c>
      <c r="N201" s="463">
        <v>-2225386</v>
      </c>
      <c r="O201" s="495">
        <f t="shared" si="254"/>
        <v>1.1205852616751333E-2</v>
      </c>
      <c r="P201" s="463">
        <v>-2239976</v>
      </c>
      <c r="Q201" s="498">
        <f t="shared" si="254"/>
        <v>6.5561659864850075E-3</v>
      </c>
    </row>
    <row r="202" spans="2:17" ht="13.8" x14ac:dyDescent="0.25">
      <c r="B202" s="240" t="s">
        <v>272</v>
      </c>
      <c r="C202" s="241">
        <v>0</v>
      </c>
      <c r="D202" s="241">
        <v>0</v>
      </c>
      <c r="E202" s="495" t="str">
        <f t="shared" si="253"/>
        <v>n/a</v>
      </c>
      <c r="F202" s="241"/>
      <c r="G202" s="495" t="str">
        <f t="shared" si="269"/>
        <v>n/a</v>
      </c>
      <c r="H202" s="244"/>
      <c r="I202" s="495" t="str">
        <f>IF(D202=0,"n/a",+H202/D202-1)</f>
        <v>n/a</v>
      </c>
      <c r="J202" s="244"/>
      <c r="K202" s="495" t="str">
        <f t="shared" si="254"/>
        <v>n/a</v>
      </c>
      <c r="L202" s="244"/>
      <c r="M202" s="495" t="str">
        <f t="shared" si="254"/>
        <v>n/a</v>
      </c>
      <c r="N202" s="244"/>
      <c r="O202" s="495" t="str">
        <f t="shared" si="254"/>
        <v>n/a</v>
      </c>
      <c r="P202" s="244"/>
      <c r="Q202" s="498" t="str">
        <f t="shared" si="254"/>
        <v>n/a</v>
      </c>
    </row>
    <row r="203" spans="2:17" ht="13.8" x14ac:dyDescent="0.25">
      <c r="B203" s="240" t="s">
        <v>273</v>
      </c>
      <c r="C203" s="241">
        <v>0</v>
      </c>
      <c r="D203" s="241">
        <v>0</v>
      </c>
      <c r="E203" s="495" t="str">
        <f t="shared" si="253"/>
        <v>n/a</v>
      </c>
      <c r="F203" s="241"/>
      <c r="G203" s="495" t="str">
        <f t="shared" si="269"/>
        <v>n/a</v>
      </c>
      <c r="H203" s="244"/>
      <c r="I203" s="495" t="str">
        <f>IF(D203=0,"n/a",+H203/D203-1)</f>
        <v>n/a</v>
      </c>
      <c r="J203" s="244"/>
      <c r="K203" s="495" t="str">
        <f t="shared" si="254"/>
        <v>n/a</v>
      </c>
      <c r="L203" s="244"/>
      <c r="M203" s="495" t="str">
        <f t="shared" si="254"/>
        <v>n/a</v>
      </c>
      <c r="N203" s="244"/>
      <c r="O203" s="495" t="str">
        <f t="shared" si="254"/>
        <v>n/a</v>
      </c>
      <c r="P203" s="244"/>
      <c r="Q203" s="498" t="str">
        <f t="shared" si="254"/>
        <v>n/a</v>
      </c>
    </row>
    <row r="204" spans="2:17" ht="14.4" thickBot="1" x14ac:dyDescent="0.3">
      <c r="B204" s="240" t="s">
        <v>274</v>
      </c>
      <c r="C204" s="249">
        <v>23133729.000000004</v>
      </c>
      <c r="D204" s="249">
        <v>27106181.000000011</v>
      </c>
      <c r="E204" s="496">
        <f t="shared" si="253"/>
        <v>0.17171689008719726</v>
      </c>
      <c r="F204" s="249">
        <f>+F198+F200+F201</f>
        <v>24514784</v>
      </c>
      <c r="G204" s="496">
        <f t="shared" si="269"/>
        <v>-9.5601700586298355E-2</v>
      </c>
      <c r="H204" s="250">
        <f>+H198+H200+H201</f>
        <v>24514784</v>
      </c>
      <c r="I204" s="496">
        <f>IF(D204=0,"n/a",+H204/D204-1)</f>
        <v>-9.5601700586298355E-2</v>
      </c>
      <c r="J204" s="250">
        <f>+J198+J200+J201</f>
        <v>26667650</v>
      </c>
      <c r="K204" s="496">
        <f t="shared" si="254"/>
        <v>8.7819089085182211E-2</v>
      </c>
      <c r="L204" s="250">
        <f>+L198+L200+L201</f>
        <v>27386651</v>
      </c>
      <c r="M204" s="496">
        <f t="shared" si="254"/>
        <v>2.6961543293090973E-2</v>
      </c>
      <c r="N204" s="250">
        <f>+N198+N200+N201</f>
        <v>27811047</v>
      </c>
      <c r="O204" s="496">
        <f t="shared" si="254"/>
        <v>1.5496454823921368E-2</v>
      </c>
      <c r="P204" s="250">
        <f>+P198+P200+P201</f>
        <v>28222041</v>
      </c>
      <c r="Q204" s="502">
        <f t="shared" si="254"/>
        <v>1.4778084406531056E-2</v>
      </c>
    </row>
    <row r="205" spans="2:17" ht="14.4" thickTop="1" x14ac:dyDescent="0.25">
      <c r="B205" s="504" t="s">
        <v>491</v>
      </c>
      <c r="C205" s="251">
        <v>0.3800967639706504</v>
      </c>
      <c r="D205" s="251">
        <v>0.41428383220226023</v>
      </c>
      <c r="E205" s="243">
        <f t="shared" si="253"/>
        <v>8.9943065745883732E-2</v>
      </c>
      <c r="F205" s="251">
        <f>+F204/F198</f>
        <v>0.38514781526806319</v>
      </c>
      <c r="G205" s="243"/>
      <c r="H205" s="251">
        <f>+H204/H198</f>
        <v>0.38514781526806319</v>
      </c>
      <c r="I205" s="243"/>
      <c r="J205" s="251">
        <f>+J204/J198</f>
        <v>0.39857396887435426</v>
      </c>
      <c r="K205" s="243"/>
      <c r="L205" s="251">
        <f>+L204/L198</f>
        <v>0.39726766243681289</v>
      </c>
      <c r="M205" s="243"/>
      <c r="N205" s="251">
        <f>+N204/N198</f>
        <v>0.39113349087407828</v>
      </c>
      <c r="O205" s="501"/>
      <c r="P205" s="251">
        <f>+P204/P198</f>
        <v>0.38516629341538555</v>
      </c>
      <c r="Q205" s="248"/>
    </row>
    <row r="206" spans="2:17" ht="13.8" x14ac:dyDescent="0.25">
      <c r="B206" s="240"/>
      <c r="C206" s="241"/>
      <c r="D206" s="241"/>
      <c r="E206" s="243"/>
      <c r="F206" s="241"/>
      <c r="G206" s="243"/>
      <c r="H206" s="241"/>
      <c r="I206" s="243"/>
      <c r="J206" s="247"/>
      <c r="K206" s="243"/>
      <c r="L206" s="247"/>
      <c r="M206" s="243"/>
      <c r="N206" s="247"/>
      <c r="O206" s="243"/>
      <c r="P206" s="247"/>
      <c r="Q206" s="248"/>
    </row>
    <row r="207" spans="2:17" ht="13.8" x14ac:dyDescent="0.25">
      <c r="B207" s="252" t="s">
        <v>279</v>
      </c>
      <c r="C207" s="241">
        <v>936015.42000000027</v>
      </c>
      <c r="D207" s="241">
        <v>1050745.9999999998</v>
      </c>
      <c r="E207" s="495">
        <f t="shared" si="253"/>
        <v>0.12257338666493278</v>
      </c>
      <c r="F207" s="241">
        <v>918389</v>
      </c>
      <c r="G207" s="495">
        <f>IF(D207=0,"n/a",+F207/D207-1)</f>
        <v>-0.12596479072963385</v>
      </c>
      <c r="H207" s="244">
        <v>918389</v>
      </c>
      <c r="I207" s="495">
        <f>IF(D207=0,"n/a",+H207/D207-1)</f>
        <v>-0.12596479072963385</v>
      </c>
      <c r="J207" s="244">
        <v>976889</v>
      </c>
      <c r="K207" s="495">
        <f t="shared" ref="K207:Q207" si="270">IF(H207=0,"n/a",+J207/H207-1)</f>
        <v>6.3698498130966286E-2</v>
      </c>
      <c r="L207" s="244">
        <v>754085</v>
      </c>
      <c r="M207" s="495">
        <f t="shared" si="270"/>
        <v>-0.22807504230265674</v>
      </c>
      <c r="N207" s="244">
        <v>777106</v>
      </c>
      <c r="O207" s="495">
        <f t="shared" si="270"/>
        <v>3.0528388709495591E-2</v>
      </c>
      <c r="P207" s="244">
        <v>799974</v>
      </c>
      <c r="Q207" s="498">
        <f t="shared" si="270"/>
        <v>2.9427130919076783E-2</v>
      </c>
    </row>
    <row r="208" spans="2:17" ht="13.8" x14ac:dyDescent="0.25">
      <c r="B208" s="240"/>
      <c r="C208" s="241"/>
      <c r="D208" s="241"/>
      <c r="E208" s="243" t="str">
        <f t="shared" si="253"/>
        <v>n/a</v>
      </c>
      <c r="F208" s="241"/>
      <c r="G208" s="243"/>
      <c r="H208" s="241"/>
      <c r="I208" s="243"/>
      <c r="J208" s="247"/>
      <c r="K208" s="243"/>
      <c r="L208" s="247"/>
      <c r="M208" s="243"/>
      <c r="N208" s="247"/>
      <c r="O208" s="243"/>
      <c r="P208" s="247"/>
      <c r="Q208" s="248"/>
    </row>
    <row r="209" spans="2:17" ht="15.6" x14ac:dyDescent="0.3">
      <c r="B209" s="242" t="s">
        <v>280</v>
      </c>
      <c r="C209" s="126"/>
      <c r="D209" s="126"/>
      <c r="E209" s="243" t="str">
        <f t="shared" si="253"/>
        <v>n/a</v>
      </c>
      <c r="F209" s="126"/>
      <c r="G209" s="243"/>
      <c r="H209" s="126"/>
      <c r="I209" s="243"/>
      <c r="J209" s="247"/>
      <c r="K209" s="243"/>
      <c r="L209" s="247"/>
      <c r="M209" s="243"/>
      <c r="N209" s="247"/>
      <c r="O209" s="243"/>
      <c r="P209" s="247"/>
      <c r="Q209" s="248"/>
    </row>
    <row r="210" spans="2:17" ht="13.8" x14ac:dyDescent="0.25">
      <c r="B210" s="240" t="s">
        <v>267</v>
      </c>
      <c r="C210" s="241">
        <v>124995948.99999996</v>
      </c>
      <c r="D210" s="241">
        <v>133973975.00000004</v>
      </c>
      <c r="E210" s="495">
        <f t="shared" si="253"/>
        <v>7.1826535754371479E-2</v>
      </c>
      <c r="F210" s="241">
        <f>+F172+F183+F196</f>
        <v>133598234</v>
      </c>
      <c r="G210" s="495">
        <f>IF(D210=0,"n/a",+F210/D210-1)</f>
        <v>-2.8045820093047791E-3</v>
      </c>
      <c r="H210" s="247">
        <f>+H172+H183+H196</f>
        <v>133598234</v>
      </c>
      <c r="I210" s="495">
        <f>IF(D210=0,"n/a",+H210/D210-1)</f>
        <v>-2.8045820093047791E-3</v>
      </c>
      <c r="J210" s="247">
        <f>+J172+J183+J196</f>
        <v>140091968</v>
      </c>
      <c r="K210" s="495">
        <f t="shared" ref="K210:Q221" si="271">IF(H210=0,"n/a",+J210/H210-1)</f>
        <v>4.8606435920403035E-2</v>
      </c>
      <c r="L210" s="247">
        <f>+L172+L183+L196</f>
        <v>144579477</v>
      </c>
      <c r="M210" s="495">
        <f t="shared" si="271"/>
        <v>3.2032593046305013E-2</v>
      </c>
      <c r="N210" s="247">
        <f>+N172+N183+N196</f>
        <v>149331315</v>
      </c>
      <c r="O210" s="495">
        <f t="shared" si="271"/>
        <v>3.2866614948399597E-2</v>
      </c>
      <c r="P210" s="247">
        <f>+P172+P183+P196</f>
        <v>154130329</v>
      </c>
      <c r="Q210" s="498">
        <f t="shared" si="271"/>
        <v>3.2136688811720493E-2</v>
      </c>
    </row>
    <row r="211" spans="2:17" ht="13.8" x14ac:dyDescent="0.25">
      <c r="B211" s="240" t="s">
        <v>268</v>
      </c>
      <c r="C211" s="245">
        <v>17616516</v>
      </c>
      <c r="D211" s="245">
        <v>19095019.999999996</v>
      </c>
      <c r="E211" s="494">
        <f t="shared" si="253"/>
        <v>8.3927151089352447E-2</v>
      </c>
      <c r="F211" s="245">
        <f>+F173+F184+F197</f>
        <v>15393747</v>
      </c>
      <c r="G211" s="494">
        <f>IF(D211=0,"n/a",+F211/D211-1)</f>
        <v>-0.19383446574028185</v>
      </c>
      <c r="H211" s="253">
        <f>+H173+H184+H197</f>
        <v>15393747</v>
      </c>
      <c r="I211" s="494">
        <f>IF(D211=0,"n/a",+H211/D211-1)</f>
        <v>-0.19383446574028185</v>
      </c>
      <c r="J211" s="253">
        <f>+J173+J184+J197</f>
        <v>17381587</v>
      </c>
      <c r="K211" s="494">
        <f t="shared" si="271"/>
        <v>0.12913295249038459</v>
      </c>
      <c r="L211" s="253">
        <f>+L173+L184+L197</f>
        <v>17497594</v>
      </c>
      <c r="M211" s="494">
        <f t="shared" si="271"/>
        <v>6.6741316543765805E-3</v>
      </c>
      <c r="N211" s="253">
        <f>+N173+N184+N197</f>
        <v>17693668</v>
      </c>
      <c r="O211" s="494">
        <f t="shared" si="271"/>
        <v>1.1205769204611693E-2</v>
      </c>
      <c r="P211" s="253">
        <f>+P173+P184+P197</f>
        <v>17809675</v>
      </c>
      <c r="Q211" s="499">
        <f t="shared" si="271"/>
        <v>6.5564132886408721E-3</v>
      </c>
    </row>
    <row r="212" spans="2:17" ht="12.75" customHeight="1" x14ac:dyDescent="0.25">
      <c r="B212" s="240" t="s">
        <v>269</v>
      </c>
      <c r="C212" s="241">
        <v>142612464.99999997</v>
      </c>
      <c r="D212" s="241">
        <v>153068995</v>
      </c>
      <c r="E212" s="495">
        <f t="shared" si="253"/>
        <v>7.3321290673995732E-2</v>
      </c>
      <c r="F212" s="241">
        <f t="shared" ref="F212:H212" si="272">+F210+F211</f>
        <v>148991981</v>
      </c>
      <c r="G212" s="495">
        <f>IF(D212=0,"n/a",+F212/D212-1)</f>
        <v>-2.6635139271672936E-2</v>
      </c>
      <c r="H212" s="247">
        <f t="shared" si="272"/>
        <v>148991981</v>
      </c>
      <c r="I212" s="495">
        <f>IF(D212=0,"n/a",+H212/D212-1)</f>
        <v>-2.6635139271672936E-2</v>
      </c>
      <c r="J212" s="247">
        <f t="shared" ref="J212" si="273">+J210+J211</f>
        <v>157473555</v>
      </c>
      <c r="K212" s="495">
        <f t="shared" si="271"/>
        <v>5.6926379145197048E-2</v>
      </c>
      <c r="L212" s="247">
        <f t="shared" ref="L212" si="274">+L210+L211</f>
        <v>162077071</v>
      </c>
      <c r="M212" s="495">
        <f t="shared" si="271"/>
        <v>2.9233581473409931E-2</v>
      </c>
      <c r="N212" s="247">
        <f t="shared" ref="N212:P212" si="275">+N210+N211</f>
        <v>167024983</v>
      </c>
      <c r="O212" s="495">
        <f t="shared" si="271"/>
        <v>3.0528142996858465E-2</v>
      </c>
      <c r="P212" s="247">
        <f t="shared" si="275"/>
        <v>171940004</v>
      </c>
      <c r="Q212" s="498">
        <f t="shared" si="271"/>
        <v>2.942686124985272E-2</v>
      </c>
    </row>
    <row r="213" spans="2:17" ht="13.8" x14ac:dyDescent="0.25">
      <c r="B213" s="240"/>
      <c r="C213" s="241"/>
      <c r="D213" s="241"/>
      <c r="E213" s="495"/>
      <c r="F213" s="241"/>
      <c r="G213" s="495"/>
      <c r="H213" s="247"/>
      <c r="I213" s="495"/>
      <c r="J213" s="247"/>
      <c r="K213" s="495"/>
      <c r="L213" s="247"/>
      <c r="M213" s="495"/>
      <c r="N213" s="247"/>
      <c r="O213" s="495"/>
      <c r="P213" s="247"/>
      <c r="Q213" s="498"/>
    </row>
    <row r="214" spans="2:17" ht="13.8" x14ac:dyDescent="0.25">
      <c r="B214" s="240" t="s">
        <v>270</v>
      </c>
      <c r="C214" s="503">
        <v>-56593638</v>
      </c>
      <c r="D214" s="503">
        <v>-60792321.000000022</v>
      </c>
      <c r="E214" s="495">
        <f t="shared" si="253"/>
        <v>7.41900176129342E-2</v>
      </c>
      <c r="F214" s="503">
        <f>+F176+F187+F200</f>
        <v>-65013493</v>
      </c>
      <c r="G214" s="495">
        <f t="shared" ref="G214:G221" si="276">IF(D214=0,"n/a",+F214/D214-1)</f>
        <v>6.9435940766268356E-2</v>
      </c>
      <c r="H214" s="503">
        <f>+H176+H187+H200</f>
        <v>-65013493</v>
      </c>
      <c r="I214" s="495">
        <f t="shared" ref="I214:I221" si="277">IF(D214=0,"n/a",+H214/D214-1)</f>
        <v>6.9435940766268356E-2</v>
      </c>
      <c r="J214" s="503">
        <f>+J176+J187+J200</f>
        <v>-66121474</v>
      </c>
      <c r="K214" s="495">
        <f t="shared" si="271"/>
        <v>1.7042323814227212E-2</v>
      </c>
      <c r="L214" s="503">
        <f>+L176+L187+L200</f>
        <v>-68621079</v>
      </c>
      <c r="M214" s="495">
        <f t="shared" si="271"/>
        <v>3.7803225620771874E-2</v>
      </c>
      <c r="N214" s="503">
        <f>+N176+N187+N200</f>
        <v>-70942966</v>
      </c>
      <c r="O214" s="495">
        <f t="shared" si="271"/>
        <v>3.3836352238063805E-2</v>
      </c>
      <c r="P214" s="503">
        <f>+P176+P187+P200</f>
        <v>-73932756</v>
      </c>
      <c r="Q214" s="498">
        <f t="shared" si="271"/>
        <v>4.2143572063226165E-2</v>
      </c>
    </row>
    <row r="215" spans="2:17" ht="13.8" x14ac:dyDescent="0.25">
      <c r="B215" s="240" t="s">
        <v>271</v>
      </c>
      <c r="C215" s="503">
        <v>-8474655</v>
      </c>
      <c r="D215" s="503">
        <v>-9627411</v>
      </c>
      <c r="E215" s="495">
        <f t="shared" si="253"/>
        <v>0.13602394433755705</v>
      </c>
      <c r="F215" s="503">
        <f>+F177+F188+F201</f>
        <v>-7036949</v>
      </c>
      <c r="G215" s="495">
        <f t="shared" si="276"/>
        <v>-0.26907150842526617</v>
      </c>
      <c r="H215" s="503">
        <f>+H177+H188+H201</f>
        <v>-7036949</v>
      </c>
      <c r="I215" s="495">
        <f t="shared" si="277"/>
        <v>-0.26907150842526617</v>
      </c>
      <c r="J215" s="503">
        <f>+J177+J188+J201</f>
        <v>-7910337</v>
      </c>
      <c r="K215" s="495">
        <f t="shared" si="271"/>
        <v>0.12411458431772071</v>
      </c>
      <c r="L215" s="503">
        <f>+L177+L188+L201</f>
        <v>-7935890</v>
      </c>
      <c r="M215" s="495">
        <f t="shared" si="271"/>
        <v>3.2303301363771908E-3</v>
      </c>
      <c r="N215" s="503">
        <f>+N177+N188+N201</f>
        <v>-8015448</v>
      </c>
      <c r="O215" s="495">
        <f t="shared" si="271"/>
        <v>1.002508855339479E-2</v>
      </c>
      <c r="P215" s="503">
        <f>+P177+P188+P201</f>
        <v>-8058522</v>
      </c>
      <c r="Q215" s="498">
        <f t="shared" si="271"/>
        <v>5.3738730511383448E-3</v>
      </c>
    </row>
    <row r="216" spans="2:17" ht="13.8" x14ac:dyDescent="0.25">
      <c r="B216" s="240" t="s">
        <v>272</v>
      </c>
      <c r="C216" s="503">
        <v>-2634253</v>
      </c>
      <c r="D216" s="503">
        <v>-3520013.0000000005</v>
      </c>
      <c r="E216" s="495">
        <f t="shared" si="253"/>
        <v>0.3362471258455435</v>
      </c>
      <c r="F216" s="503">
        <f>+F178+F189+F202</f>
        <v>-3778102</v>
      </c>
      <c r="G216" s="495">
        <f t="shared" si="276"/>
        <v>7.3320467850544802E-2</v>
      </c>
      <c r="H216" s="503">
        <f>+H178+H189+H202</f>
        <v>-3778102</v>
      </c>
      <c r="I216" s="495">
        <f t="shared" si="277"/>
        <v>7.3320467850544802E-2</v>
      </c>
      <c r="J216" s="503">
        <f>+J178+J189+J202</f>
        <v>-3167826</v>
      </c>
      <c r="K216" s="495">
        <f t="shared" si="271"/>
        <v>-0.16152978400265527</v>
      </c>
      <c r="L216" s="503">
        <f>+L178+L189+L202</f>
        <v>-2431156</v>
      </c>
      <c r="M216" s="495">
        <f t="shared" si="271"/>
        <v>-0.23254749471719727</v>
      </c>
      <c r="N216" s="503">
        <f>+N178+N189+N202</f>
        <v>-2505375</v>
      </c>
      <c r="O216" s="495">
        <f t="shared" si="271"/>
        <v>3.0528275437692987E-2</v>
      </c>
      <c r="P216" s="503">
        <f>+P178+P189+P202</f>
        <v>-2579100</v>
      </c>
      <c r="Q216" s="498">
        <f t="shared" si="271"/>
        <v>2.9426732525070998E-2</v>
      </c>
    </row>
    <row r="217" spans="2:17" ht="13.8" x14ac:dyDescent="0.25">
      <c r="B217" s="240" t="s">
        <v>273</v>
      </c>
      <c r="C217" s="503">
        <v>-4333161.78</v>
      </c>
      <c r="D217" s="503">
        <v>-4437076.0000000009</v>
      </c>
      <c r="E217" s="495">
        <f t="shared" si="253"/>
        <v>2.3981154010825012E-2</v>
      </c>
      <c r="F217" s="503">
        <f>+F179+F190+F203</f>
        <v>-920111</v>
      </c>
      <c r="G217" s="495">
        <f t="shared" si="276"/>
        <v>-0.79263122831342092</v>
      </c>
      <c r="H217" s="503">
        <f>+H179+H190+H203</f>
        <v>-920111</v>
      </c>
      <c r="I217" s="495">
        <f t="shared" si="277"/>
        <v>-0.79263122831342092</v>
      </c>
      <c r="J217" s="503">
        <f>+J179+J190+J203</f>
        <v>-4842195</v>
      </c>
      <c r="K217" s="495">
        <f t="shared" si="271"/>
        <v>4.2626204881802305</v>
      </c>
      <c r="L217" s="503">
        <f>+L179+L190+L203</f>
        <v>-4862312</v>
      </c>
      <c r="M217" s="495">
        <f t="shared" si="271"/>
        <v>4.1545208319779814E-3</v>
      </c>
      <c r="N217" s="503">
        <f>+N179+N190+N203</f>
        <v>-5010750</v>
      </c>
      <c r="O217" s="495">
        <f t="shared" si="271"/>
        <v>3.0528275437692987E-2</v>
      </c>
      <c r="P217" s="503">
        <f>+P179+P190+P203</f>
        <v>-5158200</v>
      </c>
      <c r="Q217" s="498">
        <f t="shared" si="271"/>
        <v>2.9426732525070998E-2</v>
      </c>
    </row>
    <row r="218" spans="2:17" ht="13.8" x14ac:dyDescent="0.25">
      <c r="B218" s="240" t="s">
        <v>279</v>
      </c>
      <c r="C218" s="503">
        <v>936015.42000000027</v>
      </c>
      <c r="D218" s="503">
        <v>1050745.9999999998</v>
      </c>
      <c r="E218" s="495">
        <f t="shared" si="253"/>
        <v>0.12257338666493278</v>
      </c>
      <c r="F218" s="503">
        <f>+F207</f>
        <v>918389</v>
      </c>
      <c r="G218" s="495">
        <f t="shared" si="276"/>
        <v>-0.12596479072963385</v>
      </c>
      <c r="H218" s="503">
        <f>+H207</f>
        <v>918389</v>
      </c>
      <c r="I218" s="495">
        <f t="shared" si="277"/>
        <v>-0.12596479072963385</v>
      </c>
      <c r="J218" s="503">
        <f>+J207</f>
        <v>976889</v>
      </c>
      <c r="K218" s="495">
        <f t="shared" si="271"/>
        <v>6.3698498130966286E-2</v>
      </c>
      <c r="L218" s="503">
        <f>+L207</f>
        <v>754085</v>
      </c>
      <c r="M218" s="495">
        <f t="shared" si="271"/>
        <v>-0.22807504230265674</v>
      </c>
      <c r="N218" s="503">
        <f>+N207</f>
        <v>777106</v>
      </c>
      <c r="O218" s="495">
        <f t="shared" si="271"/>
        <v>3.0528388709495591E-2</v>
      </c>
      <c r="P218" s="503">
        <f>+P207</f>
        <v>799974</v>
      </c>
      <c r="Q218" s="498">
        <f t="shared" si="271"/>
        <v>2.9427130919076783E-2</v>
      </c>
    </row>
    <row r="219" spans="2:17" ht="13.8" x14ac:dyDescent="0.25">
      <c r="B219" s="240" t="s">
        <v>276</v>
      </c>
      <c r="C219" s="503">
        <v>0</v>
      </c>
      <c r="D219" s="503">
        <v>0</v>
      </c>
      <c r="E219" s="495" t="str">
        <f t="shared" si="253"/>
        <v>n/a</v>
      </c>
      <c r="F219" s="503"/>
      <c r="G219" s="495" t="str">
        <f t="shared" si="276"/>
        <v>n/a</v>
      </c>
      <c r="H219" s="503"/>
      <c r="I219" s="495" t="str">
        <f t="shared" si="277"/>
        <v>n/a</v>
      </c>
      <c r="J219" s="503"/>
      <c r="K219" s="495" t="str">
        <f t="shared" si="271"/>
        <v>n/a</v>
      </c>
      <c r="L219" s="503"/>
      <c r="M219" s="495" t="str">
        <f t="shared" si="271"/>
        <v>n/a</v>
      </c>
      <c r="N219" s="503"/>
      <c r="O219" s="495" t="str">
        <f t="shared" si="271"/>
        <v>n/a</v>
      </c>
      <c r="P219" s="503"/>
      <c r="Q219" s="498" t="str">
        <f t="shared" si="271"/>
        <v>n/a</v>
      </c>
    </row>
    <row r="220" spans="2:17" ht="13.8" x14ac:dyDescent="0.25">
      <c r="B220" s="240" t="s">
        <v>277</v>
      </c>
      <c r="C220" s="503">
        <v>0</v>
      </c>
      <c r="D220" s="503">
        <v>0</v>
      </c>
      <c r="E220" s="495" t="str">
        <f t="shared" si="253"/>
        <v>n/a</v>
      </c>
      <c r="F220" s="503"/>
      <c r="G220" s="495" t="str">
        <f t="shared" si="276"/>
        <v>n/a</v>
      </c>
      <c r="H220" s="503"/>
      <c r="I220" s="495" t="str">
        <f t="shared" si="277"/>
        <v>n/a</v>
      </c>
      <c r="J220" s="503"/>
      <c r="K220" s="495" t="str">
        <f t="shared" si="271"/>
        <v>n/a</v>
      </c>
      <c r="L220" s="503"/>
      <c r="M220" s="495" t="str">
        <f t="shared" si="271"/>
        <v>n/a</v>
      </c>
      <c r="N220" s="503"/>
      <c r="O220" s="495" t="str">
        <f t="shared" si="271"/>
        <v>n/a</v>
      </c>
      <c r="P220" s="503"/>
      <c r="Q220" s="498" t="str">
        <f t="shared" si="271"/>
        <v>n/a</v>
      </c>
    </row>
    <row r="221" spans="2:17" ht="14.4" thickBot="1" x14ac:dyDescent="0.3">
      <c r="B221" s="252" t="s">
        <v>274</v>
      </c>
      <c r="C221" s="254">
        <f t="shared" ref="C221:D221" si="278">+C63+C159</f>
        <v>71512772.640000001</v>
      </c>
      <c r="D221" s="254">
        <f t="shared" si="278"/>
        <v>75742920.000000015</v>
      </c>
      <c r="E221" s="497">
        <f t="shared" si="253"/>
        <v>5.9152333266322188E-2</v>
      </c>
      <c r="F221" s="254">
        <f t="shared" ref="F221:H221" si="279">+F63+F159</f>
        <v>73896150.99999997</v>
      </c>
      <c r="G221" s="497">
        <f t="shared" si="276"/>
        <v>-2.4382067657281348E-2</v>
      </c>
      <c r="H221" s="255">
        <f t="shared" si="279"/>
        <v>73161715</v>
      </c>
      <c r="I221" s="497">
        <f t="shared" si="277"/>
        <v>-3.4078498690042758E-2</v>
      </c>
      <c r="J221" s="255">
        <f>SUM(J212:J220)</f>
        <v>76408612</v>
      </c>
      <c r="K221" s="497">
        <f t="shared" si="271"/>
        <v>4.4379727839895411E-2</v>
      </c>
      <c r="L221" s="255">
        <f>SUM(L212:L220)</f>
        <v>78980719</v>
      </c>
      <c r="M221" s="497">
        <f t="shared" si="271"/>
        <v>3.3662527464836112E-2</v>
      </c>
      <c r="N221" s="255">
        <f>SUM(N212:N220)</f>
        <v>81327550</v>
      </c>
      <c r="O221" s="497">
        <f t="shared" si="271"/>
        <v>2.9713973609179156E-2</v>
      </c>
      <c r="P221" s="255">
        <f>SUM(P212:P220)</f>
        <v>83011400</v>
      </c>
      <c r="Q221" s="500">
        <f t="shared" si="271"/>
        <v>2.0704545999479906E-2</v>
      </c>
    </row>
    <row r="222" spans="2:17" ht="14.4" thickBot="1" x14ac:dyDescent="0.3">
      <c r="B222" s="505" t="s">
        <v>490</v>
      </c>
      <c r="C222" s="256">
        <f>+C221/C212</f>
        <v>0.50144826148261312</v>
      </c>
      <c r="D222" s="256">
        <f t="shared" ref="D222" si="280">+D221/D212</f>
        <v>0.49482862287035995</v>
      </c>
      <c r="E222" s="256"/>
      <c r="F222" s="256">
        <f t="shared" ref="F222:H222" si="281">+F221/F212</f>
        <v>0.49597401486996789</v>
      </c>
      <c r="G222" s="256"/>
      <c r="H222" s="256">
        <f t="shared" si="281"/>
        <v>0.49104464890630589</v>
      </c>
      <c r="I222" s="256"/>
      <c r="J222" s="256">
        <f t="shared" ref="J222" si="282">+J221/J212</f>
        <v>0.48521551443986899</v>
      </c>
      <c r="K222" s="256"/>
      <c r="L222" s="256">
        <f t="shared" ref="L222" si="283">+L221/L212</f>
        <v>0.4873034693476167</v>
      </c>
      <c r="M222" s="256"/>
      <c r="N222" s="256">
        <f t="shared" ref="N222:P222" si="284">+N221/N212</f>
        <v>0.48691847494455365</v>
      </c>
      <c r="O222" s="256"/>
      <c r="P222" s="257">
        <f t="shared" si="284"/>
        <v>0.48279282347812436</v>
      </c>
      <c r="Q222" s="258"/>
    </row>
    <row r="223" spans="2:17" ht="13.8" x14ac:dyDescent="0.25">
      <c r="C223" s="530">
        <f>+PL!E144</f>
        <v>71512772.639999986</v>
      </c>
      <c r="D223" s="530">
        <f>+PL!F144</f>
        <v>75742919.999999985</v>
      </c>
      <c r="E223" s="530"/>
      <c r="F223" s="530">
        <f>+PL!H144</f>
        <v>73896151</v>
      </c>
      <c r="G223" s="530"/>
      <c r="H223" s="530">
        <f>+PL!J144</f>
        <v>73161717</v>
      </c>
      <c r="I223" s="531"/>
      <c r="J223" s="531">
        <f>+PL!L144</f>
        <v>76408612</v>
      </c>
      <c r="K223" s="531"/>
      <c r="L223" s="230">
        <f>+PL!N144</f>
        <v>78980719</v>
      </c>
      <c r="N223" s="230">
        <f>+PL!P144</f>
        <v>81327551</v>
      </c>
      <c r="P223" s="126">
        <f>+PL!R144</f>
        <v>83011399</v>
      </c>
    </row>
    <row r="224" spans="2:17" ht="13.8" x14ac:dyDescent="0.25">
      <c r="C224" s="530">
        <f>+C223-C221</f>
        <v>0</v>
      </c>
      <c r="D224" s="530">
        <f>+D223-D221</f>
        <v>0</v>
      </c>
      <c r="E224" s="530"/>
      <c r="F224" s="530">
        <f>+F223-F221</f>
        <v>0</v>
      </c>
      <c r="G224" s="530"/>
      <c r="H224" s="530">
        <f>+H223-H221</f>
        <v>2</v>
      </c>
      <c r="I224" s="531"/>
      <c r="J224" s="531">
        <f>+J223-J221</f>
        <v>0</v>
      </c>
      <c r="K224" s="531"/>
      <c r="L224" s="230">
        <f>+L223-L221</f>
        <v>0</v>
      </c>
      <c r="N224" s="230">
        <f>+N223-N221</f>
        <v>1</v>
      </c>
      <c r="P224" s="126">
        <f>+P223-P221</f>
        <v>-1</v>
      </c>
    </row>
    <row r="225" spans="3:16" ht="13.8" x14ac:dyDescent="0.25">
      <c r="C225" s="530"/>
      <c r="D225" s="530"/>
      <c r="E225" s="530"/>
      <c r="F225" s="530"/>
      <c r="G225" s="530"/>
      <c r="H225" s="530"/>
      <c r="I225" s="531"/>
      <c r="J225" s="531"/>
      <c r="K225" s="531"/>
      <c r="P225" s="126"/>
    </row>
    <row r="226" spans="3:16" ht="13.8" x14ac:dyDescent="0.25">
      <c r="C226" s="530"/>
      <c r="D226" s="530"/>
      <c r="E226" s="530"/>
      <c r="F226" s="530"/>
      <c r="G226" s="530"/>
      <c r="H226" s="530"/>
      <c r="I226" s="531"/>
      <c r="J226" s="531"/>
      <c r="K226" s="531"/>
      <c r="P226" s="126"/>
    </row>
    <row r="227" spans="3:16" ht="13.8" x14ac:dyDescent="0.25">
      <c r="C227" s="530"/>
      <c r="D227" s="530"/>
      <c r="E227" s="530"/>
      <c r="F227" s="530"/>
      <c r="G227" s="530"/>
      <c r="H227" s="530"/>
      <c r="I227" s="531"/>
      <c r="J227" s="531"/>
      <c r="K227" s="531"/>
      <c r="P227" s="126"/>
    </row>
    <row r="228" spans="3:16" ht="13.8" x14ac:dyDescent="0.25">
      <c r="C228" s="530"/>
      <c r="D228" s="530"/>
      <c r="E228" s="530"/>
      <c r="F228" s="530"/>
      <c r="G228" s="530"/>
      <c r="H228" s="530"/>
      <c r="I228" s="531"/>
      <c r="J228" s="531"/>
      <c r="K228" s="531"/>
      <c r="P228" s="126"/>
    </row>
    <row r="229" spans="3:16" ht="13.8" x14ac:dyDescent="0.25">
      <c r="C229" s="530"/>
      <c r="D229" s="530"/>
      <c r="E229" s="530"/>
      <c r="F229" s="530"/>
      <c r="G229" s="530"/>
      <c r="H229" s="530"/>
      <c r="I229" s="531"/>
      <c r="J229" s="531"/>
      <c r="K229" s="531"/>
      <c r="P229" s="126"/>
    </row>
    <row r="230" spans="3:16" ht="13.8" x14ac:dyDescent="0.25">
      <c r="C230" s="530"/>
      <c r="D230" s="530"/>
      <c r="E230" s="530"/>
      <c r="F230" s="530"/>
      <c r="G230" s="530"/>
      <c r="H230" s="530"/>
      <c r="I230" s="531"/>
      <c r="J230" s="531"/>
      <c r="K230" s="531"/>
      <c r="P230" s="126"/>
    </row>
    <row r="231" spans="3:16" ht="13.8" x14ac:dyDescent="0.25">
      <c r="C231" s="530"/>
      <c r="D231" s="530"/>
      <c r="E231" s="530"/>
      <c r="F231" s="530"/>
      <c r="G231" s="530"/>
      <c r="H231" s="530"/>
      <c r="I231" s="531"/>
      <c r="J231" s="531"/>
      <c r="K231" s="531"/>
      <c r="P231" s="126"/>
    </row>
    <row r="232" spans="3:16" ht="13.8" x14ac:dyDescent="0.25">
      <c r="C232" s="530"/>
      <c r="D232" s="530"/>
      <c r="E232" s="530"/>
      <c r="F232" s="530"/>
      <c r="G232" s="530"/>
      <c r="H232" s="530"/>
      <c r="I232" s="531"/>
      <c r="J232" s="531"/>
      <c r="K232" s="531"/>
      <c r="P232" s="126"/>
    </row>
    <row r="233" spans="3:16" ht="13.8" x14ac:dyDescent="0.25">
      <c r="C233" s="530"/>
      <c r="D233" s="530"/>
      <c r="E233" s="530"/>
      <c r="F233" s="530"/>
      <c r="G233" s="530"/>
      <c r="H233" s="530"/>
      <c r="I233" s="531"/>
      <c r="J233" s="531"/>
      <c r="K233" s="531"/>
      <c r="P233" s="126"/>
    </row>
    <row r="234" spans="3:16" ht="13.8" x14ac:dyDescent="0.25">
      <c r="C234" s="530"/>
      <c r="D234" s="530"/>
      <c r="E234" s="530"/>
      <c r="F234" s="530"/>
      <c r="G234" s="530"/>
      <c r="H234" s="530"/>
      <c r="I234" s="531"/>
      <c r="J234" s="531"/>
      <c r="K234" s="531"/>
      <c r="P234" s="126"/>
    </row>
    <row r="235" spans="3:16" ht="13.8" x14ac:dyDescent="0.25">
      <c r="C235" s="530"/>
      <c r="D235" s="530"/>
      <c r="E235" s="530"/>
      <c r="F235" s="530"/>
      <c r="G235" s="530"/>
      <c r="H235" s="530"/>
      <c r="I235" s="531"/>
      <c r="J235" s="531"/>
      <c r="K235" s="531"/>
      <c r="P235" s="126"/>
    </row>
    <row r="236" spans="3:16" ht="13.8" x14ac:dyDescent="0.25">
      <c r="C236" s="530"/>
      <c r="D236" s="530"/>
      <c r="E236" s="530"/>
      <c r="F236" s="530"/>
      <c r="G236" s="530"/>
      <c r="H236" s="530"/>
      <c r="I236" s="531"/>
      <c r="J236" s="531"/>
      <c r="K236" s="531"/>
      <c r="P236" s="126"/>
    </row>
    <row r="237" spans="3:16" ht="13.8" x14ac:dyDescent="0.25">
      <c r="C237" s="530"/>
      <c r="D237" s="530"/>
      <c r="E237" s="530"/>
      <c r="F237" s="530"/>
      <c r="G237" s="530"/>
      <c r="H237" s="530"/>
      <c r="I237" s="531"/>
      <c r="J237" s="531"/>
      <c r="K237" s="531"/>
      <c r="P237" s="126"/>
    </row>
    <row r="238" spans="3:16" ht="13.8" x14ac:dyDescent="0.25">
      <c r="C238" s="530"/>
      <c r="D238" s="530"/>
      <c r="E238" s="530"/>
      <c r="F238" s="530"/>
      <c r="G238" s="530"/>
      <c r="H238" s="530"/>
      <c r="I238" s="531"/>
      <c r="J238" s="531"/>
      <c r="K238" s="531"/>
      <c r="P238" s="126"/>
    </row>
    <row r="239" spans="3:16" ht="13.8" x14ac:dyDescent="0.25">
      <c r="C239" s="530"/>
      <c r="D239" s="530"/>
      <c r="E239" s="530"/>
      <c r="F239" s="530"/>
      <c r="G239" s="530"/>
      <c r="H239" s="530"/>
      <c r="I239" s="531"/>
      <c r="J239" s="531"/>
      <c r="K239" s="531"/>
      <c r="P239" s="126"/>
    </row>
    <row r="240" spans="3:16" ht="13.8" x14ac:dyDescent="0.25">
      <c r="C240" s="530"/>
      <c r="D240" s="530"/>
      <c r="E240" s="530"/>
      <c r="F240" s="530"/>
      <c r="G240" s="530"/>
      <c r="H240" s="530"/>
      <c r="I240" s="531"/>
      <c r="J240" s="531"/>
      <c r="K240" s="531"/>
      <c r="P240" s="126"/>
    </row>
    <row r="241" spans="3:16" ht="13.8" x14ac:dyDescent="0.25">
      <c r="C241" s="530"/>
      <c r="D241" s="530"/>
      <c r="E241" s="530"/>
      <c r="F241" s="530"/>
      <c r="G241" s="530"/>
      <c r="H241" s="530"/>
      <c r="I241" s="531"/>
      <c r="J241" s="531"/>
      <c r="K241" s="531"/>
      <c r="P241" s="126"/>
    </row>
    <row r="242" spans="3:16" ht="13.8" x14ac:dyDescent="0.25">
      <c r="C242" s="530"/>
      <c r="D242" s="530"/>
      <c r="E242" s="530"/>
      <c r="F242" s="530"/>
      <c r="G242" s="530"/>
      <c r="H242" s="530"/>
      <c r="I242" s="531"/>
      <c r="J242" s="531"/>
      <c r="K242" s="531"/>
      <c r="P242" s="126"/>
    </row>
    <row r="243" spans="3:16" ht="13.8" x14ac:dyDescent="0.25">
      <c r="C243" s="530"/>
      <c r="D243" s="530"/>
      <c r="E243" s="530"/>
      <c r="F243" s="530"/>
      <c r="G243" s="530"/>
      <c r="H243" s="530"/>
      <c r="I243" s="531"/>
      <c r="J243" s="531"/>
      <c r="K243" s="531"/>
      <c r="P243" s="126"/>
    </row>
    <row r="244" spans="3:16" ht="13.8" x14ac:dyDescent="0.25">
      <c r="C244" s="530"/>
      <c r="D244" s="530"/>
      <c r="E244" s="530"/>
      <c r="F244" s="530"/>
      <c r="G244" s="530"/>
      <c r="H244" s="530"/>
      <c r="I244" s="531"/>
      <c r="J244" s="531"/>
      <c r="K244" s="531"/>
      <c r="P244" s="126"/>
    </row>
    <row r="245" spans="3:16" ht="13.8" x14ac:dyDescent="0.25">
      <c r="C245" s="530"/>
      <c r="D245" s="530"/>
      <c r="E245" s="530"/>
      <c r="F245" s="530"/>
      <c r="G245" s="530"/>
      <c r="H245" s="530"/>
      <c r="I245" s="531"/>
      <c r="J245" s="531"/>
      <c r="K245" s="531"/>
      <c r="P245" s="126"/>
    </row>
    <row r="246" spans="3:16" ht="13.8" x14ac:dyDescent="0.25">
      <c r="C246" s="530"/>
      <c r="D246" s="530"/>
      <c r="E246" s="530"/>
      <c r="F246" s="530"/>
      <c r="G246" s="530"/>
      <c r="H246" s="530"/>
      <c r="I246" s="531"/>
      <c r="J246" s="531"/>
      <c r="K246" s="531"/>
      <c r="P246" s="126"/>
    </row>
    <row r="247" spans="3:16" ht="13.8" x14ac:dyDescent="0.25">
      <c r="C247" s="530"/>
      <c r="D247" s="530"/>
      <c r="E247" s="530"/>
      <c r="F247" s="530"/>
      <c r="G247" s="530"/>
      <c r="H247" s="530"/>
      <c r="I247" s="531"/>
      <c r="J247" s="531"/>
      <c r="K247" s="531"/>
      <c r="P247" s="126"/>
    </row>
    <row r="248" spans="3:16" ht="13.8" x14ac:dyDescent="0.25">
      <c r="C248" s="530"/>
      <c r="D248" s="530"/>
      <c r="E248" s="530"/>
      <c r="F248" s="530"/>
      <c r="G248" s="530"/>
      <c r="H248" s="530"/>
      <c r="I248" s="531"/>
      <c r="J248" s="531"/>
      <c r="K248" s="531"/>
      <c r="P248" s="126"/>
    </row>
    <row r="249" spans="3:16" ht="13.8" x14ac:dyDescent="0.25">
      <c r="C249" s="530"/>
      <c r="D249" s="530"/>
      <c r="E249" s="530"/>
      <c r="F249" s="530"/>
      <c r="G249" s="530"/>
      <c r="H249" s="530"/>
      <c r="I249" s="531"/>
      <c r="J249" s="531"/>
      <c r="K249" s="531"/>
      <c r="P249" s="126"/>
    </row>
    <row r="250" spans="3:16" ht="13.8" x14ac:dyDescent="0.25">
      <c r="C250" s="530"/>
      <c r="D250" s="530"/>
      <c r="E250" s="530"/>
      <c r="F250" s="530"/>
      <c r="G250" s="530"/>
      <c r="H250" s="530"/>
      <c r="I250" s="531"/>
      <c r="J250" s="531"/>
      <c r="K250" s="531"/>
      <c r="P250" s="126"/>
    </row>
    <row r="251" spans="3:16" ht="13.8" x14ac:dyDescent="0.25">
      <c r="C251" s="530"/>
      <c r="D251" s="530"/>
      <c r="E251" s="530"/>
      <c r="F251" s="530"/>
      <c r="G251" s="530"/>
      <c r="H251" s="530"/>
      <c r="I251" s="531"/>
      <c r="J251" s="531"/>
      <c r="K251" s="531"/>
      <c r="P251" s="126"/>
    </row>
    <row r="252" spans="3:16" ht="13.8" x14ac:dyDescent="0.25">
      <c r="C252" s="530"/>
      <c r="D252" s="530"/>
      <c r="E252" s="530"/>
      <c r="F252" s="530"/>
      <c r="G252" s="530"/>
      <c r="H252" s="530"/>
      <c r="I252" s="531"/>
      <c r="J252" s="531"/>
      <c r="K252" s="531"/>
      <c r="P252" s="126"/>
    </row>
    <row r="253" spans="3:16" ht="13.8" x14ac:dyDescent="0.25">
      <c r="C253" s="530"/>
      <c r="D253" s="530"/>
      <c r="E253" s="530"/>
      <c r="F253" s="530"/>
      <c r="G253" s="530"/>
      <c r="H253" s="530"/>
      <c r="I253" s="531"/>
      <c r="J253" s="531"/>
      <c r="K253" s="531"/>
      <c r="P253" s="126"/>
    </row>
    <row r="254" spans="3:16" ht="13.8" x14ac:dyDescent="0.25">
      <c r="C254" s="530"/>
      <c r="D254" s="530"/>
      <c r="E254" s="530"/>
      <c r="F254" s="530"/>
      <c r="G254" s="530"/>
      <c r="H254" s="530"/>
      <c r="I254" s="531"/>
      <c r="J254" s="531"/>
      <c r="K254" s="531"/>
      <c r="P254" s="126"/>
    </row>
    <row r="255" spans="3:16" x14ac:dyDescent="0.25">
      <c r="C255" s="532"/>
      <c r="D255" s="532"/>
      <c r="E255" s="532"/>
      <c r="F255" s="532"/>
      <c r="G255" s="532"/>
      <c r="H255" s="532"/>
      <c r="I255" s="531"/>
      <c r="J255" s="531"/>
      <c r="K255" s="531"/>
      <c r="P255" s="126"/>
    </row>
    <row r="256" spans="3:16" x14ac:dyDescent="0.25">
      <c r="H256" s="466"/>
      <c r="J256" s="466"/>
      <c r="L256" s="466"/>
      <c r="N256" s="466"/>
      <c r="P256" s="466"/>
    </row>
    <row r="257" spans="8:16" x14ac:dyDescent="0.25">
      <c r="H257" s="465"/>
      <c r="J257" s="465"/>
      <c r="L257" s="465"/>
      <c r="N257" s="465"/>
      <c r="P257" s="465"/>
    </row>
  </sheetData>
  <mergeCells count="12">
    <mergeCell ref="B166:Q166"/>
    <mergeCell ref="B102:Q102"/>
    <mergeCell ref="B2:P2"/>
    <mergeCell ref="B4:Q4"/>
    <mergeCell ref="B5:Q6"/>
    <mergeCell ref="B8:Q8"/>
    <mergeCell ref="B100:Q100"/>
    <mergeCell ref="B103:Q103"/>
    <mergeCell ref="B104:Q104"/>
    <mergeCell ref="B162:Q162"/>
    <mergeCell ref="B163:Q163"/>
    <mergeCell ref="B164:Q164"/>
  </mergeCells>
  <pageMargins left="0.5" right="0.5" top="0.5" bottom="0.25" header="0.3" footer="0.3"/>
  <pageSetup scale="46" fitToHeight="0" orientation="landscape" r:id="rId1"/>
  <headerFooter>
    <oddFooter>&amp;L&amp;D, Pg &amp;P&amp;R&amp;F</oddFooter>
  </headerFooter>
  <rowBreaks count="2" manualBreakCount="2">
    <brk id="98" min="1" max="7" man="1"/>
    <brk id="161"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
  <sheetViews>
    <sheetView showGridLines="0" topLeftCell="C4" zoomScale="85" zoomScaleNormal="85" workbookViewId="0">
      <selection activeCell="H9" sqref="H9"/>
    </sheetView>
  </sheetViews>
  <sheetFormatPr defaultColWidth="9.109375" defaultRowHeight="13.2" outlineLevelRow="1" outlineLevelCol="1" x14ac:dyDescent="0.25"/>
  <cols>
    <col min="1" max="1" width="9.109375" style="230" hidden="1" customWidth="1" outlineLevel="1"/>
    <col min="2" max="2" width="59.44140625" style="230" hidden="1" customWidth="1" outlineLevel="1"/>
    <col min="3" max="3" width="38.109375" style="230" customWidth="1" collapsed="1"/>
    <col min="4" max="4" width="11.88671875" style="230" bestFit="1" customWidth="1"/>
    <col min="5" max="5" width="14.6640625" style="230" customWidth="1"/>
    <col min="6" max="8" width="10" style="230" customWidth="1" outlineLevel="1"/>
    <col min="9" max="9" width="14.6640625" style="230" bestFit="1" customWidth="1"/>
    <col min="10" max="10" width="9.33203125" style="230" customWidth="1" outlineLevel="1"/>
    <col min="11" max="11" width="14.6640625" style="230" bestFit="1" customWidth="1"/>
    <col min="12" max="12" width="10.44140625" style="230" customWidth="1" outlineLevel="1"/>
    <col min="13" max="13" width="13.33203125" style="230" customWidth="1" outlineLevel="1"/>
    <col min="14" max="14" width="9.33203125" style="230" customWidth="1" outlineLevel="1"/>
    <col min="15" max="15" width="13.44140625" style="230" customWidth="1" outlineLevel="1"/>
    <col min="16" max="16" width="14.44140625" style="230" customWidth="1" outlineLevel="1"/>
    <col min="17" max="17" width="13.6640625" style="230" customWidth="1"/>
    <col min="18" max="18" width="9.88671875" style="230" customWidth="1"/>
    <col min="19" max="19" width="14.33203125" style="230" customWidth="1"/>
    <col min="20" max="22" width="11.33203125" style="230" bestFit="1" customWidth="1"/>
    <col min="23" max="16384" width="9.109375" style="230"/>
  </cols>
  <sheetData>
    <row r="1" spans="1:23" ht="23.25" customHeight="1" x14ac:dyDescent="0.4">
      <c r="C1" s="616" t="s">
        <v>428</v>
      </c>
      <c r="D1" s="616"/>
      <c r="E1" s="616"/>
      <c r="F1" s="616"/>
      <c r="G1" s="616"/>
      <c r="H1" s="616"/>
      <c r="I1" s="616"/>
      <c r="J1" s="616"/>
      <c r="K1" s="616"/>
      <c r="L1" s="616"/>
      <c r="M1" s="616"/>
      <c r="N1" s="616"/>
      <c r="O1" s="616"/>
      <c r="P1" s="616"/>
      <c r="Q1" s="616"/>
      <c r="R1" s="650"/>
    </row>
    <row r="2" spans="1:23" ht="6" customHeight="1" thickBot="1" x14ac:dyDescent="0.3">
      <c r="C2" s="233"/>
      <c r="D2" s="126"/>
      <c r="E2" s="126"/>
      <c r="F2" s="126"/>
      <c r="G2" s="126"/>
      <c r="H2" s="126"/>
      <c r="I2" s="126"/>
      <c r="J2" s="126"/>
      <c r="K2" s="126"/>
      <c r="L2" s="126"/>
      <c r="M2" s="126"/>
      <c r="N2" s="126"/>
      <c r="O2" s="126"/>
      <c r="P2" s="126"/>
      <c r="Q2" s="126"/>
      <c r="R2" s="234"/>
    </row>
    <row r="3" spans="1:23" s="34" customFormat="1" ht="25.5" customHeight="1" x14ac:dyDescent="0.25">
      <c r="B3" s="33"/>
      <c r="C3" s="651" t="str">
        <f>+PL!D4</f>
        <v>Modernization Project</v>
      </c>
      <c r="D3" s="652"/>
      <c r="E3" s="652"/>
      <c r="F3" s="652"/>
      <c r="G3" s="652"/>
      <c r="H3" s="652"/>
      <c r="I3" s="652"/>
      <c r="J3" s="652"/>
      <c r="K3" s="652"/>
      <c r="L3" s="652"/>
      <c r="M3" s="652"/>
      <c r="N3" s="652"/>
      <c r="O3" s="652"/>
      <c r="P3" s="652"/>
      <c r="Q3" s="652"/>
      <c r="R3" s="653"/>
    </row>
    <row r="4" spans="1:23" s="34" customFormat="1" ht="29.25" customHeight="1" x14ac:dyDescent="0.3">
      <c r="A4" s="266"/>
      <c r="B4" s="33"/>
      <c r="C4" s="654" t="s">
        <v>423</v>
      </c>
      <c r="D4" s="655"/>
      <c r="E4" s="655"/>
      <c r="F4" s="655"/>
      <c r="G4" s="655"/>
      <c r="H4" s="655"/>
      <c r="I4" s="655"/>
      <c r="J4" s="655"/>
      <c r="K4" s="655"/>
      <c r="L4" s="655"/>
      <c r="M4" s="655"/>
      <c r="N4" s="655"/>
      <c r="O4" s="655"/>
      <c r="P4" s="655"/>
      <c r="Q4" s="655"/>
      <c r="R4" s="656"/>
    </row>
    <row r="5" spans="1:23" s="34" customFormat="1" ht="15.75" customHeight="1" thickBot="1" x14ac:dyDescent="0.3">
      <c r="C5" s="267"/>
      <c r="D5" s="268"/>
      <c r="E5" s="268"/>
      <c r="F5" s="268"/>
      <c r="G5" s="268"/>
      <c r="H5" s="268"/>
      <c r="I5" s="268"/>
      <c r="J5" s="268"/>
      <c r="K5" s="268"/>
      <c r="L5" s="268"/>
      <c r="M5" s="268"/>
      <c r="N5" s="268"/>
      <c r="O5" s="268"/>
      <c r="P5" s="268"/>
      <c r="Q5" s="268"/>
      <c r="R5" s="269"/>
    </row>
    <row r="6" spans="1:23" s="34" customFormat="1" ht="15.75" customHeight="1" x14ac:dyDescent="0.25">
      <c r="C6" s="270"/>
      <c r="D6" s="271"/>
      <c r="E6" s="271"/>
      <c r="F6" s="271"/>
      <c r="G6" s="271"/>
      <c r="H6" s="271"/>
      <c r="I6" s="271"/>
      <c r="J6" s="271"/>
      <c r="K6" s="271"/>
      <c r="L6" s="271"/>
      <c r="M6" s="271"/>
      <c r="N6" s="271"/>
      <c r="O6" s="271"/>
      <c r="P6" s="271"/>
      <c r="Q6" s="271"/>
      <c r="R6" s="272"/>
    </row>
    <row r="7" spans="1:23" ht="14.25" customHeight="1" x14ac:dyDescent="0.25">
      <c r="C7" s="657" t="s">
        <v>47</v>
      </c>
      <c r="D7" s="658"/>
      <c r="E7" s="658"/>
      <c r="F7" s="658"/>
      <c r="G7" s="658"/>
      <c r="H7" s="658"/>
      <c r="I7" s="658"/>
      <c r="J7" s="658"/>
      <c r="K7" s="658"/>
      <c r="L7" s="658"/>
      <c r="M7" s="658"/>
      <c r="N7" s="658"/>
      <c r="O7" s="658"/>
      <c r="P7" s="658"/>
      <c r="Q7" s="658"/>
      <c r="R7" s="659"/>
    </row>
    <row r="8" spans="1:23" ht="7.5" customHeight="1" x14ac:dyDescent="0.25">
      <c r="C8" s="233"/>
      <c r="D8" s="660"/>
      <c r="E8" s="661"/>
      <c r="F8" s="151"/>
      <c r="G8" s="537"/>
      <c r="H8" s="537"/>
      <c r="I8" s="660"/>
      <c r="J8" s="660"/>
      <c r="K8" s="660"/>
      <c r="L8" s="660"/>
      <c r="M8" s="660"/>
      <c r="N8" s="273"/>
      <c r="O8" s="458"/>
      <c r="P8" s="458"/>
      <c r="Q8" s="151"/>
      <c r="R8" s="167"/>
    </row>
    <row r="9" spans="1:23" s="274" customFormat="1" ht="19.5" customHeight="1" x14ac:dyDescent="0.25">
      <c r="C9" s="662"/>
      <c r="D9" s="275" t="s">
        <v>39</v>
      </c>
      <c r="E9" s="275" t="s">
        <v>55</v>
      </c>
      <c r="F9" s="260"/>
      <c r="G9" s="275">
        <v>2016</v>
      </c>
      <c r="H9" s="260"/>
      <c r="I9" s="275" t="s">
        <v>65</v>
      </c>
      <c r="J9" s="15"/>
      <c r="K9" s="15" t="s">
        <v>50</v>
      </c>
      <c r="L9" s="15"/>
      <c r="M9" s="15" t="s">
        <v>51</v>
      </c>
      <c r="N9" s="15"/>
      <c r="O9" s="15" t="s">
        <v>52</v>
      </c>
      <c r="P9" s="15"/>
      <c r="Q9" s="15" t="s">
        <v>471</v>
      </c>
      <c r="R9" s="276"/>
      <c r="T9" s="275" t="s">
        <v>39</v>
      </c>
      <c r="U9" s="275" t="s">
        <v>55</v>
      </c>
    </row>
    <row r="10" spans="1:23" s="30" customFormat="1" x14ac:dyDescent="0.25">
      <c r="C10" s="662"/>
      <c r="D10" s="277" t="s">
        <v>429</v>
      </c>
      <c r="E10" s="277" t="s">
        <v>429</v>
      </c>
      <c r="F10" s="278" t="s">
        <v>57</v>
      </c>
      <c r="G10" s="277" t="s">
        <v>430</v>
      </c>
      <c r="H10" s="278" t="s">
        <v>57</v>
      </c>
      <c r="I10" s="277" t="s">
        <v>429</v>
      </c>
      <c r="J10" s="278" t="s">
        <v>57</v>
      </c>
      <c r="K10" s="159">
        <v>2017</v>
      </c>
      <c r="L10" s="278" t="s">
        <v>57</v>
      </c>
      <c r="M10" s="159">
        <v>2018</v>
      </c>
      <c r="N10" s="239" t="s">
        <v>57</v>
      </c>
      <c r="O10" s="159">
        <v>2019</v>
      </c>
      <c r="P10" s="239" t="s">
        <v>57</v>
      </c>
      <c r="Q10" s="159">
        <v>2020</v>
      </c>
      <c r="R10" s="236" t="s">
        <v>57</v>
      </c>
      <c r="T10" s="277" t="s">
        <v>429</v>
      </c>
      <c r="U10" s="277" t="s">
        <v>429</v>
      </c>
    </row>
    <row r="11" spans="1:23" ht="13.8" x14ac:dyDescent="0.25">
      <c r="C11" s="252"/>
      <c r="D11" s="279"/>
      <c r="E11" s="279"/>
      <c r="F11" s="279"/>
      <c r="G11" s="279"/>
      <c r="H11" s="279"/>
      <c r="I11" s="279"/>
      <c r="J11" s="279"/>
      <c r="K11" s="279"/>
      <c r="L11" s="279"/>
      <c r="M11" s="279"/>
      <c r="N11" s="279"/>
      <c r="O11" s="279"/>
      <c r="P11" s="279"/>
      <c r="Q11" s="279"/>
      <c r="R11" s="280"/>
    </row>
    <row r="12" spans="1:23" ht="13.8" x14ac:dyDescent="0.25">
      <c r="C12" s="281" t="s">
        <v>283</v>
      </c>
      <c r="D12" s="282"/>
      <c r="E12" s="282"/>
      <c r="F12" s="283"/>
      <c r="G12" s="283"/>
      <c r="H12" s="283"/>
      <c r="I12" s="282"/>
      <c r="J12" s="283"/>
      <c r="K12" s="282"/>
      <c r="L12" s="283"/>
      <c r="M12" s="282"/>
      <c r="N12" s="282"/>
      <c r="O12" s="282"/>
      <c r="P12" s="282"/>
      <c r="Q12" s="282"/>
      <c r="R12" s="284"/>
      <c r="T12" s="285"/>
      <c r="U12" s="285"/>
      <c r="V12" s="285"/>
    </row>
    <row r="13" spans="1:23" ht="14.4" x14ac:dyDescent="0.3">
      <c r="B13" s="286" t="s">
        <v>284</v>
      </c>
      <c r="C13" s="252" t="s">
        <v>285</v>
      </c>
      <c r="D13" s="287">
        <v>38</v>
      </c>
      <c r="E13" s="287">
        <v>38</v>
      </c>
      <c r="F13" s="127">
        <f>IF(D13=0,"n/a",+(E13/D13)-1)</f>
        <v>0</v>
      </c>
      <c r="G13" s="287">
        <v>38</v>
      </c>
      <c r="H13" s="127">
        <f>IF(E13=0,"n/a",+(G13/E13)-1)</f>
        <v>0</v>
      </c>
      <c r="I13" s="189">
        <v>38</v>
      </c>
      <c r="J13" s="288">
        <v>0</v>
      </c>
      <c r="K13" s="189">
        <v>38</v>
      </c>
      <c r="L13" s="127">
        <f>IF(I13=0,"n/a",+(K13/I13)-1)</f>
        <v>0</v>
      </c>
      <c r="M13" s="189">
        <v>38</v>
      </c>
      <c r="N13" s="127">
        <f>IF(K13=0,"n/a",+(M13/K13)-1)</f>
        <v>0</v>
      </c>
      <c r="O13" s="189">
        <v>38</v>
      </c>
      <c r="P13" s="127">
        <f>IF(M13=0,"n/a",+(O13/M13)-1)</f>
        <v>0</v>
      </c>
      <c r="Q13" s="189">
        <v>38</v>
      </c>
      <c r="R13" s="509">
        <f>IF(O13=0,"n/a",+(Q13/O13)-1)</f>
        <v>0</v>
      </c>
      <c r="T13" s="285"/>
      <c r="U13" s="285"/>
      <c r="V13" s="285"/>
    </row>
    <row r="14" spans="1:23" ht="14.4" x14ac:dyDescent="0.3">
      <c r="B14" s="286" t="s">
        <v>286</v>
      </c>
      <c r="C14" s="252" t="s">
        <v>287</v>
      </c>
      <c r="D14" s="287">
        <v>1554.9999999999993</v>
      </c>
      <c r="E14" s="287">
        <v>1569</v>
      </c>
      <c r="F14" s="127">
        <f>IF(D14=0,"n/a",+(E14/D14)-1)</f>
        <v>9.0032154340839998E-3</v>
      </c>
      <c r="G14" s="287">
        <v>1526.9999999999998</v>
      </c>
      <c r="H14" s="127">
        <f>IF(E14=0,"n/a",+(G14/E14)-1)</f>
        <v>-2.6768642447418833E-2</v>
      </c>
      <c r="I14" s="189">
        <v>1611</v>
      </c>
      <c r="J14" s="288">
        <v>-2.6768642447418833E-2</v>
      </c>
      <c r="K14" s="189">
        <v>1568</v>
      </c>
      <c r="L14" s="127">
        <f t="shared" ref="L14:R33" si="0">IF(I14=0,"n/a",+(K14/I14)-1)</f>
        <v>-2.6691495965239009E-2</v>
      </c>
      <c r="M14" s="189">
        <v>1568</v>
      </c>
      <c r="N14" s="127">
        <f t="shared" si="0"/>
        <v>0</v>
      </c>
      <c r="O14" s="189">
        <v>1568</v>
      </c>
      <c r="P14" s="127">
        <f t="shared" si="0"/>
        <v>0</v>
      </c>
      <c r="Q14" s="189">
        <v>1568</v>
      </c>
      <c r="R14" s="510">
        <f t="shared" si="0"/>
        <v>0</v>
      </c>
      <c r="T14" s="285">
        <v>1555</v>
      </c>
      <c r="U14" s="285">
        <v>1569</v>
      </c>
      <c r="V14" s="285"/>
      <c r="W14" s="230">
        <v>1611</v>
      </c>
    </row>
    <row r="15" spans="1:23" ht="14.4" x14ac:dyDescent="0.3">
      <c r="B15" s="286" t="s">
        <v>288</v>
      </c>
      <c r="C15" s="252" t="s">
        <v>289</v>
      </c>
      <c r="D15" s="287">
        <v>5439</v>
      </c>
      <c r="E15" s="287">
        <v>5184</v>
      </c>
      <c r="F15" s="127">
        <f>IF(D15=0,"n/a",+(E15/D15)-1)</f>
        <v>-4.688361831218979E-2</v>
      </c>
      <c r="G15" s="287">
        <v>5311</v>
      </c>
      <c r="H15" s="127">
        <f>IF(E15=0,"n/a",+(G15/E15)-1)</f>
        <v>2.4498456790123413E-2</v>
      </c>
      <c r="I15" s="189">
        <v>5262</v>
      </c>
      <c r="J15" s="288">
        <v>2.4498456790123413E-2</v>
      </c>
      <c r="K15" s="189">
        <v>4914</v>
      </c>
      <c r="L15" s="127">
        <f t="shared" si="0"/>
        <v>-6.6134549600912251E-2</v>
      </c>
      <c r="M15" s="189">
        <v>4914</v>
      </c>
      <c r="N15" s="127">
        <f t="shared" si="0"/>
        <v>0</v>
      </c>
      <c r="O15" s="189">
        <v>4914</v>
      </c>
      <c r="P15" s="127">
        <f t="shared" si="0"/>
        <v>0</v>
      </c>
      <c r="Q15" s="189">
        <v>4914</v>
      </c>
      <c r="R15" s="510">
        <f t="shared" si="0"/>
        <v>0</v>
      </c>
    </row>
    <row r="16" spans="1:23" ht="14.4" x14ac:dyDescent="0.3">
      <c r="B16" s="289" t="s">
        <v>290</v>
      </c>
      <c r="C16" s="290" t="s">
        <v>291</v>
      </c>
      <c r="D16" s="291">
        <v>3.4977491961414793</v>
      </c>
      <c r="E16" s="291">
        <v>3.3040152963671123</v>
      </c>
      <c r="F16" s="506">
        <f>IF(D16=0,"n/a",+(E16/D16)-1)</f>
        <v>-5.5388162189582757E-2</v>
      </c>
      <c r="G16" s="291">
        <v>3.4780615586116572</v>
      </c>
      <c r="H16" s="127">
        <f>IF(E16=0,"n/a",+(G16/E16)-1)</f>
        <v>5.2677196269616422E-2</v>
      </c>
      <c r="I16" s="518">
        <f>+I15/I14</f>
        <v>3.2662942271880819</v>
      </c>
      <c r="J16" s="292">
        <v>5.2677196269616422E-2</v>
      </c>
      <c r="K16" s="518">
        <f>+K15/K14</f>
        <v>3.1339285714285716</v>
      </c>
      <c r="L16" s="506">
        <f t="shared" si="0"/>
        <v>-4.0524719009610632E-2</v>
      </c>
      <c r="M16" s="518">
        <f>+M15/M14</f>
        <v>3.1339285714285716</v>
      </c>
      <c r="N16" s="506">
        <f t="shared" si="0"/>
        <v>0</v>
      </c>
      <c r="O16" s="518">
        <f>+O15/O14</f>
        <v>3.1339285714285716</v>
      </c>
      <c r="P16" s="506">
        <f t="shared" si="0"/>
        <v>0</v>
      </c>
      <c r="Q16" s="518">
        <f>+Q15/Q14</f>
        <v>3.1339285714285716</v>
      </c>
      <c r="R16" s="511">
        <f t="shared" si="0"/>
        <v>0</v>
      </c>
    </row>
    <row r="17" spans="1:23" ht="13.8" x14ac:dyDescent="0.25">
      <c r="B17" s="230" t="s">
        <v>292</v>
      </c>
      <c r="C17" s="281" t="s">
        <v>292</v>
      </c>
      <c r="D17" s="282"/>
      <c r="E17" s="282"/>
      <c r="F17" s="507"/>
      <c r="G17" s="507"/>
      <c r="H17" s="507"/>
      <c r="I17" s="282"/>
      <c r="J17" s="283"/>
      <c r="K17" s="282"/>
      <c r="L17" s="507"/>
      <c r="M17" s="282"/>
      <c r="N17" s="507"/>
      <c r="O17" s="282"/>
      <c r="P17" s="507"/>
      <c r="Q17" s="282"/>
      <c r="R17" s="512"/>
    </row>
    <row r="18" spans="1:23" ht="13.8" x14ac:dyDescent="0.25">
      <c r="B18" s="230" t="s">
        <v>293</v>
      </c>
      <c r="C18" s="252" t="s">
        <v>294</v>
      </c>
      <c r="D18" s="287">
        <v>86658</v>
      </c>
      <c r="E18" s="287">
        <v>88722</v>
      </c>
      <c r="F18" s="127">
        <f>IF(D18=0,"n/a",+(E18/D18)-1)</f>
        <v>2.381776639202382E-2</v>
      </c>
      <c r="G18" s="287">
        <v>86857</v>
      </c>
      <c r="H18" s="127">
        <f>IF(E18=0,"n/a",+(G18/E18)-1)</f>
        <v>-2.1020716395031669E-2</v>
      </c>
      <c r="I18" s="449">
        <v>86857</v>
      </c>
      <c r="J18" s="288">
        <v>-2.1020716395031669E-2</v>
      </c>
      <c r="K18" s="449">
        <v>102063</v>
      </c>
      <c r="L18" s="127">
        <f t="shared" si="0"/>
        <v>0.17506936689040598</v>
      </c>
      <c r="M18" s="449">
        <v>102063</v>
      </c>
      <c r="N18" s="127">
        <f t="shared" si="0"/>
        <v>0</v>
      </c>
      <c r="O18" s="449">
        <v>102063</v>
      </c>
      <c r="P18" s="127">
        <f t="shared" si="0"/>
        <v>0</v>
      </c>
      <c r="Q18" s="449">
        <v>102063</v>
      </c>
      <c r="R18" s="510">
        <f t="shared" si="0"/>
        <v>0</v>
      </c>
    </row>
    <row r="19" spans="1:23" ht="13.8" x14ac:dyDescent="0.25">
      <c r="B19" s="230" t="s">
        <v>295</v>
      </c>
      <c r="C19" s="252" t="s">
        <v>504</v>
      </c>
      <c r="D19" s="287">
        <v>229636.99999999997</v>
      </c>
      <c r="E19" s="287">
        <v>244105.00000000003</v>
      </c>
      <c r="F19" s="127">
        <f>IF(D19=0,"n/a",+(E19/D19)-1)</f>
        <v>6.3003784233377269E-2</v>
      </c>
      <c r="G19" s="287">
        <v>250453.99999999997</v>
      </c>
      <c r="H19" s="127">
        <f>IF(E19=0,"n/a",+(G19/E19)-1)</f>
        <v>2.6009299276950282E-2</v>
      </c>
      <c r="I19" s="449">
        <v>242650.9</v>
      </c>
      <c r="J19" s="288">
        <v>2.6009299276950282E-2</v>
      </c>
      <c r="K19" s="449">
        <v>254192.9</v>
      </c>
      <c r="L19" s="127">
        <f t="shared" si="0"/>
        <v>4.7566277314446292E-2</v>
      </c>
      <c r="M19" s="449">
        <v>255846.9</v>
      </c>
      <c r="N19" s="127">
        <f t="shared" si="0"/>
        <v>6.5068693893495233E-3</v>
      </c>
      <c r="O19" s="449">
        <v>257500.9</v>
      </c>
      <c r="P19" s="127">
        <f t="shared" si="0"/>
        <v>6.4648037556835902E-3</v>
      </c>
      <c r="Q19" s="449">
        <v>259154.9</v>
      </c>
      <c r="R19" s="510">
        <f t="shared" si="0"/>
        <v>6.4232785205800003E-3</v>
      </c>
    </row>
    <row r="20" spans="1:23" ht="13.8" x14ac:dyDescent="0.25">
      <c r="B20" s="230" t="s">
        <v>297</v>
      </c>
      <c r="C20" s="281" t="s">
        <v>297</v>
      </c>
      <c r="D20" s="282"/>
      <c r="E20" s="282"/>
      <c r="F20" s="507"/>
      <c r="G20" s="507"/>
      <c r="H20" s="507"/>
      <c r="I20" s="282"/>
      <c r="J20" s="283"/>
      <c r="K20" s="282"/>
      <c r="L20" s="507"/>
      <c r="M20" s="282"/>
      <c r="N20" s="507"/>
      <c r="O20" s="282"/>
      <c r="P20" s="507"/>
      <c r="Q20" s="282"/>
      <c r="R20" s="512"/>
    </row>
    <row r="21" spans="1:23" ht="13.8" x14ac:dyDescent="0.25">
      <c r="B21" s="230" t="s">
        <v>298</v>
      </c>
      <c r="C21" s="252" t="s">
        <v>299</v>
      </c>
      <c r="D21" s="287">
        <v>2463</v>
      </c>
      <c r="E21" s="287">
        <v>2327.0000000000005</v>
      </c>
      <c r="F21" s="127">
        <f t="shared" ref="F21:F30" si="1">IF(D21=0,"n/a",+(E21/D21)-1)</f>
        <v>-5.5217214778724988E-2</v>
      </c>
      <c r="G21" s="287">
        <v>2537</v>
      </c>
      <c r="H21" s="127">
        <f t="shared" ref="H21:H30" si="2">IF(E21=0,"n/a",+(G21/E21)-1)</f>
        <v>9.0244950580145922E-2</v>
      </c>
      <c r="I21" s="449">
        <v>2366</v>
      </c>
      <c r="J21" s="288">
        <v>9.0244950580145922E-2</v>
      </c>
      <c r="K21" s="449">
        <v>2374</v>
      </c>
      <c r="L21" s="127">
        <f t="shared" si="0"/>
        <v>3.3812341504648735E-3</v>
      </c>
      <c r="M21" s="449">
        <v>2374</v>
      </c>
      <c r="N21" s="127">
        <f t="shared" si="0"/>
        <v>0</v>
      </c>
      <c r="O21" s="449">
        <v>2374</v>
      </c>
      <c r="P21" s="127">
        <f t="shared" si="0"/>
        <v>0</v>
      </c>
      <c r="Q21" s="449">
        <v>2374</v>
      </c>
      <c r="R21" s="510">
        <f t="shared" si="0"/>
        <v>0</v>
      </c>
    </row>
    <row r="22" spans="1:23" ht="13.8" x14ac:dyDescent="0.25">
      <c r="B22" s="1" t="s">
        <v>300</v>
      </c>
      <c r="C22" s="252" t="s">
        <v>301</v>
      </c>
      <c r="D22" s="287">
        <v>0</v>
      </c>
      <c r="E22" s="287">
        <v>0</v>
      </c>
      <c r="F22" s="127" t="str">
        <f t="shared" si="1"/>
        <v>n/a</v>
      </c>
      <c r="G22" s="287"/>
      <c r="H22" s="127" t="str">
        <f t="shared" si="2"/>
        <v>n/a</v>
      </c>
      <c r="I22" s="449"/>
      <c r="J22" s="288" t="e">
        <v>#DIV/0!</v>
      </c>
      <c r="K22" s="449"/>
      <c r="L22" s="127" t="str">
        <f t="shared" si="0"/>
        <v>n/a</v>
      </c>
      <c r="M22" s="449"/>
      <c r="N22" s="127" t="str">
        <f t="shared" si="0"/>
        <v>n/a</v>
      </c>
      <c r="O22" s="449"/>
      <c r="P22" s="127" t="str">
        <f t="shared" si="0"/>
        <v>n/a</v>
      </c>
      <c r="Q22" s="449"/>
      <c r="R22" s="510" t="str">
        <f t="shared" si="0"/>
        <v>n/a</v>
      </c>
    </row>
    <row r="23" spans="1:23" ht="13.8" x14ac:dyDescent="0.25">
      <c r="B23" s="230" t="s">
        <v>302</v>
      </c>
      <c r="C23" s="252" t="s">
        <v>303</v>
      </c>
      <c r="D23" s="287">
        <v>13258.999999999998</v>
      </c>
      <c r="E23" s="287">
        <v>13557</v>
      </c>
      <c r="F23" s="127">
        <f t="shared" si="1"/>
        <v>2.2475299796364867E-2</v>
      </c>
      <c r="G23" s="287">
        <v>14464.999999999998</v>
      </c>
      <c r="H23" s="127">
        <f t="shared" si="2"/>
        <v>6.697646972043958E-2</v>
      </c>
      <c r="I23" s="449">
        <v>13399</v>
      </c>
      <c r="J23" s="288">
        <v>6.697646972043958E-2</v>
      </c>
      <c r="K23" s="449">
        <v>13164</v>
      </c>
      <c r="L23" s="127">
        <f t="shared" si="0"/>
        <v>-1.7538622285245165E-2</v>
      </c>
      <c r="M23" s="449">
        <v>13164</v>
      </c>
      <c r="N23" s="127">
        <f t="shared" si="0"/>
        <v>0</v>
      </c>
      <c r="O23" s="449">
        <v>13164</v>
      </c>
      <c r="P23" s="127">
        <f t="shared" si="0"/>
        <v>0</v>
      </c>
      <c r="Q23" s="449">
        <v>13164</v>
      </c>
      <c r="R23" s="510">
        <f t="shared" si="0"/>
        <v>0</v>
      </c>
    </row>
    <row r="24" spans="1:23" ht="13.8" x14ac:dyDescent="0.25">
      <c r="A24" s="230" t="s">
        <v>304</v>
      </c>
      <c r="B24" s="230" t="s">
        <v>305</v>
      </c>
      <c r="C24" s="252" t="s">
        <v>306</v>
      </c>
      <c r="D24" s="287">
        <v>4515</v>
      </c>
      <c r="E24" s="287">
        <v>5117</v>
      </c>
      <c r="F24" s="127">
        <f t="shared" si="1"/>
        <v>0.1333333333333333</v>
      </c>
      <c r="G24" s="287">
        <v>4858</v>
      </c>
      <c r="H24" s="127">
        <f t="shared" si="2"/>
        <v>-5.0615595075239384E-2</v>
      </c>
      <c r="I24" s="449">
        <v>5107</v>
      </c>
      <c r="J24" s="288">
        <v>-5.0615595075239384E-2</v>
      </c>
      <c r="K24" s="449">
        <v>5072</v>
      </c>
      <c r="L24" s="127">
        <f t="shared" si="0"/>
        <v>-6.8533385549246484E-3</v>
      </c>
      <c r="M24" s="449">
        <v>5072</v>
      </c>
      <c r="N24" s="127">
        <f t="shared" si="0"/>
        <v>0</v>
      </c>
      <c r="O24" s="449">
        <v>5072</v>
      </c>
      <c r="P24" s="127">
        <f t="shared" si="0"/>
        <v>0</v>
      </c>
      <c r="Q24" s="449">
        <v>5072</v>
      </c>
      <c r="R24" s="510">
        <f t="shared" si="0"/>
        <v>0</v>
      </c>
    </row>
    <row r="25" spans="1:23" ht="13.8" x14ac:dyDescent="0.25">
      <c r="A25" s="147" t="s">
        <v>307</v>
      </c>
      <c r="B25" s="147" t="s">
        <v>308</v>
      </c>
      <c r="C25" s="252" t="s">
        <v>309</v>
      </c>
      <c r="D25" s="287">
        <v>2028</v>
      </c>
      <c r="E25" s="287">
        <v>2169</v>
      </c>
      <c r="F25" s="127">
        <f t="shared" si="1"/>
        <v>6.9526627218934989E-2</v>
      </c>
      <c r="G25" s="287">
        <v>2060.0000000000005</v>
      </c>
      <c r="H25" s="127">
        <f t="shared" si="2"/>
        <v>-5.025357307514966E-2</v>
      </c>
      <c r="I25" s="449">
        <v>2266</v>
      </c>
      <c r="J25" s="288">
        <v>-5.025357307514966E-2</v>
      </c>
      <c r="K25" s="449">
        <v>2264</v>
      </c>
      <c r="L25" s="127">
        <f t="shared" si="0"/>
        <v>-8.8261253309795951E-4</v>
      </c>
      <c r="M25" s="449">
        <v>2264</v>
      </c>
      <c r="N25" s="127">
        <f t="shared" si="0"/>
        <v>0</v>
      </c>
      <c r="O25" s="449">
        <v>2264</v>
      </c>
      <c r="P25" s="127">
        <f t="shared" si="0"/>
        <v>0</v>
      </c>
      <c r="Q25" s="449">
        <v>2264</v>
      </c>
      <c r="R25" s="510">
        <f t="shared" si="0"/>
        <v>0</v>
      </c>
    </row>
    <row r="26" spans="1:23" ht="13.8" x14ac:dyDescent="0.25">
      <c r="A26" s="230" t="s">
        <v>310</v>
      </c>
      <c r="B26" s="230" t="s">
        <v>305</v>
      </c>
      <c r="C26" s="252" t="s">
        <v>311</v>
      </c>
      <c r="D26" s="287">
        <v>480.99999999999983</v>
      </c>
      <c r="E26" s="287">
        <v>531.99999999999989</v>
      </c>
      <c r="F26" s="127">
        <f t="shared" si="1"/>
        <v>0.10602910602910609</v>
      </c>
      <c r="G26" s="287">
        <v>543.99999999999989</v>
      </c>
      <c r="H26" s="127">
        <f t="shared" si="2"/>
        <v>2.2556390977443552E-2</v>
      </c>
      <c r="I26" s="449">
        <v>530</v>
      </c>
      <c r="J26" s="288">
        <v>2.2556390977443552E-2</v>
      </c>
      <c r="K26" s="449">
        <v>503</v>
      </c>
      <c r="L26" s="127">
        <f t="shared" si="0"/>
        <v>-5.0943396226415083E-2</v>
      </c>
      <c r="M26" s="449">
        <v>503</v>
      </c>
      <c r="N26" s="127">
        <f t="shared" si="0"/>
        <v>0</v>
      </c>
      <c r="O26" s="449">
        <v>503</v>
      </c>
      <c r="P26" s="127">
        <f t="shared" si="0"/>
        <v>0</v>
      </c>
      <c r="Q26" s="449">
        <v>503</v>
      </c>
      <c r="R26" s="510">
        <f t="shared" si="0"/>
        <v>0</v>
      </c>
    </row>
    <row r="27" spans="1:23" ht="13.8" x14ac:dyDescent="0.25">
      <c r="A27" s="230" t="s">
        <v>312</v>
      </c>
      <c r="B27" s="230" t="s">
        <v>305</v>
      </c>
      <c r="C27" s="252" t="s">
        <v>313</v>
      </c>
      <c r="D27" s="287">
        <v>29516.000000000004</v>
      </c>
      <c r="E27" s="287">
        <v>29631</v>
      </c>
      <c r="F27" s="127">
        <f t="shared" si="1"/>
        <v>3.8961918959208308E-3</v>
      </c>
      <c r="G27" s="287">
        <v>29595</v>
      </c>
      <c r="H27" s="127">
        <f t="shared" si="2"/>
        <v>-1.2149438088487896E-3</v>
      </c>
      <c r="I27" s="449">
        <v>27946</v>
      </c>
      <c r="J27" s="288">
        <v>-1.2149438088487896E-3</v>
      </c>
      <c r="K27" s="449">
        <v>28972</v>
      </c>
      <c r="L27" s="127">
        <f t="shared" si="0"/>
        <v>3.6713662062549224E-2</v>
      </c>
      <c r="M27" s="449">
        <v>28972</v>
      </c>
      <c r="N27" s="127">
        <f t="shared" si="0"/>
        <v>0</v>
      </c>
      <c r="O27" s="449">
        <v>28972</v>
      </c>
      <c r="P27" s="127">
        <f t="shared" si="0"/>
        <v>0</v>
      </c>
      <c r="Q27" s="449">
        <v>28972</v>
      </c>
      <c r="R27" s="510">
        <f t="shared" si="0"/>
        <v>0</v>
      </c>
    </row>
    <row r="28" spans="1:23" ht="13.8" x14ac:dyDescent="0.25">
      <c r="A28" s="230" t="s">
        <v>314</v>
      </c>
      <c r="B28" s="230" t="s">
        <v>315</v>
      </c>
      <c r="C28" s="252" t="s">
        <v>316</v>
      </c>
      <c r="D28" s="287">
        <v>218085</v>
      </c>
      <c r="E28" s="287">
        <v>216946.99999999991</v>
      </c>
      <c r="F28" s="127">
        <f t="shared" si="1"/>
        <v>-5.2181488869023074E-3</v>
      </c>
      <c r="G28" s="287">
        <v>215269.99999999997</v>
      </c>
      <c r="H28" s="127">
        <f t="shared" si="2"/>
        <v>-7.7299985710792551E-3</v>
      </c>
      <c r="I28" s="449">
        <v>220825</v>
      </c>
      <c r="J28" s="288">
        <v>-7.7299985710792551E-3</v>
      </c>
      <c r="K28" s="449">
        <v>218084</v>
      </c>
      <c r="L28" s="127">
        <f t="shared" si="0"/>
        <v>-1.2412543869580017E-2</v>
      </c>
      <c r="M28" s="449">
        <v>218084</v>
      </c>
      <c r="N28" s="127">
        <f t="shared" si="0"/>
        <v>0</v>
      </c>
      <c r="O28" s="449">
        <v>218084</v>
      </c>
      <c r="P28" s="127">
        <f t="shared" si="0"/>
        <v>0</v>
      </c>
      <c r="Q28" s="449">
        <v>218084</v>
      </c>
      <c r="R28" s="510">
        <f t="shared" si="0"/>
        <v>0</v>
      </c>
    </row>
    <row r="29" spans="1:23" ht="13.8" x14ac:dyDescent="0.25">
      <c r="C29" s="252"/>
      <c r="D29" s="287"/>
      <c r="E29" s="287"/>
      <c r="F29" s="127" t="str">
        <f t="shared" si="1"/>
        <v>n/a</v>
      </c>
      <c r="G29" s="127"/>
      <c r="H29" s="127" t="str">
        <f t="shared" si="2"/>
        <v>n/a</v>
      </c>
      <c r="I29" s="449"/>
      <c r="J29" s="288" t="e">
        <v>#DIV/0!</v>
      </c>
      <c r="K29" s="449"/>
      <c r="L29" s="127" t="str">
        <f t="shared" si="0"/>
        <v>n/a</v>
      </c>
      <c r="M29" s="449"/>
      <c r="N29" s="127" t="str">
        <f t="shared" si="0"/>
        <v>n/a</v>
      </c>
      <c r="O29" s="449"/>
      <c r="P29" s="127" t="str">
        <f t="shared" si="0"/>
        <v>n/a</v>
      </c>
      <c r="Q29" s="449"/>
      <c r="R29" s="510" t="str">
        <f t="shared" si="0"/>
        <v>n/a</v>
      </c>
    </row>
    <row r="30" spans="1:23" ht="13.8" x14ac:dyDescent="0.25">
      <c r="C30" s="252"/>
      <c r="D30" s="287"/>
      <c r="E30" s="287"/>
      <c r="F30" s="127" t="str">
        <f t="shared" si="1"/>
        <v>n/a</v>
      </c>
      <c r="G30" s="127"/>
      <c r="H30" s="127" t="str">
        <f t="shared" si="2"/>
        <v>n/a</v>
      </c>
      <c r="I30" s="287"/>
      <c r="J30" s="288" t="e">
        <v>#DIV/0!</v>
      </c>
      <c r="K30" s="287"/>
      <c r="L30" s="127" t="str">
        <f t="shared" si="0"/>
        <v>n/a</v>
      </c>
      <c r="M30" s="287"/>
      <c r="N30" s="127" t="str">
        <f t="shared" si="0"/>
        <v>n/a</v>
      </c>
      <c r="O30" s="287"/>
      <c r="P30" s="127" t="str">
        <f t="shared" si="0"/>
        <v>n/a</v>
      </c>
      <c r="Q30" s="287"/>
      <c r="R30" s="510" t="str">
        <f t="shared" si="0"/>
        <v>n/a</v>
      </c>
    </row>
    <row r="31" spans="1:23" ht="13.8" x14ac:dyDescent="0.25">
      <c r="B31" s="230" t="s">
        <v>317</v>
      </c>
      <c r="C31" s="281" t="s">
        <v>317</v>
      </c>
      <c r="D31" s="282"/>
      <c r="E31" s="282"/>
      <c r="F31" s="507"/>
      <c r="G31" s="507"/>
      <c r="H31" s="507"/>
      <c r="I31" s="282"/>
      <c r="J31" s="283"/>
      <c r="K31" s="282"/>
      <c r="L31" s="507"/>
      <c r="M31" s="282"/>
      <c r="N31" s="507"/>
      <c r="O31" s="282"/>
      <c r="P31" s="507"/>
      <c r="Q31" s="282"/>
      <c r="R31" s="512"/>
    </row>
    <row r="32" spans="1:23" ht="13.8" x14ac:dyDescent="0.25">
      <c r="B32" s="230" t="s">
        <v>318</v>
      </c>
      <c r="C32" s="252" t="s">
        <v>319</v>
      </c>
      <c r="D32" s="287">
        <v>8001.173508205703</v>
      </c>
      <c r="E32" s="287">
        <v>8476.8545403404751</v>
      </c>
      <c r="F32" s="127">
        <f>IF(D32=0,"n/a",+(E32/D32)-1)</f>
        <v>5.9451408177429332E-2</v>
      </c>
      <c r="G32" s="577">
        <v>8016</v>
      </c>
      <c r="H32" s="127">
        <f>IF(E32=0,"n/a",+(G32/E32)-1)</f>
        <v>-5.4366220176047086E-2</v>
      </c>
      <c r="I32" s="190">
        <f>+PL!J$20/PL!J$14*Util_Statistics!I14</f>
        <v>8189.226278363928</v>
      </c>
      <c r="J32" s="288">
        <v>-5.4353276716101018E-2</v>
      </c>
      <c r="K32" s="190">
        <f>+PL!L$20/PL!L$14*Util_Statistics!K14</f>
        <v>8287.0929653768817</v>
      </c>
      <c r="L32" s="127">
        <f t="shared" si="0"/>
        <v>1.1950663430990938E-2</v>
      </c>
      <c r="M32" s="190">
        <f>+PL!N20/PL!N14*Util_Statistics!M14</f>
        <v>8261.3459954697591</v>
      </c>
      <c r="N32" s="127">
        <f t="shared" si="0"/>
        <v>-3.1068759593614326E-3</v>
      </c>
      <c r="O32" s="190">
        <f>+PL!P20/PL!P14*Util_Statistics!O14</f>
        <v>8236.1530228481679</v>
      </c>
      <c r="P32" s="127">
        <f t="shared" si="0"/>
        <v>-3.0494997589262107E-3</v>
      </c>
      <c r="Q32" s="190">
        <f>+PL!R20/PL!R14*Util_Statistics!Q14</f>
        <v>8211.5060439292374</v>
      </c>
      <c r="R32" s="510">
        <f t="shared" si="0"/>
        <v>-2.9925353317934444E-3</v>
      </c>
      <c r="T32" s="230">
        <f>+T14*PL!E138/PL!E132</f>
        <v>8001.1735749289446</v>
      </c>
      <c r="U32" s="230">
        <f>+U14*PL!F138/PL!F132</f>
        <v>8476.8546148168134</v>
      </c>
      <c r="W32" s="230">
        <f>+W14*PL!J138/PL!J132</f>
        <v>8189.226278363928</v>
      </c>
    </row>
    <row r="33" spans="2:22" ht="14.4" thickBot="1" x14ac:dyDescent="0.3">
      <c r="B33" s="230" t="s">
        <v>320</v>
      </c>
      <c r="C33" s="295" t="s">
        <v>321</v>
      </c>
      <c r="D33" s="296">
        <v>27986.098206514998</v>
      </c>
      <c r="E33" s="296">
        <v>28007.657066363943</v>
      </c>
      <c r="F33" s="508">
        <f>IF(D33=0,"n/a",+(E33/D33)-1)</f>
        <v>7.7034174931633892E-4</v>
      </c>
      <c r="G33" s="577">
        <v>27881</v>
      </c>
      <c r="H33" s="127">
        <f>IF(E33=0,"n/a",+(G33/E33)-1)</f>
        <v>-4.5222299767463392E-3</v>
      </c>
      <c r="I33" s="190">
        <f>+PL!J$20/PL!J$14*Util_Statistics!I15</f>
        <v>26748.42251815704</v>
      </c>
      <c r="J33" s="297">
        <v>-4.5392586719560368E-3</v>
      </c>
      <c r="K33" s="190">
        <f>+PL!L$20/PL!L$14*Util_Statistics!K15</f>
        <v>25971.157418279337</v>
      </c>
      <c r="L33" s="508">
        <f t="shared" si="0"/>
        <v>-2.9058352856139003E-2</v>
      </c>
      <c r="M33" s="190">
        <f>+PL!N$20/PL!N$14*Util_Statistics!M15</f>
        <v>25890.468253659692</v>
      </c>
      <c r="N33" s="508">
        <f t="shared" si="0"/>
        <v>-3.1068759593615436E-3</v>
      </c>
      <c r="O33" s="190">
        <f>+PL!P$20/PL!P$14*Util_Statistics!O15</f>
        <v>25811.515276961665</v>
      </c>
      <c r="P33" s="508">
        <f t="shared" si="0"/>
        <v>-3.0494997589264328E-3</v>
      </c>
      <c r="Q33" s="190">
        <f>+PL!R$20/PL!R$14*Util_Statistics!Q15</f>
        <v>25734.273405528231</v>
      </c>
      <c r="R33" s="513">
        <f t="shared" si="0"/>
        <v>-2.9925353317934444E-3</v>
      </c>
    </row>
    <row r="34" spans="2:22" s="126" customFormat="1" ht="14.4" thickBot="1" x14ac:dyDescent="0.3">
      <c r="C34" s="298"/>
      <c r="D34" s="299"/>
      <c r="E34" s="299"/>
      <c r="F34" s="299"/>
      <c r="G34" s="299"/>
      <c r="H34" s="299"/>
      <c r="I34" s="299"/>
      <c r="J34" s="299"/>
      <c r="K34" s="299"/>
      <c r="L34" s="299"/>
      <c r="M34" s="299"/>
      <c r="N34" s="299"/>
      <c r="O34" s="299"/>
      <c r="P34" s="299"/>
      <c r="Q34" s="299"/>
      <c r="R34" s="300"/>
    </row>
    <row r="35" spans="2:22" ht="13.8" thickBot="1" x14ac:dyDescent="0.3">
      <c r="C35" s="301"/>
      <c r="D35" s="302"/>
      <c r="E35" s="302"/>
      <c r="F35" s="302"/>
      <c r="G35" s="302"/>
      <c r="H35" s="302"/>
      <c r="I35" s="302"/>
      <c r="J35" s="302"/>
      <c r="K35" s="302"/>
      <c r="L35" s="302"/>
      <c r="M35" s="302"/>
      <c r="N35" s="302"/>
      <c r="O35" s="302"/>
      <c r="P35" s="302"/>
      <c r="Q35" s="302"/>
      <c r="R35" s="303"/>
    </row>
    <row r="36" spans="2:22" s="34" customFormat="1" ht="18" outlineLevel="1" x14ac:dyDescent="0.25">
      <c r="B36" s="33"/>
      <c r="C36" s="663" t="str">
        <f>+C3</f>
        <v>Modernization Project</v>
      </c>
      <c r="D36" s="664"/>
      <c r="E36" s="664"/>
      <c r="F36" s="664"/>
      <c r="G36" s="664"/>
      <c r="H36" s="664"/>
      <c r="I36" s="664"/>
      <c r="J36" s="664"/>
      <c r="K36" s="664"/>
      <c r="L36" s="664"/>
      <c r="M36" s="664"/>
      <c r="N36" s="664"/>
      <c r="O36" s="664"/>
      <c r="P36" s="664"/>
      <c r="Q36" s="664"/>
      <c r="R36" s="665"/>
    </row>
    <row r="37" spans="2:22" outlineLevel="1" collapsed="1" x14ac:dyDescent="0.25">
      <c r="C37" s="233"/>
      <c r="D37" s="126"/>
      <c r="E37" s="126"/>
      <c r="F37" s="126"/>
      <c r="G37" s="126"/>
      <c r="H37" s="126"/>
      <c r="I37" s="126"/>
      <c r="J37" s="126"/>
      <c r="K37" s="126"/>
      <c r="L37" s="126"/>
      <c r="M37" s="126"/>
      <c r="N37" s="126"/>
      <c r="O37" s="126"/>
      <c r="P37" s="126"/>
      <c r="Q37" s="126"/>
      <c r="R37" s="234"/>
    </row>
    <row r="38" spans="2:22" s="34" customFormat="1" ht="15.75" customHeight="1" outlineLevel="1" thickBot="1" x14ac:dyDescent="0.3">
      <c r="B38" s="33"/>
      <c r="C38" s="666" t="s">
        <v>322</v>
      </c>
      <c r="D38" s="667"/>
      <c r="E38" s="667"/>
      <c r="F38" s="667"/>
      <c r="G38" s="667"/>
      <c r="H38" s="667"/>
      <c r="I38" s="667"/>
      <c r="J38" s="667"/>
      <c r="K38" s="667"/>
      <c r="L38" s="667"/>
      <c r="M38" s="667"/>
      <c r="N38" s="667"/>
      <c r="O38" s="667"/>
      <c r="P38" s="667"/>
      <c r="Q38" s="667"/>
      <c r="R38" s="668"/>
    </row>
    <row r="39" spans="2:22" s="34" customFormat="1" ht="15" customHeight="1" x14ac:dyDescent="0.3">
      <c r="B39" s="33"/>
      <c r="C39" s="669" t="s">
        <v>54</v>
      </c>
      <c r="D39" s="670"/>
      <c r="E39" s="670"/>
      <c r="F39" s="670"/>
      <c r="G39" s="670"/>
      <c r="H39" s="670"/>
      <c r="I39" s="670"/>
      <c r="J39" s="670"/>
      <c r="K39" s="670"/>
      <c r="L39" s="670"/>
      <c r="M39" s="670"/>
      <c r="N39" s="670"/>
      <c r="O39" s="670"/>
      <c r="P39" s="670"/>
      <c r="Q39" s="670"/>
      <c r="R39" s="671"/>
    </row>
    <row r="40" spans="2:22" ht="14.25" customHeight="1" x14ac:dyDescent="0.25">
      <c r="C40" s="657" t="s">
        <v>49</v>
      </c>
      <c r="D40" s="658"/>
      <c r="E40" s="658"/>
      <c r="F40" s="658"/>
      <c r="G40" s="658"/>
      <c r="H40" s="658"/>
      <c r="I40" s="658"/>
      <c r="J40" s="658"/>
      <c r="K40" s="658"/>
      <c r="L40" s="658"/>
      <c r="M40" s="658"/>
      <c r="N40" s="658"/>
      <c r="O40" s="658"/>
      <c r="P40" s="658"/>
      <c r="Q40" s="658"/>
      <c r="R40" s="659"/>
    </row>
    <row r="41" spans="2:22" ht="6" customHeight="1" x14ac:dyDescent="0.25">
      <c r="C41" s="233"/>
      <c r="D41" s="660"/>
      <c r="E41" s="661"/>
      <c r="F41" s="151"/>
      <c r="G41" s="537"/>
      <c r="H41" s="537"/>
      <c r="I41" s="660"/>
      <c r="J41" s="660"/>
      <c r="K41" s="660"/>
      <c r="L41" s="660"/>
      <c r="M41" s="660"/>
      <c r="N41" s="273"/>
      <c r="O41" s="458"/>
      <c r="P41" s="458"/>
      <c r="Q41" s="151"/>
      <c r="R41" s="167"/>
    </row>
    <row r="42" spans="2:22" s="274" customFormat="1" ht="26.25" customHeight="1" x14ac:dyDescent="0.25">
      <c r="C42" s="662"/>
      <c r="D42" s="260" t="str">
        <f>+D9</f>
        <v>2014</v>
      </c>
      <c r="E42" s="260" t="str">
        <f>+E9</f>
        <v>2015</v>
      </c>
      <c r="F42" s="260"/>
      <c r="G42" s="260"/>
      <c r="H42" s="260"/>
      <c r="I42" s="260" t="str">
        <f>+I9</f>
        <v>2016</v>
      </c>
      <c r="J42" s="15"/>
      <c r="K42" s="15" t="s">
        <v>50</v>
      </c>
      <c r="L42" s="15"/>
      <c r="M42" s="15" t="s">
        <v>51</v>
      </c>
      <c r="N42" s="15"/>
      <c r="O42" s="15" t="s">
        <v>52</v>
      </c>
      <c r="P42" s="15"/>
      <c r="Q42" s="15" t="s">
        <v>471</v>
      </c>
      <c r="R42" s="276"/>
    </row>
    <row r="43" spans="2:22" s="30" customFormat="1" x14ac:dyDescent="0.25">
      <c r="C43" s="662"/>
      <c r="D43" s="275" t="str">
        <f>+D10</f>
        <v>Actual</v>
      </c>
      <c r="E43" s="275" t="str">
        <f>+E10</f>
        <v>Actual</v>
      </c>
      <c r="F43" s="307" t="s">
        <v>57</v>
      </c>
      <c r="G43" s="307"/>
      <c r="H43" s="307"/>
      <c r="I43" s="275" t="str">
        <f>+I10</f>
        <v>Actual</v>
      </c>
      <c r="J43" s="307" t="s">
        <v>57</v>
      </c>
      <c r="K43" s="275">
        <f>+K10</f>
        <v>2017</v>
      </c>
      <c r="L43" s="278" t="s">
        <v>57</v>
      </c>
      <c r="M43" s="275">
        <f>+M10</f>
        <v>2018</v>
      </c>
      <c r="N43" s="239" t="s">
        <v>57</v>
      </c>
      <c r="O43" s="275">
        <f>+O10</f>
        <v>2019</v>
      </c>
      <c r="P43" s="239" t="s">
        <v>57</v>
      </c>
      <c r="Q43" s="275">
        <f>+Q10</f>
        <v>2020</v>
      </c>
      <c r="R43" s="236" t="s">
        <v>57</v>
      </c>
    </row>
    <row r="44" spans="2:22" ht="13.8" x14ac:dyDescent="0.25">
      <c r="C44" s="252"/>
      <c r="D44" s="279"/>
      <c r="E44" s="279"/>
      <c r="F44" s="288"/>
      <c r="G44" s="288"/>
      <c r="H44" s="288"/>
      <c r="I44" s="279"/>
      <c r="J44" s="288"/>
      <c r="K44" s="279"/>
      <c r="L44" s="279"/>
      <c r="M44" s="279"/>
      <c r="N44" s="279"/>
      <c r="O44" s="279"/>
      <c r="P44" s="279"/>
      <c r="Q44" s="279"/>
      <c r="R44" s="280"/>
    </row>
    <row r="45" spans="2:22" ht="13.8" x14ac:dyDescent="0.25">
      <c r="C45" s="281" t="s">
        <v>283</v>
      </c>
      <c r="D45" s="282"/>
      <c r="E45" s="282"/>
      <c r="F45" s="283"/>
      <c r="G45" s="283"/>
      <c r="H45" s="283"/>
      <c r="I45" s="282"/>
      <c r="J45" s="283"/>
      <c r="K45" s="282"/>
      <c r="L45" s="283"/>
      <c r="M45" s="282"/>
      <c r="N45" s="282"/>
      <c r="O45" s="282"/>
      <c r="P45" s="282"/>
      <c r="Q45" s="282"/>
      <c r="R45" s="284"/>
      <c r="T45" s="285"/>
      <c r="U45" s="285"/>
      <c r="V45" s="285"/>
    </row>
    <row r="46" spans="2:22" ht="13.8" x14ac:dyDescent="0.25">
      <c r="C46" s="252" t="s">
        <v>285</v>
      </c>
      <c r="D46" s="287"/>
      <c r="E46" s="287"/>
      <c r="F46" s="127" t="str">
        <f>IF(D46=0,"n/a",+(E46/D46)-1)</f>
        <v>n/a</v>
      </c>
      <c r="G46" s="127"/>
      <c r="H46" s="127" t="str">
        <f>IF(E46=0,"n/a",+(G46/E46)-1)</f>
        <v>n/a</v>
      </c>
      <c r="I46" s="287"/>
      <c r="J46" s="127" t="str">
        <f>IF(E46=0,"n/a",+(I46/E46)-1)</f>
        <v>n/a</v>
      </c>
      <c r="K46" s="190">
        <f>+K79-K13</f>
        <v>0</v>
      </c>
      <c r="L46" s="127" t="str">
        <f>IF(I46=0,"n/a",+(K46/I46)-1)</f>
        <v>n/a</v>
      </c>
      <c r="M46" s="190">
        <f>+M79-M13</f>
        <v>0</v>
      </c>
      <c r="N46" s="127" t="str">
        <f>IF(K46=0,"n/a",+(M46/K46)-1)</f>
        <v>n/a</v>
      </c>
      <c r="O46" s="190">
        <f>+O79-O13</f>
        <v>0</v>
      </c>
      <c r="P46" s="127" t="str">
        <f>IF(M46=0,"n/a",+(O46/M46)-1)</f>
        <v>n/a</v>
      </c>
      <c r="Q46" s="190">
        <f>+Q79-Q13</f>
        <v>0</v>
      </c>
      <c r="R46" s="509" t="str">
        <f>IF(O46=0,"n/a",+(Q46/O46)-1)</f>
        <v>n/a</v>
      </c>
      <c r="T46" s="285"/>
      <c r="U46" s="285"/>
      <c r="V46" s="285"/>
    </row>
    <row r="47" spans="2:22" ht="13.8" x14ac:dyDescent="0.25">
      <c r="C47" s="252" t="s">
        <v>287</v>
      </c>
      <c r="D47" s="287"/>
      <c r="E47" s="287"/>
      <c r="F47" s="127" t="str">
        <f>IF(D47=0,"n/a",+(E47/D47)-1)</f>
        <v>n/a</v>
      </c>
      <c r="G47" s="127"/>
      <c r="H47" s="127" t="str">
        <f>IF(E47=0,"n/a",+(G47/E47)-1)</f>
        <v>n/a</v>
      </c>
      <c r="I47" s="287"/>
      <c r="J47" s="127" t="str">
        <f>IF(E47=0,"n/a",+(I47/E47)-1)</f>
        <v>n/a</v>
      </c>
      <c r="K47" s="190">
        <f>+K80-K14</f>
        <v>0</v>
      </c>
      <c r="L47" s="127" t="str">
        <f t="shared" ref="L47:P66" si="3">IF(I47=0,"n/a",+(K47/I47)-1)</f>
        <v>n/a</v>
      </c>
      <c r="M47" s="190">
        <f>+M80-M14</f>
        <v>0</v>
      </c>
      <c r="N47" s="127" t="str">
        <f t="shared" si="3"/>
        <v>n/a</v>
      </c>
      <c r="O47" s="190">
        <f>+O80-O14</f>
        <v>0</v>
      </c>
      <c r="P47" s="127" t="str">
        <f t="shared" si="3"/>
        <v>n/a</v>
      </c>
      <c r="Q47" s="190">
        <f>+Q80-Q14</f>
        <v>0</v>
      </c>
      <c r="R47" s="510" t="str">
        <f t="shared" ref="R47:R66" si="4">IF(O47=0,"n/a",+(Q47/O47)-1)</f>
        <v>n/a</v>
      </c>
      <c r="T47" s="285"/>
      <c r="U47" s="285"/>
      <c r="V47" s="285"/>
    </row>
    <row r="48" spans="2:22" ht="13.8" x14ac:dyDescent="0.25">
      <c r="C48" s="252" t="s">
        <v>289</v>
      </c>
      <c r="D48" s="287"/>
      <c r="E48" s="287"/>
      <c r="F48" s="127" t="str">
        <f>IF(D48=0,"n/a",+(E48/D48)-1)</f>
        <v>n/a</v>
      </c>
      <c r="G48" s="127"/>
      <c r="H48" s="127" t="str">
        <f>IF(E48=0,"n/a",+(G48/E48)-1)</f>
        <v>n/a</v>
      </c>
      <c r="I48" s="287"/>
      <c r="J48" s="127" t="str">
        <f>IF(E48=0,"n/a",+(I48/E48)-1)</f>
        <v>n/a</v>
      </c>
      <c r="K48" s="190">
        <f>+K81-K15</f>
        <v>0</v>
      </c>
      <c r="L48" s="127" t="str">
        <f t="shared" si="3"/>
        <v>n/a</v>
      </c>
      <c r="M48" s="190">
        <f>+M81-M15</f>
        <v>0</v>
      </c>
      <c r="N48" s="127" t="str">
        <f t="shared" si="3"/>
        <v>n/a</v>
      </c>
      <c r="O48" s="190">
        <f>+O81-O15</f>
        <v>0</v>
      </c>
      <c r="P48" s="127" t="str">
        <f t="shared" si="3"/>
        <v>n/a</v>
      </c>
      <c r="Q48" s="190">
        <f>+Q81-Q15</f>
        <v>0</v>
      </c>
      <c r="R48" s="510" t="str">
        <f t="shared" si="4"/>
        <v>n/a</v>
      </c>
    </row>
    <row r="49" spans="3:18" ht="13.8" x14ac:dyDescent="0.25">
      <c r="C49" s="290" t="s">
        <v>291</v>
      </c>
      <c r="D49" s="291"/>
      <c r="E49" s="291"/>
      <c r="F49" s="506" t="str">
        <f>IF(D49=0,"n/a",+(E49/D49)-1)</f>
        <v>n/a</v>
      </c>
      <c r="G49" s="506"/>
      <c r="H49" s="127" t="str">
        <f>IF(E49=0,"n/a",+(G49/E49)-1)</f>
        <v>n/a</v>
      </c>
      <c r="I49" s="291"/>
      <c r="J49" s="506" t="str">
        <f>IF(E49=0,"n/a",+(I49/E49)-1)</f>
        <v>n/a</v>
      </c>
      <c r="K49" s="518" t="e">
        <f>+K48/K47</f>
        <v>#DIV/0!</v>
      </c>
      <c r="L49" s="506" t="str">
        <f t="shared" si="3"/>
        <v>n/a</v>
      </c>
      <c r="M49" s="518" t="e">
        <f>+M48/M47</f>
        <v>#DIV/0!</v>
      </c>
      <c r="N49" s="506" t="e">
        <f t="shared" si="3"/>
        <v>#DIV/0!</v>
      </c>
      <c r="O49" s="518" t="e">
        <f>+O48/O47</f>
        <v>#DIV/0!</v>
      </c>
      <c r="P49" s="506" t="e">
        <f t="shared" si="3"/>
        <v>#DIV/0!</v>
      </c>
      <c r="Q49" s="518" t="e">
        <f>+Q48/Q47</f>
        <v>#DIV/0!</v>
      </c>
      <c r="R49" s="511" t="e">
        <f t="shared" si="4"/>
        <v>#DIV/0!</v>
      </c>
    </row>
    <row r="50" spans="3:18" ht="13.8" x14ac:dyDescent="0.25">
      <c r="C50" s="281" t="s">
        <v>292</v>
      </c>
      <c r="D50" s="282"/>
      <c r="E50" s="282"/>
      <c r="F50" s="507"/>
      <c r="G50" s="507"/>
      <c r="H50" s="507"/>
      <c r="I50" s="282"/>
      <c r="J50" s="507"/>
      <c r="K50" s="282"/>
      <c r="L50" s="507"/>
      <c r="M50" s="282"/>
      <c r="N50" s="507"/>
      <c r="O50" s="282"/>
      <c r="P50" s="507"/>
      <c r="Q50" s="282"/>
      <c r="R50" s="512"/>
    </row>
    <row r="51" spans="3:18" ht="13.8" x14ac:dyDescent="0.25">
      <c r="C51" s="252" t="s">
        <v>294</v>
      </c>
      <c r="D51" s="287"/>
      <c r="E51" s="287"/>
      <c r="F51" s="127" t="str">
        <f>IF(D51=0,"n/a",+(E51/D51)-1)</f>
        <v>n/a</v>
      </c>
      <c r="G51" s="127"/>
      <c r="H51" s="127" t="str">
        <f>IF(E51=0,"n/a",+(G51/E51)-1)</f>
        <v>n/a</v>
      </c>
      <c r="I51" s="287"/>
      <c r="J51" s="127" t="str">
        <f>IF(E51=0,"n/a",+(I51/E51)-1)</f>
        <v>n/a</v>
      </c>
      <c r="K51" s="190">
        <f>+K84-K18</f>
        <v>0</v>
      </c>
      <c r="L51" s="127" t="str">
        <f t="shared" si="3"/>
        <v>n/a</v>
      </c>
      <c r="M51" s="190">
        <f>+M84-M18</f>
        <v>0</v>
      </c>
      <c r="N51" s="127" t="str">
        <f t="shared" si="3"/>
        <v>n/a</v>
      </c>
      <c r="O51" s="190">
        <f>+O84-O18</f>
        <v>19</v>
      </c>
      <c r="P51" s="127" t="str">
        <f t="shared" si="3"/>
        <v>n/a</v>
      </c>
      <c r="Q51" s="190">
        <f>+Q84-Q18</f>
        <v>19</v>
      </c>
      <c r="R51" s="510">
        <f t="shared" si="4"/>
        <v>0</v>
      </c>
    </row>
    <row r="52" spans="3:18" ht="13.8" x14ac:dyDescent="0.25">
      <c r="C52" s="252" t="s">
        <v>296</v>
      </c>
      <c r="D52" s="287"/>
      <c r="E52" s="287"/>
      <c r="F52" s="127" t="str">
        <f>IF(D52=0,"n/a",+(E52/D52)-1)</f>
        <v>n/a</v>
      </c>
      <c r="G52" s="127"/>
      <c r="H52" s="127" t="str">
        <f>IF(E52=0,"n/a",+(G52/E52)-1)</f>
        <v>n/a</v>
      </c>
      <c r="I52" s="287"/>
      <c r="J52" s="127" t="str">
        <f>IF(E52=0,"n/a",+(I52/E52)-1)</f>
        <v>n/a</v>
      </c>
      <c r="K52" s="190">
        <f>+K85-K19</f>
        <v>0</v>
      </c>
      <c r="L52" s="127" t="str">
        <f t="shared" si="3"/>
        <v>n/a</v>
      </c>
      <c r="M52" s="190">
        <f>+M85-M19</f>
        <v>0</v>
      </c>
      <c r="N52" s="127" t="str">
        <f t="shared" si="3"/>
        <v>n/a</v>
      </c>
      <c r="O52" s="190">
        <f>+O85-O19</f>
        <v>1170</v>
      </c>
      <c r="P52" s="127" t="str">
        <f t="shared" si="3"/>
        <v>n/a</v>
      </c>
      <c r="Q52" s="190">
        <f>+Q85-Q19</f>
        <v>1170</v>
      </c>
      <c r="R52" s="510">
        <f t="shared" si="4"/>
        <v>0</v>
      </c>
    </row>
    <row r="53" spans="3:18" ht="13.8" x14ac:dyDescent="0.25">
      <c r="C53" s="281" t="s">
        <v>297</v>
      </c>
      <c r="D53" s="282"/>
      <c r="E53" s="282"/>
      <c r="F53" s="507"/>
      <c r="G53" s="507"/>
      <c r="H53" s="507"/>
      <c r="I53" s="282"/>
      <c r="J53" s="507"/>
      <c r="K53" s="282"/>
      <c r="L53" s="507"/>
      <c r="M53" s="282"/>
      <c r="N53" s="507"/>
      <c r="O53" s="282"/>
      <c r="P53" s="507"/>
      <c r="Q53" s="282"/>
      <c r="R53" s="512"/>
    </row>
    <row r="54" spans="3:18" ht="13.8" x14ac:dyDescent="0.25">
      <c r="C54" s="252" t="s">
        <v>299</v>
      </c>
      <c r="D54" s="287"/>
      <c r="E54" s="287"/>
      <c r="F54" s="127" t="str">
        <f t="shared" ref="F54:F63" si="5">IF(D54=0,"n/a",+(E54/D54)-1)</f>
        <v>n/a</v>
      </c>
      <c r="G54" s="127"/>
      <c r="H54" s="127" t="str">
        <f t="shared" ref="H54:H63" si="6">IF(E54=0,"n/a",+(G54/E54)-1)</f>
        <v>n/a</v>
      </c>
      <c r="I54" s="287"/>
      <c r="J54" s="127" t="str">
        <f t="shared" ref="J54:J63" si="7">IF(E54=0,"n/a",+(I54/E54)-1)</f>
        <v>n/a</v>
      </c>
      <c r="K54" s="190">
        <f t="shared" ref="K54:K61" si="8">+K87-K21</f>
        <v>0</v>
      </c>
      <c r="L54" s="127" t="str">
        <f t="shared" si="3"/>
        <v>n/a</v>
      </c>
      <c r="M54" s="190">
        <f t="shared" ref="M54:M61" si="9">+M87-M21</f>
        <v>0</v>
      </c>
      <c r="N54" s="127" t="str">
        <f t="shared" si="3"/>
        <v>n/a</v>
      </c>
      <c r="O54" s="190">
        <f t="shared" ref="O54:O61" si="10">+O87-O21</f>
        <v>19</v>
      </c>
      <c r="P54" s="127" t="str">
        <f t="shared" si="3"/>
        <v>n/a</v>
      </c>
      <c r="Q54" s="190">
        <f t="shared" ref="Q54:Q61" si="11">+Q87-Q21</f>
        <v>19</v>
      </c>
      <c r="R54" s="510">
        <f t="shared" si="4"/>
        <v>0</v>
      </c>
    </row>
    <row r="55" spans="3:18" ht="13.8" x14ac:dyDescent="0.25">
      <c r="C55" s="252" t="s">
        <v>301</v>
      </c>
      <c r="D55" s="287"/>
      <c r="E55" s="287"/>
      <c r="F55" s="127" t="str">
        <f t="shared" si="5"/>
        <v>n/a</v>
      </c>
      <c r="G55" s="127"/>
      <c r="H55" s="127" t="str">
        <f t="shared" si="6"/>
        <v>n/a</v>
      </c>
      <c r="I55" s="287"/>
      <c r="J55" s="127" t="str">
        <f t="shared" si="7"/>
        <v>n/a</v>
      </c>
      <c r="K55" s="190">
        <f t="shared" si="8"/>
        <v>0</v>
      </c>
      <c r="L55" s="127" t="str">
        <f t="shared" si="3"/>
        <v>n/a</v>
      </c>
      <c r="M55" s="190">
        <f t="shared" si="9"/>
        <v>0</v>
      </c>
      <c r="N55" s="127" t="str">
        <f t="shared" si="3"/>
        <v>n/a</v>
      </c>
      <c r="O55" s="190">
        <f t="shared" si="10"/>
        <v>0</v>
      </c>
      <c r="P55" s="127" t="str">
        <f t="shared" si="3"/>
        <v>n/a</v>
      </c>
      <c r="Q55" s="190">
        <f t="shared" si="11"/>
        <v>0</v>
      </c>
      <c r="R55" s="510" t="str">
        <f t="shared" si="4"/>
        <v>n/a</v>
      </c>
    </row>
    <row r="56" spans="3:18" ht="13.8" x14ac:dyDescent="0.25">
      <c r="C56" s="252" t="s">
        <v>303</v>
      </c>
      <c r="D56" s="287"/>
      <c r="E56" s="287"/>
      <c r="F56" s="127" t="str">
        <f t="shared" si="5"/>
        <v>n/a</v>
      </c>
      <c r="G56" s="127"/>
      <c r="H56" s="127" t="str">
        <f t="shared" si="6"/>
        <v>n/a</v>
      </c>
      <c r="I56" s="287"/>
      <c r="J56" s="127" t="str">
        <f t="shared" si="7"/>
        <v>n/a</v>
      </c>
      <c r="K56" s="190">
        <f t="shared" si="8"/>
        <v>0</v>
      </c>
      <c r="L56" s="127" t="str">
        <f t="shared" si="3"/>
        <v>n/a</v>
      </c>
      <c r="M56" s="190">
        <f t="shared" si="9"/>
        <v>0</v>
      </c>
      <c r="N56" s="127" t="str">
        <f t="shared" si="3"/>
        <v>n/a</v>
      </c>
      <c r="O56" s="190">
        <f t="shared" si="10"/>
        <v>0</v>
      </c>
      <c r="P56" s="127" t="str">
        <f t="shared" si="3"/>
        <v>n/a</v>
      </c>
      <c r="Q56" s="190">
        <f t="shared" si="11"/>
        <v>0</v>
      </c>
      <c r="R56" s="510" t="str">
        <f t="shared" si="4"/>
        <v>n/a</v>
      </c>
    </row>
    <row r="57" spans="3:18" ht="13.8" x14ac:dyDescent="0.25">
      <c r="C57" s="252" t="s">
        <v>306</v>
      </c>
      <c r="D57" s="287"/>
      <c r="E57" s="287"/>
      <c r="F57" s="127" t="str">
        <f t="shared" si="5"/>
        <v>n/a</v>
      </c>
      <c r="G57" s="127"/>
      <c r="H57" s="127" t="str">
        <f t="shared" si="6"/>
        <v>n/a</v>
      </c>
      <c r="I57" s="287"/>
      <c r="J57" s="127" t="str">
        <f t="shared" si="7"/>
        <v>n/a</v>
      </c>
      <c r="K57" s="190">
        <f t="shared" si="8"/>
        <v>0</v>
      </c>
      <c r="L57" s="127" t="str">
        <f t="shared" si="3"/>
        <v>n/a</v>
      </c>
      <c r="M57" s="190">
        <f t="shared" si="9"/>
        <v>0</v>
      </c>
      <c r="N57" s="127" t="str">
        <f t="shared" si="3"/>
        <v>n/a</v>
      </c>
      <c r="O57" s="190">
        <f t="shared" si="10"/>
        <v>0</v>
      </c>
      <c r="P57" s="127" t="str">
        <f t="shared" si="3"/>
        <v>n/a</v>
      </c>
      <c r="Q57" s="190">
        <f t="shared" si="11"/>
        <v>0</v>
      </c>
      <c r="R57" s="510" t="str">
        <f t="shared" si="4"/>
        <v>n/a</v>
      </c>
    </row>
    <row r="58" spans="3:18" ht="13.8" x14ac:dyDescent="0.25">
      <c r="C58" s="252" t="s">
        <v>309</v>
      </c>
      <c r="D58" s="287"/>
      <c r="E58" s="287"/>
      <c r="F58" s="127" t="str">
        <f t="shared" si="5"/>
        <v>n/a</v>
      </c>
      <c r="G58" s="127"/>
      <c r="H58" s="127" t="str">
        <f t="shared" si="6"/>
        <v>n/a</v>
      </c>
      <c r="I58" s="287"/>
      <c r="J58" s="127" t="str">
        <f t="shared" si="7"/>
        <v>n/a</v>
      </c>
      <c r="K58" s="190">
        <f t="shared" si="8"/>
        <v>0</v>
      </c>
      <c r="L58" s="127" t="str">
        <f t="shared" si="3"/>
        <v>n/a</v>
      </c>
      <c r="M58" s="190">
        <f t="shared" si="9"/>
        <v>0</v>
      </c>
      <c r="N58" s="127" t="str">
        <f t="shared" si="3"/>
        <v>n/a</v>
      </c>
      <c r="O58" s="190">
        <f t="shared" si="10"/>
        <v>0</v>
      </c>
      <c r="P58" s="127" t="str">
        <f t="shared" si="3"/>
        <v>n/a</v>
      </c>
      <c r="Q58" s="190">
        <f t="shared" si="11"/>
        <v>0</v>
      </c>
      <c r="R58" s="510" t="str">
        <f t="shared" si="4"/>
        <v>n/a</v>
      </c>
    </row>
    <row r="59" spans="3:18" ht="13.8" x14ac:dyDescent="0.25">
      <c r="C59" s="252" t="s">
        <v>311</v>
      </c>
      <c r="D59" s="287"/>
      <c r="E59" s="287"/>
      <c r="F59" s="127" t="str">
        <f t="shared" si="5"/>
        <v>n/a</v>
      </c>
      <c r="G59" s="127"/>
      <c r="H59" s="127" t="str">
        <f t="shared" si="6"/>
        <v>n/a</v>
      </c>
      <c r="I59" s="287"/>
      <c r="J59" s="127" t="str">
        <f t="shared" si="7"/>
        <v>n/a</v>
      </c>
      <c r="K59" s="190">
        <f t="shared" si="8"/>
        <v>0</v>
      </c>
      <c r="L59" s="127" t="str">
        <f t="shared" si="3"/>
        <v>n/a</v>
      </c>
      <c r="M59" s="190">
        <f t="shared" si="9"/>
        <v>0</v>
      </c>
      <c r="N59" s="127" t="str">
        <f t="shared" si="3"/>
        <v>n/a</v>
      </c>
      <c r="O59" s="190">
        <f t="shared" si="10"/>
        <v>0</v>
      </c>
      <c r="P59" s="127" t="str">
        <f t="shared" si="3"/>
        <v>n/a</v>
      </c>
      <c r="Q59" s="190">
        <f t="shared" si="11"/>
        <v>0</v>
      </c>
      <c r="R59" s="510" t="str">
        <f t="shared" si="4"/>
        <v>n/a</v>
      </c>
    </row>
    <row r="60" spans="3:18" ht="13.8" x14ac:dyDescent="0.25">
      <c r="C60" s="252" t="s">
        <v>313</v>
      </c>
      <c r="D60" s="287"/>
      <c r="E60" s="287"/>
      <c r="F60" s="127" t="str">
        <f t="shared" si="5"/>
        <v>n/a</v>
      </c>
      <c r="G60" s="127"/>
      <c r="H60" s="127" t="str">
        <f t="shared" si="6"/>
        <v>n/a</v>
      </c>
      <c r="I60" s="287"/>
      <c r="J60" s="127" t="str">
        <f t="shared" si="7"/>
        <v>n/a</v>
      </c>
      <c r="K60" s="190">
        <f t="shared" si="8"/>
        <v>0</v>
      </c>
      <c r="L60" s="127" t="str">
        <f t="shared" si="3"/>
        <v>n/a</v>
      </c>
      <c r="M60" s="190">
        <f t="shared" si="9"/>
        <v>0</v>
      </c>
      <c r="N60" s="127" t="str">
        <f t="shared" si="3"/>
        <v>n/a</v>
      </c>
      <c r="O60" s="190">
        <f t="shared" si="10"/>
        <v>0</v>
      </c>
      <c r="P60" s="127" t="str">
        <f t="shared" si="3"/>
        <v>n/a</v>
      </c>
      <c r="Q60" s="190">
        <f t="shared" si="11"/>
        <v>0</v>
      </c>
      <c r="R60" s="510" t="str">
        <f t="shared" si="4"/>
        <v>n/a</v>
      </c>
    </row>
    <row r="61" spans="3:18" ht="13.8" x14ac:dyDescent="0.25">
      <c r="C61" s="252" t="s">
        <v>316</v>
      </c>
      <c r="D61" s="287"/>
      <c r="E61" s="287"/>
      <c r="F61" s="127" t="str">
        <f t="shared" si="5"/>
        <v>n/a</v>
      </c>
      <c r="G61" s="127"/>
      <c r="H61" s="127" t="str">
        <f t="shared" si="6"/>
        <v>n/a</v>
      </c>
      <c r="I61" s="287"/>
      <c r="J61" s="127" t="str">
        <f t="shared" si="7"/>
        <v>n/a</v>
      </c>
      <c r="K61" s="190">
        <f t="shared" si="8"/>
        <v>0</v>
      </c>
      <c r="L61" s="127" t="str">
        <f t="shared" si="3"/>
        <v>n/a</v>
      </c>
      <c r="M61" s="190">
        <f t="shared" si="9"/>
        <v>0</v>
      </c>
      <c r="N61" s="127" t="str">
        <f t="shared" si="3"/>
        <v>n/a</v>
      </c>
      <c r="O61" s="190">
        <f t="shared" si="10"/>
        <v>0</v>
      </c>
      <c r="P61" s="127" t="str">
        <f t="shared" si="3"/>
        <v>n/a</v>
      </c>
      <c r="Q61" s="190">
        <f t="shared" si="11"/>
        <v>0</v>
      </c>
      <c r="R61" s="510" t="str">
        <f t="shared" si="4"/>
        <v>n/a</v>
      </c>
    </row>
    <row r="62" spans="3:18" ht="13.8" x14ac:dyDescent="0.25">
      <c r="C62" s="252"/>
      <c r="D62" s="287"/>
      <c r="E62" s="287"/>
      <c r="F62" s="127" t="str">
        <f t="shared" si="5"/>
        <v>n/a</v>
      </c>
      <c r="G62" s="127"/>
      <c r="H62" s="127" t="str">
        <f t="shared" si="6"/>
        <v>n/a</v>
      </c>
      <c r="I62" s="287"/>
      <c r="J62" s="127" t="str">
        <f t="shared" si="7"/>
        <v>n/a</v>
      </c>
      <c r="K62" s="519"/>
      <c r="L62" s="127" t="str">
        <f t="shared" si="3"/>
        <v>n/a</v>
      </c>
      <c r="M62" s="519"/>
      <c r="N62" s="127" t="str">
        <f t="shared" si="3"/>
        <v>n/a</v>
      </c>
      <c r="O62" s="519"/>
      <c r="P62" s="127" t="str">
        <f t="shared" si="3"/>
        <v>n/a</v>
      </c>
      <c r="Q62" s="519"/>
      <c r="R62" s="510" t="str">
        <f t="shared" si="4"/>
        <v>n/a</v>
      </c>
    </row>
    <row r="63" spans="3:18" ht="13.8" x14ac:dyDescent="0.25">
      <c r="C63" s="252"/>
      <c r="D63" s="287"/>
      <c r="E63" s="287"/>
      <c r="F63" s="127" t="str">
        <f t="shared" si="5"/>
        <v>n/a</v>
      </c>
      <c r="G63" s="127"/>
      <c r="H63" s="127" t="str">
        <f t="shared" si="6"/>
        <v>n/a</v>
      </c>
      <c r="I63" s="287"/>
      <c r="J63" s="127" t="str">
        <f t="shared" si="7"/>
        <v>n/a</v>
      </c>
      <c r="K63" s="519"/>
      <c r="L63" s="127" t="str">
        <f t="shared" si="3"/>
        <v>n/a</v>
      </c>
      <c r="M63" s="519"/>
      <c r="N63" s="127" t="str">
        <f t="shared" si="3"/>
        <v>n/a</v>
      </c>
      <c r="O63" s="519"/>
      <c r="P63" s="127" t="str">
        <f t="shared" si="3"/>
        <v>n/a</v>
      </c>
      <c r="Q63" s="519"/>
      <c r="R63" s="510" t="str">
        <f t="shared" si="4"/>
        <v>n/a</v>
      </c>
    </row>
    <row r="64" spans="3:18" ht="13.8" x14ac:dyDescent="0.25">
      <c r="C64" s="281" t="s">
        <v>317</v>
      </c>
      <c r="D64" s="282"/>
      <c r="E64" s="282"/>
      <c r="F64" s="507"/>
      <c r="G64" s="507"/>
      <c r="H64" s="507"/>
      <c r="I64" s="282"/>
      <c r="J64" s="507"/>
      <c r="K64" s="282"/>
      <c r="L64" s="507"/>
      <c r="M64" s="282"/>
      <c r="N64" s="507"/>
      <c r="O64" s="282"/>
      <c r="P64" s="507"/>
      <c r="Q64" s="282"/>
      <c r="R64" s="512"/>
    </row>
    <row r="65" spans="2:22" ht="13.8" x14ac:dyDescent="0.25">
      <c r="C65" s="252" t="s">
        <v>319</v>
      </c>
      <c r="D65" s="287"/>
      <c r="E65" s="287"/>
      <c r="F65" s="127" t="str">
        <f>IF(D65=0,"n/a",+(E65/D65)-1)</f>
        <v>n/a</v>
      </c>
      <c r="G65" s="127"/>
      <c r="H65" s="127" t="str">
        <f>IF(E65=0,"n/a",+(G65/E65)-1)</f>
        <v>n/a</v>
      </c>
      <c r="I65" s="287"/>
      <c r="J65" s="127" t="str">
        <f>IF(E65=0,"n/a",+(I65/E65)-1)</f>
        <v>n/a</v>
      </c>
      <c r="K65" s="190">
        <f>+K98-K32</f>
        <v>0</v>
      </c>
      <c r="L65" s="127" t="str">
        <f t="shared" si="3"/>
        <v>n/a</v>
      </c>
      <c r="M65" s="190">
        <f>+M98-M32</f>
        <v>0</v>
      </c>
      <c r="N65" s="127" t="str">
        <f t="shared" si="3"/>
        <v>n/a</v>
      </c>
      <c r="O65" s="190">
        <f>+O98-O32</f>
        <v>9.5394315870871651</v>
      </c>
      <c r="P65" s="127" t="str">
        <f t="shared" si="3"/>
        <v>n/a</v>
      </c>
      <c r="Q65" s="190">
        <f>+Q98-Q32</f>
        <v>9.4283032307794201</v>
      </c>
      <c r="R65" s="510">
        <f t="shared" si="4"/>
        <v>-1.1649368758844258E-2</v>
      </c>
    </row>
    <row r="66" spans="2:22" ht="14.4" thickBot="1" x14ac:dyDescent="0.3">
      <c r="C66" s="295" t="s">
        <v>321</v>
      </c>
      <c r="D66" s="296"/>
      <c r="E66" s="296"/>
      <c r="F66" s="508" t="str">
        <f>IF(D66=0,"n/a",+(E66/D66)-1)</f>
        <v>n/a</v>
      </c>
      <c r="G66" s="508"/>
      <c r="H66" s="127" t="str">
        <f>IF(E66=0,"n/a",+(G66/E66)-1)</f>
        <v>n/a</v>
      </c>
      <c r="I66" s="296"/>
      <c r="J66" s="508" t="str">
        <f>IF(E66=0,"n/a",+(I66/E66)-1)</f>
        <v>n/a</v>
      </c>
      <c r="K66" s="190">
        <f>+K99-K33</f>
        <v>0</v>
      </c>
      <c r="L66" s="508" t="str">
        <f t="shared" si="3"/>
        <v>n/a</v>
      </c>
      <c r="M66" s="190">
        <f>+M99-M33</f>
        <v>0</v>
      </c>
      <c r="N66" s="508" t="str">
        <f t="shared" si="3"/>
        <v>n/a</v>
      </c>
      <c r="O66" s="190">
        <f>+O99-O33</f>
        <v>29.895897205966321</v>
      </c>
      <c r="P66" s="508" t="str">
        <f t="shared" si="3"/>
        <v>n/a</v>
      </c>
      <c r="Q66" s="190">
        <f>+Q99-Q33</f>
        <v>29.547628875036025</v>
      </c>
      <c r="R66" s="513">
        <f t="shared" si="4"/>
        <v>-1.1649368758894219E-2</v>
      </c>
    </row>
    <row r="67" spans="2:22" ht="14.4" thickBot="1" x14ac:dyDescent="0.3">
      <c r="C67" s="298"/>
      <c r="D67" s="299"/>
      <c r="E67" s="299"/>
      <c r="F67" s="299"/>
      <c r="G67" s="299"/>
      <c r="H67" s="299"/>
      <c r="I67" s="299"/>
      <c r="J67" s="299"/>
      <c r="K67" s="299"/>
      <c r="L67" s="299"/>
      <c r="M67" s="299"/>
      <c r="N67" s="299"/>
      <c r="O67" s="299"/>
      <c r="P67" s="299"/>
      <c r="Q67" s="299"/>
      <c r="R67" s="300"/>
    </row>
    <row r="68" spans="2:22" ht="13.8" thickBot="1" x14ac:dyDescent="0.3">
      <c r="C68" s="233"/>
      <c r="D68" s="126"/>
      <c r="E68" s="126"/>
      <c r="F68" s="126"/>
      <c r="G68" s="126"/>
      <c r="H68" s="126"/>
      <c r="I68" s="126"/>
      <c r="J68" s="126"/>
      <c r="K68" s="126"/>
      <c r="L68" s="126"/>
      <c r="M68" s="126"/>
      <c r="N68" s="126"/>
      <c r="O68" s="126"/>
      <c r="P68" s="126"/>
      <c r="Q68" s="126"/>
      <c r="R68" s="234"/>
    </row>
    <row r="69" spans="2:22" s="34" customFormat="1" ht="25.5" customHeight="1" outlineLevel="1" thickBot="1" x14ac:dyDescent="0.3">
      <c r="B69" s="33"/>
      <c r="C69" s="672" t="str">
        <f>+C36</f>
        <v>Modernization Project</v>
      </c>
      <c r="D69" s="673"/>
      <c r="E69" s="673"/>
      <c r="F69" s="673"/>
      <c r="G69" s="673"/>
      <c r="H69" s="673"/>
      <c r="I69" s="673"/>
      <c r="J69" s="673"/>
      <c r="K69" s="673"/>
      <c r="L69" s="673"/>
      <c r="M69" s="673"/>
      <c r="N69" s="673"/>
      <c r="O69" s="673"/>
      <c r="P69" s="673"/>
      <c r="Q69" s="673"/>
      <c r="R69" s="674"/>
    </row>
    <row r="70" spans="2:22" s="34" customFormat="1" ht="21" customHeight="1" x14ac:dyDescent="0.3">
      <c r="B70" s="33"/>
      <c r="C70" s="669"/>
      <c r="D70" s="670"/>
      <c r="E70" s="670"/>
      <c r="F70" s="670"/>
      <c r="G70" s="670"/>
      <c r="H70" s="670"/>
      <c r="I70" s="670"/>
      <c r="J70" s="670"/>
      <c r="K70" s="670"/>
      <c r="L70" s="670"/>
      <c r="M70" s="670"/>
      <c r="N70" s="670"/>
      <c r="O70" s="670"/>
      <c r="P70" s="670"/>
      <c r="Q70" s="670"/>
      <c r="R70" s="671"/>
    </row>
    <row r="71" spans="2:22" s="34" customFormat="1" ht="15.75" customHeight="1" outlineLevel="1" x14ac:dyDescent="0.25">
      <c r="B71" s="33"/>
      <c r="C71" s="267" t="s">
        <v>322</v>
      </c>
      <c r="D71" s="268"/>
      <c r="E71" s="268"/>
      <c r="F71" s="268"/>
      <c r="G71" s="268"/>
      <c r="H71" s="268"/>
      <c r="I71" s="268"/>
      <c r="J71" s="268"/>
      <c r="K71" s="268"/>
      <c r="L71" s="268"/>
      <c r="M71" s="268"/>
      <c r="N71" s="268"/>
      <c r="O71" s="268"/>
      <c r="P71" s="268"/>
      <c r="Q71" s="268"/>
      <c r="R71" s="269"/>
    </row>
    <row r="72" spans="2:22" s="34" customFormat="1" ht="11.25" customHeight="1" x14ac:dyDescent="0.25">
      <c r="B72" s="33"/>
      <c r="C72" s="304"/>
      <c r="D72" s="305"/>
      <c r="E72" s="305"/>
      <c r="F72" s="305"/>
      <c r="G72" s="538"/>
      <c r="H72" s="538"/>
      <c r="I72" s="305"/>
      <c r="J72" s="305"/>
      <c r="K72" s="305"/>
      <c r="L72" s="305"/>
      <c r="M72" s="305"/>
      <c r="N72" s="305"/>
      <c r="O72" s="459"/>
      <c r="P72" s="459"/>
      <c r="Q72" s="305"/>
      <c r="R72" s="306"/>
    </row>
    <row r="73" spans="2:22" ht="14.25" customHeight="1" x14ac:dyDescent="0.25">
      <c r="C73" s="657" t="s">
        <v>48</v>
      </c>
      <c r="D73" s="658"/>
      <c r="E73" s="658"/>
      <c r="F73" s="658"/>
      <c r="G73" s="658"/>
      <c r="H73" s="658"/>
      <c r="I73" s="658"/>
      <c r="J73" s="658"/>
      <c r="K73" s="658"/>
      <c r="L73" s="658"/>
      <c r="M73" s="658"/>
      <c r="N73" s="658"/>
      <c r="O73" s="658"/>
      <c r="P73" s="658"/>
      <c r="Q73" s="658"/>
      <c r="R73" s="659"/>
    </row>
    <row r="74" spans="2:22" ht="6" customHeight="1" x14ac:dyDescent="0.25">
      <c r="C74" s="233"/>
      <c r="D74" s="660"/>
      <c r="E74" s="661"/>
      <c r="F74" s="151"/>
      <c r="G74" s="537"/>
      <c r="H74" s="537"/>
      <c r="I74" s="660"/>
      <c r="J74" s="660"/>
      <c r="K74" s="660"/>
      <c r="L74" s="660"/>
      <c r="M74" s="660"/>
      <c r="N74" s="273"/>
      <c r="O74" s="458"/>
      <c r="P74" s="458"/>
      <c r="Q74" s="151"/>
      <c r="R74" s="167"/>
    </row>
    <row r="75" spans="2:22" s="274" customFormat="1" ht="26.25" customHeight="1" x14ac:dyDescent="0.25">
      <c r="C75" s="662"/>
      <c r="D75" s="260" t="str">
        <f>+D9</f>
        <v>2014</v>
      </c>
      <c r="E75" s="260" t="str">
        <f>+E9</f>
        <v>2015</v>
      </c>
      <c r="F75" s="260"/>
      <c r="G75" s="260"/>
      <c r="H75" s="260"/>
      <c r="I75" s="260" t="str">
        <f>+I42</f>
        <v>2016</v>
      </c>
      <c r="J75" s="15"/>
      <c r="K75" s="260" t="str">
        <f>+K42</f>
        <v>Proposed Yr 1</v>
      </c>
      <c r="L75" s="15"/>
      <c r="M75" s="15" t="s">
        <v>51</v>
      </c>
      <c r="N75" s="15"/>
      <c r="O75" s="15" t="s">
        <v>52</v>
      </c>
      <c r="P75" s="15"/>
      <c r="Q75" s="15" t="s">
        <v>471</v>
      </c>
      <c r="R75" s="276"/>
    </row>
    <row r="76" spans="2:22" s="30" customFormat="1" x14ac:dyDescent="0.25">
      <c r="C76" s="662"/>
      <c r="D76" s="275" t="str">
        <f>+D10</f>
        <v>Actual</v>
      </c>
      <c r="E76" s="260" t="str">
        <f>+E10</f>
        <v>Actual</v>
      </c>
      <c r="F76" s="307" t="s">
        <v>57</v>
      </c>
      <c r="G76" s="307"/>
      <c r="H76" s="307"/>
      <c r="I76" s="275" t="str">
        <f>+I43</f>
        <v>Actual</v>
      </c>
      <c r="J76" s="308" t="s">
        <v>57</v>
      </c>
      <c r="K76" s="275">
        <f>+K10</f>
        <v>2017</v>
      </c>
      <c r="L76" s="308" t="s">
        <v>57</v>
      </c>
      <c r="M76" s="275">
        <f>+M10</f>
        <v>2018</v>
      </c>
      <c r="N76" s="308" t="s">
        <v>57</v>
      </c>
      <c r="O76" s="275">
        <f>+O10</f>
        <v>2019</v>
      </c>
      <c r="P76" s="308" t="s">
        <v>57</v>
      </c>
      <c r="Q76" s="275">
        <f>+Q10</f>
        <v>2020</v>
      </c>
      <c r="R76" s="309" t="s">
        <v>57</v>
      </c>
    </row>
    <row r="77" spans="2:22" ht="13.8" x14ac:dyDescent="0.25">
      <c r="C77" s="252"/>
      <c r="D77" s="279"/>
      <c r="E77" s="279"/>
      <c r="F77" s="288"/>
      <c r="G77" s="288"/>
      <c r="H77" s="288"/>
      <c r="I77" s="279"/>
      <c r="J77" s="288"/>
      <c r="K77" s="279"/>
      <c r="L77" s="288"/>
      <c r="M77" s="279"/>
      <c r="N77" s="288"/>
      <c r="O77" s="279"/>
      <c r="P77" s="288"/>
      <c r="Q77" s="279"/>
      <c r="R77" s="310"/>
    </row>
    <row r="78" spans="2:22" ht="13.8" x14ac:dyDescent="0.25">
      <c r="C78" s="281" t="s">
        <v>283</v>
      </c>
      <c r="D78" s="282"/>
      <c r="E78" s="282"/>
      <c r="F78" s="283"/>
      <c r="G78" s="283"/>
      <c r="H78" s="283"/>
      <c r="I78" s="282"/>
      <c r="J78" s="283"/>
      <c r="K78" s="282"/>
      <c r="L78" s="283"/>
      <c r="M78" s="282"/>
      <c r="N78" s="283"/>
      <c r="O78" s="282"/>
      <c r="P78" s="283"/>
      <c r="Q78" s="282"/>
      <c r="R78" s="293"/>
      <c r="T78" s="285"/>
      <c r="U78" s="285"/>
      <c r="V78" s="285"/>
    </row>
    <row r="79" spans="2:22" ht="13.8" x14ac:dyDescent="0.25">
      <c r="C79" s="252" t="s">
        <v>285</v>
      </c>
      <c r="D79" s="287">
        <f t="shared" ref="D79:E82" si="12">+D13+D46</f>
        <v>38</v>
      </c>
      <c r="E79" s="287">
        <f t="shared" si="12"/>
        <v>38</v>
      </c>
      <c r="F79" s="127">
        <f>IF(D79=0,"n/a",+(E79/D79)-1)</f>
        <v>0</v>
      </c>
      <c r="G79" s="287">
        <f t="shared" ref="G79" si="13">+G13+G46</f>
        <v>38</v>
      </c>
      <c r="H79" s="127">
        <f>IF(E79=0,"n/a",+(G79/E79)-1)</f>
        <v>0</v>
      </c>
      <c r="I79" s="189">
        <v>38</v>
      </c>
      <c r="J79" s="127">
        <f>IF(E79=0,"n/a",+(I79/E79)-1)</f>
        <v>0</v>
      </c>
      <c r="K79" s="189">
        <v>38</v>
      </c>
      <c r="L79" s="127">
        <f>IF(I79=0,"n/a",+(K79/I79)-1)</f>
        <v>0</v>
      </c>
      <c r="M79" s="189">
        <v>38</v>
      </c>
      <c r="N79" s="127">
        <f>IF(K79=0,"n/a",+(M79/K79)-1)</f>
        <v>0</v>
      </c>
      <c r="O79" s="189">
        <v>38</v>
      </c>
      <c r="P79" s="127">
        <f>IF(M79=0,"n/a",+(O79/M79)-1)</f>
        <v>0</v>
      </c>
      <c r="Q79" s="189">
        <v>38</v>
      </c>
      <c r="R79" s="509">
        <f>IF(O79=0,"n/a",+(Q79/O79)-1)</f>
        <v>0</v>
      </c>
      <c r="T79" s="285"/>
      <c r="U79" s="285"/>
      <c r="V79" s="285"/>
    </row>
    <row r="80" spans="2:22" ht="13.8" x14ac:dyDescent="0.25">
      <c r="C80" s="252" t="s">
        <v>287</v>
      </c>
      <c r="D80" s="287">
        <f t="shared" si="12"/>
        <v>1554.9999999999993</v>
      </c>
      <c r="E80" s="287">
        <f t="shared" si="12"/>
        <v>1569</v>
      </c>
      <c r="F80" s="127">
        <f>IF(D80=0,"n/a",+(E80/D80)-1)</f>
        <v>9.0032154340839998E-3</v>
      </c>
      <c r="G80" s="287">
        <f t="shared" ref="G80" si="14">+G14+G47</f>
        <v>1526.9999999999998</v>
      </c>
      <c r="H80" s="127">
        <f>IF(E80=0,"n/a",+(G80/E80)-1)</f>
        <v>-2.6768642447418833E-2</v>
      </c>
      <c r="I80" s="189">
        <v>1617</v>
      </c>
      <c r="J80" s="127">
        <f t="shared" ref="J80:J99" si="15">IF(E80=0,"n/a",+(I80/E80)-1)</f>
        <v>3.0592734225621365E-2</v>
      </c>
      <c r="K80" s="189">
        <v>1568</v>
      </c>
      <c r="L80" s="127">
        <f t="shared" ref="L80:L99" si="16">IF(I80=0,"n/a",+(K80/I80)-1)</f>
        <v>-3.0303030303030276E-2</v>
      </c>
      <c r="M80" s="189">
        <v>1568</v>
      </c>
      <c r="N80" s="127">
        <f t="shared" ref="N80:N99" si="17">IF(K80=0,"n/a",+(M80/K80)-1)</f>
        <v>0</v>
      </c>
      <c r="O80" s="189">
        <v>1568</v>
      </c>
      <c r="P80" s="127">
        <f t="shared" ref="P80:P99" si="18">IF(M80=0,"n/a",+(O80/M80)-1)</f>
        <v>0</v>
      </c>
      <c r="Q80" s="189">
        <v>1568</v>
      </c>
      <c r="R80" s="510">
        <f t="shared" ref="R80:R99" si="19">IF(O80=0,"n/a",+(Q80/O80)-1)</f>
        <v>0</v>
      </c>
      <c r="T80" s="285"/>
      <c r="U80" s="285"/>
      <c r="V80" s="285"/>
    </row>
    <row r="81" spans="3:18" ht="13.8" x14ac:dyDescent="0.25">
      <c r="C81" s="252" t="s">
        <v>289</v>
      </c>
      <c r="D81" s="287">
        <f t="shared" si="12"/>
        <v>5439</v>
      </c>
      <c r="E81" s="287">
        <f t="shared" si="12"/>
        <v>5184</v>
      </c>
      <c r="F81" s="127">
        <f>IF(D81=0,"n/a",+(E81/D81)-1)</f>
        <v>-4.688361831218979E-2</v>
      </c>
      <c r="G81" s="287">
        <f t="shared" ref="G81" si="20">+G15+G48</f>
        <v>5311</v>
      </c>
      <c r="H81" s="127">
        <f>IF(E81=0,"n/a",+(G81/E81)-1)</f>
        <v>2.4498456790123413E-2</v>
      </c>
      <c r="I81" s="189">
        <v>5262</v>
      </c>
      <c r="J81" s="127">
        <f t="shared" si="15"/>
        <v>1.504629629629628E-2</v>
      </c>
      <c r="K81" s="189">
        <v>4914</v>
      </c>
      <c r="L81" s="127">
        <f t="shared" si="16"/>
        <v>-6.6134549600912251E-2</v>
      </c>
      <c r="M81" s="189">
        <v>4914</v>
      </c>
      <c r="N81" s="127">
        <f t="shared" si="17"/>
        <v>0</v>
      </c>
      <c r="O81" s="189">
        <v>4914</v>
      </c>
      <c r="P81" s="127">
        <f t="shared" si="18"/>
        <v>0</v>
      </c>
      <c r="Q81" s="189">
        <v>4914</v>
      </c>
      <c r="R81" s="510">
        <f t="shared" si="19"/>
        <v>0</v>
      </c>
    </row>
    <row r="82" spans="3:18" ht="13.8" x14ac:dyDescent="0.25">
      <c r="C82" s="290" t="s">
        <v>291</v>
      </c>
      <c r="D82" s="287">
        <f t="shared" si="12"/>
        <v>3.4977491961414793</v>
      </c>
      <c r="E82" s="287">
        <f t="shared" si="12"/>
        <v>3.3040152963671123</v>
      </c>
      <c r="F82" s="506">
        <f>IF(D82=0,"n/a",+(E82/D82)-1)</f>
        <v>-5.5388162189582757E-2</v>
      </c>
      <c r="G82" s="287">
        <f t="shared" ref="G82" si="21">+G16+G49</f>
        <v>3.4780615586116572</v>
      </c>
      <c r="H82" s="127">
        <f>IF(E82=0,"n/a",+(G82/E82)-1)</f>
        <v>5.2677196269616422E-2</v>
      </c>
      <c r="I82" s="518">
        <f>+I81/I80</f>
        <v>3.25417439703154</v>
      </c>
      <c r="J82" s="506">
        <f t="shared" si="15"/>
        <v>-1.5084948120662189E-2</v>
      </c>
      <c r="K82" s="518">
        <f>+K81/K80</f>
        <v>3.1339285714285716</v>
      </c>
      <c r="L82" s="506">
        <f t="shared" si="16"/>
        <v>-3.6951254275940704E-2</v>
      </c>
      <c r="M82" s="518">
        <f>+M81/M80</f>
        <v>3.1339285714285716</v>
      </c>
      <c r="N82" s="506">
        <f t="shared" si="17"/>
        <v>0</v>
      </c>
      <c r="O82" s="518">
        <f>+O81/O80</f>
        <v>3.1339285714285716</v>
      </c>
      <c r="P82" s="506">
        <f t="shared" si="18"/>
        <v>0</v>
      </c>
      <c r="Q82" s="518">
        <f>+Q81/Q80</f>
        <v>3.1339285714285716</v>
      </c>
      <c r="R82" s="511">
        <f t="shared" si="19"/>
        <v>0</v>
      </c>
    </row>
    <row r="83" spans="3:18" ht="13.8" x14ac:dyDescent="0.25">
      <c r="C83" s="281" t="s">
        <v>292</v>
      </c>
      <c r="D83" s="282"/>
      <c r="E83" s="282"/>
      <c r="F83" s="507"/>
      <c r="G83" s="282"/>
      <c r="H83" s="507"/>
      <c r="I83" s="282"/>
      <c r="J83" s="507"/>
      <c r="K83" s="282"/>
      <c r="L83" s="507"/>
      <c r="M83" s="282"/>
      <c r="N83" s="507"/>
      <c r="O83" s="282"/>
      <c r="P83" s="507"/>
      <c r="Q83" s="282"/>
      <c r="R83" s="512"/>
    </row>
    <row r="84" spans="3:18" ht="13.8" x14ac:dyDescent="0.25">
      <c r="C84" s="252" t="s">
        <v>294</v>
      </c>
      <c r="D84" s="287">
        <f>+D18+D51</f>
        <v>86658</v>
      </c>
      <c r="E84" s="287">
        <f>+E18+E51</f>
        <v>88722</v>
      </c>
      <c r="F84" s="127">
        <f>IF(D84=0,"n/a",+(E84/D84)-1)</f>
        <v>2.381776639202382E-2</v>
      </c>
      <c r="G84" s="287">
        <f>+G18+G51</f>
        <v>86857</v>
      </c>
      <c r="H84" s="127">
        <f>IF(E84=0,"n/a",+(G84/E84)-1)</f>
        <v>-2.1020716395031669E-2</v>
      </c>
      <c r="I84" s="449">
        <v>86857</v>
      </c>
      <c r="J84" s="127">
        <f t="shared" si="15"/>
        <v>-2.1020716395031669E-2</v>
      </c>
      <c r="K84" s="449">
        <v>102063</v>
      </c>
      <c r="L84" s="127">
        <f t="shared" si="16"/>
        <v>0.17506936689040598</v>
      </c>
      <c r="M84" s="449">
        <v>102063</v>
      </c>
      <c r="N84" s="127">
        <f t="shared" si="17"/>
        <v>0</v>
      </c>
      <c r="O84" s="449">
        <f>102063+19</f>
        <v>102082</v>
      </c>
      <c r="P84" s="127">
        <f t="shared" si="18"/>
        <v>1.8615952891831711E-4</v>
      </c>
      <c r="Q84" s="449">
        <f>102063+19</f>
        <v>102082</v>
      </c>
      <c r="R84" s="510">
        <f t="shared" si="19"/>
        <v>0</v>
      </c>
    </row>
    <row r="85" spans="3:18" ht="13.8" x14ac:dyDescent="0.25">
      <c r="C85" s="252" t="s">
        <v>296</v>
      </c>
      <c r="D85" s="287">
        <f>+D19+D52</f>
        <v>229636.99999999997</v>
      </c>
      <c r="E85" s="287">
        <f>+E19+E52</f>
        <v>244105.00000000003</v>
      </c>
      <c r="F85" s="127">
        <f>IF(D85=0,"n/a",+(E85/D85)-1)</f>
        <v>6.3003784233377269E-2</v>
      </c>
      <c r="G85" s="287">
        <f>+G19+G52</f>
        <v>250453.99999999997</v>
      </c>
      <c r="H85" s="127">
        <f>IF(E85=0,"n/a",+(G85/E85)-1)</f>
        <v>2.6009299276950282E-2</v>
      </c>
      <c r="I85" s="449">
        <v>24250.9</v>
      </c>
      <c r="J85" s="127">
        <f t="shared" si="15"/>
        <v>-0.90065381700497738</v>
      </c>
      <c r="K85" s="449">
        <v>254192.9</v>
      </c>
      <c r="L85" s="127">
        <f t="shared" si="16"/>
        <v>9.4817924283222474</v>
      </c>
      <c r="M85" s="449">
        <v>255846.9</v>
      </c>
      <c r="N85" s="127">
        <f t="shared" si="17"/>
        <v>6.5068693893495233E-3</v>
      </c>
      <c r="O85" s="449">
        <v>258670.9</v>
      </c>
      <c r="P85" s="127">
        <f t="shared" si="18"/>
        <v>1.1037851152388312E-2</v>
      </c>
      <c r="Q85" s="449">
        <v>260324.9</v>
      </c>
      <c r="R85" s="510">
        <f t="shared" si="19"/>
        <v>6.3942252491486773E-3</v>
      </c>
    </row>
    <row r="86" spans="3:18" ht="13.8" x14ac:dyDescent="0.25">
      <c r="C86" s="281" t="s">
        <v>297</v>
      </c>
      <c r="D86" s="282"/>
      <c r="E86" s="282"/>
      <c r="F86" s="507"/>
      <c r="G86" s="282"/>
      <c r="H86" s="507"/>
      <c r="I86" s="282"/>
      <c r="J86" s="507"/>
      <c r="K86" s="282"/>
      <c r="L86" s="507"/>
      <c r="M86" s="282"/>
      <c r="N86" s="507"/>
      <c r="O86" s="282"/>
      <c r="P86" s="507"/>
      <c r="Q86" s="282"/>
      <c r="R86" s="512"/>
    </row>
    <row r="87" spans="3:18" ht="13.8" x14ac:dyDescent="0.25">
      <c r="C87" s="252" t="s">
        <v>299</v>
      </c>
      <c r="D87" s="287">
        <f t="shared" ref="D87:E96" si="22">+D21+D54</f>
        <v>2463</v>
      </c>
      <c r="E87" s="287">
        <f t="shared" si="22"/>
        <v>2327.0000000000005</v>
      </c>
      <c r="F87" s="127">
        <f t="shared" ref="F87:F96" si="23">IF(D87=0,"n/a",+(E87/D87)-1)</f>
        <v>-5.5217214778724988E-2</v>
      </c>
      <c r="G87" s="287">
        <f t="shared" ref="G87" si="24">+G21+G54</f>
        <v>2537</v>
      </c>
      <c r="H87" s="127">
        <f t="shared" ref="H87:H96" si="25">IF(E87=0,"n/a",+(G87/E87)-1)</f>
        <v>9.0244950580145922E-2</v>
      </c>
      <c r="I87" s="449">
        <v>2366</v>
      </c>
      <c r="J87" s="127">
        <f t="shared" si="15"/>
        <v>1.6759776536312554E-2</v>
      </c>
      <c r="K87" s="449">
        <v>2374</v>
      </c>
      <c r="L87" s="127">
        <f t="shared" si="16"/>
        <v>3.3812341504648735E-3</v>
      </c>
      <c r="M87" s="449">
        <v>2374</v>
      </c>
      <c r="N87" s="127">
        <f t="shared" si="17"/>
        <v>0</v>
      </c>
      <c r="O87" s="449">
        <v>2393</v>
      </c>
      <c r="P87" s="127">
        <f t="shared" si="18"/>
        <v>8.0033698399326614E-3</v>
      </c>
      <c r="Q87" s="449">
        <v>2393</v>
      </c>
      <c r="R87" s="510">
        <f t="shared" si="19"/>
        <v>0</v>
      </c>
    </row>
    <row r="88" spans="3:18" ht="13.8" x14ac:dyDescent="0.25">
      <c r="C88" s="252" t="s">
        <v>301</v>
      </c>
      <c r="D88" s="287">
        <f t="shared" si="22"/>
        <v>0</v>
      </c>
      <c r="E88" s="287">
        <f t="shared" si="22"/>
        <v>0</v>
      </c>
      <c r="F88" s="127" t="str">
        <f t="shared" si="23"/>
        <v>n/a</v>
      </c>
      <c r="G88" s="287">
        <f t="shared" ref="G88" si="26">+G22+G55</f>
        <v>0</v>
      </c>
      <c r="H88" s="127" t="str">
        <f t="shared" si="25"/>
        <v>n/a</v>
      </c>
      <c r="I88" s="449"/>
      <c r="J88" s="127" t="str">
        <f t="shared" si="15"/>
        <v>n/a</v>
      </c>
      <c r="K88" s="449"/>
      <c r="L88" s="127" t="str">
        <f t="shared" si="16"/>
        <v>n/a</v>
      </c>
      <c r="M88" s="449"/>
      <c r="N88" s="127" t="str">
        <f t="shared" si="17"/>
        <v>n/a</v>
      </c>
      <c r="O88" s="449"/>
      <c r="P88" s="127" t="str">
        <f t="shared" si="18"/>
        <v>n/a</v>
      </c>
      <c r="Q88" s="449"/>
      <c r="R88" s="510" t="str">
        <f t="shared" si="19"/>
        <v>n/a</v>
      </c>
    </row>
    <row r="89" spans="3:18" ht="13.8" x14ac:dyDescent="0.25">
      <c r="C89" s="252" t="s">
        <v>303</v>
      </c>
      <c r="D89" s="287">
        <f t="shared" si="22"/>
        <v>13258.999999999998</v>
      </c>
      <c r="E89" s="287">
        <f t="shared" si="22"/>
        <v>13557</v>
      </c>
      <c r="F89" s="127">
        <f t="shared" si="23"/>
        <v>2.2475299796364867E-2</v>
      </c>
      <c r="G89" s="287">
        <f t="shared" ref="G89" si="27">+G23+G56</f>
        <v>14464.999999999998</v>
      </c>
      <c r="H89" s="127">
        <f t="shared" si="25"/>
        <v>6.697646972043958E-2</v>
      </c>
      <c r="I89" s="449">
        <v>13399</v>
      </c>
      <c r="J89" s="127">
        <f t="shared" si="15"/>
        <v>-1.1654495832411293E-2</v>
      </c>
      <c r="K89" s="449">
        <v>13164</v>
      </c>
      <c r="L89" s="127">
        <f t="shared" si="16"/>
        <v>-1.7538622285245165E-2</v>
      </c>
      <c r="M89" s="449">
        <v>13164</v>
      </c>
      <c r="N89" s="127">
        <f t="shared" si="17"/>
        <v>0</v>
      </c>
      <c r="O89" s="449">
        <v>13164</v>
      </c>
      <c r="P89" s="127">
        <f t="shared" si="18"/>
        <v>0</v>
      </c>
      <c r="Q89" s="449">
        <v>13164</v>
      </c>
      <c r="R89" s="510">
        <f t="shared" si="19"/>
        <v>0</v>
      </c>
    </row>
    <row r="90" spans="3:18" ht="13.8" x14ac:dyDescent="0.25">
      <c r="C90" s="252" t="s">
        <v>306</v>
      </c>
      <c r="D90" s="287">
        <f t="shared" si="22"/>
        <v>4515</v>
      </c>
      <c r="E90" s="287">
        <f t="shared" si="22"/>
        <v>5117</v>
      </c>
      <c r="F90" s="127">
        <f t="shared" si="23"/>
        <v>0.1333333333333333</v>
      </c>
      <c r="G90" s="287">
        <f t="shared" ref="G90" si="28">+G24+G57</f>
        <v>4858</v>
      </c>
      <c r="H90" s="127">
        <f t="shared" si="25"/>
        <v>-5.0615595075239384E-2</v>
      </c>
      <c r="I90" s="449">
        <v>5107</v>
      </c>
      <c r="J90" s="127">
        <f t="shared" si="15"/>
        <v>-1.9542700801250534E-3</v>
      </c>
      <c r="K90" s="449">
        <v>5072</v>
      </c>
      <c r="L90" s="127">
        <f t="shared" si="16"/>
        <v>-6.8533385549246484E-3</v>
      </c>
      <c r="M90" s="449">
        <v>5072</v>
      </c>
      <c r="N90" s="127">
        <f t="shared" si="17"/>
        <v>0</v>
      </c>
      <c r="O90" s="449">
        <v>5072</v>
      </c>
      <c r="P90" s="127">
        <f t="shared" si="18"/>
        <v>0</v>
      </c>
      <c r="Q90" s="449">
        <v>5072</v>
      </c>
      <c r="R90" s="510">
        <f t="shared" si="19"/>
        <v>0</v>
      </c>
    </row>
    <row r="91" spans="3:18" ht="13.8" x14ac:dyDescent="0.25">
      <c r="C91" s="252" t="s">
        <v>309</v>
      </c>
      <c r="D91" s="287">
        <f t="shared" si="22"/>
        <v>2028</v>
      </c>
      <c r="E91" s="287">
        <f t="shared" si="22"/>
        <v>2169</v>
      </c>
      <c r="F91" s="127">
        <f t="shared" si="23"/>
        <v>6.9526627218934989E-2</v>
      </c>
      <c r="G91" s="287">
        <f t="shared" ref="G91" si="29">+G25+G58</f>
        <v>2060.0000000000005</v>
      </c>
      <c r="H91" s="127">
        <f t="shared" si="25"/>
        <v>-5.025357307514966E-2</v>
      </c>
      <c r="I91" s="449">
        <v>2266</v>
      </c>
      <c r="J91" s="127">
        <f t="shared" si="15"/>
        <v>4.4721069617335241E-2</v>
      </c>
      <c r="K91" s="449">
        <v>2264</v>
      </c>
      <c r="L91" s="127">
        <f t="shared" si="16"/>
        <v>-8.8261253309795951E-4</v>
      </c>
      <c r="M91" s="449">
        <v>2264</v>
      </c>
      <c r="N91" s="127">
        <f t="shared" si="17"/>
        <v>0</v>
      </c>
      <c r="O91" s="449">
        <v>2264</v>
      </c>
      <c r="P91" s="127">
        <f t="shared" si="18"/>
        <v>0</v>
      </c>
      <c r="Q91" s="449">
        <v>2264</v>
      </c>
      <c r="R91" s="510">
        <f t="shared" si="19"/>
        <v>0</v>
      </c>
    </row>
    <row r="92" spans="3:18" ht="13.8" x14ac:dyDescent="0.25">
      <c r="C92" s="252" t="s">
        <v>311</v>
      </c>
      <c r="D92" s="287">
        <f t="shared" si="22"/>
        <v>480.99999999999983</v>
      </c>
      <c r="E92" s="287">
        <f t="shared" si="22"/>
        <v>531.99999999999989</v>
      </c>
      <c r="F92" s="127">
        <f t="shared" si="23"/>
        <v>0.10602910602910609</v>
      </c>
      <c r="G92" s="287">
        <f t="shared" ref="G92" si="30">+G26+G59</f>
        <v>543.99999999999989</v>
      </c>
      <c r="H92" s="127">
        <f t="shared" si="25"/>
        <v>2.2556390977443552E-2</v>
      </c>
      <c r="I92" s="449">
        <v>530</v>
      </c>
      <c r="J92" s="127">
        <f t="shared" si="15"/>
        <v>-3.759398496240407E-3</v>
      </c>
      <c r="K92" s="449">
        <v>503</v>
      </c>
      <c r="L92" s="127">
        <f t="shared" si="16"/>
        <v>-5.0943396226415083E-2</v>
      </c>
      <c r="M92" s="449">
        <v>503</v>
      </c>
      <c r="N92" s="127">
        <f t="shared" si="17"/>
        <v>0</v>
      </c>
      <c r="O92" s="449">
        <v>503</v>
      </c>
      <c r="P92" s="127">
        <f t="shared" si="18"/>
        <v>0</v>
      </c>
      <c r="Q92" s="449">
        <v>503</v>
      </c>
      <c r="R92" s="510">
        <f t="shared" si="19"/>
        <v>0</v>
      </c>
    </row>
    <row r="93" spans="3:18" ht="13.8" x14ac:dyDescent="0.25">
      <c r="C93" s="252" t="s">
        <v>313</v>
      </c>
      <c r="D93" s="287">
        <f t="shared" si="22"/>
        <v>29516.000000000004</v>
      </c>
      <c r="E93" s="287">
        <f t="shared" si="22"/>
        <v>29631</v>
      </c>
      <c r="F93" s="127">
        <f t="shared" si="23"/>
        <v>3.8961918959208308E-3</v>
      </c>
      <c r="G93" s="287">
        <f t="shared" ref="G93" si="31">+G27+G60</f>
        <v>29595</v>
      </c>
      <c r="H93" s="127">
        <f t="shared" si="25"/>
        <v>-1.2149438088487896E-3</v>
      </c>
      <c r="I93" s="449">
        <v>27946</v>
      </c>
      <c r="J93" s="127">
        <f t="shared" si="15"/>
        <v>-5.6866119941952675E-2</v>
      </c>
      <c r="K93" s="449">
        <v>28972</v>
      </c>
      <c r="L93" s="127">
        <f t="shared" si="16"/>
        <v>3.6713662062549224E-2</v>
      </c>
      <c r="M93" s="449">
        <v>28972</v>
      </c>
      <c r="N93" s="127">
        <f t="shared" si="17"/>
        <v>0</v>
      </c>
      <c r="O93" s="449">
        <v>28972</v>
      </c>
      <c r="P93" s="127">
        <f t="shared" si="18"/>
        <v>0</v>
      </c>
      <c r="Q93" s="449">
        <v>28972</v>
      </c>
      <c r="R93" s="510">
        <f t="shared" si="19"/>
        <v>0</v>
      </c>
    </row>
    <row r="94" spans="3:18" ht="13.8" x14ac:dyDescent="0.25">
      <c r="C94" s="252" t="s">
        <v>316</v>
      </c>
      <c r="D94" s="287">
        <f t="shared" si="22"/>
        <v>218085</v>
      </c>
      <c r="E94" s="287">
        <f t="shared" si="22"/>
        <v>216946.99999999991</v>
      </c>
      <c r="F94" s="127">
        <f t="shared" si="23"/>
        <v>-5.2181488869023074E-3</v>
      </c>
      <c r="G94" s="287">
        <f t="shared" ref="G94" si="32">+G28+G61</f>
        <v>215269.99999999997</v>
      </c>
      <c r="H94" s="127">
        <f t="shared" si="25"/>
        <v>-7.7299985710792551E-3</v>
      </c>
      <c r="I94" s="449">
        <v>220825</v>
      </c>
      <c r="J94" s="127">
        <f t="shared" si="15"/>
        <v>1.7875333606826027E-2</v>
      </c>
      <c r="K94" s="449">
        <v>218084</v>
      </c>
      <c r="L94" s="127">
        <f t="shared" si="16"/>
        <v>-1.2412543869580017E-2</v>
      </c>
      <c r="M94" s="449">
        <v>218084</v>
      </c>
      <c r="N94" s="127">
        <f t="shared" si="17"/>
        <v>0</v>
      </c>
      <c r="O94" s="449">
        <v>218084</v>
      </c>
      <c r="P94" s="127">
        <f t="shared" si="18"/>
        <v>0</v>
      </c>
      <c r="Q94" s="449">
        <v>218084</v>
      </c>
      <c r="R94" s="510">
        <f t="shared" si="19"/>
        <v>0</v>
      </c>
    </row>
    <row r="95" spans="3:18" ht="13.8" x14ac:dyDescent="0.25">
      <c r="C95" s="252"/>
      <c r="D95" s="287">
        <f t="shared" si="22"/>
        <v>0</v>
      </c>
      <c r="E95" s="287">
        <f t="shared" si="22"/>
        <v>0</v>
      </c>
      <c r="F95" s="127" t="str">
        <f t="shared" si="23"/>
        <v>n/a</v>
      </c>
      <c r="G95" s="287">
        <f t="shared" ref="G95" si="33">+G29+G62</f>
        <v>0</v>
      </c>
      <c r="H95" s="127" t="str">
        <f t="shared" si="25"/>
        <v>n/a</v>
      </c>
      <c r="I95" s="294"/>
      <c r="J95" s="127" t="str">
        <f t="shared" si="15"/>
        <v>n/a</v>
      </c>
      <c r="K95" s="294"/>
      <c r="L95" s="127" t="str">
        <f t="shared" si="16"/>
        <v>n/a</v>
      </c>
      <c r="M95" s="294"/>
      <c r="N95" s="127" t="str">
        <f t="shared" si="17"/>
        <v>n/a</v>
      </c>
      <c r="O95" s="294"/>
      <c r="P95" s="127" t="str">
        <f t="shared" si="18"/>
        <v>n/a</v>
      </c>
      <c r="Q95" s="294"/>
      <c r="R95" s="510" t="str">
        <f t="shared" si="19"/>
        <v>n/a</v>
      </c>
    </row>
    <row r="96" spans="3:18" ht="13.8" x14ac:dyDescent="0.25">
      <c r="C96" s="252"/>
      <c r="D96" s="287">
        <f t="shared" si="22"/>
        <v>0</v>
      </c>
      <c r="E96" s="287">
        <f t="shared" si="22"/>
        <v>0</v>
      </c>
      <c r="F96" s="127" t="str">
        <f t="shared" si="23"/>
        <v>n/a</v>
      </c>
      <c r="G96" s="287">
        <f t="shared" ref="G96" si="34">+G30+G63</f>
        <v>0</v>
      </c>
      <c r="H96" s="127" t="str">
        <f t="shared" si="25"/>
        <v>n/a</v>
      </c>
      <c r="I96" s="294"/>
      <c r="J96" s="127" t="str">
        <f t="shared" si="15"/>
        <v>n/a</v>
      </c>
      <c r="K96" s="294"/>
      <c r="L96" s="127" t="str">
        <f t="shared" si="16"/>
        <v>n/a</v>
      </c>
      <c r="M96" s="294"/>
      <c r="N96" s="127" t="str">
        <f t="shared" si="17"/>
        <v>n/a</v>
      </c>
      <c r="O96" s="294"/>
      <c r="P96" s="127" t="str">
        <f t="shared" si="18"/>
        <v>n/a</v>
      </c>
      <c r="Q96" s="294"/>
      <c r="R96" s="510" t="str">
        <f t="shared" si="19"/>
        <v>n/a</v>
      </c>
    </row>
    <row r="97" spans="3:18" ht="13.8" x14ac:dyDescent="0.25">
      <c r="C97" s="281" t="s">
        <v>317</v>
      </c>
      <c r="D97" s="282"/>
      <c r="E97" s="282"/>
      <c r="F97" s="507"/>
      <c r="G97" s="282"/>
      <c r="H97" s="507"/>
      <c r="I97" s="282"/>
      <c r="J97" s="507"/>
      <c r="K97" s="282"/>
      <c r="L97" s="507"/>
      <c r="M97" s="282"/>
      <c r="N97" s="507"/>
      <c r="O97" s="282"/>
      <c r="P97" s="507"/>
      <c r="Q97" s="282"/>
      <c r="R97" s="512"/>
    </row>
    <row r="98" spans="3:18" ht="13.8" x14ac:dyDescent="0.25">
      <c r="C98" s="252" t="s">
        <v>319</v>
      </c>
      <c r="D98" s="287">
        <f>+D32+D65</f>
        <v>8001.173508205703</v>
      </c>
      <c r="E98" s="287">
        <f>+E32+E65</f>
        <v>8476.8545403404751</v>
      </c>
      <c r="F98" s="127">
        <f>IF(D98=0,"n/a",+(E98/D98)-1)</f>
        <v>5.9451408177429332E-2</v>
      </c>
      <c r="G98" s="287">
        <f>+G32+G65</f>
        <v>8016</v>
      </c>
      <c r="H98" s="127">
        <f>IF(E98=0,"n/a",+(G98/E98)-1)</f>
        <v>-5.4366220176047086E-2</v>
      </c>
      <c r="I98" s="190">
        <f>+PL!J$20/PL!J$14*Util_Statistics!I80</f>
        <v>8219.7261900151898</v>
      </c>
      <c r="J98" s="506">
        <f t="shared" si="15"/>
        <v>-3.0332990745758126E-2</v>
      </c>
      <c r="K98" s="190">
        <f>+PL!L$138/PL!L$132*Util_Statistics!K80</f>
        <v>8287.0929653768817</v>
      </c>
      <c r="L98" s="506">
        <f t="shared" si="16"/>
        <v>8.1957444572211546E-3</v>
      </c>
      <c r="M98" s="190">
        <f>+PL!N$138/PL!N$132*Util_Statistics!M80</f>
        <v>8261.3459954697591</v>
      </c>
      <c r="N98" s="506">
        <f t="shared" si="17"/>
        <v>-3.1068759593614326E-3</v>
      </c>
      <c r="O98" s="190">
        <f>+PL!P$138/PL!P$132*Util_Statistics!O80</f>
        <v>8245.6924544352551</v>
      </c>
      <c r="P98" s="506">
        <f t="shared" si="18"/>
        <v>-1.8947930570983873E-3</v>
      </c>
      <c r="Q98" s="190">
        <f>+PL!R$138/PL!R$132*Util_Statistics!Q80</f>
        <v>8220.9343471600168</v>
      </c>
      <c r="R98" s="510">
        <f t="shared" si="19"/>
        <v>-3.0025504118724733E-3</v>
      </c>
    </row>
    <row r="99" spans="3:18" ht="14.4" thickBot="1" x14ac:dyDescent="0.3">
      <c r="C99" s="252" t="s">
        <v>321</v>
      </c>
      <c r="D99" s="287">
        <f>+D33+D66</f>
        <v>27986.098206514998</v>
      </c>
      <c r="E99" s="287">
        <f>+E33+E66</f>
        <v>28007.657066363943</v>
      </c>
      <c r="F99" s="508">
        <f>IF(D99=0,"n/a",+(E99/D99)-1)</f>
        <v>7.7034174931633892E-4</v>
      </c>
      <c r="G99" s="287">
        <f>+G33+G66</f>
        <v>27881</v>
      </c>
      <c r="H99" s="127">
        <f>IF(E99=0,"n/a",+(G99/E99)-1)</f>
        <v>-4.5222299767463392E-3</v>
      </c>
      <c r="I99" s="190">
        <f>+PL!J$20/PL!J$14*Util_Statistics!I81</f>
        <v>26748.42251815704</v>
      </c>
      <c r="J99" s="520">
        <f t="shared" si="15"/>
        <v>-4.4960367274676227E-2</v>
      </c>
      <c r="K99" s="190">
        <f>+PL!L$138/PL!L$132*Util_Statistics!K81</f>
        <v>25971.157418279337</v>
      </c>
      <c r="L99" s="520">
        <f t="shared" si="16"/>
        <v>-2.9058352856139003E-2</v>
      </c>
      <c r="M99" s="190">
        <f>+PL!N$138/PL!N$132*Util_Statistics!M81</f>
        <v>25890.468253659692</v>
      </c>
      <c r="N99" s="520">
        <f t="shared" si="17"/>
        <v>-3.1068759593615436E-3</v>
      </c>
      <c r="O99" s="190">
        <f>+PL!P$138/PL!P$132*Util_Statistics!O81</f>
        <v>25841.411174167632</v>
      </c>
      <c r="P99" s="520">
        <f t="shared" si="18"/>
        <v>-1.8947930570983873E-3</v>
      </c>
      <c r="Q99" s="190">
        <f>+PL!R$138/PL!R$132*Util_Statistics!Q81</f>
        <v>25763.821034403267</v>
      </c>
      <c r="R99" s="513">
        <f t="shared" si="19"/>
        <v>-3.0025504118725843E-3</v>
      </c>
    </row>
    <row r="100" spans="3:18" ht="14.4" thickBot="1" x14ac:dyDescent="0.3">
      <c r="C100" s="298"/>
      <c r="D100" s="299"/>
      <c r="E100" s="299"/>
      <c r="F100" s="299"/>
      <c r="G100" s="299"/>
      <c r="H100" s="299"/>
      <c r="I100" s="299"/>
      <c r="J100" s="299"/>
      <c r="K100" s="299"/>
      <c r="L100" s="299"/>
      <c r="M100" s="299"/>
      <c r="N100" s="299"/>
      <c r="O100" s="299"/>
      <c r="P100" s="299"/>
      <c r="Q100" s="299"/>
      <c r="R100" s="300"/>
    </row>
  </sheetData>
  <mergeCells count="20">
    <mergeCell ref="C75:C76"/>
    <mergeCell ref="C42:C43"/>
    <mergeCell ref="C69:R69"/>
    <mergeCell ref="C70:R70"/>
    <mergeCell ref="C73:R73"/>
    <mergeCell ref="D74:E74"/>
    <mergeCell ref="I74:M74"/>
    <mergeCell ref="C9:C10"/>
    <mergeCell ref="C36:R36"/>
    <mergeCell ref="C38:R38"/>
    <mergeCell ref="C40:R40"/>
    <mergeCell ref="D41:E41"/>
    <mergeCell ref="I41:M41"/>
    <mergeCell ref="C39:R39"/>
    <mergeCell ref="C1:R1"/>
    <mergeCell ref="C3:R3"/>
    <mergeCell ref="C4:R4"/>
    <mergeCell ref="C7:R7"/>
    <mergeCell ref="D8:E8"/>
    <mergeCell ref="I8:M8"/>
  </mergeCells>
  <pageMargins left="0.95" right="0.7" top="0.5" bottom="0.5" header="0.3" footer="0.3"/>
  <pageSetup scale="54" fitToHeight="0" orientation="landscape" r:id="rId1"/>
  <headerFooter>
    <oddFooter>&amp;L&amp;P&amp;CGMCB&amp;R&amp;F</oddFooter>
  </headerFooter>
  <rowBreaks count="2" manualBreakCount="2">
    <brk id="34" min="2" max="13" man="1"/>
    <brk id="67"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Notes</vt:lpstr>
      <vt:lpstr>Assumptions</vt:lpstr>
      <vt:lpstr>Table 1</vt:lpstr>
      <vt:lpstr>Table 2</vt:lpstr>
      <vt:lpstr>PL</vt:lpstr>
      <vt:lpstr>BalSht</vt:lpstr>
      <vt:lpstr>Cashflow</vt:lpstr>
      <vt:lpstr>Payer</vt:lpstr>
      <vt:lpstr>Util_Statistics</vt:lpstr>
      <vt:lpstr>STAFF</vt:lpstr>
      <vt:lpstr>Stats</vt:lpstr>
      <vt:lpstr>Report Info</vt:lpstr>
      <vt:lpstr>MOR Ratios</vt:lpstr>
      <vt:lpstr>BalSht!Print_Area</vt:lpstr>
      <vt:lpstr>Cashflow!Print_Area</vt:lpstr>
      <vt:lpstr>Payer!Print_Area</vt:lpstr>
      <vt:lpstr>PL!Print_Area</vt:lpstr>
      <vt:lpstr>STAFF!Print_Area</vt:lpstr>
      <vt:lpstr>Stats!Print_Area</vt:lpstr>
      <vt:lpstr>'Table 1'!Print_Area</vt:lpstr>
      <vt:lpstr>'Table 2'!Print_Area</vt:lpstr>
      <vt:lpstr>Util_Statistics!Print_Area</vt:lpstr>
      <vt:lpstr>BalSht!Print_Titles</vt:lpstr>
      <vt:lpstr>Payer!Print_Titles</vt:lpstr>
      <vt:lpstr>PL!Print_Titles</vt:lpstr>
      <vt:lpstr>STAFF!Print_Titles</vt:lpstr>
      <vt:lpstr>Stats!Print_Titles</vt:lpstr>
      <vt:lpstr>Util_Statistics!Print_Titles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2008-12-12T22:09:54Z</dcterms:created>
  <dcterms:modified xsi:type="dcterms:W3CDTF">2016-12-09T20:43:56Z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TemplateVersion">
    <vt:i4>6</vt:i4>
  </property>
</Properties>
</file>