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4355" yWindow="-495" windowWidth="14610" windowHeight="11760"/>
  </bookViews>
  <sheets>
    <sheet name="Assumptions" sheetId="4" r:id="rId1"/>
    <sheet name="Table 1" sheetId="5" r:id="rId2"/>
    <sheet name="Table 2" sheetId="6" r:id="rId3"/>
    <sheet name="PL" sheetId="3" r:id="rId4"/>
    <sheet name="Report Data" sheetId="1" r:id="rId5"/>
    <sheet name="Report Info" sheetId="2" r:id="rId6"/>
  </sheets>
  <definedNames>
    <definedName name="_Order1" hidden="1">0</definedName>
    <definedName name="_Order2" hidden="1">0</definedName>
    <definedName name="PAYER">#REF!</definedName>
    <definedName name="PL">#REF!</definedName>
    <definedName name="_xlnm.Print_Area" localSheetId="3">PL!$D$2:$T$175</definedName>
    <definedName name="_xlnm.Print_Area" localSheetId="1">'Table 1'!$A$1:$F$53</definedName>
    <definedName name="_xlnm.Print_Area" localSheetId="2">'Table 2'!$A$1:$G$46</definedName>
    <definedName name="_xlnm.Print_Titles" localSheetId="3">PL!$1:$1</definedName>
  </definedNames>
  <calcPr calcId="145621"/>
</workbook>
</file>

<file path=xl/calcChain.xml><?xml version="1.0" encoding="utf-8"?>
<calcChain xmlns="http://schemas.openxmlformats.org/spreadsheetml/2006/main">
  <c r="E20" i="5" l="1"/>
  <c r="R41" i="3" l="1"/>
  <c r="P41" i="3"/>
  <c r="N34" i="3" l="1"/>
  <c r="N35" i="3"/>
  <c r="L34" i="3"/>
  <c r="R48" i="3" l="1"/>
  <c r="P48" i="3"/>
  <c r="P40" i="3"/>
  <c r="R40" i="3" s="1"/>
  <c r="R39" i="3"/>
  <c r="P39" i="3"/>
  <c r="Q39" i="3" s="1"/>
  <c r="P37" i="3"/>
  <c r="R37" i="3" s="1"/>
  <c r="P36" i="3"/>
  <c r="R36" i="3" s="1"/>
  <c r="P35" i="3"/>
  <c r="Q35" i="3" s="1"/>
  <c r="P34" i="3"/>
  <c r="R34" i="3" s="1"/>
  <c r="R16" i="3"/>
  <c r="R15" i="3"/>
  <c r="R14" i="3"/>
  <c r="Q38" i="3"/>
  <c r="R33" i="3"/>
  <c r="P33" i="3"/>
  <c r="R28" i="3"/>
  <c r="P28" i="3"/>
  <c r="P16" i="3"/>
  <c r="P15" i="3"/>
  <c r="P14" i="3"/>
  <c r="R35" i="3" l="1"/>
  <c r="Q41" i="3"/>
  <c r="Q40" i="3"/>
  <c r="Q37" i="3"/>
  <c r="Q36" i="3"/>
  <c r="Q34" i="3"/>
  <c r="L166" i="3" l="1"/>
  <c r="M166" i="3" s="1"/>
  <c r="L160" i="3"/>
  <c r="L159" i="3"/>
  <c r="M159" i="3" s="1"/>
  <c r="L158" i="3"/>
  <c r="L157" i="3"/>
  <c r="M157" i="3" s="1"/>
  <c r="L156" i="3"/>
  <c r="L155" i="3"/>
  <c r="M155" i="3" s="1"/>
  <c r="L154" i="3"/>
  <c r="M154" i="3" s="1"/>
  <c r="L153" i="3"/>
  <c r="M153" i="3" s="1"/>
  <c r="L152" i="3"/>
  <c r="L151" i="3"/>
  <c r="M151" i="3" s="1"/>
  <c r="L146" i="3"/>
  <c r="M146" i="3" s="1"/>
  <c r="M143" i="3"/>
  <c r="L143" i="3"/>
  <c r="L142" i="3"/>
  <c r="M142" i="3" s="1"/>
  <c r="L141" i="3"/>
  <c r="M141" i="3" s="1"/>
  <c r="L140" i="3"/>
  <c r="M140" i="3" s="1"/>
  <c r="L136" i="3"/>
  <c r="M136" i="3" s="1"/>
  <c r="M135" i="3"/>
  <c r="L135" i="3"/>
  <c r="L134" i="3"/>
  <c r="M134" i="3" s="1"/>
  <c r="L133" i="3"/>
  <c r="M133" i="3" s="1"/>
  <c r="L132" i="3"/>
  <c r="L130" i="3"/>
  <c r="M116" i="3"/>
  <c r="L112" i="3"/>
  <c r="M112" i="3" s="1"/>
  <c r="M109" i="3"/>
  <c r="M107" i="3"/>
  <c r="M106" i="3"/>
  <c r="M105" i="3"/>
  <c r="M104" i="3"/>
  <c r="M103" i="3"/>
  <c r="M102" i="3"/>
  <c r="M101" i="3"/>
  <c r="M96" i="3"/>
  <c r="M93" i="3"/>
  <c r="M92" i="3"/>
  <c r="M91" i="3"/>
  <c r="M90" i="3"/>
  <c r="L88" i="3"/>
  <c r="L94" i="3" s="1"/>
  <c r="M86" i="3"/>
  <c r="M85" i="3"/>
  <c r="M84" i="3"/>
  <c r="M83" i="3"/>
  <c r="M82" i="3"/>
  <c r="M48" i="3"/>
  <c r="L44" i="3"/>
  <c r="L56" i="3" s="1"/>
  <c r="M41" i="3"/>
  <c r="M39" i="3"/>
  <c r="M38" i="3"/>
  <c r="M37" i="3"/>
  <c r="M36" i="3"/>
  <c r="M35" i="3"/>
  <c r="M34" i="3"/>
  <c r="M33" i="3"/>
  <c r="M28" i="3"/>
  <c r="M25" i="3"/>
  <c r="M24" i="3"/>
  <c r="M23" i="3"/>
  <c r="M22" i="3"/>
  <c r="L20" i="3"/>
  <c r="M20" i="3" s="1"/>
  <c r="M18" i="3"/>
  <c r="M17" i="3"/>
  <c r="M16" i="3"/>
  <c r="M15" i="3"/>
  <c r="M14" i="3"/>
  <c r="L26" i="3" l="1"/>
  <c r="L30" i="3" s="1"/>
  <c r="M30" i="3" s="1"/>
  <c r="L54" i="3"/>
  <c r="L138" i="3"/>
  <c r="M138" i="3" s="1"/>
  <c r="L162" i="3"/>
  <c r="L173" i="3" s="1"/>
  <c r="L46" i="3"/>
  <c r="L98" i="3"/>
  <c r="M94" i="3"/>
  <c r="M26" i="3"/>
  <c r="M132" i="3"/>
  <c r="M152" i="3"/>
  <c r="M156" i="3"/>
  <c r="M44" i="3"/>
  <c r="L55" i="3"/>
  <c r="M88" i="3"/>
  <c r="J112" i="3"/>
  <c r="J88" i="3"/>
  <c r="J94" i="3" s="1"/>
  <c r="J98" i="3" s="1"/>
  <c r="R134" i="3"/>
  <c r="P134" i="3"/>
  <c r="N134" i="3"/>
  <c r="R112" i="3"/>
  <c r="R88" i="3"/>
  <c r="R94" i="3" s="1"/>
  <c r="R98" i="3" s="1"/>
  <c r="P112" i="3"/>
  <c r="P88" i="3"/>
  <c r="P94" i="3" s="1"/>
  <c r="P98" i="3" s="1"/>
  <c r="P114" i="3" s="1"/>
  <c r="P118" i="3" s="1"/>
  <c r="N112" i="3"/>
  <c r="N88" i="3"/>
  <c r="N94" i="3" s="1"/>
  <c r="N98" i="3" s="1"/>
  <c r="L172" i="3" l="1"/>
  <c r="L144" i="3"/>
  <c r="M144" i="3" s="1"/>
  <c r="M162" i="3"/>
  <c r="L174" i="3"/>
  <c r="M98" i="3"/>
  <c r="L114" i="3"/>
  <c r="L50" i="3"/>
  <c r="M50" i="3" s="1"/>
  <c r="L53" i="3"/>
  <c r="M46" i="3"/>
  <c r="N114" i="3"/>
  <c r="N118" i="3" s="1"/>
  <c r="R114" i="3"/>
  <c r="R118" i="3" s="1"/>
  <c r="J114" i="3"/>
  <c r="J118" i="3" s="1"/>
  <c r="H11" i="3"/>
  <c r="L148" i="3" l="1"/>
  <c r="L164" i="3" s="1"/>
  <c r="M114" i="3"/>
  <c r="L118" i="3"/>
  <c r="M118" i="3" s="1"/>
  <c r="J48" i="3"/>
  <c r="J42" i="3"/>
  <c r="J41" i="3"/>
  <c r="J39" i="3"/>
  <c r="J38" i="3"/>
  <c r="J37" i="3"/>
  <c r="J36" i="3"/>
  <c r="J35" i="3"/>
  <c r="J34" i="3"/>
  <c r="J33" i="3"/>
  <c r="J28" i="3"/>
  <c r="J24" i="3"/>
  <c r="J23" i="3"/>
  <c r="J22" i="3"/>
  <c r="J18" i="3"/>
  <c r="J17" i="3"/>
  <c r="J16" i="3"/>
  <c r="J15" i="3"/>
  <c r="J14" i="3"/>
  <c r="J11" i="3"/>
  <c r="J80" i="3" s="1"/>
  <c r="J130" i="3" s="1"/>
  <c r="J10" i="3"/>
  <c r="J79" i="3" s="1"/>
  <c r="J129" i="3" s="1"/>
  <c r="H10" i="3"/>
  <c r="F10" i="3"/>
  <c r="M148" i="3" l="1"/>
  <c r="M164" i="3"/>
  <c r="L171" i="3"/>
  <c r="L168" i="3"/>
  <c r="M168" i="3" s="1"/>
  <c r="J44" i="3"/>
  <c r="J20" i="3"/>
  <c r="J26" i="3" s="1"/>
  <c r="J30" i="3" s="1"/>
  <c r="J166" i="3"/>
  <c r="J160" i="3"/>
  <c r="J159" i="3"/>
  <c r="J158" i="3"/>
  <c r="J157" i="3"/>
  <c r="J156" i="3"/>
  <c r="J155" i="3"/>
  <c r="J154" i="3"/>
  <c r="J153" i="3"/>
  <c r="J152" i="3"/>
  <c r="J151" i="3"/>
  <c r="J146" i="3"/>
  <c r="J143" i="3"/>
  <c r="J142" i="3"/>
  <c r="J141" i="3"/>
  <c r="J140" i="3"/>
  <c r="J136" i="3"/>
  <c r="J135" i="3"/>
  <c r="J134" i="3"/>
  <c r="O134" i="3" s="1"/>
  <c r="J133" i="3"/>
  <c r="J132" i="3"/>
  <c r="O116" i="3"/>
  <c r="O109" i="3"/>
  <c r="O107" i="3"/>
  <c r="O106" i="3"/>
  <c r="O105" i="3"/>
  <c r="O104" i="3"/>
  <c r="O103" i="3"/>
  <c r="O102" i="3"/>
  <c r="O101" i="3"/>
  <c r="O96" i="3"/>
  <c r="O93" i="3"/>
  <c r="O92" i="3"/>
  <c r="O91" i="3"/>
  <c r="O90" i="3"/>
  <c r="O86" i="3"/>
  <c r="O85" i="3"/>
  <c r="O84" i="3"/>
  <c r="O83" i="3"/>
  <c r="O82" i="3"/>
  <c r="K116" i="3"/>
  <c r="I116" i="3"/>
  <c r="K109" i="3"/>
  <c r="I109" i="3"/>
  <c r="K107" i="3"/>
  <c r="I107" i="3"/>
  <c r="K106" i="3"/>
  <c r="I106" i="3"/>
  <c r="K105" i="3"/>
  <c r="I105" i="3"/>
  <c r="K104" i="3"/>
  <c r="I104" i="3"/>
  <c r="K103" i="3"/>
  <c r="I103" i="3"/>
  <c r="K102" i="3"/>
  <c r="I102" i="3"/>
  <c r="K101" i="3"/>
  <c r="I101" i="3"/>
  <c r="K96" i="3"/>
  <c r="I96" i="3"/>
  <c r="K93" i="3"/>
  <c r="I93" i="3"/>
  <c r="K92" i="3"/>
  <c r="I92" i="3"/>
  <c r="K91" i="3"/>
  <c r="I91" i="3"/>
  <c r="K90" i="3"/>
  <c r="I90" i="3"/>
  <c r="K86" i="3"/>
  <c r="I86" i="3"/>
  <c r="K85" i="3"/>
  <c r="I85" i="3"/>
  <c r="K84" i="3"/>
  <c r="I84" i="3"/>
  <c r="K83" i="3"/>
  <c r="I83" i="3"/>
  <c r="K82" i="3"/>
  <c r="I82" i="3"/>
  <c r="O48" i="3"/>
  <c r="O41" i="3"/>
  <c r="O39" i="3"/>
  <c r="O38" i="3"/>
  <c r="O37" i="3"/>
  <c r="O36" i="3"/>
  <c r="O35" i="3"/>
  <c r="O34" i="3"/>
  <c r="O33" i="3"/>
  <c r="O28" i="3"/>
  <c r="O25" i="3"/>
  <c r="O24" i="3"/>
  <c r="O23" i="3"/>
  <c r="O22" i="3"/>
  <c r="O18" i="3"/>
  <c r="O17" i="3"/>
  <c r="O16" i="3"/>
  <c r="O15" i="3"/>
  <c r="O14" i="3"/>
  <c r="K25" i="3"/>
  <c r="J56" i="3"/>
  <c r="J55" i="3"/>
  <c r="J46" i="3" l="1"/>
  <c r="J50" i="3" s="1"/>
  <c r="J138" i="3"/>
  <c r="J172" i="3" s="1"/>
  <c r="J162" i="3"/>
  <c r="J174" i="3" s="1"/>
  <c r="J54" i="3"/>
  <c r="H24" i="3"/>
  <c r="K24" i="3" s="1"/>
  <c r="J173" i="3" l="1"/>
  <c r="J144" i="3"/>
  <c r="J148" i="3" s="1"/>
  <c r="E143" i="3"/>
  <c r="F143" i="3"/>
  <c r="N143" i="3"/>
  <c r="P143" i="3"/>
  <c r="R143" i="3"/>
  <c r="G93" i="3"/>
  <c r="Q93" i="3"/>
  <c r="S93" i="3"/>
  <c r="G25" i="3"/>
  <c r="H143" i="3"/>
  <c r="Q25" i="3"/>
  <c r="S25" i="3"/>
  <c r="G143" i="3" l="1"/>
  <c r="Q143" i="3"/>
  <c r="O143" i="3"/>
  <c r="I143" i="3"/>
  <c r="K143" i="3"/>
  <c r="J164" i="3"/>
  <c r="J53" i="3"/>
  <c r="S143" i="3"/>
  <c r="I25" i="3"/>
  <c r="A2" i="4"/>
  <c r="A1" i="6" s="1"/>
  <c r="G26" i="6"/>
  <c r="G27" i="6"/>
  <c r="I27" i="6" s="1"/>
  <c r="G28" i="6"/>
  <c r="I28" i="6" s="1"/>
  <c r="G29" i="6"/>
  <c r="I29" i="6" s="1"/>
  <c r="G30" i="6"/>
  <c r="I30" i="6" s="1"/>
  <c r="G31" i="6"/>
  <c r="I31" i="6" s="1"/>
  <c r="G32" i="6"/>
  <c r="I32" i="6" s="1"/>
  <c r="G33" i="6"/>
  <c r="I33" i="6" s="1"/>
  <c r="G34" i="6"/>
  <c r="I34" i="6" s="1"/>
  <c r="G35" i="6"/>
  <c r="I35" i="6" s="1"/>
  <c r="G36" i="6"/>
  <c r="I36" i="6" s="1"/>
  <c r="G37" i="6"/>
  <c r="I37" i="6" s="1"/>
  <c r="G38" i="6"/>
  <c r="G40" i="6"/>
  <c r="I40" i="6" s="1"/>
  <c r="G41" i="6"/>
  <c r="I41" i="6" s="1"/>
  <c r="G42" i="6"/>
  <c r="I42" i="6" s="1"/>
  <c r="I38" i="6"/>
  <c r="I26" i="6"/>
  <c r="E50" i="5"/>
  <c r="E43" i="5"/>
  <c r="E17" i="5"/>
  <c r="J168" i="3" l="1"/>
  <c r="J171" i="3"/>
  <c r="E52" i="5"/>
  <c r="E26" i="5" s="1"/>
  <c r="G39" i="6" s="1"/>
  <c r="I39" i="6" s="1"/>
  <c r="A1" i="5"/>
  <c r="N166" i="3"/>
  <c r="O166" i="3" s="1"/>
  <c r="N160" i="3"/>
  <c r="N159" i="3"/>
  <c r="O159" i="3" s="1"/>
  <c r="N158" i="3"/>
  <c r="N157" i="3"/>
  <c r="O157" i="3" s="1"/>
  <c r="N156" i="3"/>
  <c r="O156" i="3" s="1"/>
  <c r="N155" i="3"/>
  <c r="O155" i="3" s="1"/>
  <c r="N154" i="3"/>
  <c r="O154" i="3" s="1"/>
  <c r="N153" i="3"/>
  <c r="O153" i="3" s="1"/>
  <c r="N152" i="3"/>
  <c r="O152" i="3" s="1"/>
  <c r="N151" i="3"/>
  <c r="O151" i="3" s="1"/>
  <c r="N146" i="3"/>
  <c r="O146" i="3" s="1"/>
  <c r="N142" i="3"/>
  <c r="O142" i="3" s="1"/>
  <c r="N141" i="3"/>
  <c r="O141" i="3" s="1"/>
  <c r="N140" i="3"/>
  <c r="O140" i="3" s="1"/>
  <c r="N136" i="3"/>
  <c r="O136" i="3" s="1"/>
  <c r="N135" i="3"/>
  <c r="O135" i="3" s="1"/>
  <c r="N133" i="3"/>
  <c r="O133" i="3" s="1"/>
  <c r="N132" i="3"/>
  <c r="O132" i="3" s="1"/>
  <c r="N130" i="3"/>
  <c r="O112" i="3"/>
  <c r="N44" i="3"/>
  <c r="O44" i="3" s="1"/>
  <c r="N20" i="3"/>
  <c r="E11" i="3"/>
  <c r="F11" i="3"/>
  <c r="O88" i="3" l="1"/>
  <c r="N54" i="3"/>
  <c r="O20" i="3"/>
  <c r="G44" i="6"/>
  <c r="E32" i="5"/>
  <c r="E34" i="5" s="1"/>
  <c r="G13" i="6" s="1"/>
  <c r="G20" i="6" s="1"/>
  <c r="N26" i="3"/>
  <c r="N138" i="3"/>
  <c r="N55" i="3"/>
  <c r="N56" i="3"/>
  <c r="N162" i="3"/>
  <c r="D166" i="3"/>
  <c r="D160" i="3"/>
  <c r="D159" i="3"/>
  <c r="D156" i="3"/>
  <c r="D155" i="3"/>
  <c r="D154" i="3"/>
  <c r="D153" i="3"/>
  <c r="D152" i="3"/>
  <c r="D151" i="3"/>
  <c r="D142" i="3"/>
  <c r="D141" i="3"/>
  <c r="D140" i="3"/>
  <c r="D136" i="3"/>
  <c r="D135" i="3"/>
  <c r="D134" i="3"/>
  <c r="D133" i="3"/>
  <c r="D132" i="3"/>
  <c r="D116" i="3"/>
  <c r="D110" i="3"/>
  <c r="D109" i="3"/>
  <c r="D106" i="3"/>
  <c r="D105" i="3"/>
  <c r="D104" i="3"/>
  <c r="D103" i="3"/>
  <c r="D102" i="3"/>
  <c r="D101" i="3"/>
  <c r="D92" i="3"/>
  <c r="D91" i="3"/>
  <c r="D90" i="3"/>
  <c r="D86" i="3"/>
  <c r="D85" i="3"/>
  <c r="D84" i="3"/>
  <c r="D83" i="3"/>
  <c r="D82" i="3"/>
  <c r="O94" i="3" l="1"/>
  <c r="N173" i="3"/>
  <c r="O162" i="3"/>
  <c r="N30" i="3"/>
  <c r="O26" i="3"/>
  <c r="N144" i="3"/>
  <c r="O138" i="3"/>
  <c r="I44" i="6"/>
  <c r="N172" i="3"/>
  <c r="N174" i="3"/>
  <c r="H80" i="3"/>
  <c r="H130" i="3" s="1"/>
  <c r="F80" i="3"/>
  <c r="F130" i="3" s="1"/>
  <c r="E80" i="3"/>
  <c r="E130" i="3" s="1"/>
  <c r="N46" i="3" l="1"/>
  <c r="O30" i="3"/>
  <c r="O98" i="3"/>
  <c r="N148" i="3"/>
  <c r="O144" i="3"/>
  <c r="F24" i="3"/>
  <c r="E24" i="3"/>
  <c r="O148" i="3" l="1"/>
  <c r="N164" i="3"/>
  <c r="O46" i="3"/>
  <c r="N53" i="3"/>
  <c r="N50" i="3"/>
  <c r="O50" i="3" s="1"/>
  <c r="O118" i="3"/>
  <c r="O114" i="3"/>
  <c r="A3" i="4"/>
  <c r="O164" i="3" l="1"/>
  <c r="N171" i="3"/>
  <c r="N168" i="3"/>
  <c r="O168" i="3" s="1"/>
  <c r="A2" i="5"/>
  <c r="A2" i="6"/>
  <c r="S48" i="3"/>
  <c r="S41" i="3"/>
  <c r="S39" i="3"/>
  <c r="S38" i="3"/>
  <c r="S37" i="3"/>
  <c r="S36" i="3"/>
  <c r="S35" i="3"/>
  <c r="S34" i="3"/>
  <c r="S33" i="3"/>
  <c r="S28" i="3"/>
  <c r="S24" i="3"/>
  <c r="S23" i="3"/>
  <c r="S22" i="3"/>
  <c r="S18" i="3"/>
  <c r="S17" i="3"/>
  <c r="S16" i="3"/>
  <c r="S15" i="3"/>
  <c r="S14" i="3"/>
  <c r="Q48" i="3"/>
  <c r="Q33" i="3"/>
  <c r="Q28" i="3"/>
  <c r="Q24" i="3"/>
  <c r="Q23" i="3"/>
  <c r="Q22" i="3"/>
  <c r="Q18" i="3"/>
  <c r="Q17" i="3"/>
  <c r="Q16" i="3"/>
  <c r="Q15" i="3"/>
  <c r="Q14" i="3"/>
  <c r="S116" i="3"/>
  <c r="S109" i="3"/>
  <c r="S108" i="3"/>
  <c r="S107" i="3"/>
  <c r="S106" i="3"/>
  <c r="S105" i="3"/>
  <c r="S104" i="3"/>
  <c r="S103" i="3"/>
  <c r="S102" i="3"/>
  <c r="S101" i="3"/>
  <c r="S96" i="3"/>
  <c r="S92" i="3"/>
  <c r="S91" i="3"/>
  <c r="S90" i="3"/>
  <c r="S86" i="3"/>
  <c r="S85" i="3"/>
  <c r="S84" i="3"/>
  <c r="S83" i="3"/>
  <c r="S82" i="3"/>
  <c r="Q116" i="3"/>
  <c r="Q109" i="3"/>
  <c r="Q108" i="3"/>
  <c r="Q107" i="3"/>
  <c r="Q106" i="3"/>
  <c r="Q105" i="3"/>
  <c r="Q104" i="3"/>
  <c r="Q103" i="3"/>
  <c r="Q102" i="3"/>
  <c r="Q101" i="3"/>
  <c r="Q96" i="3"/>
  <c r="Q92" i="3"/>
  <c r="Q91" i="3"/>
  <c r="Q90" i="3"/>
  <c r="Q86" i="3"/>
  <c r="Q85" i="3"/>
  <c r="Q84" i="3"/>
  <c r="Q83" i="3"/>
  <c r="Q82" i="3"/>
  <c r="S134" i="3"/>
  <c r="Q134" i="3"/>
  <c r="G116" i="3"/>
  <c r="G109" i="3"/>
  <c r="G108" i="3"/>
  <c r="G107" i="3"/>
  <c r="G106" i="3"/>
  <c r="G105" i="3"/>
  <c r="G104" i="3"/>
  <c r="G103" i="3"/>
  <c r="G102" i="3"/>
  <c r="G101" i="3"/>
  <c r="G96" i="3"/>
  <c r="G92" i="3"/>
  <c r="G91" i="3"/>
  <c r="G90" i="3"/>
  <c r="G86" i="3"/>
  <c r="G85" i="3"/>
  <c r="G84" i="3"/>
  <c r="G83" i="3"/>
  <c r="G82" i="3"/>
  <c r="P130" i="3"/>
  <c r="R130" i="3"/>
  <c r="D6" i="3"/>
  <c r="D76" i="3" l="1"/>
  <c r="A17" i="4"/>
  <c r="H158" i="3"/>
  <c r="H69" i="3"/>
  <c r="H67" i="3"/>
  <c r="H65" i="3"/>
  <c r="H63" i="3"/>
  <c r="H61" i="3"/>
  <c r="H59" i="3"/>
  <c r="H48" i="3"/>
  <c r="K48" i="3" s="1"/>
  <c r="H42" i="3"/>
  <c r="H160" i="3" s="1"/>
  <c r="H41" i="3"/>
  <c r="K41" i="3" s="1"/>
  <c r="H39" i="3"/>
  <c r="K39" i="3" s="1"/>
  <c r="H38" i="3"/>
  <c r="K38" i="3" s="1"/>
  <c r="H37" i="3"/>
  <c r="K37" i="3" s="1"/>
  <c r="H36" i="3"/>
  <c r="K36" i="3" s="1"/>
  <c r="H35" i="3"/>
  <c r="K35" i="3" s="1"/>
  <c r="H34" i="3"/>
  <c r="K34" i="3" s="1"/>
  <c r="H33" i="3"/>
  <c r="K33" i="3" s="1"/>
  <c r="H28" i="3"/>
  <c r="K28" i="3" s="1"/>
  <c r="H23" i="3"/>
  <c r="K23" i="3" s="1"/>
  <c r="H22" i="3"/>
  <c r="K22" i="3" s="1"/>
  <c r="H18" i="3"/>
  <c r="K18" i="3" s="1"/>
  <c r="H17" i="3"/>
  <c r="K17" i="3" s="1"/>
  <c r="H16" i="3"/>
  <c r="K16" i="3" s="1"/>
  <c r="H15" i="3"/>
  <c r="K15" i="3" s="1"/>
  <c r="H14" i="3"/>
  <c r="K14" i="3" s="1"/>
  <c r="F79" i="3"/>
  <c r="F129" i="3" s="1"/>
  <c r="H79" i="3"/>
  <c r="H129" i="3" s="1"/>
  <c r="E10" i="3"/>
  <c r="E79" i="3" s="1"/>
  <c r="E129" i="3" s="1"/>
  <c r="H133" i="3" l="1"/>
  <c r="H155" i="3"/>
  <c r="H134" i="3"/>
  <c r="H141" i="3"/>
  <c r="H152" i="3"/>
  <c r="H156" i="3"/>
  <c r="H166" i="3"/>
  <c r="H140" i="3"/>
  <c r="H135" i="3"/>
  <c r="H142" i="3"/>
  <c r="H153" i="3"/>
  <c r="H157" i="3"/>
  <c r="H151" i="3"/>
  <c r="H136" i="3"/>
  <c r="H146" i="3"/>
  <c r="H159" i="3"/>
  <c r="H154" i="3"/>
  <c r="H20" i="3"/>
  <c r="H62" i="3"/>
  <c r="H132" i="3"/>
  <c r="H44" i="3"/>
  <c r="K151" i="3" l="1"/>
  <c r="K152" i="3"/>
  <c r="K132" i="3"/>
  <c r="K157" i="3"/>
  <c r="K141" i="3"/>
  <c r="K146" i="3"/>
  <c r="K153" i="3"/>
  <c r="K166" i="3"/>
  <c r="K134" i="3"/>
  <c r="H55" i="3"/>
  <c r="K44" i="3"/>
  <c r="K154" i="3"/>
  <c r="K135" i="3"/>
  <c r="K133" i="3"/>
  <c r="K159" i="3"/>
  <c r="K140" i="3"/>
  <c r="H54" i="3"/>
  <c r="K20" i="3"/>
  <c r="K136" i="3"/>
  <c r="K142" i="3"/>
  <c r="K156" i="3"/>
  <c r="K155" i="3"/>
  <c r="H56" i="3"/>
  <c r="H162" i="3"/>
  <c r="H138" i="3"/>
  <c r="H26" i="3"/>
  <c r="K26" i="3" s="1"/>
  <c r="F16" i="3"/>
  <c r="E16" i="3"/>
  <c r="E134" i="3" s="1"/>
  <c r="F15" i="3"/>
  <c r="E15" i="3"/>
  <c r="D16" i="3"/>
  <c r="H173" i="3" l="1"/>
  <c r="K162" i="3"/>
  <c r="H172" i="3"/>
  <c r="K138" i="3"/>
  <c r="H174" i="3"/>
  <c r="H30" i="3"/>
  <c r="K30" i="3" s="1"/>
  <c r="H144" i="3"/>
  <c r="H60" i="3"/>
  <c r="G15" i="3"/>
  <c r="I15" i="3"/>
  <c r="F134" i="3"/>
  <c r="I134" i="3" s="1"/>
  <c r="G16" i="3"/>
  <c r="I16" i="3"/>
  <c r="D124" i="3"/>
  <c r="P132" i="3"/>
  <c r="R132" i="3"/>
  <c r="P133" i="3"/>
  <c r="R133" i="3"/>
  <c r="P135" i="3"/>
  <c r="R135" i="3"/>
  <c r="P136" i="3"/>
  <c r="R136" i="3"/>
  <c r="P140" i="3"/>
  <c r="R140" i="3"/>
  <c r="P141" i="3"/>
  <c r="R141" i="3"/>
  <c r="P142" i="3"/>
  <c r="R142" i="3"/>
  <c r="P146" i="3"/>
  <c r="R146" i="3"/>
  <c r="P151" i="3"/>
  <c r="R151" i="3"/>
  <c r="P152" i="3"/>
  <c r="R152" i="3"/>
  <c r="P153" i="3"/>
  <c r="R153" i="3"/>
  <c r="P154" i="3"/>
  <c r="R154" i="3"/>
  <c r="P155" i="3"/>
  <c r="R155" i="3"/>
  <c r="P156" i="3"/>
  <c r="R156" i="3"/>
  <c r="P157" i="3"/>
  <c r="R157" i="3"/>
  <c r="F158" i="3"/>
  <c r="P158" i="3"/>
  <c r="R158" i="3"/>
  <c r="P159" i="3"/>
  <c r="R159" i="3"/>
  <c r="P160" i="3"/>
  <c r="R160" i="3"/>
  <c r="P166" i="3"/>
  <c r="R166" i="3"/>
  <c r="E158" i="3"/>
  <c r="F28" i="3"/>
  <c r="E28" i="3"/>
  <c r="E146" i="3" s="1"/>
  <c r="H112" i="3"/>
  <c r="H88" i="3"/>
  <c r="P44" i="3"/>
  <c r="R44" i="3"/>
  <c r="P20" i="3"/>
  <c r="P54" i="3" s="1"/>
  <c r="R20" i="3"/>
  <c r="R54" i="3" s="1"/>
  <c r="F133" i="3"/>
  <c r="I133" i="3" s="1"/>
  <c r="E133" i="3"/>
  <c r="F59" i="3"/>
  <c r="F61" i="3"/>
  <c r="F63" i="3"/>
  <c r="F65" i="3"/>
  <c r="F67" i="3"/>
  <c r="F69" i="3"/>
  <c r="E61" i="3"/>
  <c r="E63" i="3"/>
  <c r="E65" i="3"/>
  <c r="E67" i="3"/>
  <c r="E69" i="3"/>
  <c r="E59" i="3"/>
  <c r="F39" i="3"/>
  <c r="E39" i="3"/>
  <c r="E157" i="3" s="1"/>
  <c r="F48" i="3"/>
  <c r="F42" i="3"/>
  <c r="F160" i="3" s="1"/>
  <c r="F41" i="3"/>
  <c r="F38" i="3"/>
  <c r="F37" i="3"/>
  <c r="F36" i="3"/>
  <c r="F35" i="3"/>
  <c r="F34" i="3"/>
  <c r="F33" i="3"/>
  <c r="F23" i="3"/>
  <c r="F22" i="3"/>
  <c r="F18" i="3"/>
  <c r="F17" i="3"/>
  <c r="F14" i="3"/>
  <c r="K112" i="3" l="1"/>
  <c r="K144" i="3"/>
  <c r="K88" i="3"/>
  <c r="R56" i="3"/>
  <c r="R55" i="3"/>
  <c r="P55" i="3"/>
  <c r="P56" i="3"/>
  <c r="S112" i="3"/>
  <c r="S159" i="3"/>
  <c r="Q158" i="3"/>
  <c r="Q157" i="3"/>
  <c r="S154" i="3"/>
  <c r="Q153" i="3"/>
  <c r="S146" i="3"/>
  <c r="Q142" i="3"/>
  <c r="S136" i="3"/>
  <c r="Q135" i="3"/>
  <c r="Q159" i="3"/>
  <c r="S155" i="3"/>
  <c r="Q154" i="3"/>
  <c r="S151" i="3"/>
  <c r="Q146" i="3"/>
  <c r="S140" i="3"/>
  <c r="Q136" i="3"/>
  <c r="S132" i="3"/>
  <c r="S166" i="3"/>
  <c r="S156" i="3"/>
  <c r="Q155" i="3"/>
  <c r="S152" i="3"/>
  <c r="Q151" i="3"/>
  <c r="S141" i="3"/>
  <c r="Q140" i="3"/>
  <c r="S133" i="3"/>
  <c r="Q132" i="3"/>
  <c r="S44" i="3"/>
  <c r="Q44" i="3"/>
  <c r="F141" i="3"/>
  <c r="I141" i="3" s="1"/>
  <c r="I23" i="3"/>
  <c r="F159" i="3"/>
  <c r="I159" i="3" s="1"/>
  <c r="I41" i="3"/>
  <c r="G134" i="3"/>
  <c r="F135" i="3"/>
  <c r="I135" i="3" s="1"/>
  <c r="I17" i="3"/>
  <c r="F142" i="3"/>
  <c r="I142" i="3" s="1"/>
  <c r="I24" i="3"/>
  <c r="Q88" i="3"/>
  <c r="Q112" i="3"/>
  <c r="H148" i="3"/>
  <c r="F132" i="3"/>
  <c r="I132" i="3" s="1"/>
  <c r="I14" i="3"/>
  <c r="F153" i="3"/>
  <c r="I153" i="3" s="1"/>
  <c r="I35" i="3"/>
  <c r="F146" i="3"/>
  <c r="I146" i="3" s="1"/>
  <c r="G28" i="3"/>
  <c r="I28" i="3"/>
  <c r="F136" i="3"/>
  <c r="I136" i="3" s="1"/>
  <c r="I18" i="3"/>
  <c r="F151" i="3"/>
  <c r="I151" i="3" s="1"/>
  <c r="I33" i="3"/>
  <c r="F155" i="3"/>
  <c r="I155" i="3" s="1"/>
  <c r="I37" i="3"/>
  <c r="F166" i="3"/>
  <c r="I166" i="3" s="1"/>
  <c r="I48" i="3"/>
  <c r="G133" i="3"/>
  <c r="P26" i="3"/>
  <c r="Q20" i="3"/>
  <c r="G158" i="3"/>
  <c r="F157" i="3"/>
  <c r="I157" i="3" s="1"/>
  <c r="G39" i="3"/>
  <c r="I39" i="3"/>
  <c r="F140" i="3"/>
  <c r="I140" i="3" s="1"/>
  <c r="I22" i="3"/>
  <c r="F152" i="3"/>
  <c r="I152" i="3" s="1"/>
  <c r="I34" i="3"/>
  <c r="F156" i="3"/>
  <c r="I156" i="3" s="1"/>
  <c r="I38" i="3"/>
  <c r="H94" i="3"/>
  <c r="Q166" i="3"/>
  <c r="S158" i="3"/>
  <c r="S157" i="3"/>
  <c r="Q156" i="3"/>
  <c r="S153" i="3"/>
  <c r="Q152" i="3"/>
  <c r="S142" i="3"/>
  <c r="Q141" i="3"/>
  <c r="S135" i="3"/>
  <c r="Q133" i="3"/>
  <c r="H64" i="3"/>
  <c r="H46" i="3"/>
  <c r="K46" i="3" s="1"/>
  <c r="R26" i="3"/>
  <c r="S20" i="3"/>
  <c r="S88" i="3"/>
  <c r="F154" i="3"/>
  <c r="I154" i="3" s="1"/>
  <c r="I36" i="3"/>
  <c r="P138" i="3"/>
  <c r="P172" i="3" s="1"/>
  <c r="R138" i="3"/>
  <c r="R172" i="3" s="1"/>
  <c r="R162" i="3"/>
  <c r="R173" i="3" s="1"/>
  <c r="P162" i="3"/>
  <c r="P173" i="3" s="1"/>
  <c r="E88" i="3"/>
  <c r="E94" i="3" s="1"/>
  <c r="F88" i="3"/>
  <c r="I88" i="3" s="1"/>
  <c r="E112" i="3"/>
  <c r="F112" i="3"/>
  <c r="I112" i="3" s="1"/>
  <c r="F62" i="3"/>
  <c r="F20" i="3"/>
  <c r="F54" i="3" s="1"/>
  <c r="F44" i="3"/>
  <c r="F55" i="3" s="1"/>
  <c r="K94" i="3" l="1"/>
  <c r="K148" i="3"/>
  <c r="H53" i="3"/>
  <c r="R174" i="3"/>
  <c r="P174" i="3"/>
  <c r="F56" i="3"/>
  <c r="G112" i="3"/>
  <c r="S162" i="3"/>
  <c r="P144" i="3"/>
  <c r="Q138" i="3"/>
  <c r="G146" i="3"/>
  <c r="H164" i="3"/>
  <c r="F138" i="3"/>
  <c r="H50" i="3"/>
  <c r="H68" i="3"/>
  <c r="H98" i="3"/>
  <c r="F26" i="3"/>
  <c r="F30" i="3" s="1"/>
  <c r="I20" i="3"/>
  <c r="F94" i="3"/>
  <c r="I94" i="3" s="1"/>
  <c r="G88" i="3"/>
  <c r="Q162" i="3"/>
  <c r="F162" i="3"/>
  <c r="G157" i="3"/>
  <c r="P30" i="3"/>
  <c r="Q26" i="3"/>
  <c r="Q94" i="3"/>
  <c r="R144" i="3"/>
  <c r="S138" i="3"/>
  <c r="S94" i="3"/>
  <c r="R30" i="3"/>
  <c r="S26" i="3"/>
  <c r="I44" i="3"/>
  <c r="E98" i="3"/>
  <c r="E114" i="3" s="1"/>
  <c r="E118" i="3" s="1"/>
  <c r="D1" i="3"/>
  <c r="K98" i="3" l="1"/>
  <c r="K164" i="3"/>
  <c r="F174" i="3"/>
  <c r="I162" i="3"/>
  <c r="H70" i="3"/>
  <c r="K50" i="3"/>
  <c r="F172" i="3"/>
  <c r="I138" i="3"/>
  <c r="H168" i="3"/>
  <c r="H171" i="3"/>
  <c r="F173" i="3"/>
  <c r="F60" i="3"/>
  <c r="Q98" i="3"/>
  <c r="I26" i="3"/>
  <c r="H114" i="3"/>
  <c r="F144" i="3"/>
  <c r="I144" i="3" s="1"/>
  <c r="F98" i="3"/>
  <c r="I98" i="3" s="1"/>
  <c r="G94" i="3"/>
  <c r="F64" i="3"/>
  <c r="I30" i="3"/>
  <c r="P46" i="3"/>
  <c r="P53" i="3" s="1"/>
  <c r="Q30" i="3"/>
  <c r="P148" i="3"/>
  <c r="Q144" i="3"/>
  <c r="S98" i="3"/>
  <c r="S30" i="3"/>
  <c r="R46" i="3"/>
  <c r="R53" i="3" s="1"/>
  <c r="R148" i="3"/>
  <c r="S144" i="3"/>
  <c r="D126" i="3"/>
  <c r="F46" i="3"/>
  <c r="E48" i="3"/>
  <c r="E42" i="3"/>
  <c r="E160" i="3" s="1"/>
  <c r="E41" i="3"/>
  <c r="E38" i="3"/>
  <c r="E37" i="3"/>
  <c r="E36" i="3"/>
  <c r="E35" i="3"/>
  <c r="E34" i="3"/>
  <c r="E33" i="3"/>
  <c r="E23" i="3"/>
  <c r="E22" i="3"/>
  <c r="E18" i="3"/>
  <c r="E17" i="3"/>
  <c r="E14" i="3"/>
  <c r="D48" i="3"/>
  <c r="D42" i="3"/>
  <c r="D41" i="3"/>
  <c r="D38" i="3"/>
  <c r="D37" i="3"/>
  <c r="D36" i="3"/>
  <c r="D35" i="3"/>
  <c r="D34" i="3"/>
  <c r="D33" i="3"/>
  <c r="D24" i="3"/>
  <c r="D23" i="3"/>
  <c r="D22" i="3"/>
  <c r="D18" i="3"/>
  <c r="D17" i="3"/>
  <c r="D15" i="3"/>
  <c r="D14" i="3"/>
  <c r="K168" i="3" l="1"/>
  <c r="K114" i="3"/>
  <c r="F53" i="3"/>
  <c r="I46" i="3"/>
  <c r="E136" i="3"/>
  <c r="G136" i="3" s="1"/>
  <c r="G18" i="3"/>
  <c r="E166" i="3"/>
  <c r="G166" i="3" s="1"/>
  <c r="G48" i="3"/>
  <c r="Q148" i="3"/>
  <c r="P164" i="3"/>
  <c r="P171" i="3" s="1"/>
  <c r="G98" i="3"/>
  <c r="F114" i="3"/>
  <c r="I114" i="3" s="1"/>
  <c r="E140" i="3"/>
  <c r="G140" i="3" s="1"/>
  <c r="G22" i="3"/>
  <c r="E152" i="3"/>
  <c r="G152" i="3" s="1"/>
  <c r="G34" i="3"/>
  <c r="E156" i="3"/>
  <c r="G38" i="3"/>
  <c r="F148" i="3"/>
  <c r="I148" i="3" s="1"/>
  <c r="E151" i="3"/>
  <c r="G151" i="3" s="1"/>
  <c r="G33" i="3"/>
  <c r="E132" i="3"/>
  <c r="G132" i="3" s="1"/>
  <c r="G14" i="3"/>
  <c r="E141" i="3"/>
  <c r="G23" i="3"/>
  <c r="E153" i="3"/>
  <c r="G153" i="3" s="1"/>
  <c r="G35" i="3"/>
  <c r="E159" i="3"/>
  <c r="G159" i="3" s="1"/>
  <c r="G41" i="3"/>
  <c r="P50" i="3"/>
  <c r="Q46" i="3"/>
  <c r="H118" i="3"/>
  <c r="E155" i="3"/>
  <c r="G155" i="3" s="1"/>
  <c r="G37" i="3"/>
  <c r="E135" i="3"/>
  <c r="G135" i="3" s="1"/>
  <c r="G17" i="3"/>
  <c r="E142" i="3"/>
  <c r="G142" i="3" s="1"/>
  <c r="G24" i="3"/>
  <c r="Q118" i="3"/>
  <c r="Q114" i="3"/>
  <c r="S148" i="3"/>
  <c r="R164" i="3"/>
  <c r="R171" i="3" s="1"/>
  <c r="S114" i="3"/>
  <c r="R50" i="3"/>
  <c r="S46" i="3"/>
  <c r="E154" i="3"/>
  <c r="G154" i="3" s="1"/>
  <c r="G36" i="3"/>
  <c r="F50" i="3"/>
  <c r="F68" i="3"/>
  <c r="E44" i="3"/>
  <c r="E55" i="3" s="1"/>
  <c r="E20" i="3"/>
  <c r="E54" i="3" s="1"/>
  <c r="E62" i="3"/>
  <c r="K118" i="3" l="1"/>
  <c r="S118" i="3"/>
  <c r="G141" i="3"/>
  <c r="G156" i="3"/>
  <c r="E56" i="3"/>
  <c r="S50" i="3"/>
  <c r="F164" i="3"/>
  <c r="F118" i="3"/>
  <c r="G118" i="3" s="1"/>
  <c r="G114" i="3"/>
  <c r="E138" i="3"/>
  <c r="E172" i="3" s="1"/>
  <c r="Q164" i="3"/>
  <c r="P168" i="3"/>
  <c r="E26" i="3"/>
  <c r="E30" i="3" s="1"/>
  <c r="G30" i="3" s="1"/>
  <c r="G20" i="3"/>
  <c r="E162" i="3"/>
  <c r="E174" i="3" s="1"/>
  <c r="Q50" i="3"/>
  <c r="S164" i="3"/>
  <c r="R168" i="3"/>
  <c r="E66" i="3"/>
  <c r="G44" i="3"/>
  <c r="F70" i="3"/>
  <c r="I50" i="3"/>
  <c r="F171" i="3" l="1"/>
  <c r="I164" i="3"/>
  <c r="I118" i="3"/>
  <c r="Q168" i="3"/>
  <c r="G162" i="3"/>
  <c r="E173" i="3"/>
  <c r="E60" i="3"/>
  <c r="G26" i="3"/>
  <c r="E144" i="3"/>
  <c r="G138" i="3"/>
  <c r="S168" i="3"/>
  <c r="F168" i="3"/>
  <c r="I168" i="3" s="1"/>
  <c r="E46" i="3"/>
  <c r="E64" i="3"/>
  <c r="G46" i="3" l="1"/>
  <c r="E53" i="3"/>
  <c r="E148" i="3"/>
  <c r="G144" i="3"/>
  <c r="E50" i="3"/>
  <c r="G50" i="3" s="1"/>
  <c r="E68" i="3"/>
  <c r="G148" i="3" l="1"/>
  <c r="E164" i="3"/>
  <c r="E171" i="3" s="1"/>
  <c r="E70" i="3"/>
  <c r="G164" i="3" l="1"/>
  <c r="E168" i="3"/>
  <c r="G168" i="3" s="1"/>
</calcChain>
</file>

<file path=xl/sharedStrings.xml><?xml version="1.0" encoding="utf-8"?>
<sst xmlns="http://schemas.openxmlformats.org/spreadsheetml/2006/main" count="1223" uniqueCount="205">
  <si>
    <t>Accounts</t>
  </si>
  <si>
    <t/>
  </si>
  <si>
    <t>Gross Patient Care Revenue</t>
  </si>
  <si>
    <t xml:space="preserve">  Physician</t>
  </si>
  <si>
    <t>Total Gross Patient Care Revenue</t>
  </si>
  <si>
    <t>Net Revenue Deductions</t>
  </si>
  <si>
    <t xml:space="preserve">  Disproportionate Share Payments</t>
  </si>
  <si>
    <t xml:space="preserve">  Bad Debt Free Care</t>
  </si>
  <si>
    <t xml:space="preserve">  Deductions from Revenue</t>
  </si>
  <si>
    <t>Total Net Revenue Deductions</t>
  </si>
  <si>
    <t>Net Patient Care Revenue</t>
  </si>
  <si>
    <t>Other Operating Revenue</t>
  </si>
  <si>
    <t xml:space="preserve">  Community Foundation Revenue</t>
  </si>
  <si>
    <t xml:space="preserve">  Grant Income</t>
  </si>
  <si>
    <t xml:space="preserve">  Cafeteria &amp; Parking</t>
  </si>
  <si>
    <t xml:space="preserve">  Employee Sales Pharmacy</t>
  </si>
  <si>
    <t xml:space="preserve">  Employee Sales Med Surg Supplies</t>
  </si>
  <si>
    <t xml:space="preserve">  Sale of Services to Other Organizations</t>
  </si>
  <si>
    <t xml:space="preserve">  Physician Office and Other Rentals</t>
  </si>
  <si>
    <t xml:space="preserve">  Meaningful Use</t>
  </si>
  <si>
    <t xml:space="preserve">  340B Retail Pharmacy Programs</t>
  </si>
  <si>
    <t xml:space="preserve">  Other</t>
  </si>
  <si>
    <t>Total Other Operating Revenue</t>
  </si>
  <si>
    <t>Total Operating Revenue</t>
  </si>
  <si>
    <t>Operating Expense</t>
  </si>
  <si>
    <t xml:space="preserve">  Salaries Non MD</t>
  </si>
  <si>
    <t xml:space="preserve">  Fringe Benefits Non MD</t>
  </si>
  <si>
    <t xml:space="preserve">  Fringe Benefits MD</t>
  </si>
  <si>
    <t xml:space="preserve">  Physician Fees Salaries Contracts &amp; Fringes</t>
  </si>
  <si>
    <t xml:space="preserve">  Health Care Provider Tax</t>
  </si>
  <si>
    <t xml:space="preserve">  Depreciation Amortization</t>
  </si>
  <si>
    <t xml:space="preserve">  Interest - Short Term</t>
  </si>
  <si>
    <t xml:space="preserve">  Interest - Long Term</t>
  </si>
  <si>
    <t xml:space="preserve">  Other Operating Expense</t>
  </si>
  <si>
    <t xml:space="preserve">  Bad Debt</t>
  </si>
  <si>
    <t>Total Operating Expense</t>
  </si>
  <si>
    <t>Net Operating Income (Loss)</t>
  </si>
  <si>
    <t>Non-Operating Revenue</t>
  </si>
  <si>
    <t>Excess (Deficit) of Revenue Over Expense</t>
  </si>
  <si>
    <t>Description:</t>
  </si>
  <si>
    <t>Levels:</t>
  </si>
  <si>
    <t>Currency:</t>
  </si>
  <si>
    <t>United States of America, Dollars</t>
  </si>
  <si>
    <t>LOOKUP COLUMN</t>
  </si>
  <si>
    <t>REVENUES</t>
  </si>
  <si>
    <t>GROSS PATIENT CARE REVENUE</t>
  </si>
  <si>
    <t>OTHER OPERATING REVENUE</t>
  </si>
  <si>
    <t>NET PATIENT CARE REVENUE</t>
  </si>
  <si>
    <t>TOTAL OPERATING REVENUE</t>
  </si>
  <si>
    <t>OPERATING EXPENSE</t>
  </si>
  <si>
    <t>TOTAL OPERATING EXPENSE</t>
  </si>
  <si>
    <t>NET OPERATING INCOME (LOSS)</t>
  </si>
  <si>
    <t>EXCESS (DEFICIT) OF REVENUE OVER EXPENSE</t>
  </si>
  <si>
    <t>Gross Revenue</t>
  </si>
  <si>
    <t xml:space="preserve">  Hospital</t>
  </si>
  <si>
    <t xml:space="preserve">    Inpatient Care Revenue</t>
  </si>
  <si>
    <t xml:space="preserve">    Outpatient Care Revenue</t>
  </si>
  <si>
    <t xml:space="preserve">    Chronic/SNF PT Care Revenue</t>
  </si>
  <si>
    <t xml:space="preserve">    Swing Beds PT Care Revenue</t>
  </si>
  <si>
    <t xml:space="preserve">  Total Hospital</t>
  </si>
  <si>
    <t xml:space="preserve">    Outpatient Care Revenue - Physician</t>
  </si>
  <si>
    <t xml:space="preserve">  Total Physician</t>
  </si>
  <si>
    <t>Income Statement</t>
  </si>
  <si>
    <t>edit</t>
  </si>
  <si>
    <t>WITHOUT PROJECT</t>
  </si>
  <si>
    <t>WITH PROJECT</t>
  </si>
  <si>
    <t>PROJECT ONLY</t>
  </si>
  <si>
    <t>Proposed Yr 1</t>
  </si>
  <si>
    <t>Proposed Yr 2</t>
  </si>
  <si>
    <t>Proposed Yr 3</t>
  </si>
  <si>
    <t>PROJECT NAME</t>
  </si>
  <si>
    <t>Note: This table requires no "fill-in" as it is populated automatically</t>
  </si>
  <si>
    <t>2015</t>
  </si>
  <si>
    <t xml:space="preserve">  Graduate Medical Education</t>
  </si>
  <si>
    <t>Table 3B</t>
  </si>
  <si>
    <t>Table 3C</t>
  </si>
  <si>
    <t>Table 3A</t>
  </si>
  <si>
    <t>% change</t>
  </si>
  <si>
    <t>PLEASE PROVIDE ASSUMPTIONS</t>
  </si>
  <si>
    <t>Actuals</t>
  </si>
  <si>
    <t>Operating Margin %</t>
  </si>
  <si>
    <t>Bad Debt &amp; Free Care%</t>
  </si>
  <si>
    <t>Compensation Ratio</t>
  </si>
  <si>
    <t>Capital Cost % of Total Expenses</t>
  </si>
  <si>
    <t>Tables 3A, 3B and 3C</t>
  </si>
  <si>
    <t xml:space="preserve">  INTEREST - LONG/SHORT TERM</t>
  </si>
  <si>
    <t>2016</t>
  </si>
  <si>
    <t>Budget 2016 Approved</t>
  </si>
  <si>
    <t>BALANCE SHEET</t>
  </si>
  <si>
    <t>TABLE 1</t>
  </si>
  <si>
    <t>PROJECT COSTS</t>
  </si>
  <si>
    <t>Construction Costs</t>
  </si>
  <si>
    <t xml:space="preserve">1. </t>
  </si>
  <si>
    <t>New Construction</t>
  </si>
  <si>
    <t xml:space="preserve">2. </t>
  </si>
  <si>
    <t>Renovation</t>
  </si>
  <si>
    <t xml:space="preserve">3. </t>
  </si>
  <si>
    <t>Site Work</t>
  </si>
  <si>
    <t xml:space="preserve">4. </t>
  </si>
  <si>
    <t>Fixed Equipment</t>
  </si>
  <si>
    <t xml:space="preserve">5. </t>
  </si>
  <si>
    <t>Design/Bidding Contingency</t>
  </si>
  <si>
    <t xml:space="preserve">6. </t>
  </si>
  <si>
    <t>Construction Contingency</t>
  </si>
  <si>
    <t xml:space="preserve">7. </t>
  </si>
  <si>
    <t>Construction Manager Fee</t>
  </si>
  <si>
    <t xml:space="preserve">8. </t>
  </si>
  <si>
    <t>Other  (please specify)</t>
  </si>
  <si>
    <t>Subtotal</t>
  </si>
  <si>
    <t>Related Project Costs</t>
  </si>
  <si>
    <t>Major Moveable Equipment</t>
  </si>
  <si>
    <t>Furnishings, Fixtures &amp; Other Equip.</t>
  </si>
  <si>
    <t>Architectural/Engineering Fees</t>
  </si>
  <si>
    <t>Land Acquisition</t>
  </si>
  <si>
    <t>Purchase of Buildings</t>
  </si>
  <si>
    <t>Administrative Expenses &amp; Permits</t>
  </si>
  <si>
    <t>Debt Financing Expenses (see below)</t>
  </si>
  <si>
    <t>Debt Service Reserve Fund</t>
  </si>
  <si>
    <t xml:space="preserve">9. </t>
  </si>
  <si>
    <t>Working Capital</t>
  </si>
  <si>
    <t xml:space="preserve">10. </t>
  </si>
  <si>
    <t>Total Project Costs</t>
  </si>
  <si>
    <t>Debt Financing Expenses</t>
  </si>
  <si>
    <t>Capital Interest</t>
  </si>
  <si>
    <t>Bond Discount or Placement Fee</t>
  </si>
  <si>
    <t>Misc. Financing Fees &amp; Exp. (issuance costs)</t>
  </si>
  <si>
    <t>Other</t>
  </si>
  <si>
    <t>Less Interest Earnings on Funds</t>
  </si>
  <si>
    <t>Debt Service Reserve Funds</t>
  </si>
  <si>
    <t>Capitalized Interest Account</t>
  </si>
  <si>
    <t>Construction Fund</t>
  </si>
  <si>
    <t>Total Debt Financing Expenses</t>
  </si>
  <si>
    <t>feeds to line 7 above</t>
  </si>
  <si>
    <t>Assumptions used for this table:</t>
  </si>
  <si>
    <t>TABLE 2</t>
  </si>
  <si>
    <t>DEBT FINANCING ARRANGEMENT, SOURCES &amp; USES OF FUNDS</t>
  </si>
  <si>
    <t>Sources of Funds</t>
  </si>
  <si>
    <t>Financing Instrument</t>
  </si>
  <si>
    <t>Bond</t>
  </si>
  <si>
    <t xml:space="preserve">a. </t>
  </si>
  <si>
    <t>Interest Rate</t>
  </si>
  <si>
    <t xml:space="preserve">b. </t>
  </si>
  <si>
    <t>Loan Period</t>
  </si>
  <si>
    <t>To:</t>
  </si>
  <si>
    <t xml:space="preserve">c. </t>
  </si>
  <si>
    <t>Amount Financed</t>
  </si>
  <si>
    <t>Equity Contribution</t>
  </si>
  <si>
    <t>Other Sources</t>
  </si>
  <si>
    <t>Fundraising</t>
  </si>
  <si>
    <t>Grants</t>
  </si>
  <si>
    <t xml:space="preserve">d. </t>
  </si>
  <si>
    <t>Total Required Funds</t>
  </si>
  <si>
    <t>Uses of Funds</t>
  </si>
  <si>
    <t>Project Costs  (feeds from Table 1)</t>
  </si>
  <si>
    <t>should be zero</t>
  </si>
  <si>
    <t xml:space="preserve">11. </t>
  </si>
  <si>
    <t xml:space="preserve">12. </t>
  </si>
  <si>
    <t xml:space="preserve">13. </t>
  </si>
  <si>
    <t xml:space="preserve">14. </t>
  </si>
  <si>
    <t xml:space="preserve">15. </t>
  </si>
  <si>
    <t xml:space="preserve">16. </t>
  </si>
  <si>
    <t xml:space="preserve">17. </t>
  </si>
  <si>
    <t>Total Uses of Funds</t>
  </si>
  <si>
    <t>Total sources should equal total uses of funds.</t>
  </si>
  <si>
    <t>Table 1</t>
  </si>
  <si>
    <t>Table 2</t>
  </si>
  <si>
    <t>REVENUE SOURCE-PAYER</t>
  </si>
  <si>
    <t>CASH FLOW</t>
  </si>
  <si>
    <t>UTILIZATION</t>
  </si>
  <si>
    <t>STAFFING</t>
  </si>
  <si>
    <t>STATISTICS</t>
  </si>
  <si>
    <t xml:space="preserve">  Miscellaneous/Contract Income</t>
  </si>
  <si>
    <t xml:space="preserve">  Premium Revenue and Payer Incentives</t>
  </si>
  <si>
    <t xml:space="preserve">  Specialty Pharmacy</t>
  </si>
  <si>
    <t xml:space="preserve">  Outpatient Pharmacy Revenue</t>
  </si>
  <si>
    <t xml:space="preserve">  Reference Lab Revenue</t>
  </si>
  <si>
    <t xml:space="preserve">  Institutional Services Revenue</t>
  </si>
  <si>
    <t xml:space="preserve">  Reimbursed Expenses</t>
  </si>
  <si>
    <t>2017</t>
  </si>
  <si>
    <t xml:space="preserve">  Bad Debt (pre 2012)</t>
  </si>
  <si>
    <t>Budget 2017 Approved</t>
  </si>
  <si>
    <t>Rutland Regional Medical Center</t>
  </si>
  <si>
    <t>Nuclear Medicine</t>
  </si>
  <si>
    <t>Projected</t>
  </si>
  <si>
    <t>Owners Contingency</t>
  </si>
  <si>
    <t>*  This project has been included in our Strategic Financial Plan and will not have an impact on rates.</t>
  </si>
  <si>
    <t>*  Assumes 3.4% annual growth in net patient revenue.</t>
  </si>
  <si>
    <t>*  60% of project expenditures will occur in FY 2018, and 40% in FY 2019.</t>
  </si>
  <si>
    <t>*  Statistics will be calculated by the state after the CoN financial tables are e-mailed to and uploaded by the State to their Adaptive Planning software</t>
  </si>
  <si>
    <t>* This project will not be financed, so there are no debt related expenses.</t>
  </si>
  <si>
    <t>*  The growth in Other Operating Income for FY 2018 - 2020 is related to Retail Pharmacy.</t>
  </si>
  <si>
    <t>*  Per the State, we are not required to submit this since the formulas are not correct in the State's cash flow statement file.</t>
  </si>
  <si>
    <t>*  Projection 2017 and 2018 are based on detailed information prepared during the development of our 2018 budget</t>
  </si>
  <si>
    <t xml:space="preserve">*  FY 2017 and FY 2018 projected utilization is based on information used to build the 2018 budget that will be submitted to the State at the end of June. </t>
  </si>
  <si>
    <t>*   FY 2019 and 2020 utilization is anticipated to remain consistent with budget 2018.</t>
  </si>
  <si>
    <t>Other  (Owner's Contingency)</t>
  </si>
  <si>
    <t>*  Payer mix is based on FYTD 3/31/17 actual.</t>
  </si>
  <si>
    <t>*  Net to gross for FY 2017 and FY 2018 is based on information used to build the 2018 budget that will be submitted to the State at the end of June.</t>
  </si>
  <si>
    <t>*  Capital costs include the Nuclear Medicine camera, other furnishings, and construction costs to expand the space for the new, larger camera.</t>
  </si>
  <si>
    <t>*  The trade in discount included in the quote is assumed to be the Fair Market Value of the existing Nuclear Medicine camera that will be traded in for the new camera.  This fair market value was included in the costs in Table 1.</t>
  </si>
  <si>
    <t>*  Additional debt will be incurred in FY 2019 for $21.7 million to support the Medical Office Building project.</t>
  </si>
  <si>
    <t xml:space="preserve">*  FY 2017 and FY 2018 projected staffing is based on information used to build the 2018 budget that will be submitted to the State at the end of June. </t>
  </si>
  <si>
    <t>*   FY 2019 and 2020 staffing is anticipated to remain consistent with budget 2018.</t>
  </si>
  <si>
    <t>*  Projection 2019 and 2020 assumes merit/market for non-physician salaries of 3.5% per year and inflation of 3% per year for all other expenses</t>
  </si>
  <si>
    <t>*  Project expenses include $15,000 of asbestos abatement in 2018, depreciation of $155,160, Physicist annual equipment inspection of $2,200, training costs of $43,000 and Radiologic Pharmaceutical savings of $9,730 in 2019, and depreciation of $310,321, Physicist equipment inspection of $2,200, Equipment support &amp; maintenance agreements of $40,833 and Radiologic Pharmaceutical savings of $23,351 in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</si>
</sst>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_(* #,##0_);_(* \(#,##0\);_(* &quot;-&quot;??_);_(@_)"/>
    <numFmt numFmtId="166" formatCode="0.0%"/>
    <numFmt numFmtId="167" formatCode="_(&quot;$&quot;* #,##0_);_(&quot;$&quot;* \(#,##0\);_(&quot;$&quot;* &quot;-&quot;??_);_(@_)"/>
    <numFmt numFmtId="168" formatCode="mmm\ yyyy"/>
  </numFmts>
  <fonts count="19" x14ac:knownFonts="1">
    <font>
      <sz val="10"/>
      <name val="Arial"/>
    </font>
    <font>
      <b/>
      <sz val="10"/>
      <name val="Arial"/>
      <family val="2"/>
    </font>
    <font>
      <sz val="10"/>
      <name val="Arial"/>
      <family val="2"/>
    </font>
    <font>
      <b/>
      <sz val="12"/>
      <name val="Arial"/>
      <family val="2"/>
    </font>
    <font>
      <b/>
      <sz val="11"/>
      <name val="Arial"/>
      <family val="2"/>
    </font>
    <font>
      <sz val="14"/>
      <name val="Arial"/>
      <family val="2"/>
    </font>
    <font>
      <b/>
      <sz val="18"/>
      <name val="Arial"/>
      <family val="2"/>
    </font>
    <font>
      <i/>
      <sz val="10"/>
      <name val="Arial"/>
      <family val="2"/>
    </font>
    <font>
      <b/>
      <i/>
      <sz val="14"/>
      <name val="Arial"/>
      <family val="2"/>
    </font>
    <font>
      <sz val="10"/>
      <name val="Arial"/>
      <family val="2"/>
    </font>
    <font>
      <b/>
      <sz val="14"/>
      <name val="Arial"/>
      <family val="2"/>
    </font>
    <font>
      <sz val="12"/>
      <name val="Arial"/>
      <family val="2"/>
    </font>
    <font>
      <sz val="11"/>
      <name val="Arial"/>
      <family val="2"/>
    </font>
    <font>
      <sz val="12"/>
      <color indexed="12"/>
      <name val="Arial"/>
      <family val="2"/>
    </font>
    <font>
      <sz val="10"/>
      <color indexed="12"/>
      <name val="Arial"/>
      <family val="2"/>
    </font>
    <font>
      <u/>
      <sz val="10"/>
      <name val="Arial"/>
      <family val="2"/>
    </font>
    <font>
      <sz val="9"/>
      <name val="Arial"/>
      <family val="2"/>
    </font>
    <font>
      <sz val="20"/>
      <name val="Calibri"/>
      <family val="2"/>
    </font>
    <font>
      <sz val="12"/>
      <color theme="1"/>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indexed="22"/>
        <bgColor indexed="64"/>
      </patternFill>
    </fill>
  </fills>
  <borders count="32">
    <border>
      <left/>
      <right/>
      <top/>
      <bottom/>
      <diagonal/>
    </border>
    <border>
      <left/>
      <right/>
      <top style="thin">
        <color indexed="64"/>
      </top>
      <bottom/>
      <diagonal/>
    </border>
    <border>
      <left/>
      <right/>
      <top/>
      <bottom style="thin">
        <color indexed="64"/>
      </bottom>
      <diagonal/>
    </border>
    <border>
      <left/>
      <right/>
      <top/>
      <bottom style="double">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43" fontId="2" fillId="0" borderId="0" applyFont="0" applyFill="0" applyBorder="0" applyAlignment="0" applyProtection="0"/>
    <xf numFmtId="9" fontId="9" fillId="0" borderId="0" applyFont="0" applyFill="0" applyBorder="0" applyAlignment="0" applyProtection="0"/>
    <xf numFmtId="0" fontId="11" fillId="0" borderId="0"/>
    <xf numFmtId="44" fontId="2" fillId="0" borderId="0" applyFont="0" applyFill="0" applyBorder="0" applyAlignment="0" applyProtection="0"/>
    <xf numFmtId="9" fontId="2" fillId="0" borderId="0" applyFont="0" applyFill="0" applyBorder="0" applyAlignment="0" applyProtection="0"/>
  </cellStyleXfs>
  <cellXfs count="223">
    <xf numFmtId="0" fontId="0" fillId="0" borderId="0" xfId="0"/>
    <xf numFmtId="164" fontId="0" fillId="0" borderId="0" xfId="0" applyNumberFormat="1" applyFont="1"/>
    <xf numFmtId="0" fontId="0" fillId="2" borderId="0" xfId="0" applyFill="1"/>
    <xf numFmtId="0" fontId="1" fillId="2" borderId="0" xfId="0" applyFont="1" applyFill="1"/>
    <xf numFmtId="165" fontId="0" fillId="2" borderId="0" xfId="1" applyNumberFormat="1" applyFont="1" applyFill="1"/>
    <xf numFmtId="0" fontId="0" fillId="2" borderId="1" xfId="0" applyFill="1" applyBorder="1"/>
    <xf numFmtId="0" fontId="0" fillId="2" borderId="2" xfId="0" applyFill="1" applyBorder="1"/>
    <xf numFmtId="0" fontId="0" fillId="2" borderId="3" xfId="0" applyFill="1" applyBorder="1"/>
    <xf numFmtId="0" fontId="0" fillId="2" borderId="0" xfId="0" applyFill="1" applyBorder="1"/>
    <xf numFmtId="165" fontId="0" fillId="2" borderId="0" xfId="1" applyNumberFormat="1" applyFont="1" applyFill="1" applyBorder="1"/>
    <xf numFmtId="0" fontId="0" fillId="0" borderId="0" xfId="0"/>
    <xf numFmtId="0" fontId="0" fillId="0" borderId="0" xfId="0" applyBorder="1"/>
    <xf numFmtId="0" fontId="0" fillId="3" borderId="0" xfId="0" applyFill="1"/>
    <xf numFmtId="165" fontId="0" fillId="3" borderId="0" xfId="1" applyNumberFormat="1" applyFont="1" applyFill="1"/>
    <xf numFmtId="0" fontId="0" fillId="3" borderId="0" xfId="0" applyFill="1" applyBorder="1"/>
    <xf numFmtId="0" fontId="1" fillId="2" borderId="0" xfId="0" applyFont="1" applyFill="1" applyBorder="1" applyAlignment="1">
      <alignment wrapText="1"/>
    </xf>
    <xf numFmtId="0" fontId="0" fillId="0" borderId="0" xfId="0" applyFill="1" applyBorder="1"/>
    <xf numFmtId="0" fontId="6" fillId="2" borderId="0" xfId="0" applyFont="1" applyFill="1" applyBorder="1" applyAlignment="1">
      <alignment horizontal="center"/>
    </xf>
    <xf numFmtId="0" fontId="0" fillId="2" borderId="15" xfId="0" applyFill="1" applyBorder="1"/>
    <xf numFmtId="165" fontId="0" fillId="2" borderId="16" xfId="1" applyNumberFormat="1" applyFont="1" applyFill="1" applyBorder="1"/>
    <xf numFmtId="0" fontId="0" fillId="2" borderId="16" xfId="0" applyFill="1" applyBorder="1"/>
    <xf numFmtId="0" fontId="0" fillId="2" borderId="17" xfId="0" applyFill="1" applyBorder="1"/>
    <xf numFmtId="0" fontId="0" fillId="2" borderId="5" xfId="0" applyFill="1" applyBorder="1"/>
    <xf numFmtId="165" fontId="0" fillId="2" borderId="6" xfId="1" applyNumberFormat="1" applyFont="1" applyFill="1" applyBorder="1"/>
    <xf numFmtId="0" fontId="0" fillId="2" borderId="6" xfId="0" applyFill="1" applyBorder="1"/>
    <xf numFmtId="0" fontId="0" fillId="2" borderId="7" xfId="0" applyFill="1" applyBorder="1"/>
    <xf numFmtId="0" fontId="6" fillId="2" borderId="5" xfId="0" applyFont="1" applyFill="1" applyBorder="1" applyAlignment="1">
      <alignment horizontal="center"/>
    </xf>
    <xf numFmtId="0" fontId="6" fillId="2" borderId="6" xfId="0" applyFont="1" applyFill="1" applyBorder="1" applyAlignment="1">
      <alignment horizontal="center"/>
    </xf>
    <xf numFmtId="0" fontId="6" fillId="2" borderId="7" xfId="0" applyFont="1" applyFill="1" applyBorder="1" applyAlignment="1">
      <alignment horizontal="center"/>
    </xf>
    <xf numFmtId="0" fontId="7" fillId="2" borderId="0" xfId="0" applyFont="1" applyFill="1" applyBorder="1"/>
    <xf numFmtId="0" fontId="0" fillId="0" borderId="0" xfId="0" applyAlignment="1"/>
    <xf numFmtId="0" fontId="6" fillId="2" borderId="0" xfId="0" applyFont="1" applyFill="1" applyBorder="1" applyAlignment="1">
      <alignment horizontal="center"/>
    </xf>
    <xf numFmtId="0" fontId="0" fillId="0" borderId="0" xfId="0"/>
    <xf numFmtId="0" fontId="0" fillId="0" borderId="0" xfId="0" applyFill="1"/>
    <xf numFmtId="165" fontId="8" fillId="0" borderId="4" xfId="1" applyNumberFormat="1" applyFont="1" applyFill="1" applyBorder="1" applyAlignment="1">
      <alignment horizontal="center" vertical="center"/>
    </xf>
    <xf numFmtId="165" fontId="8" fillId="0" borderId="0" xfId="1" applyNumberFormat="1" applyFont="1" applyFill="1" applyBorder="1" applyAlignment="1">
      <alignment horizontal="center" vertical="center"/>
    </xf>
    <xf numFmtId="165" fontId="8" fillId="0" borderId="8" xfId="1" applyNumberFormat="1" applyFont="1" applyFill="1" applyBorder="1" applyAlignment="1">
      <alignment horizontal="center" vertical="center"/>
    </xf>
    <xf numFmtId="166" fontId="0" fillId="2" borderId="0" xfId="2" applyNumberFormat="1" applyFont="1" applyFill="1" applyBorder="1"/>
    <xf numFmtId="0" fontId="1" fillId="0" borderId="0" xfId="0" applyFont="1"/>
    <xf numFmtId="0" fontId="0" fillId="0" borderId="0" xfId="0"/>
    <xf numFmtId="0" fontId="1" fillId="0" borderId="0" xfId="0" applyFont="1" applyFill="1"/>
    <xf numFmtId="0" fontId="2" fillId="2" borderId="0" xfId="0" applyFont="1" applyFill="1"/>
    <xf numFmtId="0" fontId="2" fillId="2" borderId="0" xfId="0" applyFont="1" applyFill="1" applyBorder="1"/>
    <xf numFmtId="166" fontId="2" fillId="2" borderId="0" xfId="2" applyNumberFormat="1" applyFont="1" applyFill="1" applyBorder="1"/>
    <xf numFmtId="165" fontId="3" fillId="2" borderId="0" xfId="1" applyNumberFormat="1" applyFont="1" applyFill="1" applyBorder="1" applyAlignment="1">
      <alignment horizontal="center"/>
    </xf>
    <xf numFmtId="0" fontId="0" fillId="0" borderId="0" xfId="0"/>
    <xf numFmtId="0" fontId="11" fillId="2" borderId="4" xfId="0" applyFont="1" applyFill="1" applyBorder="1"/>
    <xf numFmtId="0" fontId="3" fillId="2" borderId="0" xfId="0" applyFont="1" applyFill="1" applyBorder="1" applyAlignment="1">
      <alignment horizontal="center"/>
    </xf>
    <xf numFmtId="0" fontId="3" fillId="2" borderId="0" xfId="0" applyFont="1" applyFill="1" applyBorder="1" applyAlignment="1">
      <alignment wrapText="1"/>
    </xf>
    <xf numFmtId="0" fontId="3" fillId="2" borderId="8" xfId="0" applyFont="1" applyFill="1" applyBorder="1" applyAlignment="1">
      <alignment wrapText="1"/>
    </xf>
    <xf numFmtId="165" fontId="3" fillId="2" borderId="0" xfId="1" quotePrefix="1" applyNumberFormat="1" applyFont="1" applyFill="1" applyBorder="1" applyAlignment="1">
      <alignment horizontal="center" wrapText="1"/>
    </xf>
    <xf numFmtId="0" fontId="3" fillId="4" borderId="0" xfId="0" applyFont="1" applyFill="1" applyBorder="1" applyAlignment="1">
      <alignment horizontal="center"/>
    </xf>
    <xf numFmtId="0" fontId="3" fillId="4" borderId="0" xfId="0" quotePrefix="1" applyFont="1" applyFill="1" applyBorder="1" applyAlignment="1">
      <alignment horizontal="center" wrapText="1"/>
    </xf>
    <xf numFmtId="0" fontId="3" fillId="4" borderId="8" xfId="0" quotePrefix="1" applyFont="1" applyFill="1" applyBorder="1" applyAlignment="1">
      <alignment horizontal="center" wrapText="1"/>
    </xf>
    <xf numFmtId="0" fontId="11" fillId="0" borderId="4" xfId="0" applyFont="1" applyFill="1" applyBorder="1"/>
    <xf numFmtId="165" fontId="3" fillId="0" borderId="0" xfId="1" applyNumberFormat="1" applyFont="1" applyFill="1" applyBorder="1" applyAlignment="1">
      <alignment horizontal="center"/>
    </xf>
    <xf numFmtId="165" fontId="3" fillId="0" borderId="0" xfId="1" quotePrefix="1" applyNumberFormat="1" applyFont="1" applyFill="1" applyBorder="1" applyAlignment="1">
      <alignment horizontal="center" wrapText="1"/>
    </xf>
    <xf numFmtId="0" fontId="3" fillId="0" borderId="0" xfId="0" applyFont="1" applyFill="1" applyBorder="1" applyAlignment="1">
      <alignment horizontal="center"/>
    </xf>
    <xf numFmtId="0" fontId="3" fillId="0" borderId="0" xfId="0" quotePrefix="1" applyFont="1" applyFill="1" applyBorder="1" applyAlignment="1">
      <alignment horizontal="center" wrapText="1"/>
    </xf>
    <xf numFmtId="0" fontId="3" fillId="2" borderId="4" xfId="0" applyFont="1" applyFill="1" applyBorder="1"/>
    <xf numFmtId="165" fontId="11" fillId="2" borderId="0" xfId="1" applyNumberFormat="1" applyFont="1" applyFill="1" applyBorder="1"/>
    <xf numFmtId="0" fontId="11" fillId="2" borderId="0" xfId="0" applyFont="1" applyFill="1" applyBorder="1"/>
    <xf numFmtId="0" fontId="11" fillId="2" borderId="8" xfId="0" applyFont="1" applyFill="1" applyBorder="1"/>
    <xf numFmtId="166" fontId="11" fillId="2" borderId="0" xfId="2" applyNumberFormat="1" applyFont="1" applyFill="1" applyBorder="1"/>
    <xf numFmtId="0" fontId="11" fillId="4" borderId="0" xfId="0" applyFont="1" applyFill="1" applyBorder="1"/>
    <xf numFmtId="166" fontId="11" fillId="4" borderId="0" xfId="2" applyNumberFormat="1" applyFont="1" applyFill="1" applyBorder="1"/>
    <xf numFmtId="166" fontId="11" fillId="4" borderId="8" xfId="2" applyNumberFormat="1" applyFont="1" applyFill="1" applyBorder="1"/>
    <xf numFmtId="165" fontId="11" fillId="2" borderId="2" xfId="1" applyNumberFormat="1" applyFont="1" applyFill="1" applyBorder="1"/>
    <xf numFmtId="165" fontId="11" fillId="2" borderId="12" xfId="1" applyNumberFormat="1" applyFont="1" applyFill="1" applyBorder="1"/>
    <xf numFmtId="0" fontId="11" fillId="2" borderId="9" xfId="0" applyFont="1" applyFill="1" applyBorder="1"/>
    <xf numFmtId="165" fontId="11" fillId="2" borderId="1" xfId="1" applyNumberFormat="1" applyFont="1" applyFill="1" applyBorder="1"/>
    <xf numFmtId="166" fontId="11" fillId="2" borderId="1" xfId="2" applyNumberFormat="1" applyFont="1" applyFill="1" applyBorder="1"/>
    <xf numFmtId="166" fontId="11" fillId="2" borderId="10" xfId="2" applyNumberFormat="1" applyFont="1" applyFill="1" applyBorder="1"/>
    <xf numFmtId="165" fontId="11" fillId="2" borderId="8" xfId="1" applyNumberFormat="1" applyFont="1" applyFill="1" applyBorder="1"/>
    <xf numFmtId="0" fontId="3" fillId="2" borderId="9" xfId="0" applyFont="1" applyFill="1" applyBorder="1"/>
    <xf numFmtId="0" fontId="3" fillId="2" borderId="11" xfId="0" applyFont="1" applyFill="1" applyBorder="1"/>
    <xf numFmtId="166" fontId="11" fillId="2" borderId="2" xfId="2" applyNumberFormat="1" applyFont="1" applyFill="1" applyBorder="1"/>
    <xf numFmtId="166" fontId="11" fillId="2" borderId="12" xfId="2" applyNumberFormat="1" applyFont="1" applyFill="1" applyBorder="1"/>
    <xf numFmtId="165" fontId="11" fillId="4" borderId="0" xfId="1" applyNumberFormat="1" applyFont="1" applyFill="1" applyBorder="1"/>
    <xf numFmtId="165" fontId="11" fillId="4" borderId="8" xfId="1" applyNumberFormat="1" applyFont="1" applyFill="1" applyBorder="1"/>
    <xf numFmtId="166" fontId="11" fillId="2" borderId="8" xfId="2" applyNumberFormat="1" applyFont="1" applyFill="1" applyBorder="1"/>
    <xf numFmtId="166" fontId="11" fillId="4" borderId="2" xfId="2" applyNumberFormat="1" applyFont="1" applyFill="1" applyBorder="1"/>
    <xf numFmtId="166" fontId="11" fillId="4" borderId="12" xfId="2" applyNumberFormat="1" applyFont="1" applyFill="1" applyBorder="1"/>
    <xf numFmtId="165" fontId="11" fillId="2" borderId="10" xfId="1" applyNumberFormat="1" applyFont="1" applyFill="1" applyBorder="1"/>
    <xf numFmtId="0" fontId="3" fillId="3" borderId="13" xfId="0" applyFont="1" applyFill="1" applyBorder="1"/>
    <xf numFmtId="165" fontId="11" fillId="3" borderId="3" xfId="1" applyNumberFormat="1" applyFont="1" applyFill="1" applyBorder="1"/>
    <xf numFmtId="166" fontId="11" fillId="3" borderId="3" xfId="2" applyNumberFormat="1" applyFont="1" applyFill="1" applyBorder="1"/>
    <xf numFmtId="166" fontId="11" fillId="3" borderId="14" xfId="2" applyNumberFormat="1" applyFont="1" applyFill="1" applyBorder="1"/>
    <xf numFmtId="0" fontId="11" fillId="2" borderId="15" xfId="0" applyFont="1" applyFill="1" applyBorder="1"/>
    <xf numFmtId="165" fontId="11" fillId="2" borderId="16" xfId="1" applyNumberFormat="1" applyFont="1" applyFill="1" applyBorder="1"/>
    <xf numFmtId="0" fontId="11" fillId="2" borderId="16" xfId="0" applyFont="1" applyFill="1" applyBorder="1"/>
    <xf numFmtId="0" fontId="11" fillId="2" borderId="17" xfId="0" applyFont="1" applyFill="1" applyBorder="1"/>
    <xf numFmtId="0" fontId="11" fillId="2" borderId="0" xfId="0" applyFont="1" applyFill="1"/>
    <xf numFmtId="165" fontId="11" fillId="2" borderId="0" xfId="1" applyNumberFormat="1" applyFont="1" applyFill="1"/>
    <xf numFmtId="165" fontId="11" fillId="0" borderId="0" xfId="1" applyNumberFormat="1" applyFont="1" applyFill="1" applyBorder="1"/>
    <xf numFmtId="0" fontId="11" fillId="0" borderId="0" xfId="0" applyFont="1" applyFill="1" applyBorder="1"/>
    <xf numFmtId="165" fontId="11" fillId="0" borderId="1" xfId="1" applyNumberFormat="1" applyFont="1" applyFill="1" applyBorder="1"/>
    <xf numFmtId="165" fontId="11" fillId="0" borderId="2" xfId="1" applyNumberFormat="1" applyFont="1" applyFill="1" applyBorder="1"/>
    <xf numFmtId="165" fontId="3" fillId="2" borderId="8" xfId="1" quotePrefix="1" applyNumberFormat="1" applyFont="1" applyFill="1" applyBorder="1" applyAlignment="1">
      <alignment horizontal="center" wrapText="1"/>
    </xf>
    <xf numFmtId="165" fontId="3" fillId="2" borderId="0" xfId="1" applyNumberFormat="1" applyFont="1" applyFill="1" applyBorder="1" applyAlignment="1">
      <alignment horizontal="center"/>
    </xf>
    <xf numFmtId="0" fontId="6" fillId="2" borderId="0" xfId="0" applyFont="1" applyFill="1" applyBorder="1" applyAlignment="1">
      <alignment horizontal="center"/>
    </xf>
    <xf numFmtId="0" fontId="0" fillId="0" borderId="0" xfId="0"/>
    <xf numFmtId="0" fontId="0" fillId="0" borderId="0" xfId="0"/>
    <xf numFmtId="0" fontId="12" fillId="0" borderId="0" xfId="0" applyFont="1"/>
    <xf numFmtId="0" fontId="3" fillId="0" borderId="21" xfId="0" applyFont="1" applyBorder="1"/>
    <xf numFmtId="0" fontId="11" fillId="0" borderId="1" xfId="0" applyFont="1" applyBorder="1"/>
    <xf numFmtId="0" fontId="11" fillId="0" borderId="22" xfId="0" applyFont="1" applyBorder="1"/>
    <xf numFmtId="0" fontId="13" fillId="0" borderId="23" xfId="0" quotePrefix="1" applyFont="1" applyBorder="1" applyAlignment="1">
      <alignment horizontal="right"/>
    </xf>
    <xf numFmtId="0" fontId="13" fillId="0" borderId="0" xfId="0" applyFont="1" applyBorder="1"/>
    <xf numFmtId="0" fontId="11" fillId="0" borderId="0" xfId="0" applyFont="1" applyBorder="1"/>
    <xf numFmtId="167" fontId="13" fillId="5" borderId="24" xfId="4" applyNumberFormat="1" applyFont="1" applyFill="1" applyBorder="1" applyProtection="1">
      <protection locked="0"/>
    </xf>
    <xf numFmtId="6" fontId="13" fillId="5" borderId="24" xfId="4" applyNumberFormat="1" applyFont="1" applyFill="1" applyBorder="1" applyProtection="1">
      <protection locked="0"/>
    </xf>
    <xf numFmtId="41" fontId="13" fillId="5" borderId="24" xfId="4" applyNumberFormat="1" applyFont="1" applyFill="1" applyBorder="1" applyProtection="1">
      <protection locked="0"/>
    </xf>
    <xf numFmtId="41" fontId="13" fillId="5" borderId="25" xfId="4" applyNumberFormat="1" applyFont="1" applyFill="1" applyBorder="1" applyProtection="1">
      <protection locked="0"/>
    </xf>
    <xf numFmtId="0" fontId="11" fillId="0" borderId="23" xfId="0" applyFont="1" applyBorder="1"/>
    <xf numFmtId="0" fontId="11" fillId="0" borderId="0" xfId="0" applyFont="1" applyBorder="1" applyAlignment="1">
      <alignment horizontal="left"/>
    </xf>
    <xf numFmtId="167" fontId="11" fillId="0" borderId="26" xfId="4" applyNumberFormat="1" applyFont="1" applyBorder="1"/>
    <xf numFmtId="0" fontId="11" fillId="0" borderId="24" xfId="0" applyFont="1" applyBorder="1"/>
    <xf numFmtId="0" fontId="3" fillId="0" borderId="23" xfId="0" applyFont="1" applyBorder="1"/>
    <xf numFmtId="0" fontId="11" fillId="0" borderId="23" xfId="0" quotePrefix="1" applyFont="1" applyBorder="1" applyAlignment="1">
      <alignment horizontal="right"/>
    </xf>
    <xf numFmtId="41" fontId="11" fillId="0" borderId="24" xfId="4" applyNumberFormat="1" applyFont="1" applyBorder="1"/>
    <xf numFmtId="5" fontId="0" fillId="0" borderId="0" xfId="1" applyNumberFormat="1" applyFont="1" applyBorder="1" applyAlignment="1">
      <alignment horizontal="center"/>
    </xf>
    <xf numFmtId="167" fontId="3" fillId="0" borderId="27" xfId="0" applyNumberFormat="1" applyFont="1" applyBorder="1"/>
    <xf numFmtId="0" fontId="0" fillId="0" borderId="28" xfId="0" applyBorder="1"/>
    <xf numFmtId="0" fontId="0" fillId="0" borderId="2" xfId="0" applyBorder="1"/>
    <xf numFmtId="0" fontId="0" fillId="0" borderId="25" xfId="0" applyBorder="1"/>
    <xf numFmtId="0" fontId="0" fillId="0" borderId="16" xfId="0" applyBorder="1"/>
    <xf numFmtId="165" fontId="0" fillId="0" borderId="0" xfId="1" applyNumberFormat="1" applyFont="1"/>
    <xf numFmtId="167" fontId="11" fillId="0" borderId="24" xfId="0" applyNumberFormat="1" applyFont="1" applyBorder="1"/>
    <xf numFmtId="167" fontId="11" fillId="0" borderId="26" xfId="0" applyNumberFormat="1" applyFont="1" applyBorder="1"/>
    <xf numFmtId="0" fontId="12" fillId="0" borderId="0" xfId="0" applyFont="1" applyBorder="1"/>
    <xf numFmtId="0" fontId="0" fillId="0" borderId="1" xfId="0" applyBorder="1"/>
    <xf numFmtId="0" fontId="0" fillId="0" borderId="22" xfId="0" applyBorder="1"/>
    <xf numFmtId="0" fontId="1" fillId="0" borderId="23" xfId="0" applyFont="1" applyBorder="1"/>
    <xf numFmtId="0" fontId="0" fillId="0" borderId="24" xfId="0" applyBorder="1"/>
    <xf numFmtId="0" fontId="14" fillId="0" borderId="23" xfId="0" quotePrefix="1" applyFont="1" applyBorder="1" applyAlignment="1">
      <alignment horizontal="right"/>
    </xf>
    <xf numFmtId="0" fontId="14" fillId="0" borderId="0" xfId="0" applyFont="1" applyBorder="1"/>
    <xf numFmtId="0" fontId="14" fillId="5" borderId="0" xfId="0" applyFont="1" applyFill="1" applyBorder="1" applyAlignment="1" applyProtection="1">
      <alignment horizontal="right"/>
      <protection locked="0"/>
    </xf>
    <xf numFmtId="0" fontId="0" fillId="0" borderId="23" xfId="0" applyBorder="1"/>
    <xf numFmtId="0" fontId="14" fillId="0" borderId="0" xfId="0" quotePrefix="1" applyFont="1" applyBorder="1" applyAlignment="1">
      <alignment horizontal="right"/>
    </xf>
    <xf numFmtId="166" fontId="14" fillId="5" borderId="0" xfId="5" applyNumberFormat="1" applyFont="1" applyFill="1" applyBorder="1" applyAlignment="1" applyProtection="1">
      <alignment horizontal="right"/>
      <protection locked="0"/>
    </xf>
    <xf numFmtId="0" fontId="0" fillId="0" borderId="24" xfId="0" applyBorder="1" applyAlignment="1"/>
    <xf numFmtId="168" fontId="14" fillId="5" borderId="0" xfId="0" applyNumberFormat="1" applyFont="1" applyFill="1" applyBorder="1" applyAlignment="1" applyProtection="1">
      <alignment horizontal="right"/>
      <protection locked="0"/>
    </xf>
    <xf numFmtId="0" fontId="0" fillId="0" borderId="0" xfId="0" applyBorder="1" applyAlignment="1">
      <alignment horizontal="center"/>
    </xf>
    <xf numFmtId="168" fontId="14" fillId="5" borderId="0" xfId="0" applyNumberFormat="1" applyFont="1" applyFill="1" applyBorder="1" applyAlignment="1" applyProtection="1">
      <alignment horizontal="left"/>
      <protection locked="0"/>
    </xf>
    <xf numFmtId="42" fontId="14" fillId="5" borderId="24" xfId="4" applyNumberFormat="1" applyFont="1" applyFill="1" applyBorder="1" applyAlignment="1" applyProtection="1">
      <protection locked="0"/>
    </xf>
    <xf numFmtId="41" fontId="14" fillId="5" borderId="24" xfId="4" applyNumberFormat="1" applyFont="1" applyFill="1" applyBorder="1" applyAlignment="1" applyProtection="1">
      <protection locked="0"/>
    </xf>
    <xf numFmtId="41" fontId="14" fillId="0" borderId="24" xfId="4" applyNumberFormat="1" applyFont="1" applyBorder="1" applyAlignment="1"/>
    <xf numFmtId="0" fontId="14" fillId="0" borderId="23" xfId="0" applyFont="1" applyBorder="1" applyAlignment="1">
      <alignment horizontal="right"/>
    </xf>
    <xf numFmtId="0" fontId="14" fillId="0" borderId="0" xfId="0" applyFont="1" applyBorder="1" applyAlignment="1">
      <alignment horizontal="right"/>
    </xf>
    <xf numFmtId="0" fontId="2" fillId="0" borderId="0" xfId="0" applyFont="1" applyBorder="1" applyAlignment="1"/>
    <xf numFmtId="0" fontId="2" fillId="0" borderId="0" xfId="0" applyFont="1" applyBorder="1"/>
    <xf numFmtId="166" fontId="2" fillId="0" borderId="0" xfId="5" applyNumberFormat="1" applyFont="1" applyBorder="1" applyAlignment="1">
      <alignment horizontal="right"/>
    </xf>
    <xf numFmtId="0" fontId="2" fillId="0" borderId="0" xfId="0" applyFont="1" applyBorder="1" applyAlignment="1">
      <alignment horizontal="right"/>
    </xf>
    <xf numFmtId="0" fontId="2" fillId="0" borderId="0" xfId="0" applyFont="1" applyBorder="1" applyAlignment="1">
      <alignment horizontal="center"/>
    </xf>
    <xf numFmtId="41" fontId="14" fillId="5" borderId="25" xfId="4" applyNumberFormat="1" applyFont="1" applyFill="1" applyBorder="1" applyAlignment="1" applyProtection="1">
      <protection locked="0"/>
    </xf>
    <xf numFmtId="42" fontId="1" fillId="0" borderId="27" xfId="4" applyNumberFormat="1" applyFont="1" applyBorder="1" applyAlignment="1"/>
    <xf numFmtId="0" fontId="15" fillId="0" borderId="23" xfId="0" applyFont="1" applyBorder="1"/>
    <xf numFmtId="0" fontId="15" fillId="0" borderId="29" xfId="0" applyFont="1" applyBorder="1" applyAlignment="1">
      <alignment horizontal="center"/>
    </xf>
    <xf numFmtId="0" fontId="0" fillId="0" borderId="23" xfId="0" quotePrefix="1" applyBorder="1" applyAlignment="1">
      <alignment horizontal="right"/>
    </xf>
    <xf numFmtId="167" fontId="0" fillId="0" borderId="24" xfId="4" applyNumberFormat="1" applyFont="1" applyBorder="1" applyAlignment="1">
      <alignment horizontal="right"/>
    </xf>
    <xf numFmtId="5" fontId="0" fillId="0" borderId="30" xfId="0" applyNumberFormat="1" applyBorder="1" applyAlignment="1">
      <alignment horizontal="center"/>
    </xf>
    <xf numFmtId="41" fontId="0" fillId="0" borderId="24" xfId="4" applyNumberFormat="1" applyFont="1" applyBorder="1"/>
    <xf numFmtId="41" fontId="0" fillId="0" borderId="25" xfId="4" applyNumberFormat="1" applyFont="1" applyBorder="1"/>
    <xf numFmtId="0" fontId="0" fillId="0" borderId="30" xfId="0" applyBorder="1"/>
    <xf numFmtId="0" fontId="1" fillId="0" borderId="23" xfId="0" applyFont="1" applyBorder="1" applyAlignment="1"/>
    <xf numFmtId="167" fontId="1" fillId="0" borderId="27" xfId="0" applyNumberFormat="1" applyFont="1" applyBorder="1"/>
    <xf numFmtId="5" fontId="0" fillId="0" borderId="31" xfId="0" applyNumberFormat="1" applyBorder="1" applyAlignment="1">
      <alignment horizontal="center"/>
    </xf>
    <xf numFmtId="0" fontId="16" fillId="0" borderId="0" xfId="0" applyFont="1"/>
    <xf numFmtId="0" fontId="6" fillId="2" borderId="0" xfId="0" applyFont="1" applyFill="1" applyBorder="1" applyAlignment="1">
      <alignment horizontal="center"/>
    </xf>
    <xf numFmtId="165" fontId="3" fillId="2" borderId="0" xfId="1" applyNumberFormat="1" applyFont="1" applyFill="1" applyBorder="1" applyAlignment="1">
      <alignment horizontal="center"/>
    </xf>
    <xf numFmtId="0" fontId="3" fillId="0" borderId="0" xfId="0" applyFont="1" applyFill="1" applyBorder="1" applyAlignment="1">
      <alignment wrapText="1"/>
    </xf>
    <xf numFmtId="0" fontId="11" fillId="4" borderId="8" xfId="0" applyFont="1" applyFill="1" applyBorder="1"/>
    <xf numFmtId="165" fontId="11" fillId="4" borderId="2" xfId="1" applyNumberFormat="1" applyFont="1" applyFill="1" applyBorder="1"/>
    <xf numFmtId="165" fontId="11" fillId="4" borderId="12" xfId="1" applyNumberFormat="1" applyFont="1" applyFill="1" applyBorder="1"/>
    <xf numFmtId="165" fontId="11" fillId="4" borderId="1" xfId="1" applyNumberFormat="1" applyFont="1" applyFill="1" applyBorder="1"/>
    <xf numFmtId="166" fontId="11" fillId="4" borderId="1" xfId="2" applyNumberFormat="1" applyFont="1" applyFill="1" applyBorder="1"/>
    <xf numFmtId="166" fontId="11" fillId="4" borderId="10" xfId="2" applyNumberFormat="1" applyFont="1" applyFill="1" applyBorder="1"/>
    <xf numFmtId="165" fontId="3" fillId="2" borderId="0" xfId="1" applyNumberFormat="1" applyFont="1" applyFill="1" applyBorder="1" applyAlignment="1">
      <alignment horizontal="center"/>
    </xf>
    <xf numFmtId="0" fontId="6" fillId="2" borderId="0" xfId="0" applyFont="1" applyFill="1" applyBorder="1" applyAlignment="1">
      <alignment horizontal="center"/>
    </xf>
    <xf numFmtId="0" fontId="0" fillId="0" borderId="0" xfId="0"/>
    <xf numFmtId="0" fontId="0" fillId="0" borderId="0" xfId="0"/>
    <xf numFmtId="0" fontId="0" fillId="0" borderId="0" xfId="0" applyAlignment="1">
      <alignment wrapText="1"/>
    </xf>
    <xf numFmtId="0" fontId="1" fillId="0" borderId="0" xfId="0" applyFont="1" applyAlignment="1">
      <alignment wrapText="1"/>
    </xf>
    <xf numFmtId="0" fontId="2" fillId="0" borderId="0" xfId="0" applyFont="1" applyAlignment="1">
      <alignment wrapText="1"/>
    </xf>
    <xf numFmtId="0" fontId="0" fillId="0" borderId="0" xfId="0"/>
    <xf numFmtId="0" fontId="2" fillId="0" borderId="0" xfId="0" applyFont="1" applyFill="1" applyAlignment="1">
      <alignment wrapText="1"/>
    </xf>
    <xf numFmtId="0" fontId="18" fillId="4" borderId="0" xfId="0" applyFont="1" applyFill="1" applyBorder="1"/>
    <xf numFmtId="165" fontId="18" fillId="4" borderId="0" xfId="1" applyNumberFormat="1" applyFont="1" applyFill="1" applyBorder="1"/>
    <xf numFmtId="165" fontId="18" fillId="4" borderId="1" xfId="1" applyNumberFormat="1" applyFont="1" applyFill="1" applyBorder="1"/>
    <xf numFmtId="166" fontId="18" fillId="4" borderId="0" xfId="2" applyNumberFormat="1" applyFont="1" applyFill="1" applyBorder="1"/>
    <xf numFmtId="166" fontId="18" fillId="4" borderId="2" xfId="2" applyNumberFormat="1" applyFont="1" applyFill="1" applyBorder="1"/>
    <xf numFmtId="0" fontId="0" fillId="0" borderId="0" xfId="0"/>
    <xf numFmtId="0" fontId="12" fillId="0" borderId="0" xfId="3" applyFont="1" applyBorder="1" applyAlignment="1" applyProtection="1">
      <alignment horizontal="center"/>
    </xf>
    <xf numFmtId="0" fontId="3" fillId="0" borderId="0" xfId="3" applyFont="1" applyBorder="1" applyAlignment="1" applyProtection="1">
      <alignment horizontal="center"/>
    </xf>
    <xf numFmtId="0" fontId="4" fillId="0" borderId="0" xfId="3" applyFont="1" applyBorder="1" applyAlignment="1" applyProtection="1">
      <alignment horizontal="center"/>
    </xf>
    <xf numFmtId="0" fontId="2" fillId="0" borderId="0" xfId="3" applyFont="1" applyBorder="1" applyAlignment="1" applyProtection="1">
      <alignment horizontal="center"/>
    </xf>
    <xf numFmtId="165" fontId="3" fillId="2" borderId="4" xfId="1" applyNumberFormat="1" applyFont="1" applyFill="1" applyBorder="1" applyAlignment="1">
      <alignment horizontal="center"/>
    </xf>
    <xf numFmtId="165" fontId="3" fillId="2" borderId="0" xfId="1" applyNumberFormat="1" applyFont="1" applyFill="1" applyBorder="1" applyAlignment="1">
      <alignment horizontal="center"/>
    </xf>
    <xf numFmtId="165" fontId="3" fillId="2" borderId="8" xfId="1" applyNumberFormat="1" applyFont="1" applyFill="1" applyBorder="1" applyAlignment="1">
      <alignment horizontal="center"/>
    </xf>
    <xf numFmtId="0" fontId="6" fillId="2" borderId="0"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4" fillId="2" borderId="17" xfId="0" applyFont="1" applyFill="1" applyBorder="1" applyAlignment="1">
      <alignment horizontal="center"/>
    </xf>
    <xf numFmtId="0" fontId="17" fillId="4" borderId="16" xfId="0" applyFont="1" applyFill="1" applyBorder="1" applyAlignment="1">
      <alignment horizontal="center"/>
    </xf>
    <xf numFmtId="0" fontId="17" fillId="4" borderId="17" xfId="0" applyFont="1" applyFill="1" applyBorder="1" applyAlignment="1">
      <alignment horizontal="center"/>
    </xf>
    <xf numFmtId="165" fontId="8" fillId="0" borderId="5" xfId="1" applyNumberFormat="1" applyFont="1" applyFill="1" applyBorder="1" applyAlignment="1">
      <alignment horizontal="center" vertical="center"/>
    </xf>
    <xf numFmtId="165" fontId="8" fillId="0" borderId="6" xfId="1" applyNumberFormat="1" applyFont="1" applyFill="1" applyBorder="1" applyAlignment="1">
      <alignment horizontal="center" vertical="center"/>
    </xf>
    <xf numFmtId="165" fontId="8" fillId="0" borderId="7" xfId="1" applyNumberFormat="1" applyFont="1" applyFill="1" applyBorder="1" applyAlignment="1">
      <alignment horizontal="center" vertical="center"/>
    </xf>
    <xf numFmtId="165" fontId="8" fillId="4" borderId="18" xfId="1" applyNumberFormat="1" applyFont="1" applyFill="1" applyBorder="1" applyAlignment="1">
      <alignment horizontal="center" vertical="center"/>
    </xf>
    <xf numFmtId="165" fontId="8" fillId="4" borderId="19" xfId="1" applyNumberFormat="1" applyFont="1" applyFill="1" applyBorder="1" applyAlignment="1">
      <alignment horizontal="center" vertical="center"/>
    </xf>
    <xf numFmtId="165" fontId="8" fillId="4" borderId="20" xfId="1" applyNumberFormat="1" applyFont="1" applyFill="1" applyBorder="1" applyAlignment="1">
      <alignment horizontal="center" vertical="center"/>
    </xf>
    <xf numFmtId="165" fontId="5" fillId="2" borderId="5" xfId="1" applyNumberFormat="1" applyFont="1" applyFill="1" applyBorder="1" applyAlignment="1">
      <alignment horizontal="center"/>
    </xf>
    <xf numFmtId="165" fontId="5" fillId="2" borderId="6" xfId="1" applyNumberFormat="1" applyFont="1" applyFill="1" applyBorder="1" applyAlignment="1">
      <alignment horizontal="center"/>
    </xf>
    <xf numFmtId="165" fontId="5" fillId="2" borderId="7" xfId="1" applyNumberFormat="1" applyFont="1" applyFill="1" applyBorder="1" applyAlignment="1">
      <alignment horizontal="center"/>
    </xf>
    <xf numFmtId="0" fontId="0" fillId="0" borderId="0" xfId="0"/>
    <xf numFmtId="0" fontId="0" fillId="0" borderId="0" xfId="0" applyAlignment="1"/>
    <xf numFmtId="0" fontId="10" fillId="0" borderId="0" xfId="0" applyFont="1" applyAlignment="1"/>
    <xf numFmtId="0" fontId="3" fillId="0" borderId="0" xfId="0" applyFont="1" applyAlignment="1"/>
    <xf numFmtId="0" fontId="1" fillId="0" borderId="0" xfId="0" applyFont="1" applyFill="1" applyAlignment="1"/>
    <xf numFmtId="0" fontId="10" fillId="0" borderId="0" xfId="0" applyFont="1" applyAlignment="1">
      <alignment horizontal="center" wrapText="1"/>
    </xf>
    <xf numFmtId="0" fontId="3" fillId="0" borderId="0" xfId="0" applyFont="1" applyAlignment="1">
      <alignment horizontal="center" wrapText="1"/>
    </xf>
    <xf numFmtId="0" fontId="1" fillId="0" borderId="0" xfId="0" applyFont="1" applyFill="1" applyAlignment="1">
      <alignment horizontal="center" wrapText="1"/>
    </xf>
  </cellXfs>
  <cellStyles count="6">
    <cellStyle name="Comma" xfId="1" builtinId="3"/>
    <cellStyle name="Currency 2" xfId="4"/>
    <cellStyle name="Normal" xfId="0" builtinId="0"/>
    <cellStyle name="Normal_B04H32" xfId="3"/>
    <cellStyle name="Percent" xfId="2" builtinId="5"/>
    <cellStyle name="Percent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419100</xdr:colOff>
      <xdr:row>64</xdr:row>
      <xdr:rowOff>123824</xdr:rowOff>
    </xdr:from>
    <xdr:ext cx="10801350" cy="3364639"/>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419100" y="10048874"/>
          <a:ext cx="10801350" cy="336463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Notes to Support Assumptions:</a:t>
          </a:r>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76200</xdr:colOff>
      <xdr:row>25</xdr:row>
      <xdr:rowOff>76200</xdr:rowOff>
    </xdr:from>
    <xdr:to>
      <xdr:col>6</xdr:col>
      <xdr:colOff>0</xdr:colOff>
      <xdr:row>51</xdr:row>
      <xdr:rowOff>114300</xdr:rowOff>
    </xdr:to>
    <xdr:sp macro="" textlink="">
      <xdr:nvSpPr>
        <xdr:cNvPr id="2" name="Freeform 4">
          <a:extLst>
            <a:ext uri="{FF2B5EF4-FFF2-40B4-BE49-F238E27FC236}">
              <a16:creationId xmlns:a16="http://schemas.microsoft.com/office/drawing/2014/main" xmlns="" id="{00000000-0008-0000-0100-000002000000}"/>
            </a:ext>
          </a:extLst>
        </xdr:cNvPr>
        <xdr:cNvSpPr>
          <a:spLocks/>
        </xdr:cNvSpPr>
      </xdr:nvSpPr>
      <xdr:spPr bwMode="auto">
        <a:xfrm>
          <a:off x="4886325" y="4676775"/>
          <a:ext cx="238125" cy="5048250"/>
        </a:xfrm>
        <a:custGeom>
          <a:avLst/>
          <a:gdLst>
            <a:gd name="T0" fmla="*/ 0 w 91"/>
            <a:gd name="T1" fmla="*/ 2147483647 h 489"/>
            <a:gd name="T2" fmla="*/ 2147483647 w 91"/>
            <a:gd name="T3" fmla="*/ 2147483647 h 489"/>
            <a:gd name="T4" fmla="*/ 2147483647 w 91"/>
            <a:gd name="T5" fmla="*/ 0 h 489"/>
            <a:gd name="T6" fmla="*/ 2147483647 w 91"/>
            <a:gd name="T7" fmla="*/ 0 h 48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91" h="489">
              <a:moveTo>
                <a:pt x="0" y="489"/>
              </a:moveTo>
              <a:lnTo>
                <a:pt x="91" y="489"/>
              </a:lnTo>
              <a:lnTo>
                <a:pt x="91" y="0"/>
              </a:lnTo>
              <a:lnTo>
                <a:pt x="1" y="0"/>
              </a:lnTo>
            </a:path>
          </a:pathLst>
        </a:custGeom>
        <a:noFill/>
        <a:ln w="1905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8"/>
  <sheetViews>
    <sheetView tabSelected="1" topLeftCell="A21" workbookViewId="0">
      <selection activeCell="A30" sqref="A30"/>
    </sheetView>
  </sheetViews>
  <sheetFormatPr defaultRowHeight="12.75" x14ac:dyDescent="0.2"/>
  <cols>
    <col min="1" max="1" width="136" style="182" customWidth="1"/>
    <col min="2" max="2" width="10.85546875" customWidth="1"/>
    <col min="3" max="3" width="10" customWidth="1"/>
    <col min="4" max="4" width="11.140625" customWidth="1"/>
  </cols>
  <sheetData>
    <row r="1" spans="1:5" ht="39" customHeight="1" x14ac:dyDescent="0.25">
      <c r="A1" s="220" t="s">
        <v>78</v>
      </c>
      <c r="B1" s="217"/>
      <c r="C1" s="217"/>
      <c r="D1" s="217"/>
    </row>
    <row r="2" spans="1:5" s="32" customFormat="1" ht="15.75" x14ac:dyDescent="0.25">
      <c r="A2" s="221" t="str">
        <f>+'Report Info'!B5</f>
        <v>Rutland Regional Medical Center</v>
      </c>
      <c r="B2" s="218"/>
      <c r="C2" s="218"/>
      <c r="D2" s="218"/>
    </row>
    <row r="3" spans="1:5" s="32" customFormat="1" x14ac:dyDescent="0.2">
      <c r="A3" s="222" t="str">
        <f>+PL!D4</f>
        <v>Nuclear Medicine</v>
      </c>
      <c r="B3" s="219"/>
      <c r="C3" s="219"/>
      <c r="D3" s="219"/>
    </row>
    <row r="4" spans="1:5" s="32" customFormat="1" x14ac:dyDescent="0.2">
      <c r="A4" s="182"/>
    </row>
    <row r="5" spans="1:5" x14ac:dyDescent="0.2">
      <c r="B5" s="15"/>
      <c r="C5" s="15"/>
      <c r="D5" s="15"/>
    </row>
    <row r="6" spans="1:5" s="101" customFormat="1" x14ac:dyDescent="0.2">
      <c r="A6" s="183" t="s">
        <v>164</v>
      </c>
      <c r="B6" s="38"/>
      <c r="C6" s="38"/>
      <c r="D6" s="38"/>
      <c r="E6" s="38"/>
    </row>
    <row r="7" spans="1:5" s="101" customFormat="1" x14ac:dyDescent="0.2">
      <c r="A7" s="183"/>
      <c r="B7" s="38"/>
      <c r="C7" s="38"/>
      <c r="D7" s="38"/>
      <c r="E7" s="38"/>
    </row>
    <row r="8" spans="1:5" s="101" customFormat="1" x14ac:dyDescent="0.2">
      <c r="A8" s="184" t="s">
        <v>198</v>
      </c>
      <c r="B8" s="38"/>
      <c r="C8" s="38"/>
      <c r="D8" s="38"/>
      <c r="E8" s="38"/>
    </row>
    <row r="9" spans="1:5" s="101" customFormat="1" ht="24.75" customHeight="1" x14ac:dyDescent="0.2">
      <c r="A9" s="184" t="s">
        <v>199</v>
      </c>
      <c r="B9" s="38"/>
      <c r="C9" s="38"/>
      <c r="D9" s="38"/>
      <c r="E9" s="38"/>
    </row>
    <row r="10" spans="1:5" s="192" customFormat="1" ht="24.75" customHeight="1" x14ac:dyDescent="0.2">
      <c r="A10" s="184"/>
      <c r="B10" s="38"/>
      <c r="C10" s="38"/>
      <c r="D10" s="38"/>
      <c r="E10" s="38"/>
    </row>
    <row r="11" spans="1:5" s="101" customFormat="1" x14ac:dyDescent="0.2">
      <c r="A11" s="183"/>
      <c r="B11" s="38"/>
      <c r="C11" s="38"/>
      <c r="D11" s="38"/>
      <c r="E11" s="38"/>
    </row>
    <row r="12" spans="1:5" s="101" customFormat="1" x14ac:dyDescent="0.2">
      <c r="A12" s="183" t="s">
        <v>165</v>
      </c>
      <c r="B12" s="38"/>
      <c r="C12" s="38"/>
      <c r="D12" s="38"/>
      <c r="E12" s="38"/>
    </row>
    <row r="13" spans="1:5" s="101" customFormat="1" x14ac:dyDescent="0.2">
      <c r="A13" s="183"/>
      <c r="B13" s="38"/>
      <c r="C13" s="38"/>
      <c r="D13" s="38"/>
      <c r="E13" s="38"/>
    </row>
    <row r="14" spans="1:5" s="101" customFormat="1" x14ac:dyDescent="0.2">
      <c r="A14" s="184" t="s">
        <v>189</v>
      </c>
      <c r="B14" s="38"/>
      <c r="C14" s="38"/>
      <c r="D14" s="38"/>
      <c r="E14" s="38"/>
    </row>
    <row r="15" spans="1:5" s="101" customFormat="1" x14ac:dyDescent="0.2">
      <c r="A15" s="183"/>
      <c r="B15" s="38"/>
      <c r="C15" s="38"/>
      <c r="D15" s="38"/>
      <c r="E15" s="38"/>
    </row>
    <row r="16" spans="1:5" s="101" customFormat="1" x14ac:dyDescent="0.2">
      <c r="A16" s="183"/>
      <c r="B16" s="38"/>
      <c r="C16" s="38"/>
      <c r="D16" s="38"/>
      <c r="E16" s="38"/>
    </row>
    <row r="17" spans="1:1" s="101" customFormat="1" x14ac:dyDescent="0.2">
      <c r="A17" s="183" t="str">
        <f>+PL!D6</f>
        <v>INCOME STATEMENT</v>
      </c>
    </row>
    <row r="18" spans="1:1" s="101" customFormat="1" x14ac:dyDescent="0.2">
      <c r="A18" s="183"/>
    </row>
    <row r="19" spans="1:1" s="101" customFormat="1" x14ac:dyDescent="0.2">
      <c r="A19" s="184" t="s">
        <v>185</v>
      </c>
    </row>
    <row r="20" spans="1:1" s="101" customFormat="1" x14ac:dyDescent="0.2">
      <c r="A20" s="184" t="s">
        <v>186</v>
      </c>
    </row>
    <row r="21" spans="1:1" s="180" customFormat="1" x14ac:dyDescent="0.2">
      <c r="A21" s="184" t="s">
        <v>197</v>
      </c>
    </row>
    <row r="22" spans="1:1" s="33" customFormat="1" x14ac:dyDescent="0.2">
      <c r="A22" s="186" t="s">
        <v>190</v>
      </c>
    </row>
    <row r="23" spans="1:1" s="181" customFormat="1" x14ac:dyDescent="0.2">
      <c r="A23" s="184" t="s">
        <v>192</v>
      </c>
    </row>
    <row r="24" spans="1:1" s="101" customFormat="1" x14ac:dyDescent="0.2">
      <c r="A24" s="184" t="s">
        <v>203</v>
      </c>
    </row>
    <row r="25" spans="1:1" s="180" customFormat="1" ht="42" customHeight="1" x14ac:dyDescent="0.2">
      <c r="A25" s="184" t="s">
        <v>204</v>
      </c>
    </row>
    <row r="26" spans="1:1" s="192" customFormat="1" ht="15" customHeight="1" x14ac:dyDescent="0.2">
      <c r="A26" s="184"/>
    </row>
    <row r="27" spans="1:1" s="101" customFormat="1" x14ac:dyDescent="0.2">
      <c r="A27" s="183"/>
    </row>
    <row r="28" spans="1:1" s="101" customFormat="1" x14ac:dyDescent="0.2">
      <c r="A28" s="183" t="s">
        <v>88</v>
      </c>
    </row>
    <row r="29" spans="1:1" s="101" customFormat="1" x14ac:dyDescent="0.2">
      <c r="A29" s="183"/>
    </row>
    <row r="30" spans="1:1" s="101" customFormat="1" x14ac:dyDescent="0.2">
      <c r="A30" s="184" t="s">
        <v>200</v>
      </c>
    </row>
    <row r="31" spans="1:1" s="101" customFormat="1" x14ac:dyDescent="0.2">
      <c r="A31" s="184" t="s">
        <v>187</v>
      </c>
    </row>
    <row r="32" spans="1:1" s="101" customFormat="1" x14ac:dyDescent="0.2">
      <c r="A32" s="183"/>
    </row>
    <row r="33" spans="1:1" s="101" customFormat="1" x14ac:dyDescent="0.2">
      <c r="A33" s="183"/>
    </row>
    <row r="34" spans="1:1" s="101" customFormat="1" x14ac:dyDescent="0.2">
      <c r="A34" s="183" t="s">
        <v>167</v>
      </c>
    </row>
    <row r="35" spans="1:1" s="101" customFormat="1" x14ac:dyDescent="0.2">
      <c r="A35" s="183"/>
    </row>
    <row r="36" spans="1:1" s="101" customFormat="1" x14ac:dyDescent="0.2">
      <c r="A36" s="184" t="s">
        <v>191</v>
      </c>
    </row>
    <row r="37" spans="1:1" s="101" customFormat="1" x14ac:dyDescent="0.2">
      <c r="A37" s="183"/>
    </row>
    <row r="38" spans="1:1" s="101" customFormat="1" x14ac:dyDescent="0.2">
      <c r="A38" s="183"/>
    </row>
    <row r="39" spans="1:1" s="101" customFormat="1" x14ac:dyDescent="0.2">
      <c r="A39" s="183" t="s">
        <v>166</v>
      </c>
    </row>
    <row r="40" spans="1:1" s="101" customFormat="1" x14ac:dyDescent="0.2">
      <c r="A40" s="183"/>
    </row>
    <row r="41" spans="1:1" s="101" customFormat="1" x14ac:dyDescent="0.2">
      <c r="A41" s="186" t="s">
        <v>196</v>
      </c>
    </row>
    <row r="42" spans="1:1" s="101" customFormat="1" x14ac:dyDescent="0.2">
      <c r="A42" s="183"/>
    </row>
    <row r="43" spans="1:1" s="101" customFormat="1" x14ac:dyDescent="0.2">
      <c r="A43" s="183"/>
    </row>
    <row r="44" spans="1:1" s="101" customFormat="1" x14ac:dyDescent="0.2">
      <c r="A44" s="183" t="s">
        <v>168</v>
      </c>
    </row>
    <row r="45" spans="1:1" s="101" customFormat="1" x14ac:dyDescent="0.2">
      <c r="A45" s="183"/>
    </row>
    <row r="46" spans="1:1" s="101" customFormat="1" x14ac:dyDescent="0.2">
      <c r="A46" s="184" t="s">
        <v>193</v>
      </c>
    </row>
    <row r="47" spans="1:1" s="101" customFormat="1" x14ac:dyDescent="0.2">
      <c r="A47" s="184" t="s">
        <v>194</v>
      </c>
    </row>
    <row r="48" spans="1:1" s="181" customFormat="1" x14ac:dyDescent="0.2">
      <c r="A48" s="184"/>
    </row>
    <row r="49" spans="1:5" s="101" customFormat="1" x14ac:dyDescent="0.2">
      <c r="A49" s="183"/>
    </row>
    <row r="50" spans="1:5" s="101" customFormat="1" x14ac:dyDescent="0.2">
      <c r="A50" s="183" t="s">
        <v>169</v>
      </c>
    </row>
    <row r="51" spans="1:5" s="101" customFormat="1" x14ac:dyDescent="0.2">
      <c r="A51" s="183"/>
    </row>
    <row r="52" spans="1:5" x14ac:dyDescent="0.2">
      <c r="A52" s="184" t="s">
        <v>201</v>
      </c>
      <c r="B52" s="101"/>
      <c r="C52" s="101"/>
      <c r="D52" s="101"/>
      <c r="E52" s="101"/>
    </row>
    <row r="53" spans="1:5" x14ac:dyDescent="0.2">
      <c r="A53" s="184" t="s">
        <v>202</v>
      </c>
    </row>
    <row r="54" spans="1:5" s="185" customFormat="1" x14ac:dyDescent="0.2">
      <c r="A54" s="184"/>
    </row>
    <row r="56" spans="1:5" x14ac:dyDescent="0.2">
      <c r="A56" s="183" t="s">
        <v>170</v>
      </c>
    </row>
    <row r="57" spans="1:5" s="101" customFormat="1" x14ac:dyDescent="0.2">
      <c r="A57" s="182"/>
    </row>
    <row r="58" spans="1:5" s="101" customFormat="1" x14ac:dyDescent="0.2">
      <c r="A58" s="182" t="s">
        <v>188</v>
      </c>
    </row>
  </sheetData>
  <pageMargins left="0.7" right="0.7" top="0.75" bottom="0.75" header="0.3" footer="0.3"/>
  <pageSetup scale="55" orientation="portrait" r:id="rId1"/>
  <headerFooter>
    <oddFooter>&amp;L&amp;D&amp;CGMCB&amp;R&amp;A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topLeftCell="A31" zoomScale="75" zoomScaleNormal="75" workbookViewId="0">
      <selection activeCell="H30" sqref="H30"/>
    </sheetView>
  </sheetViews>
  <sheetFormatPr defaultColWidth="9.140625" defaultRowHeight="12.75" x14ac:dyDescent="0.2"/>
  <cols>
    <col min="1" max="1" width="8" style="101" customWidth="1"/>
    <col min="2" max="2" width="7.85546875" style="101" customWidth="1"/>
    <col min="3" max="3" width="36.5703125" style="101" customWidth="1"/>
    <col min="4" max="4" width="2.85546875" style="101" customWidth="1"/>
    <col min="5" max="5" width="16.85546875" style="101" customWidth="1"/>
    <col min="6" max="6" width="4.7109375" style="101" customWidth="1"/>
    <col min="7" max="7" width="9.140625" style="101"/>
    <col min="8" max="8" width="14.7109375" style="101" customWidth="1"/>
    <col min="9" max="14" width="9.140625" style="101"/>
    <col min="15" max="15" width="12.28515625" style="101" bestFit="1" customWidth="1"/>
    <col min="16" max="16384" width="9.140625" style="101"/>
  </cols>
  <sheetData>
    <row r="1" spans="1:7" s="103" customFormat="1" ht="15" x14ac:dyDescent="0.25">
      <c r="A1" s="195" t="str">
        <f>+Assumptions!A2</f>
        <v>Rutland Regional Medical Center</v>
      </c>
      <c r="B1" s="195"/>
      <c r="C1" s="195"/>
      <c r="D1" s="195"/>
      <c r="E1" s="195"/>
      <c r="F1" s="195"/>
      <c r="G1" s="195"/>
    </row>
    <row r="2" spans="1:7" s="103" customFormat="1" ht="15.75" x14ac:dyDescent="0.25">
      <c r="A2" s="194" t="str">
        <f>+Assumptions!A3</f>
        <v>Nuclear Medicine</v>
      </c>
      <c r="B2" s="194"/>
      <c r="C2" s="194"/>
      <c r="D2" s="194"/>
      <c r="E2" s="194"/>
      <c r="F2" s="194"/>
      <c r="G2" s="194"/>
    </row>
    <row r="3" spans="1:7" s="103" customFormat="1" ht="14.25" x14ac:dyDescent="0.2">
      <c r="A3" s="193" t="s">
        <v>89</v>
      </c>
      <c r="B3" s="193"/>
      <c r="C3" s="193"/>
      <c r="D3" s="193"/>
      <c r="E3" s="193"/>
      <c r="F3" s="193"/>
    </row>
    <row r="4" spans="1:7" s="103" customFormat="1" ht="14.25" x14ac:dyDescent="0.2">
      <c r="A4" s="193" t="s">
        <v>90</v>
      </c>
      <c r="B4" s="193"/>
      <c r="C4" s="193"/>
      <c r="D4" s="193"/>
      <c r="E4" s="193"/>
      <c r="F4" s="193"/>
    </row>
    <row r="5" spans="1:7" ht="6.95" customHeight="1" x14ac:dyDescent="0.25">
      <c r="A5" s="194"/>
      <c r="B5" s="194"/>
      <c r="C5" s="194"/>
      <c r="D5" s="194"/>
      <c r="E5" s="194"/>
      <c r="F5" s="194"/>
    </row>
    <row r="8" spans="1:7" ht="15.75" x14ac:dyDescent="0.25">
      <c r="A8" s="104" t="s">
        <v>91</v>
      </c>
      <c r="B8" s="105"/>
      <c r="C8" s="105"/>
      <c r="D8" s="105"/>
      <c r="E8" s="106"/>
    </row>
    <row r="9" spans="1:7" ht="15" x14ac:dyDescent="0.2">
      <c r="A9" s="107" t="s">
        <v>92</v>
      </c>
      <c r="B9" s="108" t="s">
        <v>93</v>
      </c>
      <c r="C9" s="109"/>
      <c r="D9" s="109"/>
      <c r="E9" s="110">
        <v>390984</v>
      </c>
    </row>
    <row r="10" spans="1:7" ht="15" x14ac:dyDescent="0.2">
      <c r="A10" s="107" t="s">
        <v>94</v>
      </c>
      <c r="B10" s="108" t="s">
        <v>95</v>
      </c>
      <c r="C10" s="109"/>
      <c r="D10" s="109"/>
      <c r="E10" s="111">
        <v>698149</v>
      </c>
    </row>
    <row r="11" spans="1:7" ht="15" x14ac:dyDescent="0.2">
      <c r="A11" s="107" t="s">
        <v>96</v>
      </c>
      <c r="B11" s="108" t="s">
        <v>97</v>
      </c>
      <c r="C11" s="109"/>
      <c r="D11" s="109"/>
      <c r="E11" s="112">
        <v>32440</v>
      </c>
    </row>
    <row r="12" spans="1:7" ht="15" x14ac:dyDescent="0.2">
      <c r="A12" s="107" t="s">
        <v>98</v>
      </c>
      <c r="B12" s="108" t="s">
        <v>99</v>
      </c>
      <c r="C12" s="109"/>
      <c r="D12" s="109"/>
      <c r="E12" s="112"/>
    </row>
    <row r="13" spans="1:7" ht="15" x14ac:dyDescent="0.2">
      <c r="A13" s="107" t="s">
        <v>100</v>
      </c>
      <c r="B13" s="108" t="s">
        <v>101</v>
      </c>
      <c r="C13" s="109"/>
      <c r="D13" s="109"/>
      <c r="E13" s="111"/>
    </row>
    <row r="14" spans="1:7" ht="15" x14ac:dyDescent="0.2">
      <c r="A14" s="107" t="s">
        <v>102</v>
      </c>
      <c r="B14" s="108" t="s">
        <v>103</v>
      </c>
      <c r="C14" s="109"/>
      <c r="D14" s="109"/>
      <c r="E14" s="111">
        <v>112157</v>
      </c>
    </row>
    <row r="15" spans="1:7" ht="15" x14ac:dyDescent="0.2">
      <c r="A15" s="107" t="s">
        <v>104</v>
      </c>
      <c r="B15" s="108" t="s">
        <v>105</v>
      </c>
      <c r="C15" s="109"/>
      <c r="D15" s="109"/>
      <c r="E15" s="112">
        <v>41800</v>
      </c>
    </row>
    <row r="16" spans="1:7" ht="15" x14ac:dyDescent="0.2">
      <c r="A16" s="107" t="s">
        <v>106</v>
      </c>
      <c r="B16" s="108" t="s">
        <v>107</v>
      </c>
      <c r="C16" s="109"/>
      <c r="D16" s="109"/>
      <c r="E16" s="113">
        <v>0</v>
      </c>
    </row>
    <row r="17" spans="1:8" ht="15" x14ac:dyDescent="0.2">
      <c r="A17" s="114"/>
      <c r="B17" s="109"/>
      <c r="C17" s="115" t="s">
        <v>108</v>
      </c>
      <c r="D17" s="109"/>
      <c r="E17" s="116">
        <f>SUM(E9:E16)</f>
        <v>1275530</v>
      </c>
    </row>
    <row r="18" spans="1:8" ht="15" x14ac:dyDescent="0.2">
      <c r="A18" s="114"/>
      <c r="B18" s="109"/>
      <c r="C18" s="109"/>
      <c r="D18" s="109"/>
      <c r="E18" s="117"/>
    </row>
    <row r="19" spans="1:8" ht="15.75" x14ac:dyDescent="0.25">
      <c r="A19" s="118" t="s">
        <v>109</v>
      </c>
      <c r="B19" s="109"/>
      <c r="C19" s="109"/>
      <c r="D19" s="109"/>
      <c r="E19" s="117"/>
    </row>
    <row r="20" spans="1:8" ht="15" x14ac:dyDescent="0.2">
      <c r="A20" s="107" t="s">
        <v>92</v>
      </c>
      <c r="B20" s="108" t="s">
        <v>110</v>
      </c>
      <c r="C20" s="108"/>
      <c r="D20" s="109"/>
      <c r="E20" s="110">
        <f>782307+44000</f>
        <v>826307</v>
      </c>
    </row>
    <row r="21" spans="1:8" ht="15" x14ac:dyDescent="0.2">
      <c r="A21" s="107" t="s">
        <v>94</v>
      </c>
      <c r="B21" s="108" t="s">
        <v>111</v>
      </c>
      <c r="C21" s="108"/>
      <c r="D21" s="109"/>
      <c r="E21" s="111">
        <v>398625</v>
      </c>
    </row>
    <row r="22" spans="1:8" ht="15" x14ac:dyDescent="0.2">
      <c r="A22" s="107" t="s">
        <v>96</v>
      </c>
      <c r="B22" s="108" t="s">
        <v>112</v>
      </c>
      <c r="C22" s="108"/>
      <c r="D22" s="109"/>
      <c r="E22" s="111">
        <v>156064</v>
      </c>
    </row>
    <row r="23" spans="1:8" ht="15" x14ac:dyDescent="0.2">
      <c r="A23" s="107" t="s">
        <v>98</v>
      </c>
      <c r="B23" s="108" t="s">
        <v>113</v>
      </c>
      <c r="C23" s="108"/>
      <c r="D23" s="109"/>
      <c r="E23" s="112"/>
    </row>
    <row r="24" spans="1:8" ht="15" x14ac:dyDescent="0.2">
      <c r="A24" s="107" t="s">
        <v>100</v>
      </c>
      <c r="B24" s="108" t="s">
        <v>114</v>
      </c>
      <c r="C24" s="108"/>
      <c r="D24" s="109"/>
      <c r="E24" s="112"/>
    </row>
    <row r="25" spans="1:8" ht="15" x14ac:dyDescent="0.2">
      <c r="A25" s="107" t="s">
        <v>102</v>
      </c>
      <c r="B25" s="108" t="s">
        <v>115</v>
      </c>
      <c r="C25" s="108"/>
      <c r="D25" s="109"/>
      <c r="E25" s="111">
        <v>56517</v>
      </c>
      <c r="G25" s="11"/>
      <c r="H25" s="11"/>
    </row>
    <row r="26" spans="1:8" ht="15" x14ac:dyDescent="0.2">
      <c r="A26" s="119" t="s">
        <v>104</v>
      </c>
      <c r="B26" s="109" t="s">
        <v>116</v>
      </c>
      <c r="C26" s="109"/>
      <c r="D26" s="109"/>
      <c r="E26" s="120">
        <f>E52</f>
        <v>0</v>
      </c>
      <c r="G26" s="121"/>
      <c r="H26" s="11"/>
    </row>
    <row r="27" spans="1:8" ht="15" x14ac:dyDescent="0.2">
      <c r="A27" s="107" t="s">
        <v>106</v>
      </c>
      <c r="B27" s="108" t="s">
        <v>117</v>
      </c>
      <c r="C27" s="108"/>
      <c r="D27" s="109"/>
      <c r="E27" s="112">
        <v>0</v>
      </c>
      <c r="G27" s="11"/>
      <c r="H27" s="11"/>
    </row>
    <row r="28" spans="1:8" ht="15" x14ac:dyDescent="0.2">
      <c r="A28" s="107" t="s">
        <v>118</v>
      </c>
      <c r="B28" s="108" t="s">
        <v>119</v>
      </c>
      <c r="C28" s="108"/>
      <c r="D28" s="109"/>
      <c r="E28" s="112">
        <v>0</v>
      </c>
    </row>
    <row r="29" spans="1:8" ht="15" x14ac:dyDescent="0.2">
      <c r="A29" s="107" t="s">
        <v>120</v>
      </c>
      <c r="B29" s="108" t="s">
        <v>107</v>
      </c>
      <c r="C29" s="108"/>
      <c r="D29" s="109"/>
      <c r="E29" s="112">
        <v>0</v>
      </c>
    </row>
    <row r="30" spans="1:8" ht="15" x14ac:dyDescent="0.2">
      <c r="A30" s="107"/>
      <c r="B30" s="108" t="s">
        <v>184</v>
      </c>
      <c r="C30" s="108"/>
      <c r="D30" s="109"/>
      <c r="E30" s="112">
        <v>127553</v>
      </c>
    </row>
    <row r="31" spans="1:8" ht="15" x14ac:dyDescent="0.2">
      <c r="A31" s="107"/>
      <c r="B31" s="108"/>
      <c r="C31" s="108"/>
      <c r="D31" s="109"/>
      <c r="E31" s="112">
        <v>0</v>
      </c>
    </row>
    <row r="32" spans="1:8" ht="15" x14ac:dyDescent="0.2">
      <c r="A32" s="114"/>
      <c r="B32" s="109"/>
      <c r="C32" s="115" t="s">
        <v>108</v>
      </c>
      <c r="D32" s="109"/>
      <c r="E32" s="116">
        <f>SUM(E20:E31)</f>
        <v>1565066</v>
      </c>
    </row>
    <row r="33" spans="1:15" ht="15" x14ac:dyDescent="0.2">
      <c r="A33" s="114"/>
      <c r="B33" s="109"/>
      <c r="C33" s="109"/>
      <c r="D33" s="109"/>
      <c r="E33" s="117"/>
    </row>
    <row r="34" spans="1:15" ht="16.5" thickBot="1" x14ac:dyDescent="0.3">
      <c r="A34" s="118" t="s">
        <v>121</v>
      </c>
      <c r="B34" s="109"/>
      <c r="C34" s="109"/>
      <c r="D34" s="109"/>
      <c r="E34" s="122">
        <f>E17+E32</f>
        <v>2840596</v>
      </c>
    </row>
    <row r="35" spans="1:15" ht="13.5" thickTop="1" x14ac:dyDescent="0.2">
      <c r="A35" s="123"/>
      <c r="B35" s="124"/>
      <c r="C35" s="124"/>
      <c r="D35" s="124"/>
      <c r="E35" s="125"/>
      <c r="F35" s="11"/>
      <c r="G35" s="11"/>
    </row>
    <row r="36" spans="1:15" ht="16.5" customHeight="1" thickBot="1" x14ac:dyDescent="0.25">
      <c r="A36" s="126"/>
      <c r="B36" s="126"/>
      <c r="C36" s="126"/>
      <c r="D36" s="126"/>
      <c r="E36" s="126"/>
      <c r="F36" s="11"/>
    </row>
    <row r="37" spans="1:15" ht="16.5" customHeight="1" x14ac:dyDescent="0.2">
      <c r="F37" s="11"/>
      <c r="O37" s="127"/>
    </row>
    <row r="38" spans="1:15" ht="15.75" x14ac:dyDescent="0.25">
      <c r="A38" s="104" t="s">
        <v>122</v>
      </c>
      <c r="B38" s="105"/>
      <c r="C38" s="105"/>
      <c r="D38" s="105"/>
      <c r="E38" s="106"/>
      <c r="O38" s="127"/>
    </row>
    <row r="39" spans="1:15" ht="15" x14ac:dyDescent="0.2">
      <c r="A39" s="107" t="s">
        <v>92</v>
      </c>
      <c r="B39" s="108" t="s">
        <v>123</v>
      </c>
      <c r="C39" s="109"/>
      <c r="D39" s="109"/>
      <c r="E39" s="110">
        <v>0</v>
      </c>
    </row>
    <row r="40" spans="1:15" ht="15" x14ac:dyDescent="0.2">
      <c r="A40" s="107" t="s">
        <v>94</v>
      </c>
      <c r="B40" s="108" t="s">
        <v>124</v>
      </c>
      <c r="C40" s="109"/>
      <c r="D40" s="109"/>
      <c r="E40" s="112">
        <v>0</v>
      </c>
    </row>
    <row r="41" spans="1:15" ht="15" x14ac:dyDescent="0.2">
      <c r="A41" s="107" t="s">
        <v>96</v>
      </c>
      <c r="B41" s="108" t="s">
        <v>125</v>
      </c>
      <c r="C41" s="109"/>
      <c r="D41" s="109"/>
      <c r="E41" s="112">
        <v>0</v>
      </c>
    </row>
    <row r="42" spans="1:15" ht="15" x14ac:dyDescent="0.2">
      <c r="A42" s="107" t="s">
        <v>98</v>
      </c>
      <c r="B42" s="108" t="s">
        <v>126</v>
      </c>
      <c r="C42" s="109"/>
      <c r="D42" s="109"/>
      <c r="E42" s="113">
        <v>0</v>
      </c>
    </row>
    <row r="43" spans="1:15" ht="15" x14ac:dyDescent="0.2">
      <c r="A43" s="114"/>
      <c r="B43" s="109"/>
      <c r="C43" s="109" t="s">
        <v>108</v>
      </c>
      <c r="D43" s="109"/>
      <c r="E43" s="128">
        <f>SUM(E39:E42)</f>
        <v>0</v>
      </c>
    </row>
    <row r="44" spans="1:15" ht="15" x14ac:dyDescent="0.2">
      <c r="A44" s="114"/>
      <c r="B44" s="109"/>
      <c r="C44" s="109"/>
      <c r="D44" s="109"/>
      <c r="E44" s="117"/>
    </row>
    <row r="45" spans="1:15" ht="15.75" x14ac:dyDescent="0.25">
      <c r="A45" s="118" t="s">
        <v>127</v>
      </c>
      <c r="B45" s="109"/>
      <c r="C45" s="109"/>
      <c r="D45" s="109"/>
      <c r="E45" s="117"/>
    </row>
    <row r="46" spans="1:15" ht="15" x14ac:dyDescent="0.2">
      <c r="A46" s="107" t="s">
        <v>92</v>
      </c>
      <c r="B46" s="108" t="s">
        <v>128</v>
      </c>
      <c r="C46" s="109"/>
      <c r="D46" s="109"/>
      <c r="E46" s="110">
        <v>0</v>
      </c>
    </row>
    <row r="47" spans="1:15" ht="15" x14ac:dyDescent="0.2">
      <c r="A47" s="107" t="s">
        <v>94</v>
      </c>
      <c r="B47" s="108" t="s">
        <v>129</v>
      </c>
      <c r="C47" s="109"/>
      <c r="D47" s="109"/>
      <c r="E47" s="112">
        <v>0</v>
      </c>
    </row>
    <row r="48" spans="1:15" ht="15" x14ac:dyDescent="0.2">
      <c r="A48" s="107" t="s">
        <v>96</v>
      </c>
      <c r="B48" s="108" t="s">
        <v>130</v>
      </c>
      <c r="C48" s="109"/>
      <c r="D48" s="109"/>
      <c r="E48" s="112">
        <v>0</v>
      </c>
    </row>
    <row r="49" spans="1:5" ht="15" x14ac:dyDescent="0.2">
      <c r="A49" s="107" t="s">
        <v>98</v>
      </c>
      <c r="B49" s="108" t="s">
        <v>126</v>
      </c>
      <c r="C49" s="109"/>
      <c r="D49" s="109"/>
      <c r="E49" s="113">
        <v>0</v>
      </c>
    </row>
    <row r="50" spans="1:5" ht="15" x14ac:dyDescent="0.2">
      <c r="A50" s="114"/>
      <c r="B50" s="109"/>
      <c r="C50" s="109" t="s">
        <v>108</v>
      </c>
      <c r="D50" s="109"/>
      <c r="E50" s="129">
        <f>SUM(E46:E49)</f>
        <v>0</v>
      </c>
    </row>
    <row r="51" spans="1:5" ht="15" x14ac:dyDescent="0.2">
      <c r="A51" s="114"/>
      <c r="B51" s="109"/>
      <c r="C51" s="109"/>
      <c r="D51" s="109"/>
      <c r="E51" s="117"/>
    </row>
    <row r="52" spans="1:5" ht="16.5" thickBot="1" x14ac:dyDescent="0.3">
      <c r="A52" s="118" t="s">
        <v>131</v>
      </c>
      <c r="B52" s="109"/>
      <c r="C52" s="109"/>
      <c r="D52" s="109"/>
      <c r="E52" s="122">
        <f>E43-E50</f>
        <v>0</v>
      </c>
    </row>
    <row r="53" spans="1:5" ht="13.5" thickTop="1" x14ac:dyDescent="0.2">
      <c r="A53" s="123"/>
      <c r="B53" s="124" t="s">
        <v>132</v>
      </c>
      <c r="C53" s="124"/>
      <c r="D53" s="124"/>
      <c r="E53" s="125"/>
    </row>
    <row r="56" spans="1:5" x14ac:dyDescent="0.2">
      <c r="A56" s="101" t="s">
        <v>133</v>
      </c>
    </row>
  </sheetData>
  <mergeCells count="5">
    <mergeCell ref="A3:F3"/>
    <mergeCell ref="A4:F4"/>
    <mergeCell ref="A5:F5"/>
    <mergeCell ref="A1:G1"/>
    <mergeCell ref="A2:G2"/>
  </mergeCells>
  <printOptions horizontalCentered="1"/>
  <pageMargins left="0.25" right="0.25" top="0.79" bottom="0.75" header="0.5" footer="0.5"/>
  <pageSetup scale="90" orientation="portrait" r:id="rId1"/>
  <headerFooter alignWithMargins="0">
    <oddHeader>&amp;L&amp;"Arial,Italic"&amp;11NOTE: When completing this table make entries in the shaded fields only.</oddHeader>
    <oddFooter>&amp;L&amp;D
Health Care Administration&amp;R&amp;F, &amp;A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topLeftCell="A7" zoomScaleNormal="100" workbookViewId="0">
      <selection activeCell="G13" sqref="G13"/>
    </sheetView>
  </sheetViews>
  <sheetFormatPr defaultColWidth="9.140625" defaultRowHeight="12.75" x14ac:dyDescent="0.2"/>
  <cols>
    <col min="1" max="1" width="8" style="101" customWidth="1"/>
    <col min="2" max="2" width="4.42578125" style="101" customWidth="1"/>
    <col min="3" max="3" width="17.140625" style="101" customWidth="1"/>
    <col min="4" max="4" width="9.85546875" style="101" customWidth="1"/>
    <col min="5" max="5" width="4.85546875" style="101" customWidth="1"/>
    <col min="6" max="6" width="9.42578125" style="101" customWidth="1"/>
    <col min="7" max="7" width="15.85546875" style="101" customWidth="1"/>
    <col min="8" max="8" width="9.140625" style="101"/>
    <col min="9" max="9" width="13.7109375" style="101" customWidth="1"/>
    <col min="10" max="16384" width="9.140625" style="101"/>
  </cols>
  <sheetData>
    <row r="1" spans="1:11" s="103" customFormat="1" ht="15" x14ac:dyDescent="0.25">
      <c r="A1" s="195" t="str">
        <f>+Assumptions!A2</f>
        <v>Rutland Regional Medical Center</v>
      </c>
      <c r="B1" s="195"/>
      <c r="C1" s="195"/>
      <c r="D1" s="195"/>
      <c r="E1" s="195"/>
      <c r="F1" s="195"/>
      <c r="G1" s="195"/>
      <c r="H1" s="130"/>
      <c r="I1" s="130"/>
      <c r="J1" s="130"/>
      <c r="K1" s="130"/>
    </row>
    <row r="2" spans="1:11" s="103" customFormat="1" ht="15.75" x14ac:dyDescent="0.25">
      <c r="A2" s="194" t="str">
        <f>+Assumptions!A3</f>
        <v>Nuclear Medicine</v>
      </c>
      <c r="B2" s="194"/>
      <c r="C2" s="194"/>
      <c r="D2" s="194"/>
      <c r="E2" s="194"/>
      <c r="F2" s="194"/>
      <c r="G2" s="194"/>
      <c r="H2" s="130"/>
      <c r="I2" s="130"/>
      <c r="J2" s="130"/>
      <c r="K2" s="130"/>
    </row>
    <row r="3" spans="1:11" s="103" customFormat="1" ht="14.25" x14ac:dyDescent="0.2">
      <c r="A3" s="193" t="s">
        <v>134</v>
      </c>
      <c r="B3" s="193"/>
      <c r="C3" s="193"/>
      <c r="D3" s="193"/>
      <c r="E3" s="193"/>
      <c r="F3" s="193"/>
      <c r="G3" s="193"/>
      <c r="H3" s="130"/>
      <c r="I3" s="130"/>
      <c r="J3" s="130"/>
      <c r="K3" s="130"/>
    </row>
    <row r="4" spans="1:11" s="103" customFormat="1" ht="14.25" x14ac:dyDescent="0.2">
      <c r="A4" s="196" t="s">
        <v>135</v>
      </c>
      <c r="B4" s="196"/>
      <c r="C4" s="196"/>
      <c r="D4" s="196"/>
      <c r="E4" s="196"/>
      <c r="F4" s="196"/>
      <c r="G4" s="196"/>
      <c r="H4" s="130"/>
      <c r="I4" s="130"/>
      <c r="J4" s="130"/>
      <c r="K4" s="130"/>
    </row>
    <row r="5" spans="1:11" ht="15.75" customHeight="1" x14ac:dyDescent="0.2">
      <c r="A5" s="11"/>
      <c r="B5" s="11"/>
      <c r="C5" s="11"/>
      <c r="D5" s="11"/>
      <c r="E5" s="11"/>
      <c r="F5" s="11"/>
      <c r="G5" s="11"/>
      <c r="H5" s="11"/>
      <c r="I5" s="11"/>
      <c r="J5" s="11"/>
      <c r="K5" s="11"/>
    </row>
    <row r="6" spans="1:11" ht="15.75" customHeight="1" x14ac:dyDescent="0.2"/>
    <row r="7" spans="1:11" ht="15.75" customHeight="1" x14ac:dyDescent="0.25">
      <c r="A7" s="104" t="s">
        <v>136</v>
      </c>
      <c r="B7" s="131"/>
      <c r="C7" s="131"/>
      <c r="D7" s="131"/>
      <c r="E7" s="131"/>
      <c r="F7" s="131"/>
      <c r="G7" s="132"/>
    </row>
    <row r="8" spans="1:11" ht="15.75" customHeight="1" x14ac:dyDescent="0.2">
      <c r="A8" s="133"/>
      <c r="B8" s="11"/>
      <c r="C8" s="11"/>
      <c r="D8" s="11"/>
      <c r="E8" s="11"/>
      <c r="F8" s="11"/>
      <c r="G8" s="134"/>
    </row>
    <row r="9" spans="1:11" ht="15.75" customHeight="1" x14ac:dyDescent="0.2">
      <c r="A9" s="135" t="s">
        <v>92</v>
      </c>
      <c r="B9" s="136" t="s">
        <v>137</v>
      </c>
      <c r="C9" s="11"/>
      <c r="D9" s="137" t="s">
        <v>138</v>
      </c>
      <c r="E9" s="11"/>
      <c r="F9" s="11"/>
      <c r="G9" s="134"/>
    </row>
    <row r="10" spans="1:11" ht="15.75" customHeight="1" x14ac:dyDescent="0.2">
      <c r="A10" s="138"/>
      <c r="B10" s="139" t="s">
        <v>139</v>
      </c>
      <c r="C10" s="136" t="s">
        <v>140</v>
      </c>
      <c r="D10" s="140">
        <v>0</v>
      </c>
      <c r="E10" s="11"/>
      <c r="F10" s="11"/>
      <c r="G10" s="141"/>
    </row>
    <row r="11" spans="1:11" ht="15.75" customHeight="1" x14ac:dyDescent="0.2">
      <c r="A11" s="138"/>
      <c r="B11" s="139" t="s">
        <v>141</v>
      </c>
      <c r="C11" s="136" t="s">
        <v>142</v>
      </c>
      <c r="D11" s="142"/>
      <c r="E11" s="143" t="s">
        <v>143</v>
      </c>
      <c r="F11" s="144"/>
      <c r="G11" s="141"/>
    </row>
    <row r="12" spans="1:11" ht="15.75" customHeight="1" x14ac:dyDescent="0.2">
      <c r="A12" s="138"/>
      <c r="B12" s="139" t="s">
        <v>144</v>
      </c>
      <c r="C12" s="136" t="s">
        <v>145</v>
      </c>
      <c r="D12" s="11"/>
      <c r="E12" s="11"/>
      <c r="F12" s="11"/>
      <c r="G12" s="145">
        <v>0</v>
      </c>
    </row>
    <row r="13" spans="1:11" ht="15.75" customHeight="1" x14ac:dyDescent="0.2">
      <c r="A13" s="135" t="s">
        <v>94</v>
      </c>
      <c r="B13" s="136" t="s">
        <v>146</v>
      </c>
      <c r="C13" s="11"/>
      <c r="D13" s="11"/>
      <c r="E13" s="11"/>
      <c r="F13" s="11"/>
      <c r="G13" s="146">
        <f>'Table 1'!E34</f>
        <v>2840596</v>
      </c>
    </row>
    <row r="14" spans="1:11" ht="15.75" customHeight="1" x14ac:dyDescent="0.2">
      <c r="A14" s="135" t="s">
        <v>96</v>
      </c>
      <c r="B14" s="136" t="s">
        <v>147</v>
      </c>
      <c r="C14" s="11"/>
      <c r="D14" s="11"/>
      <c r="E14" s="11"/>
      <c r="F14" s="11"/>
      <c r="G14" s="147"/>
    </row>
    <row r="15" spans="1:11" ht="15.75" customHeight="1" x14ac:dyDescent="0.2">
      <c r="A15" s="148"/>
      <c r="B15" s="149" t="s">
        <v>139</v>
      </c>
      <c r="C15" s="136" t="s">
        <v>119</v>
      </c>
      <c r="D15" s="150"/>
      <c r="E15" s="151"/>
      <c r="F15" s="11"/>
      <c r="G15" s="146">
        <v>0</v>
      </c>
    </row>
    <row r="16" spans="1:11" ht="15.75" customHeight="1" x14ac:dyDescent="0.2">
      <c r="A16" s="148"/>
      <c r="B16" s="149" t="s">
        <v>141</v>
      </c>
      <c r="C16" s="136" t="s">
        <v>148</v>
      </c>
      <c r="D16" s="152"/>
      <c r="E16" s="151"/>
      <c r="F16" s="11"/>
      <c r="G16" s="146">
        <v>0</v>
      </c>
    </row>
    <row r="17" spans="1:9" ht="15.75" customHeight="1" x14ac:dyDescent="0.2">
      <c r="A17" s="148"/>
      <c r="B17" s="149" t="s">
        <v>144</v>
      </c>
      <c r="C17" s="136" t="s">
        <v>149</v>
      </c>
      <c r="D17" s="153"/>
      <c r="E17" s="154"/>
      <c r="F17" s="136"/>
      <c r="G17" s="146">
        <v>0</v>
      </c>
    </row>
    <row r="18" spans="1:9" ht="15.75" customHeight="1" x14ac:dyDescent="0.2">
      <c r="A18" s="148"/>
      <c r="B18" s="149" t="s">
        <v>150</v>
      </c>
      <c r="C18" s="136" t="s">
        <v>126</v>
      </c>
      <c r="D18" s="11"/>
      <c r="E18" s="11"/>
      <c r="F18" s="11"/>
      <c r="G18" s="155">
        <v>0</v>
      </c>
    </row>
    <row r="19" spans="1:9" ht="15.75" customHeight="1" x14ac:dyDescent="0.2">
      <c r="A19" s="138"/>
      <c r="B19" s="11"/>
      <c r="C19" s="11"/>
      <c r="D19" s="11"/>
      <c r="E19" s="11"/>
      <c r="F19" s="11"/>
      <c r="G19" s="141"/>
    </row>
    <row r="20" spans="1:9" ht="15.75" customHeight="1" thickBot="1" x14ac:dyDescent="0.25">
      <c r="A20" s="133" t="s">
        <v>151</v>
      </c>
      <c r="B20" s="11"/>
      <c r="C20" s="11"/>
      <c r="D20" s="11"/>
      <c r="E20" s="11"/>
      <c r="F20" s="11"/>
      <c r="G20" s="156">
        <f>SUM(G12:G18)</f>
        <v>2840596</v>
      </c>
    </row>
    <row r="21" spans="1:9" ht="15.75" customHeight="1" thickTop="1" x14ac:dyDescent="0.2">
      <c r="A21" s="123"/>
      <c r="B21" s="124"/>
      <c r="C21" s="124"/>
      <c r="D21" s="124"/>
      <c r="E21" s="124"/>
      <c r="F21" s="124"/>
      <c r="G21" s="125"/>
    </row>
    <row r="22" spans="1:9" ht="15.75" customHeight="1" x14ac:dyDescent="0.2"/>
    <row r="23" spans="1:9" ht="15.75" customHeight="1" x14ac:dyDescent="0.25">
      <c r="A23" s="104" t="s">
        <v>152</v>
      </c>
      <c r="B23" s="131"/>
      <c r="C23" s="131"/>
      <c r="D23" s="131"/>
      <c r="E23" s="131"/>
      <c r="F23" s="131"/>
      <c r="G23" s="132"/>
    </row>
    <row r="24" spans="1:9" ht="15.75" customHeight="1" x14ac:dyDescent="0.2">
      <c r="A24" s="133"/>
      <c r="B24" s="11"/>
      <c r="C24" s="11"/>
      <c r="D24" s="11"/>
      <c r="E24" s="11"/>
      <c r="F24" s="11"/>
      <c r="G24" s="134"/>
    </row>
    <row r="25" spans="1:9" ht="15.75" customHeight="1" x14ac:dyDescent="0.2">
      <c r="A25" s="157" t="s">
        <v>153</v>
      </c>
      <c r="B25" s="11"/>
      <c r="C25" s="11"/>
      <c r="D25" s="11"/>
      <c r="E25" s="11"/>
      <c r="F25" s="11"/>
      <c r="G25" s="134"/>
      <c r="I25" s="158" t="s">
        <v>154</v>
      </c>
    </row>
    <row r="26" spans="1:9" ht="15.75" customHeight="1" x14ac:dyDescent="0.2">
      <c r="A26" s="159" t="s">
        <v>92</v>
      </c>
      <c r="B26" s="11" t="s">
        <v>93</v>
      </c>
      <c r="C26" s="11"/>
      <c r="D26" s="11"/>
      <c r="E26" s="11"/>
      <c r="F26" s="11"/>
      <c r="G26" s="160">
        <f>'Table 1'!E9</f>
        <v>390984</v>
      </c>
      <c r="I26" s="161">
        <f>G26-'Table 1'!E9</f>
        <v>0</v>
      </c>
    </row>
    <row r="27" spans="1:9" ht="15.75" customHeight="1" x14ac:dyDescent="0.2">
      <c r="A27" s="159" t="s">
        <v>94</v>
      </c>
      <c r="B27" s="11" t="s">
        <v>95</v>
      </c>
      <c r="C27" s="11"/>
      <c r="D27" s="11"/>
      <c r="E27" s="11"/>
      <c r="F27" s="11"/>
      <c r="G27" s="162">
        <f>'Table 1'!E10</f>
        <v>698149</v>
      </c>
      <c r="I27" s="161">
        <f>G27-'Table 1'!E10</f>
        <v>0</v>
      </c>
    </row>
    <row r="28" spans="1:9" ht="15.75" customHeight="1" x14ac:dyDescent="0.2">
      <c r="A28" s="159" t="s">
        <v>96</v>
      </c>
      <c r="B28" s="11" t="s">
        <v>97</v>
      </c>
      <c r="C28" s="11"/>
      <c r="D28" s="11"/>
      <c r="E28" s="11"/>
      <c r="F28" s="11"/>
      <c r="G28" s="162">
        <f>'Table 1'!E11</f>
        <v>32440</v>
      </c>
      <c r="I28" s="161">
        <f>G28-'Table 1'!E11</f>
        <v>0</v>
      </c>
    </row>
    <row r="29" spans="1:9" ht="15.75" customHeight="1" x14ac:dyDescent="0.2">
      <c r="A29" s="159" t="s">
        <v>98</v>
      </c>
      <c r="B29" s="11" t="s">
        <v>99</v>
      </c>
      <c r="C29" s="11"/>
      <c r="D29" s="11"/>
      <c r="E29" s="11"/>
      <c r="F29" s="11"/>
      <c r="G29" s="162">
        <f>'Table 1'!E12</f>
        <v>0</v>
      </c>
      <c r="I29" s="161">
        <f>G29-'Table 1'!E12</f>
        <v>0</v>
      </c>
    </row>
    <row r="30" spans="1:9" ht="15.75" customHeight="1" x14ac:dyDescent="0.2">
      <c r="A30" s="159" t="s">
        <v>100</v>
      </c>
      <c r="B30" s="11" t="s">
        <v>101</v>
      </c>
      <c r="C30" s="11"/>
      <c r="D30" s="11"/>
      <c r="E30" s="11"/>
      <c r="F30" s="11"/>
      <c r="G30" s="162">
        <f>'Table 1'!E13</f>
        <v>0</v>
      </c>
      <c r="I30" s="161">
        <f>G30-'Table 1'!E13</f>
        <v>0</v>
      </c>
    </row>
    <row r="31" spans="1:9" ht="15.75" customHeight="1" x14ac:dyDescent="0.2">
      <c r="A31" s="159" t="s">
        <v>102</v>
      </c>
      <c r="B31" s="11" t="s">
        <v>103</v>
      </c>
      <c r="C31" s="11"/>
      <c r="D31" s="11"/>
      <c r="E31" s="11"/>
      <c r="F31" s="11"/>
      <c r="G31" s="162">
        <f>'Table 1'!E14</f>
        <v>112157</v>
      </c>
      <c r="I31" s="161">
        <f>G31-'Table 1'!E14</f>
        <v>0</v>
      </c>
    </row>
    <row r="32" spans="1:9" ht="15.75" customHeight="1" x14ac:dyDescent="0.2">
      <c r="A32" s="159" t="s">
        <v>104</v>
      </c>
      <c r="B32" s="11" t="s">
        <v>105</v>
      </c>
      <c r="C32" s="11"/>
      <c r="D32" s="11"/>
      <c r="E32" s="11"/>
      <c r="F32" s="11"/>
      <c r="G32" s="162">
        <f>'Table 1'!E15</f>
        <v>41800</v>
      </c>
      <c r="I32" s="161">
        <f>G32-'Table 1'!E15</f>
        <v>0</v>
      </c>
    </row>
    <row r="33" spans="1:9" ht="15.75" customHeight="1" x14ac:dyDescent="0.2">
      <c r="A33" s="159" t="s">
        <v>106</v>
      </c>
      <c r="B33" s="11" t="s">
        <v>110</v>
      </c>
      <c r="C33" s="11"/>
      <c r="D33" s="11"/>
      <c r="E33" s="11"/>
      <c r="F33" s="11"/>
      <c r="G33" s="162">
        <f>'Table 1'!E20</f>
        <v>826307</v>
      </c>
      <c r="I33" s="161">
        <f>G33-'Table 1'!E20</f>
        <v>0</v>
      </c>
    </row>
    <row r="34" spans="1:9" ht="15.75" customHeight="1" x14ac:dyDescent="0.2">
      <c r="A34" s="159" t="s">
        <v>118</v>
      </c>
      <c r="B34" s="11" t="s">
        <v>111</v>
      </c>
      <c r="C34" s="11"/>
      <c r="D34" s="11"/>
      <c r="E34" s="11"/>
      <c r="F34" s="11"/>
      <c r="G34" s="162">
        <f>'Table 1'!E21</f>
        <v>398625</v>
      </c>
      <c r="I34" s="161">
        <f>G34-'Table 1'!E21</f>
        <v>0</v>
      </c>
    </row>
    <row r="35" spans="1:9" ht="15.75" customHeight="1" x14ac:dyDescent="0.2">
      <c r="A35" s="159" t="s">
        <v>120</v>
      </c>
      <c r="B35" s="11" t="s">
        <v>112</v>
      </c>
      <c r="C35" s="11"/>
      <c r="D35" s="11"/>
      <c r="E35" s="11"/>
      <c r="F35" s="11"/>
      <c r="G35" s="162">
        <f>'Table 1'!E22</f>
        <v>156064</v>
      </c>
      <c r="I35" s="161">
        <f>G35-'Table 1'!E22</f>
        <v>0</v>
      </c>
    </row>
    <row r="36" spans="1:9" ht="15.75" customHeight="1" x14ac:dyDescent="0.2">
      <c r="A36" s="159" t="s">
        <v>155</v>
      </c>
      <c r="B36" s="11" t="s">
        <v>113</v>
      </c>
      <c r="C36" s="11"/>
      <c r="D36" s="11"/>
      <c r="E36" s="11"/>
      <c r="F36" s="11"/>
      <c r="G36" s="162">
        <f>'Table 1'!E23</f>
        <v>0</v>
      </c>
      <c r="I36" s="161">
        <f>G36-'Table 1'!E23</f>
        <v>0</v>
      </c>
    </row>
    <row r="37" spans="1:9" ht="15.75" customHeight="1" x14ac:dyDescent="0.2">
      <c r="A37" s="159" t="s">
        <v>156</v>
      </c>
      <c r="B37" s="11" t="s">
        <v>114</v>
      </c>
      <c r="C37" s="11"/>
      <c r="D37" s="11"/>
      <c r="E37" s="11"/>
      <c r="F37" s="11"/>
      <c r="G37" s="162">
        <f>'Table 1'!E24</f>
        <v>0</v>
      </c>
      <c r="I37" s="161">
        <f>G37-'Table 1'!E24</f>
        <v>0</v>
      </c>
    </row>
    <row r="38" spans="1:9" ht="15.75" customHeight="1" x14ac:dyDescent="0.2">
      <c r="A38" s="159" t="s">
        <v>157</v>
      </c>
      <c r="B38" s="11" t="s">
        <v>115</v>
      </c>
      <c r="C38" s="11"/>
      <c r="D38" s="11"/>
      <c r="E38" s="11"/>
      <c r="F38" s="11"/>
      <c r="G38" s="162">
        <f>'Table 1'!E25</f>
        <v>56517</v>
      </c>
      <c r="I38" s="161">
        <f>G38-'Table 1'!E25</f>
        <v>0</v>
      </c>
    </row>
    <row r="39" spans="1:9" ht="15.75" customHeight="1" x14ac:dyDescent="0.2">
      <c r="A39" s="159" t="s">
        <v>158</v>
      </c>
      <c r="B39" s="11" t="s">
        <v>122</v>
      </c>
      <c r="C39" s="11"/>
      <c r="D39" s="11"/>
      <c r="E39" s="11"/>
      <c r="F39" s="11"/>
      <c r="G39" s="162">
        <f>'Table 1'!E26</f>
        <v>0</v>
      </c>
      <c r="I39" s="161">
        <f>G39-'Table 1'!E26</f>
        <v>0</v>
      </c>
    </row>
    <row r="40" spans="1:9" ht="15.75" customHeight="1" x14ac:dyDescent="0.2">
      <c r="A40" s="159" t="s">
        <v>159</v>
      </c>
      <c r="B40" s="11" t="s">
        <v>117</v>
      </c>
      <c r="C40" s="11"/>
      <c r="D40" s="11"/>
      <c r="E40" s="11"/>
      <c r="F40" s="11"/>
      <c r="G40" s="162">
        <f>'Table 1'!E27</f>
        <v>0</v>
      </c>
      <c r="I40" s="161">
        <f>G40-'Table 1'!E27</f>
        <v>0</v>
      </c>
    </row>
    <row r="41" spans="1:9" ht="15.75" customHeight="1" x14ac:dyDescent="0.2">
      <c r="A41" s="159" t="s">
        <v>160</v>
      </c>
      <c r="B41" s="11" t="s">
        <v>119</v>
      </c>
      <c r="C41" s="11"/>
      <c r="D41" s="11"/>
      <c r="E41" s="11"/>
      <c r="F41" s="11"/>
      <c r="G41" s="162">
        <f>'Table 1'!E28</f>
        <v>0</v>
      </c>
      <c r="I41" s="161">
        <f>G41-'Table 1'!E28</f>
        <v>0</v>
      </c>
    </row>
    <row r="42" spans="1:9" ht="15.75" customHeight="1" x14ac:dyDescent="0.2">
      <c r="A42" s="159" t="s">
        <v>161</v>
      </c>
      <c r="B42" s="11" t="s">
        <v>195</v>
      </c>
      <c r="C42" s="11"/>
      <c r="D42" s="11"/>
      <c r="E42" s="11"/>
      <c r="F42" s="11"/>
      <c r="G42" s="163">
        <f>'Table 1'!E16+'Table 1'!E29+'Table 1'!E30+'Table 1'!E31</f>
        <v>127553</v>
      </c>
      <c r="I42" s="161">
        <f>G42-'Table 1'!E29-'Table 1'!E16-'Table 1'!E30-'Table 1'!E31</f>
        <v>0</v>
      </c>
    </row>
    <row r="43" spans="1:9" ht="15.75" customHeight="1" x14ac:dyDescent="0.2">
      <c r="A43" s="138"/>
      <c r="B43" s="11"/>
      <c r="C43" s="11"/>
      <c r="D43" s="11"/>
      <c r="E43" s="11"/>
      <c r="F43" s="11"/>
      <c r="G43" s="134"/>
      <c r="I43" s="164"/>
    </row>
    <row r="44" spans="1:9" ht="15.75" customHeight="1" thickBot="1" x14ac:dyDescent="0.25">
      <c r="A44" s="165" t="s">
        <v>162</v>
      </c>
      <c r="B44" s="11"/>
      <c r="C44" s="11"/>
      <c r="D44" s="11"/>
      <c r="E44" s="11"/>
      <c r="F44" s="11"/>
      <c r="G44" s="166">
        <f>SUM(G26:G42)</f>
        <v>2840596</v>
      </c>
      <c r="I44" s="167">
        <f>G44-G20</f>
        <v>0</v>
      </c>
    </row>
    <row r="45" spans="1:9" ht="15.75" customHeight="1" thickTop="1" x14ac:dyDescent="0.2">
      <c r="A45" s="123"/>
      <c r="B45" s="124"/>
      <c r="C45" s="124"/>
      <c r="D45" s="124"/>
      <c r="E45" s="124"/>
      <c r="F45" s="124"/>
      <c r="G45" s="125"/>
    </row>
    <row r="46" spans="1:9" ht="20.25" customHeight="1" x14ac:dyDescent="0.2">
      <c r="A46" s="168" t="s">
        <v>163</v>
      </c>
    </row>
    <row r="49" spans="1:1" x14ac:dyDescent="0.2">
      <c r="A49" s="101" t="s">
        <v>133</v>
      </c>
    </row>
  </sheetData>
  <mergeCells count="4">
    <mergeCell ref="A1:G1"/>
    <mergeCell ref="A2:G2"/>
    <mergeCell ref="A3:G3"/>
    <mergeCell ref="A4:G4"/>
  </mergeCells>
  <printOptions horizontalCentered="1"/>
  <pageMargins left="0.25" right="0.25" top="0.75" bottom="0.75" header="0.5" footer="0.5"/>
  <pageSetup scale="98" orientation="portrait" r:id="rId1"/>
  <headerFooter alignWithMargins="0">
    <oddHeader>&amp;L&amp;"Arial,Italic"&amp;11NOTE: When completing this table make entries in the shaded fields only.</oddHeader>
    <oddFooter>&amp;L&amp;D
Health Care Administration&amp;R&amp;F,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74"/>
  <sheetViews>
    <sheetView showGridLines="0" topLeftCell="D10" zoomScale="80" zoomScaleNormal="80" workbookViewId="0">
      <pane xSplit="1" ySplit="2" topLeftCell="I21" activePane="bottomRight" state="frozen"/>
      <selection activeCell="D10" sqref="D10"/>
      <selection pane="topRight" activeCell="E10" sqref="E10"/>
      <selection pane="bottomLeft" activeCell="D12" sqref="D12"/>
      <selection pane="bottomRight" activeCell="R41" sqref="R41"/>
    </sheetView>
  </sheetViews>
  <sheetFormatPr defaultColWidth="9.140625" defaultRowHeight="12.75" outlineLevelRow="1" outlineLevelCol="1" x14ac:dyDescent="0.2"/>
  <cols>
    <col min="1" max="1" width="40.42578125" style="2" hidden="1" customWidth="1" outlineLevel="1"/>
    <col min="2" max="2" width="8.140625" style="2" hidden="1" customWidth="1" outlineLevel="1"/>
    <col min="3" max="3" width="9.140625" style="2" hidden="1" customWidth="1" outlineLevel="1"/>
    <col min="4" max="4" width="44.28515625" style="2" customWidth="1" collapsed="1"/>
    <col min="5" max="5" width="20.28515625" style="4" customWidth="1"/>
    <col min="6" max="6" width="21.140625" style="8" customWidth="1" outlineLevel="1"/>
    <col min="7" max="7" width="12" style="8" customWidth="1" outlineLevel="1"/>
    <col min="8" max="8" width="21.140625" style="8" customWidth="1"/>
    <col min="9" max="9" width="11.42578125" style="8" customWidth="1"/>
    <col min="10" max="10" width="15.7109375" style="8" customWidth="1"/>
    <col min="11" max="11" width="11.140625" style="8" customWidth="1"/>
    <col min="12" max="12" width="19.5703125" style="8" bestFit="1" customWidth="1"/>
    <col min="13" max="13" width="13.140625" style="8" customWidth="1"/>
    <col min="14" max="14" width="19.5703125" style="8" bestFit="1" customWidth="1"/>
    <col min="15" max="15" width="13.140625" style="8" customWidth="1"/>
    <col min="16" max="16" width="19.5703125" style="8" bestFit="1" customWidth="1"/>
    <col min="17" max="17" width="13" style="8" customWidth="1"/>
    <col min="18" max="18" width="19.5703125" style="8" bestFit="1" customWidth="1"/>
    <col min="19" max="19" width="10.7109375" style="8" customWidth="1"/>
    <col min="20" max="20" width="3.140625" style="8" customWidth="1"/>
    <col min="21" max="16384" width="9.140625" style="8"/>
  </cols>
  <sheetData>
    <row r="1" spans="1:24" ht="40.700000000000003" customHeight="1" thickBot="1" x14ac:dyDescent="0.4">
      <c r="D1" s="200" t="str">
        <f>UPPER('Report Info'!B5)</f>
        <v>RUTLAND REGIONAL MEDICAL CENTER</v>
      </c>
      <c r="E1" s="200"/>
      <c r="F1" s="200"/>
      <c r="G1" s="200"/>
      <c r="H1" s="200"/>
      <c r="I1" s="200"/>
      <c r="J1" s="200"/>
      <c r="K1" s="200"/>
      <c r="L1" s="200"/>
      <c r="M1" s="200"/>
      <c r="N1" s="200"/>
      <c r="O1" s="200"/>
      <c r="P1" s="200"/>
      <c r="Q1" s="200"/>
      <c r="R1" s="200"/>
      <c r="S1" s="31"/>
    </row>
    <row r="2" spans="1:24" ht="24" hidden="1" thickBot="1" x14ac:dyDescent="0.4">
      <c r="D2" s="17"/>
      <c r="E2" s="17"/>
      <c r="F2" s="17"/>
      <c r="G2" s="31"/>
      <c r="H2" s="17"/>
      <c r="I2" s="31"/>
      <c r="J2" s="169"/>
      <c r="K2" s="169"/>
      <c r="L2" s="179"/>
      <c r="M2" s="179"/>
      <c r="N2" s="100"/>
      <c r="O2" s="31"/>
      <c r="P2" s="17"/>
      <c r="Q2" s="31"/>
      <c r="R2" s="17"/>
      <c r="S2" s="31"/>
    </row>
    <row r="3" spans="1:24" ht="17.25" customHeight="1" x14ac:dyDescent="0.35">
      <c r="D3" s="26"/>
      <c r="E3" s="27"/>
      <c r="F3" s="27"/>
      <c r="G3" s="27"/>
      <c r="H3" s="27"/>
      <c r="I3" s="27"/>
      <c r="J3" s="27"/>
      <c r="K3" s="27"/>
      <c r="L3" s="27"/>
      <c r="M3" s="27"/>
      <c r="N3" s="27"/>
      <c r="O3" s="27"/>
      <c r="P3" s="27"/>
      <c r="Q3" s="27"/>
      <c r="R3" s="27"/>
      <c r="S3" s="28"/>
    </row>
    <row r="4" spans="1:24" ht="25.5" customHeight="1" thickBot="1" x14ac:dyDescent="0.45">
      <c r="D4" s="204" t="s">
        <v>182</v>
      </c>
      <c r="E4" s="204"/>
      <c r="F4" s="204"/>
      <c r="G4" s="204"/>
      <c r="H4" s="204"/>
      <c r="I4" s="204"/>
      <c r="J4" s="204"/>
      <c r="K4" s="204"/>
      <c r="L4" s="204"/>
      <c r="M4" s="204"/>
      <c r="N4" s="204"/>
      <c r="O4" s="204"/>
      <c r="P4" s="204"/>
      <c r="Q4" s="204"/>
      <c r="R4" s="204"/>
      <c r="S4" s="205"/>
    </row>
    <row r="5" spans="1:24" x14ac:dyDescent="0.2">
      <c r="D5" s="22"/>
      <c r="E5" s="23"/>
      <c r="F5" s="24"/>
      <c r="G5" s="24"/>
      <c r="H5" s="24"/>
      <c r="I5" s="24"/>
      <c r="J5" s="24"/>
      <c r="K5" s="24"/>
      <c r="L5" s="24"/>
      <c r="M5" s="24"/>
      <c r="N5" s="24"/>
      <c r="O5" s="24"/>
      <c r="P5" s="24"/>
      <c r="Q5" s="24"/>
      <c r="R5" s="24"/>
      <c r="S5" s="25"/>
    </row>
    <row r="6" spans="1:24" ht="15.75" thickBot="1" x14ac:dyDescent="0.3">
      <c r="D6" s="201" t="str">
        <f>UPPER('Report Info'!A2)</f>
        <v>INCOME STATEMENT</v>
      </c>
      <c r="E6" s="202"/>
      <c r="F6" s="202"/>
      <c r="G6" s="202"/>
      <c r="H6" s="202"/>
      <c r="I6" s="202"/>
      <c r="J6" s="202"/>
      <c r="K6" s="202"/>
      <c r="L6" s="202"/>
      <c r="M6" s="202"/>
      <c r="N6" s="202"/>
      <c r="O6" s="202"/>
      <c r="P6" s="202"/>
      <c r="Q6" s="202"/>
      <c r="R6" s="202"/>
      <c r="S6" s="203"/>
    </row>
    <row r="7" spans="1:24" s="16" customFormat="1" ht="16.5" customHeight="1" x14ac:dyDescent="0.2">
      <c r="A7" s="33"/>
      <c r="B7" s="33"/>
      <c r="C7" s="33"/>
      <c r="D7" s="206" t="s">
        <v>76</v>
      </c>
      <c r="E7" s="207"/>
      <c r="F7" s="207"/>
      <c r="G7" s="207"/>
      <c r="H7" s="207"/>
      <c r="I7" s="207"/>
      <c r="J7" s="207"/>
      <c r="K7" s="207"/>
      <c r="L7" s="207"/>
      <c r="M7" s="207"/>
      <c r="N7" s="207"/>
      <c r="O7" s="207"/>
      <c r="P7" s="207"/>
      <c r="Q7" s="207"/>
      <c r="R7" s="207"/>
      <c r="S7" s="208"/>
    </row>
    <row r="8" spans="1:24" ht="15.75" x14ac:dyDescent="0.25">
      <c r="D8" s="197" t="s">
        <v>64</v>
      </c>
      <c r="E8" s="198"/>
      <c r="F8" s="198"/>
      <c r="G8" s="198"/>
      <c r="H8" s="198"/>
      <c r="I8" s="198"/>
      <c r="J8" s="198"/>
      <c r="K8" s="198"/>
      <c r="L8" s="198"/>
      <c r="M8" s="198"/>
      <c r="N8" s="198"/>
      <c r="O8" s="198"/>
      <c r="P8" s="198"/>
      <c r="Q8" s="198"/>
      <c r="R8" s="198"/>
      <c r="S8" s="199"/>
    </row>
    <row r="9" spans="1:24" ht="35.25" customHeight="1" x14ac:dyDescent="0.25">
      <c r="B9" s="3"/>
      <c r="D9" s="46"/>
      <c r="E9" s="44"/>
      <c r="F9" s="47"/>
      <c r="G9" s="47"/>
      <c r="H9" s="47"/>
      <c r="I9" s="47"/>
      <c r="J9" s="171"/>
      <c r="K9" s="48"/>
      <c r="L9" s="48" t="s">
        <v>183</v>
      </c>
      <c r="M9" s="48"/>
      <c r="N9" s="48" t="s">
        <v>67</v>
      </c>
      <c r="O9" s="48"/>
      <c r="P9" s="48" t="s">
        <v>68</v>
      </c>
      <c r="Q9" s="48"/>
      <c r="R9" s="48" t="s">
        <v>69</v>
      </c>
      <c r="S9" s="49"/>
      <c r="X9" s="29"/>
    </row>
    <row r="10" spans="1:24" ht="26.25" customHeight="1" x14ac:dyDescent="0.25">
      <c r="A10" s="3" t="s">
        <v>43</v>
      </c>
      <c r="D10" s="46"/>
      <c r="E10" s="44" t="str">
        <f>'Report Data'!B1</f>
        <v>2015</v>
      </c>
      <c r="F10" s="44" t="str">
        <f>'Report Data'!$C$1</f>
        <v>2016</v>
      </c>
      <c r="G10" s="50"/>
      <c r="H10" s="170" t="str">
        <f>'Report Data'!$C$1</f>
        <v>2016</v>
      </c>
      <c r="I10" s="50"/>
      <c r="J10" s="170" t="str">
        <f>+'Report Data'!E1</f>
        <v>2017</v>
      </c>
      <c r="K10" s="58"/>
      <c r="L10" s="51">
        <v>2017</v>
      </c>
      <c r="M10" s="52"/>
      <c r="N10" s="51">
        <v>2018</v>
      </c>
      <c r="O10" s="52"/>
      <c r="P10" s="51">
        <v>2019</v>
      </c>
      <c r="Q10" s="52"/>
      <c r="R10" s="51">
        <v>2020</v>
      </c>
      <c r="S10" s="53"/>
    </row>
    <row r="11" spans="1:24" ht="31.5" x14ac:dyDescent="0.25">
      <c r="A11" s="3"/>
      <c r="D11" s="46"/>
      <c r="E11" s="99" t="str">
        <f>MID('Report Data'!B2,1,6)</f>
        <v>Actual</v>
      </c>
      <c r="F11" s="99" t="str">
        <f>MID('Report Data'!C2,1,6)</f>
        <v>Budget</v>
      </c>
      <c r="G11" s="50" t="s">
        <v>77</v>
      </c>
      <c r="H11" s="178" t="str">
        <f>MID('Report Data'!D2,1,10)</f>
        <v>Actuals</v>
      </c>
      <c r="I11" s="50" t="s">
        <v>77</v>
      </c>
      <c r="J11" s="170" t="str">
        <f>MID('Report Data'!E2,1,6)</f>
        <v>Budget</v>
      </c>
      <c r="K11" s="58" t="s">
        <v>77</v>
      </c>
      <c r="L11" s="51"/>
      <c r="M11" s="52" t="s">
        <v>77</v>
      </c>
      <c r="N11" s="51"/>
      <c r="O11" s="52" t="s">
        <v>77</v>
      </c>
      <c r="P11" s="51"/>
      <c r="Q11" s="52" t="s">
        <v>77</v>
      </c>
      <c r="R11" s="51"/>
      <c r="S11" s="53" t="s">
        <v>77</v>
      </c>
    </row>
    <row r="12" spans="1:24" s="16" customFormat="1" ht="15.75" x14ac:dyDescent="0.25">
      <c r="A12" s="40"/>
      <c r="B12" s="33"/>
      <c r="C12" s="33"/>
      <c r="D12" s="54"/>
      <c r="E12" s="55"/>
      <c r="F12" s="55"/>
      <c r="G12" s="56"/>
      <c r="H12" s="55"/>
      <c r="I12" s="56"/>
      <c r="J12" s="57"/>
      <c r="K12" s="58"/>
      <c r="L12" s="51"/>
      <c r="M12" s="52"/>
      <c r="N12" s="51"/>
      <c r="O12" s="52"/>
      <c r="P12" s="51"/>
      <c r="Q12" s="52"/>
      <c r="R12" s="51"/>
      <c r="S12" s="53"/>
    </row>
    <row r="13" spans="1:24" ht="15.75" x14ac:dyDescent="0.25">
      <c r="A13" s="8" t="s">
        <v>2</v>
      </c>
      <c r="D13" s="59" t="s">
        <v>44</v>
      </c>
      <c r="E13" s="60"/>
      <c r="F13" s="61"/>
      <c r="G13" s="61"/>
      <c r="H13" s="61"/>
      <c r="I13" s="61"/>
      <c r="J13" s="95"/>
      <c r="K13" s="95"/>
      <c r="L13" s="64"/>
      <c r="M13" s="64"/>
      <c r="N13" s="64"/>
      <c r="O13" s="64"/>
      <c r="P13" s="187"/>
      <c r="Q13" s="64"/>
      <c r="R13" s="187"/>
      <c r="S13" s="172"/>
    </row>
    <row r="14" spans="1:24" ht="15" x14ac:dyDescent="0.2">
      <c r="A14" s="11" t="s">
        <v>55</v>
      </c>
      <c r="D14" s="46" t="str">
        <f>"  "&amp;UPPER(TRIM(A14))</f>
        <v xml:space="preserve">  INPATIENT CARE REVENUE</v>
      </c>
      <c r="E14" s="60">
        <f>SUMIF('Report Data'!$A:$A,PL!$A14,'Report Data'!B:B)</f>
        <v>170343832</v>
      </c>
      <c r="F14" s="60">
        <f>SUMIF('Report Data'!$A:$A,PL!$A14,'Report Data'!C:C)</f>
        <v>176547476</v>
      </c>
      <c r="G14" s="63">
        <f>(+F14/E14)-1</f>
        <v>3.6418365884829829E-2</v>
      </c>
      <c r="H14" s="60">
        <f>SUMIF('Report Data'!$A:$A,PL!$A14,'Report Data'!D:D)</f>
        <v>191888077</v>
      </c>
      <c r="I14" s="63">
        <f>+(H14/F14)-1</f>
        <v>8.6892213627568271E-2</v>
      </c>
      <c r="J14" s="60">
        <f>SUMIF('Report Data'!$A:$A,PL!$A14,'Report Data'!E:E)</f>
        <v>180666477</v>
      </c>
      <c r="K14" s="63">
        <f>+(J14/H14)-1</f>
        <v>-5.8479923168962666E-2</v>
      </c>
      <c r="L14" s="78">
        <v>205322090</v>
      </c>
      <c r="M14" s="65">
        <f>+(L14/H14)-1</f>
        <v>7.0009628581561012E-2</v>
      </c>
      <c r="N14" s="78">
        <v>214308929</v>
      </c>
      <c r="O14" s="65">
        <f>+(N14/J14)-1</f>
        <v>0.18621302943766382</v>
      </c>
      <c r="P14" s="188">
        <f>N14/N20*564902878</f>
        <v>228018451.81835347</v>
      </c>
      <c r="Q14" s="65">
        <f>+(P14/N14)-1</f>
        <v>6.3970842849732534E-2</v>
      </c>
      <c r="R14" s="188">
        <f>N14/N20*602268860</f>
        <v>243100926.51998258</v>
      </c>
      <c r="S14" s="66">
        <f>+(R14/P14)-1</f>
        <v>6.6145851712230197E-2</v>
      </c>
    </row>
    <row r="15" spans="1:24" ht="15" x14ac:dyDescent="0.2">
      <c r="A15" s="11" t="s">
        <v>56</v>
      </c>
      <c r="D15" s="46" t="str">
        <f t="shared" ref="D15:D18" si="0">"  "&amp;UPPER(TRIM(A15))</f>
        <v xml:space="preserve">  OUTPATIENT CARE REVENUE</v>
      </c>
      <c r="E15" s="60">
        <f>SUMIF('Report Data'!$A:$A,PL!$A15,'Report Data'!B:B)</f>
        <v>281110791</v>
      </c>
      <c r="F15" s="60">
        <f>SUMIF('Report Data'!$A:$A,PL!$A15,'Report Data'!C:C)</f>
        <v>274404943.99999994</v>
      </c>
      <c r="G15" s="63">
        <f t="shared" ref="G15:G18" si="1">(+F15/E15)-1</f>
        <v>-2.3854818863926375E-2</v>
      </c>
      <c r="H15" s="60">
        <f>SUMIF('Report Data'!$A:$A,PL!$A15,'Report Data'!D:D)</f>
        <v>274399840.00000006</v>
      </c>
      <c r="I15" s="63">
        <f t="shared" ref="I15:K20" si="2">+(H15/F15)-1</f>
        <v>-1.8600247960076643E-5</v>
      </c>
      <c r="J15" s="60">
        <f>SUMIF('Report Data'!$A:$A,PL!$A15,'Report Data'!E:E)</f>
        <v>257142036</v>
      </c>
      <c r="K15" s="63">
        <f t="shared" si="2"/>
        <v>-6.2892908392366609E-2</v>
      </c>
      <c r="L15" s="78">
        <v>255704927</v>
      </c>
      <c r="M15" s="65">
        <f>+(L15/H15)-1</f>
        <v>-6.8130189142967645E-2</v>
      </c>
      <c r="N15" s="78">
        <v>264354189</v>
      </c>
      <c r="O15" s="65">
        <f>+(N15/J15)-1</f>
        <v>2.8047351231208273E-2</v>
      </c>
      <c r="P15" s="188">
        <f>N15/N20*564902878</f>
        <v>281265149.28118747</v>
      </c>
      <c r="Q15" s="65">
        <f t="shared" ref="Q15:Q20" si="3">+(P15/N15)-1</f>
        <v>6.3970842849732534E-2</v>
      </c>
      <c r="R15" s="188">
        <f>N15/N20*602268860</f>
        <v>299869672.13735914</v>
      </c>
      <c r="S15" s="66">
        <f t="shared" ref="S15:S20" si="4">+(R15/P15)-1</f>
        <v>6.6145851712229975E-2</v>
      </c>
    </row>
    <row r="16" spans="1:24" ht="15" x14ac:dyDescent="0.2">
      <c r="A16" s="11" t="s">
        <v>60</v>
      </c>
      <c r="D16" s="46" t="str">
        <f t="shared" si="0"/>
        <v xml:space="preserve">  OUTPATIENT CARE REVENUE - PHYSICIAN</v>
      </c>
      <c r="E16" s="60">
        <f>SUMIF('Report Data'!$A:$A,PL!$A16,'Report Data'!B:B)</f>
        <v>40880965</v>
      </c>
      <c r="F16" s="60">
        <f>SUMIF('Report Data'!$A:$A,PL!$A16,'Report Data'!C:C)</f>
        <v>58686415.000000007</v>
      </c>
      <c r="G16" s="63">
        <f t="shared" si="1"/>
        <v>0.43554377936039446</v>
      </c>
      <c r="H16" s="60">
        <f>SUMIF('Report Data'!$A:$A,PL!$A16,'Report Data'!D:D)</f>
        <v>62566398.000000007</v>
      </c>
      <c r="I16" s="63">
        <f t="shared" si="2"/>
        <v>6.6113818675071601E-2</v>
      </c>
      <c r="J16" s="60">
        <f>SUMIF('Report Data'!$A:$A,PL!$A16,'Report Data'!E:E)</f>
        <v>63107824.999999978</v>
      </c>
      <c r="K16" s="63">
        <f t="shared" si="2"/>
        <v>8.6536386512128249E-3</v>
      </c>
      <c r="L16" s="78">
        <v>49400399</v>
      </c>
      <c r="M16" s="65">
        <f>+(L16/H16)-1</f>
        <v>-0.21043242732304979</v>
      </c>
      <c r="N16" s="78">
        <v>52275189</v>
      </c>
      <c r="O16" s="65">
        <f>+(N16/J16)-1</f>
        <v>-0.17165281801424759</v>
      </c>
      <c r="P16" s="188">
        <f>N16/N20*564902878</f>
        <v>55619276.900459059</v>
      </c>
      <c r="Q16" s="65">
        <f t="shared" si="3"/>
        <v>6.3970842849732312E-2</v>
      </c>
      <c r="R16" s="188">
        <f>N16/N20*602268860</f>
        <v>59298261.342658289</v>
      </c>
      <c r="S16" s="66">
        <f t="shared" si="4"/>
        <v>6.6145851712230197E-2</v>
      </c>
    </row>
    <row r="17" spans="1:19" ht="15" x14ac:dyDescent="0.2">
      <c r="A17" s="11" t="s">
        <v>57</v>
      </c>
      <c r="D17" s="46" t="str">
        <f t="shared" si="0"/>
        <v xml:space="preserve">  CHRONIC/SNF PT CARE REVENUE</v>
      </c>
      <c r="E17" s="60">
        <f>SUMIF('Report Data'!$A:$A,PL!$A17,'Report Data'!B:B)</f>
        <v>0</v>
      </c>
      <c r="F17" s="60">
        <f>SUMIF('Report Data'!$A:$A,PL!$A17,'Report Data'!C:C)</f>
        <v>0</v>
      </c>
      <c r="G17" s="63" t="e">
        <f t="shared" si="1"/>
        <v>#DIV/0!</v>
      </c>
      <c r="H17" s="60">
        <f>SUMIF('Report Data'!$A:$A,PL!$A17,'Report Data'!D:D)</f>
        <v>0</v>
      </c>
      <c r="I17" s="63" t="e">
        <f t="shared" si="2"/>
        <v>#DIV/0!</v>
      </c>
      <c r="J17" s="60">
        <f>SUMIF('Report Data'!$A:$A,PL!$A17,'Report Data'!E:E)</f>
        <v>0</v>
      </c>
      <c r="K17" s="63" t="e">
        <f t="shared" si="2"/>
        <v>#DIV/0!</v>
      </c>
      <c r="L17" s="78"/>
      <c r="M17" s="65" t="e">
        <f>+(L17/H17)-1</f>
        <v>#DIV/0!</v>
      </c>
      <c r="N17" s="78"/>
      <c r="O17" s="65" t="e">
        <f>+(N17/J17)-1</f>
        <v>#DIV/0!</v>
      </c>
      <c r="P17" s="188"/>
      <c r="Q17" s="65" t="e">
        <f t="shared" si="3"/>
        <v>#DIV/0!</v>
      </c>
      <c r="R17" s="188"/>
      <c r="S17" s="66" t="e">
        <f t="shared" si="4"/>
        <v>#DIV/0!</v>
      </c>
    </row>
    <row r="18" spans="1:19" ht="13.7" customHeight="1" x14ac:dyDescent="0.2">
      <c r="A18" s="11" t="s">
        <v>58</v>
      </c>
      <c r="D18" s="46" t="str">
        <f t="shared" si="0"/>
        <v xml:space="preserve">  SWING BEDS PT CARE REVENUE</v>
      </c>
      <c r="E18" s="60">
        <f>SUMIF('Report Data'!$A:$A,PL!$A18,'Report Data'!B:B)</f>
        <v>1058923.9999999998</v>
      </c>
      <c r="F18" s="60">
        <f>SUMIF('Report Data'!$A:$A,PL!$A18,'Report Data'!C:C)</f>
        <v>793290.00000000012</v>
      </c>
      <c r="G18" s="63">
        <f t="shared" si="1"/>
        <v>-0.25085275241660376</v>
      </c>
      <c r="H18" s="60">
        <f>SUMIF('Report Data'!$A:$A,PL!$A18,'Report Data'!D:D)</f>
        <v>0</v>
      </c>
      <c r="I18" s="63">
        <f t="shared" si="2"/>
        <v>-1</v>
      </c>
      <c r="J18" s="60">
        <f>SUMIF('Report Data'!$A:$A,PL!$A18,'Report Data'!E:E)</f>
        <v>0</v>
      </c>
      <c r="K18" s="63" t="e">
        <f t="shared" si="2"/>
        <v>#DIV/0!</v>
      </c>
      <c r="L18" s="78"/>
      <c r="M18" s="65" t="e">
        <f>+(L18/H18)-1</f>
        <v>#DIV/0!</v>
      </c>
      <c r="N18" s="78"/>
      <c r="O18" s="65" t="e">
        <f>+(N18/J18)-1</f>
        <v>#DIV/0!</v>
      </c>
      <c r="P18" s="188"/>
      <c r="Q18" s="65" t="e">
        <f t="shared" si="3"/>
        <v>#DIV/0!</v>
      </c>
      <c r="R18" s="188"/>
      <c r="S18" s="66" t="e">
        <f t="shared" si="4"/>
        <v>#DIV/0!</v>
      </c>
    </row>
    <row r="19" spans="1:19" ht="15" x14ac:dyDescent="0.2">
      <c r="D19" s="46"/>
      <c r="E19" s="60"/>
      <c r="F19" s="60"/>
      <c r="G19" s="67"/>
      <c r="H19" s="60"/>
      <c r="I19" s="67"/>
      <c r="J19" s="60"/>
      <c r="K19" s="67"/>
      <c r="L19" s="78"/>
      <c r="M19" s="173"/>
      <c r="N19" s="78"/>
      <c r="O19" s="173"/>
      <c r="P19" s="188"/>
      <c r="Q19" s="173"/>
      <c r="R19" s="188"/>
      <c r="S19" s="174"/>
    </row>
    <row r="20" spans="1:19" ht="15" x14ac:dyDescent="0.2">
      <c r="A20" s="5" t="s">
        <v>4</v>
      </c>
      <c r="B20" s="5"/>
      <c r="C20" s="5"/>
      <c r="D20" s="69" t="s">
        <v>45</v>
      </c>
      <c r="E20" s="70">
        <f>SUM(E14:E19)</f>
        <v>493394512</v>
      </c>
      <c r="F20" s="70">
        <f>SUM(F14:F19)</f>
        <v>510432124.99999994</v>
      </c>
      <c r="G20" s="71">
        <f>(+F20/E20)-1</f>
        <v>3.4531419757664272E-2</v>
      </c>
      <c r="H20" s="70">
        <f>SUM(H14:H19)</f>
        <v>528854315.00000006</v>
      </c>
      <c r="I20" s="71">
        <f t="shared" si="2"/>
        <v>3.6091360824909158E-2</v>
      </c>
      <c r="J20" s="70">
        <f>SUM(J14:J19)</f>
        <v>500916338</v>
      </c>
      <c r="K20" s="71">
        <f t="shared" si="2"/>
        <v>-5.2827359459098E-2</v>
      </c>
      <c r="L20" s="175">
        <f t="shared" ref="L20:N20" si="5">SUM(L14:L19)</f>
        <v>510427416</v>
      </c>
      <c r="M20" s="176">
        <f>+(L20/H20)-1</f>
        <v>-3.4843053138367663E-2</v>
      </c>
      <c r="N20" s="175">
        <f t="shared" si="5"/>
        <v>530938307</v>
      </c>
      <c r="O20" s="176">
        <f>+(N20/J20)-1</f>
        <v>5.9934098216616771E-2</v>
      </c>
      <c r="P20" s="189">
        <f t="shared" ref="P20:R20" si="6">SUM(P14:P19)</f>
        <v>564902878</v>
      </c>
      <c r="Q20" s="176">
        <f t="shared" si="3"/>
        <v>6.3970842849732534E-2</v>
      </c>
      <c r="R20" s="189">
        <f t="shared" si="6"/>
        <v>602268860</v>
      </c>
      <c r="S20" s="177">
        <f t="shared" si="4"/>
        <v>6.6145851712229975E-2</v>
      </c>
    </row>
    <row r="21" spans="1:19" ht="15" x14ac:dyDescent="0.2">
      <c r="D21" s="46"/>
      <c r="E21" s="60"/>
      <c r="F21" s="60"/>
      <c r="G21" s="60"/>
      <c r="H21" s="60"/>
      <c r="I21" s="60"/>
      <c r="J21" s="60"/>
      <c r="K21" s="60"/>
      <c r="L21" s="78"/>
      <c r="M21" s="78"/>
      <c r="N21" s="78"/>
      <c r="O21" s="78"/>
      <c r="P21" s="188"/>
      <c r="Q21" s="78"/>
      <c r="R21" s="188"/>
      <c r="S21" s="79"/>
    </row>
    <row r="22" spans="1:19" ht="15" x14ac:dyDescent="0.2">
      <c r="A22" s="2" t="s">
        <v>6</v>
      </c>
      <c r="D22" s="46" t="str">
        <f t="shared" ref="D22:D23" si="7">"  "&amp;UPPER(TRIM(A22))</f>
        <v xml:space="preserve">  DISPROPORTIONATE SHARE PAYMENTS</v>
      </c>
      <c r="E22" s="60">
        <f>SUMIF('Report Data'!$A:$A,PL!$A22,'Report Data'!B:B)</f>
        <v>4576163</v>
      </c>
      <c r="F22" s="60">
        <f>SUMIF('Report Data'!$A:$A,PL!$A22,'Report Data'!C:C)</f>
        <v>4169146.0000000005</v>
      </c>
      <c r="G22" s="63">
        <f>(+F22/E22)-1</f>
        <v>-8.8942854526816384E-2</v>
      </c>
      <c r="H22" s="60">
        <f>SUMIF('Report Data'!$A:$A,PL!$A22,'Report Data'!D:D)</f>
        <v>4573554</v>
      </c>
      <c r="I22" s="63">
        <f t="shared" ref="I22:K24" si="8">+(H22/F22)-1</f>
        <v>9.7000201000396524E-2</v>
      </c>
      <c r="J22" s="60">
        <f>SUMIF('Report Data'!$A:$A,PL!$A22,'Report Data'!E:E)</f>
        <v>5724870</v>
      </c>
      <c r="K22" s="63">
        <f t="shared" si="8"/>
        <v>0.25173333473268267</v>
      </c>
      <c r="L22" s="78">
        <v>5724870</v>
      </c>
      <c r="M22" s="65">
        <f>+(L22/H22)-1</f>
        <v>0.25173333473268267</v>
      </c>
      <c r="N22" s="78">
        <v>4579237</v>
      </c>
      <c r="O22" s="65">
        <f>+(N22/J22)-1</f>
        <v>-0.20011511178419772</v>
      </c>
      <c r="P22" s="188">
        <v>4837858</v>
      </c>
      <c r="Q22" s="65">
        <f t="shared" ref="Q22:Q24" si="9">+(P22/N22)-1</f>
        <v>5.6476875951168237E-2</v>
      </c>
      <c r="R22" s="188">
        <v>5002345</v>
      </c>
      <c r="S22" s="66">
        <f t="shared" ref="S22:S24" si="10">+(R22/P22)-1</f>
        <v>3.3999964447075648E-2</v>
      </c>
    </row>
    <row r="23" spans="1:19" ht="15" x14ac:dyDescent="0.2">
      <c r="A23" s="10" t="s">
        <v>7</v>
      </c>
      <c r="D23" s="46" t="str">
        <f t="shared" si="7"/>
        <v xml:space="preserve">  BAD DEBT FREE CARE</v>
      </c>
      <c r="E23" s="60">
        <f>SUMIF('Report Data'!$A:$A,PL!$A23,'Report Data'!B:B)</f>
        <v>-9687417</v>
      </c>
      <c r="F23" s="60">
        <f>SUMIF('Report Data'!$A:$A,PL!$A23,'Report Data'!C:C)</f>
        <v>-13964808</v>
      </c>
      <c r="G23" s="63">
        <f t="shared" ref="G23:G24" si="11">(+F23/E23)-1</f>
        <v>0.44154091849251453</v>
      </c>
      <c r="H23" s="60">
        <f>SUMIF('Report Data'!$A:$A,PL!$A23,'Report Data'!D:D)</f>
        <v>-10022418.999999998</v>
      </c>
      <c r="I23" s="63">
        <f t="shared" si="8"/>
        <v>-0.28230885809529227</v>
      </c>
      <c r="J23" s="60">
        <f>SUMIF('Report Data'!$A:$A,PL!$A23,'Report Data'!E:E)</f>
        <v>-10196810</v>
      </c>
      <c r="K23" s="63">
        <f t="shared" si="8"/>
        <v>1.7400090736577889E-2</v>
      </c>
      <c r="L23" s="78">
        <v>-10989502</v>
      </c>
      <c r="M23" s="65">
        <f>+(L23/H23)-1</f>
        <v>9.6491974642050282E-2</v>
      </c>
      <c r="N23" s="78">
        <v>-11431102</v>
      </c>
      <c r="O23" s="65">
        <f>+(N23/J23)-1</f>
        <v>0.12104687642507805</v>
      </c>
      <c r="P23" s="188">
        <v>-12162359</v>
      </c>
      <c r="Q23" s="65">
        <f t="shared" si="9"/>
        <v>6.3970822760570201E-2</v>
      </c>
      <c r="R23" s="188">
        <v>-12966849</v>
      </c>
      <c r="S23" s="66">
        <f t="shared" si="10"/>
        <v>6.614588502115426E-2</v>
      </c>
    </row>
    <row r="24" spans="1:19" ht="15" x14ac:dyDescent="0.2">
      <c r="A24" s="2" t="s">
        <v>8</v>
      </c>
      <c r="D24" s="46" t="str">
        <f>"  "&amp;UPPER(TRIM(A24))</f>
        <v xml:space="preserve">  DEDUCTIONS FROM REVENUE</v>
      </c>
      <c r="E24" s="60">
        <f>SUMIF('Report Data'!$A:$A,PL!$A24,'Report Data'!B:B)+SUMIF('Report Data'!$A:$A,PL!$A25,'Report Data'!B:B)</f>
        <v>-259954621.00000009</v>
      </c>
      <c r="F24" s="60">
        <f>SUMIF('Report Data'!$A:$A,PL!$A24,'Report Data'!C:C)+SUMIF('Report Data'!$A:$A,PL!$A25,'Report Data'!C:C)</f>
        <v>-267388300.99999997</v>
      </c>
      <c r="G24" s="63">
        <f t="shared" si="11"/>
        <v>2.8596067926793589E-2</v>
      </c>
      <c r="H24" s="60">
        <f>SUMIF('Report Data'!$A:$A,PL!$A24,'Report Data'!D:D)+SUMIF('Report Data'!$A:$A,PL!$A25,'Report Data'!D:D)</f>
        <v>-277582497.99999988</v>
      </c>
      <c r="I24" s="63">
        <f t="shared" si="8"/>
        <v>3.8125067408988578E-2</v>
      </c>
      <c r="J24" s="60">
        <f>SUMIF('Report Data'!$A:$A,PL!$A24,'Report Data'!E:E)+SUMIF('Report Data'!$A:$A,PL!$A25,'Report Data'!E:E)</f>
        <v>-253028950.00000003</v>
      </c>
      <c r="K24" s="63">
        <f t="shared" si="8"/>
        <v>-8.8454957271837276E-2</v>
      </c>
      <c r="L24" s="78">
        <v>-259915041</v>
      </c>
      <c r="M24" s="65">
        <f>+(L24/H24)-1</f>
        <v>-6.3647589913971792E-2</v>
      </c>
      <c r="N24" s="78">
        <v>-272539164</v>
      </c>
      <c r="O24" s="65">
        <f>+(N24/J24)-1</f>
        <v>7.7106647282850327E-2</v>
      </c>
      <c r="P24" s="188">
        <v>-297478492</v>
      </c>
      <c r="Q24" s="65">
        <f t="shared" si="9"/>
        <v>9.1507318192258102E-2</v>
      </c>
      <c r="R24" s="188">
        <v>-325361075</v>
      </c>
      <c r="S24" s="66">
        <f t="shared" si="10"/>
        <v>9.3729744333919784E-2</v>
      </c>
    </row>
    <row r="25" spans="1:19" ht="15" hidden="1" outlineLevel="1" x14ac:dyDescent="0.2">
      <c r="A25" s="102" t="s">
        <v>73</v>
      </c>
      <c r="D25" s="46"/>
      <c r="E25" s="60"/>
      <c r="F25" s="60"/>
      <c r="G25" s="63" t="e">
        <f t="shared" ref="G25" si="12">(+F25/E25)-1</f>
        <v>#DIV/0!</v>
      </c>
      <c r="H25" s="60"/>
      <c r="I25" s="63" t="e">
        <f t="shared" ref="I25:K25" si="13">+(H25/F25)-1</f>
        <v>#DIV/0!</v>
      </c>
      <c r="J25" s="60"/>
      <c r="K25" s="63" t="e">
        <f t="shared" si="13"/>
        <v>#DIV/0!</v>
      </c>
      <c r="L25" s="78"/>
      <c r="M25" s="65" t="e">
        <f>+(L25/H25)-1</f>
        <v>#DIV/0!</v>
      </c>
      <c r="N25" s="78"/>
      <c r="O25" s="65" t="e">
        <f>+(N25/J25)-1</f>
        <v>#DIV/0!</v>
      </c>
      <c r="P25" s="78"/>
      <c r="Q25" s="65" t="e">
        <f t="shared" ref="Q25" si="14">+(P25/N25)-1</f>
        <v>#DIV/0!</v>
      </c>
      <c r="R25" s="78"/>
      <c r="S25" s="66" t="e">
        <f t="shared" ref="S25" si="15">+(R25/P25)-1</f>
        <v>#DIV/0!</v>
      </c>
    </row>
    <row r="26" spans="1:19" ht="15.75" collapsed="1" x14ac:dyDescent="0.25">
      <c r="A26" s="5"/>
      <c r="B26" s="5"/>
      <c r="C26" s="5"/>
      <c r="D26" s="74" t="s">
        <v>47</v>
      </c>
      <c r="E26" s="70">
        <f>SUM(E20:E25)</f>
        <v>228328636.99999991</v>
      </c>
      <c r="F26" s="70">
        <f>SUM(F20:F25)</f>
        <v>233248161.99999997</v>
      </c>
      <c r="G26" s="71">
        <f>(+F26/E26)-1</f>
        <v>2.154580811516893E-2</v>
      </c>
      <c r="H26" s="70">
        <f>SUM(H20:H25)</f>
        <v>245822952.00000018</v>
      </c>
      <c r="I26" s="71">
        <f t="shared" ref="I26:K26" si="16">+(H26/F26)-1</f>
        <v>5.391163596821924E-2</v>
      </c>
      <c r="J26" s="70">
        <f>SUM(J20:J25)</f>
        <v>243415447.99999997</v>
      </c>
      <c r="K26" s="71">
        <f t="shared" si="16"/>
        <v>-9.7936501877180504E-3</v>
      </c>
      <c r="L26" s="175">
        <f t="shared" ref="L26:N26" si="17">SUM(L20:L25)</f>
        <v>245247743</v>
      </c>
      <c r="M26" s="176">
        <f>+(L26/H26)-1</f>
        <v>-2.3399320336865426E-3</v>
      </c>
      <c r="N26" s="175">
        <f t="shared" si="17"/>
        <v>251547278</v>
      </c>
      <c r="O26" s="176">
        <f>+(N26/J26)-1</f>
        <v>3.3407205938712714E-2</v>
      </c>
      <c r="P26" s="175">
        <f t="shared" ref="P26:R26" si="18">SUM(P20:P25)</f>
        <v>260099885</v>
      </c>
      <c r="Q26" s="176">
        <f t="shared" ref="Q26" si="19">+(P26/N26)-1</f>
        <v>3.3999998203121162E-2</v>
      </c>
      <c r="R26" s="175">
        <f t="shared" si="18"/>
        <v>268943281</v>
      </c>
      <c r="S26" s="177">
        <f t="shared" ref="S26" si="20">+(R26/P26)-1</f>
        <v>3.3999999653979041E-2</v>
      </c>
    </row>
    <row r="27" spans="1:19" ht="15" x14ac:dyDescent="0.2">
      <c r="D27" s="46"/>
      <c r="E27" s="60"/>
      <c r="F27" s="60"/>
      <c r="G27" s="60"/>
      <c r="H27" s="60"/>
      <c r="I27" s="60"/>
      <c r="J27" s="60"/>
      <c r="K27" s="60"/>
      <c r="L27" s="78"/>
      <c r="M27" s="78"/>
      <c r="N27" s="78"/>
      <c r="O27" s="78"/>
      <c r="P27" s="78"/>
      <c r="Q27" s="78"/>
      <c r="R27" s="78"/>
      <c r="S27" s="79"/>
    </row>
    <row r="28" spans="1:19" ht="15" x14ac:dyDescent="0.2">
      <c r="A28" s="10" t="s">
        <v>22</v>
      </c>
      <c r="B28" s="8"/>
      <c r="C28" s="8"/>
      <c r="D28" s="46" t="s">
        <v>46</v>
      </c>
      <c r="E28" s="60">
        <f>SUMIF('Report Data'!$A:$A,PL!$A28,'Report Data'!B:B)</f>
        <v>9275938</v>
      </c>
      <c r="F28" s="60">
        <f>SUMIF('Report Data'!$A:$A,PL!$A28,'Report Data'!C:C)</f>
        <v>9938846</v>
      </c>
      <c r="G28" s="63">
        <f t="shared" ref="G28" si="21">(+F28/E28)-1</f>
        <v>7.1465333209428605E-2</v>
      </c>
      <c r="H28" s="60">
        <f>SUMIF('Report Data'!$A:$A,PL!$A28,'Report Data'!D:D)</f>
        <v>8598282.9999999981</v>
      </c>
      <c r="I28" s="63">
        <f t="shared" ref="I28:K28" si="22">+(H28/F28)-1</f>
        <v>-0.13488115219815278</v>
      </c>
      <c r="J28" s="60">
        <f>SUMIF('Report Data'!$A:$A,PL!$A28,'Report Data'!E:E)</f>
        <v>11017731</v>
      </c>
      <c r="K28" s="63">
        <f t="shared" si="22"/>
        <v>0.2813873421007429</v>
      </c>
      <c r="L28" s="78">
        <v>11959805</v>
      </c>
      <c r="M28" s="65">
        <f>+(L28/H28)-1</f>
        <v>0.39095270532500526</v>
      </c>
      <c r="N28" s="78">
        <v>12290310</v>
      </c>
      <c r="O28" s="65">
        <f>+(N28/J28)-1</f>
        <v>0.11550281995448963</v>
      </c>
      <c r="P28" s="188">
        <f>N28+200000</f>
        <v>12490310</v>
      </c>
      <c r="Q28" s="190">
        <f t="shared" ref="Q28" si="23">+(P28/N28)-1</f>
        <v>1.6272982536648772E-2</v>
      </c>
      <c r="R28" s="188">
        <f>P28+200000</f>
        <v>12690310</v>
      </c>
      <c r="S28" s="66">
        <f t="shared" ref="S28" si="24">+(R28/P28)-1</f>
        <v>1.6012412822419941E-2</v>
      </c>
    </row>
    <row r="29" spans="1:19" ht="15" x14ac:dyDescent="0.2">
      <c r="A29" s="8"/>
      <c r="B29" s="8"/>
      <c r="C29" s="8"/>
      <c r="D29" s="46"/>
      <c r="E29" s="60"/>
      <c r="F29" s="60"/>
      <c r="G29" s="60"/>
      <c r="H29" s="60"/>
      <c r="I29" s="60"/>
      <c r="J29" s="60"/>
      <c r="K29" s="60"/>
      <c r="L29" s="78"/>
      <c r="M29" s="78"/>
      <c r="N29" s="78"/>
      <c r="O29" s="78"/>
      <c r="P29" s="78"/>
      <c r="Q29" s="78"/>
      <c r="R29" s="78"/>
      <c r="S29" s="79"/>
    </row>
    <row r="30" spans="1:19" ht="15.75" x14ac:dyDescent="0.25">
      <c r="A30" s="6"/>
      <c r="B30" s="6"/>
      <c r="C30" s="6"/>
      <c r="D30" s="75" t="s">
        <v>48</v>
      </c>
      <c r="E30" s="67">
        <f t="shared" ref="E30:R30" si="25">E26+E28</f>
        <v>237604574.99999991</v>
      </c>
      <c r="F30" s="67">
        <f t="shared" si="25"/>
        <v>243187007.99999997</v>
      </c>
      <c r="G30" s="76">
        <f t="shared" ref="G30" si="26">(+F30/E30)-1</f>
        <v>2.3494635993436042E-2</v>
      </c>
      <c r="H30" s="67">
        <f t="shared" ref="H30:J30" si="27">H26+H28</f>
        <v>254421235.00000018</v>
      </c>
      <c r="I30" s="76">
        <f t="shared" ref="I30:K30" si="28">+(H30/F30)-1</f>
        <v>4.6195835428840981E-2</v>
      </c>
      <c r="J30" s="67">
        <f t="shared" si="27"/>
        <v>254433178.99999997</v>
      </c>
      <c r="K30" s="76">
        <f t="shared" si="28"/>
        <v>4.6945766927874999E-5</v>
      </c>
      <c r="L30" s="173">
        <f t="shared" ref="L30:N30" si="29">L26+L28</f>
        <v>257207548</v>
      </c>
      <c r="M30" s="81">
        <f>+(L30/H30)-1</f>
        <v>1.095157406967151E-2</v>
      </c>
      <c r="N30" s="173">
        <f t="shared" si="29"/>
        <v>263837588</v>
      </c>
      <c r="O30" s="81">
        <f>+(N30/J30)-1</f>
        <v>3.6962195877763282E-2</v>
      </c>
      <c r="P30" s="173">
        <f t="shared" si="25"/>
        <v>272590195</v>
      </c>
      <c r="Q30" s="81">
        <f t="shared" ref="Q30" si="30">+(P30/N30)-1</f>
        <v>3.3174223075447484E-2</v>
      </c>
      <c r="R30" s="173">
        <f t="shared" si="25"/>
        <v>281633591</v>
      </c>
      <c r="S30" s="82">
        <f t="shared" ref="S30" si="31">+(R30/P30)-1</f>
        <v>3.3175793428666722E-2</v>
      </c>
    </row>
    <row r="31" spans="1:19" ht="15" x14ac:dyDescent="0.2">
      <c r="D31" s="46"/>
      <c r="E31" s="60"/>
      <c r="F31" s="60"/>
      <c r="G31" s="60"/>
      <c r="H31" s="60"/>
      <c r="I31" s="60"/>
      <c r="J31" s="60"/>
      <c r="K31" s="60"/>
      <c r="L31" s="78"/>
      <c r="M31" s="78"/>
      <c r="N31" s="78"/>
      <c r="O31" s="78"/>
      <c r="P31" s="78"/>
      <c r="Q31" s="78"/>
      <c r="R31" s="78"/>
      <c r="S31" s="79"/>
    </row>
    <row r="32" spans="1:19" ht="15.75" x14ac:dyDescent="0.25">
      <c r="A32" s="2" t="s">
        <v>24</v>
      </c>
      <c r="D32" s="59" t="s">
        <v>49</v>
      </c>
      <c r="E32" s="60"/>
      <c r="F32" s="60"/>
      <c r="G32" s="60"/>
      <c r="H32" s="60"/>
      <c r="I32" s="60"/>
      <c r="J32" s="60"/>
      <c r="K32" s="60"/>
      <c r="L32" s="78"/>
      <c r="M32" s="78"/>
      <c r="N32" s="78"/>
      <c r="O32" s="65"/>
      <c r="P32" s="78"/>
      <c r="Q32" s="78"/>
      <c r="R32" s="78"/>
      <c r="S32" s="79"/>
    </row>
    <row r="33" spans="1:19" ht="15" x14ac:dyDescent="0.2">
      <c r="A33" s="2" t="s">
        <v>25</v>
      </c>
      <c r="D33" s="46" t="str">
        <f t="shared" ref="D33:D38" si="32">"  "&amp;UPPER(TRIM(A33))</f>
        <v xml:space="preserve">  SALARIES NON MD</v>
      </c>
      <c r="E33" s="60">
        <f>SUMIF('Report Data'!$A:$A,PL!$A33,'Report Data'!B:B)</f>
        <v>70594783.000000015</v>
      </c>
      <c r="F33" s="60">
        <f>SUMIF('Report Data'!$A:$A,PL!$A33,'Report Data'!C:C)</f>
        <v>73162615.999999985</v>
      </c>
      <c r="G33" s="63">
        <f t="shared" ref="G33:G41" si="33">(+F33/E33)-1</f>
        <v>3.6374260120609403E-2</v>
      </c>
      <c r="H33" s="60">
        <f>SUMIF('Report Data'!$A:$A,PL!$A33,'Report Data'!D:D)</f>
        <v>78446783.00000003</v>
      </c>
      <c r="I33" s="63">
        <f t="shared" ref="I33:K41" si="34">+(H33/F33)-1</f>
        <v>7.2224959807342781E-2</v>
      </c>
      <c r="J33" s="60">
        <f>SUMIF('Report Data'!$A:$A,PL!$A33,'Report Data'!E:E)</f>
        <v>82628936.999999985</v>
      </c>
      <c r="K33" s="63">
        <f t="shared" si="34"/>
        <v>5.3311988587217751E-2</v>
      </c>
      <c r="L33" s="78">
        <v>79468595</v>
      </c>
      <c r="M33" s="65">
        <f t="shared" ref="M33:M39" si="35">+(L33/H33)-1</f>
        <v>1.302554369884068E-2</v>
      </c>
      <c r="N33" s="78">
        <v>82525214</v>
      </c>
      <c r="O33" s="65">
        <f t="shared" ref="O33:O39" si="36">+(N33/J33)-1</f>
        <v>-1.2552866316069E-3</v>
      </c>
      <c r="P33" s="188">
        <f>N33*1.035</f>
        <v>85413596.489999995</v>
      </c>
      <c r="Q33" s="190">
        <f t="shared" ref="Q33" si="37">+(P33/N33)-1</f>
        <v>3.499999999999992E-2</v>
      </c>
      <c r="R33" s="188">
        <f>P33*1.035</f>
        <v>88403072.367149994</v>
      </c>
      <c r="S33" s="66">
        <f t="shared" ref="S33:S41" si="38">+(R33/P33)-1</f>
        <v>3.499999999999992E-2</v>
      </c>
    </row>
    <row r="34" spans="1:19" ht="15" x14ac:dyDescent="0.2">
      <c r="A34" s="2" t="s">
        <v>26</v>
      </c>
      <c r="D34" s="46" t="str">
        <f t="shared" si="32"/>
        <v xml:space="preserve">  FRINGE BENEFITS NON MD</v>
      </c>
      <c r="E34" s="60">
        <f>SUMIF('Report Data'!$A:$A,PL!$A34,'Report Data'!B:B)</f>
        <v>27728540.000000004</v>
      </c>
      <c r="F34" s="60">
        <f>SUMIF('Report Data'!$A:$A,PL!$A34,'Report Data'!C:C)</f>
        <v>25651715.000000004</v>
      </c>
      <c r="G34" s="63">
        <f t="shared" si="33"/>
        <v>-7.4898462017834344E-2</v>
      </c>
      <c r="H34" s="60">
        <f>SUMIF('Report Data'!$A:$A,PL!$A34,'Report Data'!D:D)</f>
        <v>25172850.999999996</v>
      </c>
      <c r="I34" s="63">
        <f t="shared" si="34"/>
        <v>-1.8667913626827959E-2</v>
      </c>
      <c r="J34" s="60">
        <f>SUMIF('Report Data'!$A:$A,PL!$A34,'Report Data'!E:E)</f>
        <v>27673380.000000004</v>
      </c>
      <c r="K34" s="63">
        <f t="shared" si="34"/>
        <v>9.9334358273522882E-2</v>
      </c>
      <c r="L34" s="78">
        <f>26603395-1380112</f>
        <v>25223283</v>
      </c>
      <c r="M34" s="65">
        <f t="shared" si="35"/>
        <v>2.0034282171694784E-3</v>
      </c>
      <c r="N34" s="78">
        <f>28433905-1439639</f>
        <v>26994266</v>
      </c>
      <c r="O34" s="65">
        <f t="shared" si="36"/>
        <v>-2.4540334429693944E-2</v>
      </c>
      <c r="P34" s="188">
        <f>N34*1.03</f>
        <v>27804093.98</v>
      </c>
      <c r="Q34" s="190">
        <f t="shared" ref="Q34:Q41" si="39">+(P34/N34)-1</f>
        <v>3.0000000000000027E-2</v>
      </c>
      <c r="R34" s="188">
        <f>P34*1.03</f>
        <v>28638216.799400002</v>
      </c>
      <c r="S34" s="66">
        <f t="shared" si="38"/>
        <v>3.0000000000000027E-2</v>
      </c>
    </row>
    <row r="35" spans="1:19" ht="15" x14ac:dyDescent="0.2">
      <c r="A35" s="2" t="s">
        <v>27</v>
      </c>
      <c r="D35" s="46" t="str">
        <f t="shared" si="32"/>
        <v xml:space="preserve">  FRINGE BENEFITS MD</v>
      </c>
      <c r="E35" s="60">
        <f>SUMIF('Report Data'!$A:$A,PL!$A35,'Report Data'!B:B)</f>
        <v>2101245.9999999995</v>
      </c>
      <c r="F35" s="60">
        <f>SUMIF('Report Data'!$A:$A,PL!$A35,'Report Data'!C:C)</f>
        <v>2008606.0000000009</v>
      </c>
      <c r="G35" s="63">
        <f t="shared" si="33"/>
        <v>-4.4088126759074697E-2</v>
      </c>
      <c r="H35" s="60">
        <f>SUMIF('Report Data'!$A:$A,PL!$A35,'Report Data'!D:D)</f>
        <v>1375451</v>
      </c>
      <c r="I35" s="63">
        <f t="shared" si="34"/>
        <v>-0.31522110359124722</v>
      </c>
      <c r="J35" s="60">
        <f>SUMIF('Report Data'!$A:$A,PL!$A35,'Report Data'!E:E)</f>
        <v>1529900.9999999998</v>
      </c>
      <c r="K35" s="63">
        <f t="shared" si="34"/>
        <v>0.1122904414624728</v>
      </c>
      <c r="L35" s="78">
        <v>1380112</v>
      </c>
      <c r="M35" s="65">
        <f t="shared" si="35"/>
        <v>3.3887066860252002E-3</v>
      </c>
      <c r="N35" s="78">
        <f>1439639</f>
        <v>1439639</v>
      </c>
      <c r="O35" s="65">
        <f t="shared" si="36"/>
        <v>-5.8998588797575691E-2</v>
      </c>
      <c r="P35" s="188">
        <f t="shared" ref="P35:P37" si="40">N35*1.03</f>
        <v>1482828.17</v>
      </c>
      <c r="Q35" s="190">
        <f t="shared" ref="Q35:Q37" si="41">+(P35/N35)-1</f>
        <v>3.0000000000000027E-2</v>
      </c>
      <c r="R35" s="188">
        <f t="shared" ref="R35:R37" si="42">P35*1.03</f>
        <v>1527313.0151</v>
      </c>
      <c r="S35" s="66">
        <f t="shared" si="38"/>
        <v>3.0000000000000027E-2</v>
      </c>
    </row>
    <row r="36" spans="1:19" ht="15" x14ac:dyDescent="0.2">
      <c r="A36" s="39" t="s">
        <v>28</v>
      </c>
      <c r="D36" s="46" t="str">
        <f t="shared" si="32"/>
        <v xml:space="preserve">  PHYSICIAN FEES SALARIES CONTRACTS &amp; FRINGES</v>
      </c>
      <c r="E36" s="60">
        <f>SUMIF('Report Data'!$A:$A,PL!$A36,'Report Data'!B:B)</f>
        <v>30053013</v>
      </c>
      <c r="F36" s="60">
        <f>SUMIF('Report Data'!$A:$A,PL!$A36,'Report Data'!C:C)</f>
        <v>30114342</v>
      </c>
      <c r="G36" s="63">
        <f t="shared" si="33"/>
        <v>2.0406938898271942E-3</v>
      </c>
      <c r="H36" s="60">
        <f>SUMIF('Report Data'!$A:$A,PL!$A36,'Report Data'!D:D)</f>
        <v>30000114.999999989</v>
      </c>
      <c r="I36" s="63">
        <f t="shared" si="34"/>
        <v>-3.7931096087043814E-3</v>
      </c>
      <c r="J36" s="60">
        <f>SUMIF('Report Data'!$A:$A,PL!$A36,'Report Data'!E:E)</f>
        <v>29969646.999999996</v>
      </c>
      <c r="K36" s="63">
        <f t="shared" si="34"/>
        <v>-1.0155961068812891E-3</v>
      </c>
      <c r="L36" s="78">
        <v>33858442</v>
      </c>
      <c r="M36" s="65">
        <f t="shared" si="35"/>
        <v>0.12861040699344017</v>
      </c>
      <c r="N36" s="78">
        <v>35060044</v>
      </c>
      <c r="O36" s="65">
        <f t="shared" si="36"/>
        <v>0.16985175033926847</v>
      </c>
      <c r="P36" s="188">
        <f t="shared" si="40"/>
        <v>36111845.32</v>
      </c>
      <c r="Q36" s="190">
        <f t="shared" si="41"/>
        <v>3.0000000000000027E-2</v>
      </c>
      <c r="R36" s="188">
        <f t="shared" si="42"/>
        <v>37195200.6796</v>
      </c>
      <c r="S36" s="66">
        <f t="shared" si="38"/>
        <v>3.0000000000000027E-2</v>
      </c>
    </row>
    <row r="37" spans="1:19" ht="15" x14ac:dyDescent="0.2">
      <c r="A37" s="2" t="s">
        <v>29</v>
      </c>
      <c r="D37" s="46" t="str">
        <f t="shared" si="32"/>
        <v xml:space="preserve">  HEALTH CARE PROVIDER TAX</v>
      </c>
      <c r="E37" s="60">
        <f>SUMIF('Report Data'!$A:$A,PL!$A37,'Report Data'!B:B)</f>
        <v>13002474</v>
      </c>
      <c r="F37" s="60">
        <f>SUMIF('Report Data'!$A:$A,PL!$A37,'Report Data'!C:C)</f>
        <v>13519504.999999998</v>
      </c>
      <c r="G37" s="63">
        <f t="shared" si="33"/>
        <v>3.9764047980407335E-2</v>
      </c>
      <c r="H37" s="60">
        <f>SUMIF('Report Data'!$A:$A,PL!$A37,'Report Data'!D:D)</f>
        <v>14052304.000000002</v>
      </c>
      <c r="I37" s="63">
        <f t="shared" si="34"/>
        <v>3.9409652942175244E-2</v>
      </c>
      <c r="J37" s="60">
        <f>SUMIF('Report Data'!$A:$A,PL!$A37,'Report Data'!E:E)</f>
        <v>14352823.000000002</v>
      </c>
      <c r="K37" s="63">
        <f t="shared" si="34"/>
        <v>2.1385745711165915E-2</v>
      </c>
      <c r="L37" s="78">
        <v>14740749</v>
      </c>
      <c r="M37" s="65">
        <f t="shared" si="35"/>
        <v>4.899161020143028E-2</v>
      </c>
      <c r="N37" s="78">
        <v>14810108</v>
      </c>
      <c r="O37" s="65">
        <f t="shared" si="36"/>
        <v>3.1860282816836616E-2</v>
      </c>
      <c r="P37" s="188">
        <f t="shared" si="40"/>
        <v>15254411.24</v>
      </c>
      <c r="Q37" s="190">
        <f t="shared" si="41"/>
        <v>3.0000000000000027E-2</v>
      </c>
      <c r="R37" s="188">
        <f t="shared" si="42"/>
        <v>15712043.577200001</v>
      </c>
      <c r="S37" s="66">
        <f t="shared" si="38"/>
        <v>3.0000000000000027E-2</v>
      </c>
    </row>
    <row r="38" spans="1:19" ht="15" x14ac:dyDescent="0.2">
      <c r="A38" s="2" t="s">
        <v>30</v>
      </c>
      <c r="D38" s="46" t="str">
        <f t="shared" si="32"/>
        <v xml:space="preserve">  DEPRECIATION AMORTIZATION</v>
      </c>
      <c r="E38" s="60">
        <f>SUMIF('Report Data'!$A:$A,PL!$A38,'Report Data'!B:B)</f>
        <v>12433768.999999998</v>
      </c>
      <c r="F38" s="60">
        <f>SUMIF('Report Data'!$A:$A,PL!$A38,'Report Data'!C:C)</f>
        <v>13374000</v>
      </c>
      <c r="G38" s="63">
        <f t="shared" si="33"/>
        <v>7.5619146535535808E-2</v>
      </c>
      <c r="H38" s="60">
        <f>SUMIF('Report Data'!$A:$A,PL!$A38,'Report Data'!D:D)</f>
        <v>13596262.999999994</v>
      </c>
      <c r="I38" s="63">
        <f t="shared" si="34"/>
        <v>1.6619036937340681E-2</v>
      </c>
      <c r="J38" s="60">
        <f>SUMIF('Report Data'!$A:$A,PL!$A38,'Report Data'!E:E)</f>
        <v>13161688.000000006</v>
      </c>
      <c r="K38" s="63">
        <f t="shared" si="34"/>
        <v>-3.1962826844404879E-2</v>
      </c>
      <c r="L38" s="78">
        <v>12996477</v>
      </c>
      <c r="M38" s="65">
        <f t="shared" si="35"/>
        <v>-4.4114033392851693E-2</v>
      </c>
      <c r="N38" s="78">
        <v>12728164</v>
      </c>
      <c r="O38" s="65">
        <f t="shared" si="36"/>
        <v>-3.2938328275218587E-2</v>
      </c>
      <c r="P38" s="188">
        <v>14062142</v>
      </c>
      <c r="Q38" s="190">
        <f t="shared" si="39"/>
        <v>0.10480521778317753</v>
      </c>
      <c r="R38" s="188">
        <v>16539642</v>
      </c>
      <c r="S38" s="66">
        <f t="shared" si="38"/>
        <v>0.17618226298667738</v>
      </c>
    </row>
    <row r="39" spans="1:19" ht="15" x14ac:dyDescent="0.2">
      <c r="A39" s="2" t="s">
        <v>31</v>
      </c>
      <c r="D39" s="46" t="s">
        <v>85</v>
      </c>
      <c r="E39" s="60">
        <f>SUMIF('Report Data'!$A:$A,PL!$A39,'Report Data'!B:B)+SUMIF('Report Data'!$A:$A,PL!$A40,'Report Data'!B:B)</f>
        <v>1897137.9999999998</v>
      </c>
      <c r="F39" s="60">
        <f>SUMIF('Report Data'!$A:$A,PL!$A39,'Report Data'!C:C)+SUMIF('Report Data'!$A:$A,PL!$A40,'Report Data'!C:C)</f>
        <v>1873113</v>
      </c>
      <c r="G39" s="63">
        <f t="shared" si="33"/>
        <v>-1.2663812542893393E-2</v>
      </c>
      <c r="H39" s="60">
        <f>SUMIF('Report Data'!$A:$A,PL!$A39,'Report Data'!D:D)+SUMIF('Report Data'!$A:$A,PL!$A40,'Report Data'!D:D)</f>
        <v>1803468.9999999998</v>
      </c>
      <c r="I39" s="63">
        <f t="shared" si="34"/>
        <v>-3.7180885509843886E-2</v>
      </c>
      <c r="J39" s="60">
        <f>SUMIF('Report Data'!$A:$A,PL!$A39,'Report Data'!E:E)+SUMIF('Report Data'!$A:$A,PL!$A40,'Report Data'!E:E)</f>
        <v>1749035.0000000002</v>
      </c>
      <c r="K39" s="63">
        <f t="shared" si="34"/>
        <v>-3.0182941874797753E-2</v>
      </c>
      <c r="L39" s="78">
        <v>1517751</v>
      </c>
      <c r="M39" s="65">
        <f t="shared" si="35"/>
        <v>-0.15842689838306057</v>
      </c>
      <c r="N39" s="78">
        <v>1688565</v>
      </c>
      <c r="O39" s="65">
        <f t="shared" si="36"/>
        <v>-3.4573350447532625E-2</v>
      </c>
      <c r="P39" s="188">
        <f t="shared" ref="P39:P40" si="43">N39*1.03</f>
        <v>1739221.95</v>
      </c>
      <c r="Q39" s="190">
        <f t="shared" si="39"/>
        <v>3.0000000000000027E-2</v>
      </c>
      <c r="R39" s="188">
        <f t="shared" ref="R39:R40" si="44">P39*1.03</f>
        <v>1791398.6085000001</v>
      </c>
      <c r="S39" s="66">
        <f t="shared" si="38"/>
        <v>3.0000000000000027E-2</v>
      </c>
    </row>
    <row r="40" spans="1:19" ht="15" hidden="1" outlineLevel="1" x14ac:dyDescent="0.2">
      <c r="A40" s="2" t="s">
        <v>32</v>
      </c>
      <c r="D40" s="46"/>
      <c r="E40" s="60"/>
      <c r="F40" s="60"/>
      <c r="G40" s="63"/>
      <c r="H40" s="60"/>
      <c r="I40" s="63"/>
      <c r="J40" s="60"/>
      <c r="K40" s="63"/>
      <c r="L40" s="78"/>
      <c r="M40" s="65"/>
      <c r="N40" s="78"/>
      <c r="O40" s="65"/>
      <c r="P40" s="188">
        <f t="shared" si="43"/>
        <v>0</v>
      </c>
      <c r="Q40" s="190" t="e">
        <f t="shared" si="39"/>
        <v>#DIV/0!</v>
      </c>
      <c r="R40" s="188">
        <f t="shared" si="44"/>
        <v>0</v>
      </c>
      <c r="S40" s="66"/>
    </row>
    <row r="41" spans="1:19" ht="15" collapsed="1" x14ac:dyDescent="0.2">
      <c r="A41" s="2" t="s">
        <v>33</v>
      </c>
      <c r="D41" s="46" t="str">
        <f>"  "&amp;UPPER(TRIM(A41))</f>
        <v xml:space="preserve">  OTHER OPERATING EXPENSE</v>
      </c>
      <c r="E41" s="60">
        <f>SUMIF('Report Data'!$A:$A,PL!$A41,'Report Data'!B:B)</f>
        <v>75385578.99999997</v>
      </c>
      <c r="F41" s="60">
        <f>SUMIF('Report Data'!$A:$A,PL!$A41,'Report Data'!C:C)</f>
        <v>77623156.999999985</v>
      </c>
      <c r="G41" s="63">
        <f t="shared" si="33"/>
        <v>2.9681777730990344E-2</v>
      </c>
      <c r="H41" s="60">
        <f>SUMIF('Report Data'!$A:$A,PL!$A41,'Report Data'!D:D)</f>
        <v>79195624.000000015</v>
      </c>
      <c r="I41" s="63">
        <f t="shared" si="34"/>
        <v>2.0257704798067211E-2</v>
      </c>
      <c r="J41" s="60">
        <f>SUMIF('Report Data'!$A:$A,PL!$A41,'Report Data'!E:E)</f>
        <v>77262880.999999985</v>
      </c>
      <c r="K41" s="63">
        <f t="shared" si="34"/>
        <v>-2.4404669126668277E-2</v>
      </c>
      <c r="L41" s="78">
        <v>81111075</v>
      </c>
      <c r="M41" s="65">
        <f>+(L41/H41)-1</f>
        <v>2.418632372919971E-2</v>
      </c>
      <c r="N41" s="78">
        <v>82303323</v>
      </c>
      <c r="O41" s="65">
        <f>+(N41/J41)-1</f>
        <v>6.5237562135432414E-2</v>
      </c>
      <c r="P41" s="188">
        <f>(N41*1.03)-865122+312258</f>
        <v>84219558.689999998</v>
      </c>
      <c r="Q41" s="190">
        <f t="shared" si="39"/>
        <v>2.3282604154391207E-2</v>
      </c>
      <c r="R41" s="188">
        <f>(P41*1.03)-1638655+4368</f>
        <v>85111858.4507</v>
      </c>
      <c r="S41" s="66">
        <f t="shared" si="38"/>
        <v>1.0594923252737809E-2</v>
      </c>
    </row>
    <row r="42" spans="1:19" ht="15" hidden="1" outlineLevel="1" x14ac:dyDescent="0.2">
      <c r="A42" s="2" t="s">
        <v>34</v>
      </c>
      <c r="D42" s="46" t="str">
        <f>"  "&amp;UPPER(TRIM(A42))</f>
        <v xml:space="preserve">  BAD DEBT</v>
      </c>
      <c r="E42" s="60">
        <f>SUMIF('Report Data'!$A:$A,PL!$A42,'Report Data'!B:B)</f>
        <v>0</v>
      </c>
      <c r="F42" s="60">
        <f>SUMIF('Report Data'!$A:$A,PL!$A42,'Report Data'!C:C)</f>
        <v>0</v>
      </c>
      <c r="G42" s="60"/>
      <c r="H42" s="60">
        <f>SUMIF('Report Data'!$A:$A,PL!$A42,'Report Data'!D:D)</f>
        <v>0</v>
      </c>
      <c r="I42" s="60"/>
      <c r="J42" s="60">
        <f>SUMIF('Report Data'!$A:$A,PL!$A42,'Report Data'!E:E)</f>
        <v>0</v>
      </c>
      <c r="K42" s="60"/>
      <c r="L42" s="78"/>
      <c r="M42" s="78"/>
      <c r="N42" s="78"/>
      <c r="O42" s="78"/>
      <c r="P42" s="78"/>
      <c r="Q42" s="78"/>
      <c r="R42" s="78"/>
      <c r="S42" s="79"/>
    </row>
    <row r="43" spans="1:19" ht="15" collapsed="1" x14ac:dyDescent="0.2">
      <c r="D43" s="46"/>
      <c r="E43" s="60"/>
      <c r="F43" s="60"/>
      <c r="G43" s="60"/>
      <c r="H43" s="60"/>
      <c r="I43" s="60"/>
      <c r="J43" s="60"/>
      <c r="K43" s="60"/>
      <c r="L43" s="78"/>
      <c r="M43" s="78"/>
      <c r="N43" s="78"/>
      <c r="O43" s="78"/>
      <c r="P43" s="78"/>
      <c r="Q43" s="78"/>
      <c r="R43" s="78"/>
      <c r="S43" s="79"/>
    </row>
    <row r="44" spans="1:19" ht="15.75" x14ac:dyDescent="0.25">
      <c r="A44" s="5"/>
      <c r="B44" s="5"/>
      <c r="C44" s="5"/>
      <c r="D44" s="74" t="s">
        <v>50</v>
      </c>
      <c r="E44" s="70">
        <f t="shared" ref="E44:R44" si="45">SUM(E33:E43)</f>
        <v>233196541.99999997</v>
      </c>
      <c r="F44" s="70">
        <f t="shared" si="45"/>
        <v>237327053.99999994</v>
      </c>
      <c r="G44" s="71">
        <f>(+F44/E44)-1</f>
        <v>1.7712578259414968E-2</v>
      </c>
      <c r="H44" s="70">
        <f t="shared" ref="H44:J44" si="46">SUM(H33:H43)</f>
        <v>243642860.00000006</v>
      </c>
      <c r="I44" s="71">
        <f t="shared" ref="I44:K44" si="47">+(H44/F44)-1</f>
        <v>2.6612246238054693E-2</v>
      </c>
      <c r="J44" s="70">
        <f t="shared" si="46"/>
        <v>248328291.99999994</v>
      </c>
      <c r="K44" s="71">
        <f t="shared" si="47"/>
        <v>1.9230737974426537E-2</v>
      </c>
      <c r="L44" s="175">
        <f t="shared" ref="L44:N44" si="48">SUM(L33:L43)</f>
        <v>250296484</v>
      </c>
      <c r="M44" s="176">
        <f>+(L44/H44)-1</f>
        <v>2.7308922576265715E-2</v>
      </c>
      <c r="N44" s="175">
        <f t="shared" si="48"/>
        <v>257549323</v>
      </c>
      <c r="O44" s="176">
        <f>+(N44/J44)-1</f>
        <v>3.7132422269469334E-2</v>
      </c>
      <c r="P44" s="175">
        <f t="shared" si="45"/>
        <v>266087697.84</v>
      </c>
      <c r="Q44" s="176">
        <f t="shared" ref="Q44" si="49">+(P44/N44)-1</f>
        <v>3.3152387047820087E-2</v>
      </c>
      <c r="R44" s="175">
        <f t="shared" si="45"/>
        <v>274918745.49764997</v>
      </c>
      <c r="S44" s="177">
        <f t="shared" ref="S44" si="50">+(R44/P44)-1</f>
        <v>3.318848533523755E-2</v>
      </c>
    </row>
    <row r="45" spans="1:19" ht="15" x14ac:dyDescent="0.2">
      <c r="D45" s="46"/>
      <c r="E45" s="60"/>
      <c r="F45" s="60"/>
      <c r="G45" s="60"/>
      <c r="H45" s="60"/>
      <c r="I45" s="60"/>
      <c r="J45" s="60"/>
      <c r="K45" s="60"/>
      <c r="L45" s="78"/>
      <c r="M45" s="78"/>
      <c r="N45" s="78"/>
      <c r="O45" s="78"/>
      <c r="P45" s="78"/>
      <c r="Q45" s="78"/>
      <c r="R45" s="78"/>
      <c r="S45" s="79"/>
    </row>
    <row r="46" spans="1:19" ht="15" x14ac:dyDescent="0.2">
      <c r="D46" s="46" t="s">
        <v>51</v>
      </c>
      <c r="E46" s="60">
        <f t="shared" ref="E46:R46" si="51">E30-E44</f>
        <v>4408032.9999999404</v>
      </c>
      <c r="F46" s="60">
        <f t="shared" si="51"/>
        <v>5859954.0000000298</v>
      </c>
      <c r="G46" s="63">
        <f t="shared" ref="G46" si="52">(+F46/E46)-1</f>
        <v>0.32938070109731687</v>
      </c>
      <c r="H46" s="60">
        <f t="shared" ref="H46:J46" si="53">H30-H44</f>
        <v>10778375.000000119</v>
      </c>
      <c r="I46" s="63">
        <f t="shared" ref="I46:K46" si="54">+(H46/F46)-1</f>
        <v>0.83932757833936322</v>
      </c>
      <c r="J46" s="60">
        <f t="shared" si="53"/>
        <v>6104887.0000000298</v>
      </c>
      <c r="K46" s="63">
        <f t="shared" si="54"/>
        <v>-0.43359857121319656</v>
      </c>
      <c r="L46" s="78">
        <f t="shared" ref="L46:N46" si="55">L30-L44</f>
        <v>6911064</v>
      </c>
      <c r="M46" s="65">
        <f>+(L46/H46)-1</f>
        <v>-0.35880278798984788</v>
      </c>
      <c r="N46" s="78">
        <f t="shared" si="55"/>
        <v>6288265</v>
      </c>
      <c r="O46" s="65">
        <f>+(N46/J46)-1</f>
        <v>3.0037902421448548E-2</v>
      </c>
      <c r="P46" s="78">
        <f t="shared" si="51"/>
        <v>6502497.1599999964</v>
      </c>
      <c r="Q46" s="65">
        <f t="shared" ref="Q46" si="56">+(P46/N46)-1</f>
        <v>3.4068564222404119E-2</v>
      </c>
      <c r="R46" s="78">
        <f t="shared" si="51"/>
        <v>6714845.5023500323</v>
      </c>
      <c r="S46" s="66">
        <f t="shared" ref="S46" si="57">+(R46/P46)-1</f>
        <v>3.2656429849180491E-2</v>
      </c>
    </row>
    <row r="47" spans="1:19" ht="15" x14ac:dyDescent="0.2">
      <c r="D47" s="46"/>
      <c r="E47" s="60"/>
      <c r="F47" s="60"/>
      <c r="G47" s="60"/>
      <c r="H47" s="60"/>
      <c r="I47" s="60"/>
      <c r="J47" s="60"/>
      <c r="K47" s="60"/>
      <c r="L47" s="78"/>
      <c r="M47" s="78"/>
      <c r="N47" s="78"/>
      <c r="O47" s="78"/>
      <c r="P47" s="78"/>
      <c r="Q47" s="78"/>
      <c r="R47" s="78"/>
      <c r="S47" s="79"/>
    </row>
    <row r="48" spans="1:19" ht="15" x14ac:dyDescent="0.2">
      <c r="A48" s="2" t="s">
        <v>37</v>
      </c>
      <c r="D48" s="46" t="str">
        <f>UPPER(TRIM(A48))</f>
        <v>NON-OPERATING REVENUE</v>
      </c>
      <c r="E48" s="60">
        <f>SUMIF('Report Data'!$A:$A,PL!$A48,'Report Data'!B:B)</f>
        <v>-492377.00000000373</v>
      </c>
      <c r="F48" s="60">
        <f>SUMIF('Report Data'!$A:$A,PL!$A48,'Report Data'!C:C)</f>
        <v>5973111</v>
      </c>
      <c r="G48" s="76">
        <f t="shared" ref="G48" si="58">(+F48/E48)-1</f>
        <v>-13.131173876927546</v>
      </c>
      <c r="H48" s="60">
        <f>SUMIF('Report Data'!$A:$A,PL!$A48,'Report Data'!D:D)</f>
        <v>11380794</v>
      </c>
      <c r="I48" s="76">
        <f t="shared" ref="I48:K48" si="59">+(H48/F48)-1</f>
        <v>0.90533777122173009</v>
      </c>
      <c r="J48" s="60">
        <f>SUMIF('Report Data'!$A:$A,PL!$A48,'Report Data'!E:E)</f>
        <v>7136913</v>
      </c>
      <c r="K48" s="76">
        <f t="shared" si="59"/>
        <v>-0.37289849899752159</v>
      </c>
      <c r="L48" s="78">
        <v>9727331</v>
      </c>
      <c r="M48" s="81">
        <f>+(L48/H48)-1</f>
        <v>-0.14528538167020688</v>
      </c>
      <c r="N48" s="78">
        <v>8905374</v>
      </c>
      <c r="O48" s="81">
        <f>+(N48/J48)-1</f>
        <v>0.24779074650342525</v>
      </c>
      <c r="P48" s="188">
        <f>N48</f>
        <v>8905374</v>
      </c>
      <c r="Q48" s="191">
        <f t="shared" ref="Q48" si="60">+(P48/N48)-1</f>
        <v>0</v>
      </c>
      <c r="R48" s="188">
        <f>N48</f>
        <v>8905374</v>
      </c>
      <c r="S48" s="82">
        <f t="shared" ref="S48" si="61">+(R48/P48)-1</f>
        <v>0</v>
      </c>
    </row>
    <row r="49" spans="1:20" ht="15" x14ac:dyDescent="0.2">
      <c r="A49" s="5"/>
      <c r="B49" s="5"/>
      <c r="C49" s="5"/>
      <c r="D49" s="69"/>
      <c r="E49" s="70"/>
      <c r="F49" s="70"/>
      <c r="G49" s="70"/>
      <c r="H49" s="70"/>
      <c r="I49" s="70"/>
      <c r="J49" s="70"/>
      <c r="K49" s="70"/>
      <c r="L49" s="70"/>
      <c r="M49" s="70"/>
      <c r="N49" s="70"/>
      <c r="O49" s="70"/>
      <c r="P49" s="70"/>
      <c r="Q49" s="70"/>
      <c r="R49" s="70"/>
      <c r="S49" s="83"/>
    </row>
    <row r="50" spans="1:20" ht="16.5" thickBot="1" x14ac:dyDescent="0.3">
      <c r="A50" s="7"/>
      <c r="B50" s="7"/>
      <c r="C50" s="7"/>
      <c r="D50" s="84" t="s">
        <v>52</v>
      </c>
      <c r="E50" s="85">
        <f t="shared" ref="E50:R50" si="62">E46+E48</f>
        <v>3915655.9999999367</v>
      </c>
      <c r="F50" s="85">
        <f t="shared" si="62"/>
        <v>11833065.00000003</v>
      </c>
      <c r="G50" s="86">
        <f>+(F50/E50)-1</f>
        <v>2.0219878865764054</v>
      </c>
      <c r="H50" s="85">
        <f t="shared" ref="H50:J50" si="63">H46+H48</f>
        <v>22159169.000000119</v>
      </c>
      <c r="I50" s="86">
        <f t="shared" ref="I50:K50" si="64">+(H50/F50)-1</f>
        <v>0.87264829526416565</v>
      </c>
      <c r="J50" s="85">
        <f t="shared" si="63"/>
        <v>13241800.00000003</v>
      </c>
      <c r="K50" s="86">
        <f t="shared" si="64"/>
        <v>-0.40242343925442514</v>
      </c>
      <c r="L50" s="85">
        <f t="shared" ref="L50:N50" si="65">L46+L48</f>
        <v>16638395</v>
      </c>
      <c r="M50" s="86">
        <f>+(L50/H50)-1</f>
        <v>-0.24914174353740837</v>
      </c>
      <c r="N50" s="85">
        <f t="shared" si="65"/>
        <v>15193639</v>
      </c>
      <c r="O50" s="86">
        <f>+(N50/J50)-1</f>
        <v>0.14739982479723035</v>
      </c>
      <c r="P50" s="85">
        <f t="shared" si="62"/>
        <v>15407871.159999996</v>
      </c>
      <c r="Q50" s="86">
        <f t="shared" ref="Q50" si="66">+(P50/N50)-1</f>
        <v>1.4100121768063412E-2</v>
      </c>
      <c r="R50" s="85">
        <f t="shared" si="62"/>
        <v>15620219.502350032</v>
      </c>
      <c r="S50" s="87">
        <f t="shared" ref="S50" si="67">+(R50/P50)-1</f>
        <v>1.3781809319726612E-2</v>
      </c>
    </row>
    <row r="51" spans="1:20" ht="16.5" thickTop="1" thickBot="1" x14ac:dyDescent="0.25">
      <c r="D51" s="88"/>
      <c r="E51" s="89"/>
      <c r="F51" s="90"/>
      <c r="G51" s="90"/>
      <c r="H51" s="89"/>
      <c r="I51" s="89"/>
      <c r="J51" s="90"/>
      <c r="K51" s="89"/>
      <c r="L51" s="90"/>
      <c r="M51" s="89"/>
      <c r="N51" s="90"/>
      <c r="O51" s="89"/>
      <c r="P51" s="90"/>
      <c r="Q51" s="90"/>
      <c r="R51" s="90"/>
      <c r="S51" s="91"/>
    </row>
    <row r="52" spans="1:20" ht="3.75" customHeight="1" x14ac:dyDescent="0.2">
      <c r="D52" s="61"/>
      <c r="E52" s="60"/>
      <c r="F52" s="61"/>
      <c r="G52" s="61"/>
      <c r="H52" s="60"/>
      <c r="I52" s="60"/>
      <c r="J52" s="61"/>
      <c r="K52" s="60"/>
      <c r="L52" s="61"/>
      <c r="M52" s="60"/>
      <c r="N52" s="61"/>
      <c r="O52" s="60"/>
      <c r="P52" s="61"/>
      <c r="Q52" s="61"/>
      <c r="R52" s="61"/>
      <c r="S52" s="61"/>
    </row>
    <row r="53" spans="1:20" s="42" customFormat="1" ht="15" x14ac:dyDescent="0.2">
      <c r="A53" s="41"/>
      <c r="B53" s="41"/>
      <c r="C53" s="41"/>
      <c r="D53" s="61" t="s">
        <v>80</v>
      </c>
      <c r="E53" s="63">
        <f>+E46/E30</f>
        <v>1.8551970221953606E-2</v>
      </c>
      <c r="F53" s="63">
        <f>+F46/F30</f>
        <v>2.4096492852118279E-2</v>
      </c>
      <c r="G53" s="63"/>
      <c r="H53" s="63">
        <f>+H46/H30</f>
        <v>4.2364290071935672E-2</v>
      </c>
      <c r="I53" s="63"/>
      <c r="J53" s="63">
        <f>+J46/J30</f>
        <v>2.3994068006358678E-2</v>
      </c>
      <c r="K53" s="63"/>
      <c r="L53" s="63">
        <f>+L46/L30</f>
        <v>2.6869600265385679E-2</v>
      </c>
      <c r="M53" s="63"/>
      <c r="N53" s="63">
        <f>+N46/N30</f>
        <v>2.3833848117198523E-2</v>
      </c>
      <c r="O53" s="63"/>
      <c r="P53" s="63">
        <f>+P46/P30</f>
        <v>2.3854479285287559E-2</v>
      </c>
      <c r="Q53" s="63"/>
      <c r="R53" s="63">
        <f>+R46/R30</f>
        <v>2.3842487959293293E-2</v>
      </c>
      <c r="T53" s="43"/>
    </row>
    <row r="54" spans="1:20" s="42" customFormat="1" ht="15" x14ac:dyDescent="0.2">
      <c r="A54" s="41"/>
      <c r="B54" s="41"/>
      <c r="C54" s="41"/>
      <c r="D54" s="61" t="s">
        <v>81</v>
      </c>
      <c r="E54" s="63">
        <f>-E23/E20</f>
        <v>1.9634221225387282E-2</v>
      </c>
      <c r="F54" s="63">
        <f>-F23/F20</f>
        <v>2.7358795256078369E-2</v>
      </c>
      <c r="G54" s="63"/>
      <c r="H54" s="63">
        <f>-H23/H20</f>
        <v>1.8951190745224413E-2</v>
      </c>
      <c r="I54" s="63"/>
      <c r="J54" s="63">
        <f>-J23/J20</f>
        <v>2.0356313472849833E-2</v>
      </c>
      <c r="K54" s="63"/>
      <c r="L54" s="63">
        <f>-L23/L20</f>
        <v>2.152999947792773E-2</v>
      </c>
      <c r="M54" s="63"/>
      <c r="N54" s="63">
        <f>-N23/N20</f>
        <v>2.1530000471410703E-2</v>
      </c>
      <c r="O54" s="63"/>
      <c r="P54" s="63">
        <f>-P23/P20</f>
        <v>2.153000006489611E-2</v>
      </c>
      <c r="Q54" s="63"/>
      <c r="R54" s="63">
        <f>-R23/R20</f>
        <v>2.1530000737544359E-2</v>
      </c>
    </row>
    <row r="55" spans="1:20" s="42" customFormat="1" ht="15" x14ac:dyDescent="0.2">
      <c r="A55" s="41"/>
      <c r="B55" s="41"/>
      <c r="C55" s="41"/>
      <c r="D55" s="61" t="s">
        <v>82</v>
      </c>
      <c r="E55" s="63">
        <f>SUM(E33:E36)/E44</f>
        <v>0.55951765356795058</v>
      </c>
      <c r="F55" s="63">
        <f>SUM(F33:F36)/F44</f>
        <v>0.55171661550225126</v>
      </c>
      <c r="G55" s="61"/>
      <c r="H55" s="63">
        <f>SUM(H33:H36)/H44</f>
        <v>0.55407000229762526</v>
      </c>
      <c r="I55" s="60"/>
      <c r="J55" s="63">
        <f>SUM(J33:J36)/J44</f>
        <v>0.5710258136837667</v>
      </c>
      <c r="K55" s="63"/>
      <c r="L55" s="63">
        <f>SUM(L33:L36)/L44</f>
        <v>0.55905872013767477</v>
      </c>
      <c r="M55" s="63"/>
      <c r="N55" s="63">
        <f>SUM(N33:N36)/N44</f>
        <v>0.56695611271321411</v>
      </c>
      <c r="O55" s="63"/>
      <c r="P55" s="63">
        <f>SUM(P33:P36)/P44</f>
        <v>0.56677691296605648</v>
      </c>
      <c r="Q55" s="63"/>
      <c r="R55" s="63">
        <f>SUM(R33:R36)/R44</f>
        <v>0.56658123686433548</v>
      </c>
    </row>
    <row r="56" spans="1:20" s="42" customFormat="1" ht="15" x14ac:dyDescent="0.2">
      <c r="A56" s="41"/>
      <c r="B56" s="41"/>
      <c r="C56" s="41"/>
      <c r="D56" s="61" t="s">
        <v>83</v>
      </c>
      <c r="E56" s="63">
        <f>(+E38+E39)/E44</f>
        <v>6.1454200294273661E-2</v>
      </c>
      <c r="F56" s="63">
        <f>(+F38+F39)/F44</f>
        <v>6.424515344129289E-2</v>
      </c>
      <c r="G56" s="61"/>
      <c r="H56" s="63">
        <f>(+H38+H39)/H44</f>
        <v>6.3206169883246288E-2</v>
      </c>
      <c r="I56" s="60"/>
      <c r="J56" s="63">
        <f>(+J38+J39)/J44</f>
        <v>6.0044398807365895E-2</v>
      </c>
      <c r="K56" s="63"/>
      <c r="L56" s="63">
        <f>(+L38+L39)/L44</f>
        <v>5.7988141775095807E-2</v>
      </c>
      <c r="M56" s="63"/>
      <c r="N56" s="63">
        <f>(+N38+N39)/N44</f>
        <v>5.5976575018991608E-2</v>
      </c>
      <c r="O56" s="63"/>
      <c r="P56" s="63">
        <f>(+P38+P39)/P44</f>
        <v>5.9384045479251905E-2</v>
      </c>
      <c r="Q56" s="63"/>
      <c r="R56" s="63">
        <f>(+R38+R39)/R44</f>
        <v>6.667803090443207E-2</v>
      </c>
    </row>
    <row r="57" spans="1:20" ht="15" x14ac:dyDescent="0.2">
      <c r="D57" s="92"/>
      <c r="E57" s="93"/>
      <c r="F57" s="61"/>
      <c r="G57" s="61"/>
      <c r="H57" s="61"/>
      <c r="I57" s="61"/>
      <c r="J57" s="61"/>
      <c r="K57" s="61"/>
      <c r="L57" s="63"/>
      <c r="M57" s="63"/>
      <c r="N57" s="63"/>
      <c r="O57" s="63"/>
      <c r="P57" s="63"/>
      <c r="Q57" s="63"/>
      <c r="R57" s="63"/>
      <c r="S57" s="61"/>
    </row>
    <row r="58" spans="1:20" hidden="1" outlineLevel="1" x14ac:dyDescent="0.2">
      <c r="A58" s="12" t="s">
        <v>63</v>
      </c>
      <c r="B58" s="12"/>
      <c r="C58" s="12"/>
      <c r="D58" s="12"/>
      <c r="E58" s="13"/>
      <c r="F58" s="14"/>
      <c r="G58" s="14"/>
      <c r="L58" s="37"/>
      <c r="M58" s="37"/>
      <c r="N58" s="37"/>
      <c r="O58" s="37"/>
      <c r="P58" s="37"/>
      <c r="Q58" s="37"/>
      <c r="R58" s="37"/>
    </row>
    <row r="59" spans="1:20" hidden="1" outlineLevel="1" x14ac:dyDescent="0.2">
      <c r="A59" s="12" t="s">
        <v>10</v>
      </c>
      <c r="B59" s="12"/>
      <c r="C59" s="12"/>
      <c r="D59" s="12"/>
      <c r="E59" s="13">
        <f>SUMIF('Report Data'!$A:$A,PL!$A59,'Report Data'!B:B)</f>
        <v>228328636.99999985</v>
      </c>
      <c r="F59" s="13">
        <f>SUMIF('Report Data'!$A:$A,PL!$A59,'Report Data'!C:C)</f>
        <v>233248162.00000012</v>
      </c>
      <c r="G59" s="13"/>
      <c r="H59" s="13">
        <f>SUMIF('Report Data'!$A:$A,PL!$A59,'Report Data'!D:D)</f>
        <v>245822952.00000024</v>
      </c>
      <c r="I59" s="13"/>
      <c r="L59" s="37"/>
      <c r="M59" s="37"/>
      <c r="N59" s="37"/>
      <c r="O59" s="37"/>
      <c r="P59" s="37"/>
      <c r="Q59" s="37"/>
      <c r="R59" s="37"/>
    </row>
    <row r="60" spans="1:20" hidden="1" outlineLevel="1" x14ac:dyDescent="0.2">
      <c r="A60" s="12"/>
      <c r="B60" s="12"/>
      <c r="C60" s="12"/>
      <c r="D60" s="12"/>
      <c r="E60" s="13">
        <f>+E59-E26</f>
        <v>0</v>
      </c>
      <c r="F60" s="13">
        <f>+F59-F26</f>
        <v>0</v>
      </c>
      <c r="G60" s="13"/>
      <c r="H60" s="13">
        <f>+H59-H26</f>
        <v>0</v>
      </c>
      <c r="I60" s="13"/>
      <c r="L60" s="37"/>
      <c r="M60" s="37"/>
      <c r="N60" s="37"/>
      <c r="O60" s="37"/>
      <c r="P60" s="37"/>
      <c r="Q60" s="37"/>
      <c r="R60" s="37"/>
    </row>
    <row r="61" spans="1:20" hidden="1" outlineLevel="1" x14ac:dyDescent="0.2">
      <c r="A61" s="12" t="s">
        <v>22</v>
      </c>
      <c r="B61" s="12"/>
      <c r="C61" s="12"/>
      <c r="D61" s="12"/>
      <c r="E61" s="13">
        <f>SUMIF('Report Data'!$A:$A,PL!$A61,'Report Data'!B:B)</f>
        <v>9275938</v>
      </c>
      <c r="F61" s="13">
        <f>SUMIF('Report Data'!$A:$A,PL!$A61,'Report Data'!C:C)</f>
        <v>9938846</v>
      </c>
      <c r="G61" s="13"/>
      <c r="H61" s="13">
        <f>SUMIF('Report Data'!$A:$A,PL!$A61,'Report Data'!D:D)</f>
        <v>8598282.9999999981</v>
      </c>
      <c r="I61" s="13"/>
      <c r="L61" s="37"/>
      <c r="M61" s="37"/>
      <c r="N61" s="37"/>
      <c r="O61" s="37"/>
      <c r="P61" s="37"/>
      <c r="Q61" s="37"/>
      <c r="R61" s="37"/>
    </row>
    <row r="62" spans="1:20" hidden="1" outlineLevel="1" x14ac:dyDescent="0.2">
      <c r="A62" s="12"/>
      <c r="B62" s="12"/>
      <c r="C62" s="12"/>
      <c r="D62" s="12"/>
      <c r="E62" s="13">
        <f>+E61-E28</f>
        <v>0</v>
      </c>
      <c r="F62" s="13">
        <f>+F61-F28</f>
        <v>0</v>
      </c>
      <c r="G62" s="13"/>
      <c r="H62" s="13">
        <f>+H61-H28</f>
        <v>0</v>
      </c>
      <c r="I62" s="13"/>
      <c r="L62" s="37"/>
      <c r="M62" s="37"/>
      <c r="N62" s="37"/>
      <c r="O62" s="37"/>
      <c r="P62" s="37"/>
      <c r="Q62" s="37"/>
      <c r="R62" s="37"/>
    </row>
    <row r="63" spans="1:20" hidden="1" outlineLevel="1" x14ac:dyDescent="0.2">
      <c r="A63" s="12" t="s">
        <v>23</v>
      </c>
      <c r="B63" s="12"/>
      <c r="C63" s="12"/>
      <c r="D63" s="12"/>
      <c r="E63" s="13">
        <f>SUMIF('Report Data'!$A:$A,PL!$A63,'Report Data'!B:B)</f>
        <v>237604574.99999985</v>
      </c>
      <c r="F63" s="13">
        <f>SUMIF('Report Data'!$A:$A,PL!$A63,'Report Data'!C:C)</f>
        <v>243187008.00000012</v>
      </c>
      <c r="G63" s="13"/>
      <c r="H63" s="13">
        <f>SUMIF('Report Data'!$A:$A,PL!$A63,'Report Data'!D:D)</f>
        <v>254421235.00000024</v>
      </c>
      <c r="I63" s="13"/>
      <c r="L63" s="37"/>
      <c r="M63" s="37"/>
      <c r="N63" s="37"/>
      <c r="O63" s="37"/>
      <c r="P63" s="37"/>
      <c r="Q63" s="37"/>
      <c r="R63" s="37"/>
    </row>
    <row r="64" spans="1:20" hidden="1" outlineLevel="1" x14ac:dyDescent="0.2">
      <c r="A64" s="12"/>
      <c r="B64" s="12"/>
      <c r="C64" s="12"/>
      <c r="D64" s="12"/>
      <c r="E64" s="13">
        <f>+E63-E30</f>
        <v>0</v>
      </c>
      <c r="F64" s="13">
        <f>+F63-F30</f>
        <v>0</v>
      </c>
      <c r="G64" s="13"/>
      <c r="H64" s="13">
        <f>+H63-H30</f>
        <v>0</v>
      </c>
      <c r="I64" s="13"/>
      <c r="L64" s="37"/>
      <c r="M64" s="37"/>
      <c r="N64" s="37"/>
      <c r="O64" s="37"/>
      <c r="P64" s="37"/>
      <c r="Q64" s="37"/>
      <c r="R64" s="37"/>
    </row>
    <row r="65" spans="1:19" hidden="1" outlineLevel="1" x14ac:dyDescent="0.2">
      <c r="A65" s="12" t="s">
        <v>35</v>
      </c>
      <c r="B65" s="12"/>
      <c r="C65" s="12"/>
      <c r="D65" s="12"/>
      <c r="E65" s="13">
        <f>SUMIF('Report Data'!$A:$A,PL!$A65,'Report Data'!B:B)</f>
        <v>233196541.99999991</v>
      </c>
      <c r="F65" s="13">
        <f>SUMIF('Report Data'!$A:$A,PL!$A65,'Report Data'!C:C)</f>
        <v>237327053.99999997</v>
      </c>
      <c r="G65" s="13"/>
      <c r="H65" s="13">
        <f>SUMIF('Report Data'!$A:$A,PL!$A65,'Report Data'!D:D)</f>
        <v>243642859.99999997</v>
      </c>
      <c r="I65" s="13"/>
      <c r="L65" s="37"/>
      <c r="M65" s="37"/>
      <c r="N65" s="37"/>
      <c r="O65" s="37"/>
      <c r="P65" s="37"/>
      <c r="Q65" s="37"/>
      <c r="R65" s="37"/>
    </row>
    <row r="66" spans="1:19" hidden="1" outlineLevel="1" x14ac:dyDescent="0.2">
      <c r="A66" s="12"/>
      <c r="B66" s="12"/>
      <c r="C66" s="12"/>
      <c r="D66" s="12"/>
      <c r="E66" s="13">
        <f>+E65-E44</f>
        <v>0</v>
      </c>
      <c r="F66" s="13"/>
      <c r="G66" s="13"/>
      <c r="H66" s="13"/>
      <c r="I66" s="13"/>
      <c r="L66" s="37"/>
      <c r="M66" s="37"/>
      <c r="N66" s="37"/>
      <c r="O66" s="37"/>
      <c r="P66" s="37"/>
      <c r="Q66" s="37"/>
      <c r="R66" s="37"/>
    </row>
    <row r="67" spans="1:19" hidden="1" outlineLevel="1" x14ac:dyDescent="0.2">
      <c r="A67" s="12" t="s">
        <v>36</v>
      </c>
      <c r="B67" s="12"/>
      <c r="C67" s="12"/>
      <c r="D67" s="12"/>
      <c r="E67" s="13">
        <f>SUMIF('Report Data'!$A:$A,PL!$A67,'Report Data'!B:B)</f>
        <v>4408033</v>
      </c>
      <c r="F67" s="13">
        <f>SUMIF('Report Data'!$A:$A,PL!$A67,'Report Data'!C:C)</f>
        <v>5859954.0000000596</v>
      </c>
      <c r="G67" s="13"/>
      <c r="H67" s="13">
        <f>SUMIF('Report Data'!$A:$A,PL!$A67,'Report Data'!D:D)</f>
        <v>10778375.000000119</v>
      </c>
      <c r="I67" s="13"/>
      <c r="L67" s="37"/>
      <c r="M67" s="37"/>
      <c r="N67" s="37"/>
      <c r="O67" s="37"/>
      <c r="P67" s="37"/>
      <c r="Q67" s="37"/>
      <c r="R67" s="37"/>
    </row>
    <row r="68" spans="1:19" hidden="1" outlineLevel="1" x14ac:dyDescent="0.2">
      <c r="A68" s="12"/>
      <c r="B68" s="12"/>
      <c r="C68" s="12"/>
      <c r="D68" s="12"/>
      <c r="E68" s="13">
        <f>+E67-E46</f>
        <v>5.9604644775390625E-8</v>
      </c>
      <c r="F68" s="13">
        <f>+F67-F46</f>
        <v>2.9802322387695313E-8</v>
      </c>
      <c r="G68" s="13"/>
      <c r="H68" s="13">
        <f>+H67-H46</f>
        <v>0</v>
      </c>
      <c r="I68" s="13"/>
      <c r="L68" s="37"/>
      <c r="M68" s="37"/>
      <c r="N68" s="37"/>
      <c r="O68" s="37"/>
      <c r="P68" s="37"/>
      <c r="Q68" s="37"/>
      <c r="R68" s="37"/>
    </row>
    <row r="69" spans="1:19" hidden="1" outlineLevel="1" x14ac:dyDescent="0.2">
      <c r="A69" s="12" t="s">
        <v>38</v>
      </c>
      <c r="B69" s="12"/>
      <c r="C69" s="12"/>
      <c r="D69" s="12"/>
      <c r="E69" s="13">
        <f>SUMIF('Report Data'!$A:$A,PL!$A69,'Report Data'!B:B)</f>
        <v>3915655.9999999963</v>
      </c>
      <c r="F69" s="13">
        <f>SUMIF('Report Data'!$A:$A,PL!$A69,'Report Data'!C:C)</f>
        <v>11833065.00000006</v>
      </c>
      <c r="G69" s="13"/>
      <c r="H69" s="13">
        <f>SUMIF('Report Data'!$A:$A,PL!$A69,'Report Data'!D:D)</f>
        <v>22159169.000000119</v>
      </c>
      <c r="I69" s="13"/>
      <c r="L69" s="37"/>
      <c r="M69" s="37"/>
      <c r="N69" s="37"/>
      <c r="O69" s="37"/>
      <c r="P69" s="37"/>
      <c r="Q69" s="37"/>
      <c r="R69" s="37"/>
    </row>
    <row r="70" spans="1:19" hidden="1" outlineLevel="1" x14ac:dyDescent="0.2">
      <c r="A70" s="12"/>
      <c r="B70" s="12"/>
      <c r="C70" s="12"/>
      <c r="D70" s="12"/>
      <c r="E70" s="13">
        <f>+E69-E50</f>
        <v>5.9604644775390625E-8</v>
      </c>
      <c r="F70" s="13">
        <f>+F69-F50</f>
        <v>2.9802322387695313E-8</v>
      </c>
      <c r="G70" s="13"/>
      <c r="H70" s="13">
        <f>+H69-H50</f>
        <v>0</v>
      </c>
      <c r="I70" s="13"/>
      <c r="L70" s="37"/>
      <c r="M70" s="37"/>
      <c r="N70" s="37"/>
      <c r="O70" s="37"/>
      <c r="P70" s="37"/>
      <c r="Q70" s="37"/>
      <c r="R70" s="37"/>
    </row>
    <row r="71" spans="1:19" collapsed="1" x14ac:dyDescent="0.2">
      <c r="L71" s="37"/>
      <c r="M71" s="37"/>
      <c r="N71" s="37"/>
      <c r="O71" s="37"/>
      <c r="P71" s="37"/>
      <c r="Q71" s="37"/>
      <c r="R71" s="37"/>
    </row>
    <row r="72" spans="1:19" ht="13.5" thickBot="1" x14ac:dyDescent="0.25"/>
    <row r="73" spans="1:19" ht="13.5" thickBot="1" x14ac:dyDescent="0.25">
      <c r="D73" s="22"/>
      <c r="E73" s="23"/>
      <c r="F73" s="24"/>
      <c r="G73" s="24"/>
      <c r="H73" s="24"/>
      <c r="I73" s="24"/>
      <c r="J73" s="24"/>
      <c r="K73" s="24"/>
      <c r="L73" s="24"/>
      <c r="M73" s="24"/>
      <c r="N73" s="24"/>
      <c r="O73" s="24"/>
      <c r="P73" s="24"/>
      <c r="Q73" s="24"/>
      <c r="R73" s="24"/>
      <c r="S73" s="25"/>
    </row>
    <row r="74" spans="1:19" ht="25.5" customHeight="1" thickBot="1" x14ac:dyDescent="0.25">
      <c r="D74" s="209" t="s">
        <v>70</v>
      </c>
      <c r="E74" s="210"/>
      <c r="F74" s="210"/>
      <c r="G74" s="210"/>
      <c r="H74" s="210"/>
      <c r="I74" s="210"/>
      <c r="J74" s="210"/>
      <c r="K74" s="210"/>
      <c r="L74" s="210"/>
      <c r="M74" s="210"/>
      <c r="N74" s="210"/>
      <c r="O74" s="210"/>
      <c r="P74" s="210"/>
      <c r="Q74" s="210"/>
      <c r="R74" s="210"/>
      <c r="S74" s="211"/>
    </row>
    <row r="75" spans="1:19" s="16" customFormat="1" ht="15.75" customHeight="1" x14ac:dyDescent="0.2">
      <c r="A75" s="33"/>
      <c r="B75" s="33"/>
      <c r="C75" s="33"/>
      <c r="D75" s="34"/>
      <c r="E75" s="35"/>
      <c r="F75" s="35"/>
      <c r="G75" s="35"/>
      <c r="H75" s="35"/>
      <c r="I75" s="35"/>
      <c r="J75" s="35"/>
      <c r="K75" s="35"/>
      <c r="L75" s="35"/>
      <c r="M75" s="35"/>
      <c r="N75" s="35"/>
      <c r="O75" s="35"/>
      <c r="P75" s="35"/>
      <c r="Q75" s="35"/>
      <c r="R75" s="35"/>
      <c r="S75" s="36"/>
    </row>
    <row r="76" spans="1:19" ht="18.95" customHeight="1" thickBot="1" x14ac:dyDescent="0.3">
      <c r="D76" s="201" t="str">
        <f>+D6</f>
        <v>INCOME STATEMENT</v>
      </c>
      <c r="E76" s="202"/>
      <c r="F76" s="202"/>
      <c r="G76" s="202"/>
      <c r="H76" s="202"/>
      <c r="I76" s="202"/>
      <c r="J76" s="202"/>
      <c r="K76" s="202"/>
      <c r="L76" s="202"/>
      <c r="M76" s="202"/>
      <c r="N76" s="202"/>
      <c r="O76" s="202"/>
      <c r="P76" s="202"/>
      <c r="Q76" s="202"/>
      <c r="R76" s="202"/>
      <c r="S76" s="203"/>
    </row>
    <row r="77" spans="1:19" s="16" customFormat="1" ht="16.5" customHeight="1" x14ac:dyDescent="0.2">
      <c r="A77" s="33"/>
      <c r="B77" s="33"/>
      <c r="C77" s="33"/>
      <c r="D77" s="206" t="s">
        <v>74</v>
      </c>
      <c r="E77" s="207"/>
      <c r="F77" s="207"/>
      <c r="G77" s="207"/>
      <c r="H77" s="207"/>
      <c r="I77" s="207"/>
      <c r="J77" s="207"/>
      <c r="K77" s="207"/>
      <c r="L77" s="207"/>
      <c r="M77" s="207"/>
      <c r="N77" s="207"/>
      <c r="O77" s="207"/>
      <c r="P77" s="207"/>
      <c r="Q77" s="207"/>
      <c r="R77" s="207"/>
      <c r="S77" s="208"/>
    </row>
    <row r="78" spans="1:19" ht="16.5" customHeight="1" x14ac:dyDescent="0.25">
      <c r="D78" s="197" t="s">
        <v>66</v>
      </c>
      <c r="E78" s="198"/>
      <c r="F78" s="198"/>
      <c r="G78" s="198"/>
      <c r="H78" s="198"/>
      <c r="I78" s="198"/>
      <c r="J78" s="198"/>
      <c r="K78" s="198"/>
      <c r="L78" s="198"/>
      <c r="M78" s="198"/>
      <c r="N78" s="198"/>
      <c r="O78" s="198"/>
      <c r="P78" s="198"/>
      <c r="Q78" s="198"/>
      <c r="R78" s="198"/>
      <c r="S78" s="199"/>
    </row>
    <row r="79" spans="1:19" ht="15.75" x14ac:dyDescent="0.25">
      <c r="D79" s="46"/>
      <c r="E79" s="44" t="str">
        <f>+E10</f>
        <v>2015</v>
      </c>
      <c r="F79" s="44" t="str">
        <f>+F10</f>
        <v>2016</v>
      </c>
      <c r="G79" s="47"/>
      <c r="H79" s="44" t="str">
        <f>+H10</f>
        <v>2016</v>
      </c>
      <c r="I79" s="47"/>
      <c r="J79" s="170" t="str">
        <f>+J10</f>
        <v>2017</v>
      </c>
      <c r="K79" s="48"/>
      <c r="L79" s="48" t="s">
        <v>183</v>
      </c>
      <c r="M79" s="48"/>
      <c r="N79" s="48" t="s">
        <v>68</v>
      </c>
      <c r="O79" s="48"/>
      <c r="P79" s="48" t="s">
        <v>68</v>
      </c>
      <c r="Q79" s="48"/>
      <c r="R79" s="48" t="s">
        <v>69</v>
      </c>
      <c r="S79" s="49"/>
    </row>
    <row r="80" spans="1:19" ht="33.75" customHeight="1" x14ac:dyDescent="0.25">
      <c r="D80" s="46"/>
      <c r="E80" s="44" t="str">
        <f>+E11</f>
        <v>Actual</v>
      </c>
      <c r="F80" s="44" t="str">
        <f>+F11</f>
        <v>Budget</v>
      </c>
      <c r="G80" s="50" t="s">
        <v>77</v>
      </c>
      <c r="H80" s="44" t="str">
        <f>+H11</f>
        <v>Actuals</v>
      </c>
      <c r="I80" s="50" t="s">
        <v>77</v>
      </c>
      <c r="J80" s="170" t="str">
        <f>+J11</f>
        <v>Budget</v>
      </c>
      <c r="K80" s="58" t="s">
        <v>77</v>
      </c>
      <c r="L80" s="51">
        <v>2017</v>
      </c>
      <c r="M80" s="52" t="s">
        <v>77</v>
      </c>
      <c r="N80" s="51">
        <v>2018</v>
      </c>
      <c r="O80" s="52" t="s">
        <v>77</v>
      </c>
      <c r="P80" s="51">
        <v>2019</v>
      </c>
      <c r="Q80" s="52" t="s">
        <v>77</v>
      </c>
      <c r="R80" s="51">
        <v>2020</v>
      </c>
      <c r="S80" s="53" t="s">
        <v>77</v>
      </c>
    </row>
    <row r="81" spans="1:19" ht="15.75" x14ac:dyDescent="0.25">
      <c r="A81" s="8" t="s">
        <v>2</v>
      </c>
      <c r="D81" s="59" t="s">
        <v>44</v>
      </c>
      <c r="E81" s="94"/>
      <c r="F81" s="95"/>
      <c r="G81" s="95"/>
      <c r="H81" s="95"/>
      <c r="I81" s="95"/>
      <c r="J81" s="95"/>
      <c r="K81" s="95"/>
      <c r="L81" s="64"/>
      <c r="M81" s="64"/>
      <c r="N81" s="64"/>
      <c r="O81" s="64"/>
      <c r="P81" s="64"/>
      <c r="Q81" s="64"/>
      <c r="R81" s="64"/>
      <c r="S81" s="172"/>
    </row>
    <row r="82" spans="1:19" ht="15" x14ac:dyDescent="0.2">
      <c r="A82" s="11" t="s">
        <v>55</v>
      </c>
      <c r="D82" s="46" t="str">
        <f>"  "&amp;UPPER(TRIM(A82))</f>
        <v xml:space="preserve">  INPATIENT CARE REVENUE</v>
      </c>
      <c r="E82" s="94"/>
      <c r="F82" s="94"/>
      <c r="G82" s="63" t="e">
        <f>(+F82/E82)-1</f>
        <v>#DIV/0!</v>
      </c>
      <c r="H82" s="95"/>
      <c r="I82" s="63" t="e">
        <f>+(H82/F82)-1</f>
        <v>#DIV/0!</v>
      </c>
      <c r="J82" s="95"/>
      <c r="K82" s="63" t="e">
        <f>+(J82/H82)-1</f>
        <v>#DIV/0!</v>
      </c>
      <c r="L82" s="64"/>
      <c r="M82" s="65" t="e">
        <f>+(L82/H82)-1</f>
        <v>#DIV/0!</v>
      </c>
      <c r="N82" s="78"/>
      <c r="O82" s="65" t="e">
        <f>+(N82/J82)-1</f>
        <v>#DIV/0!</v>
      </c>
      <c r="P82" s="78"/>
      <c r="Q82" s="65" t="e">
        <f>+(P82/N82)-1</f>
        <v>#DIV/0!</v>
      </c>
      <c r="R82" s="78"/>
      <c r="S82" s="66" t="e">
        <f>+(R82/P82)-1</f>
        <v>#DIV/0!</v>
      </c>
    </row>
    <row r="83" spans="1:19" ht="15" x14ac:dyDescent="0.2">
      <c r="A83" s="11" t="s">
        <v>56</v>
      </c>
      <c r="D83" s="46" t="str">
        <f t="shared" ref="D83:D86" si="68">"  "&amp;UPPER(TRIM(A83))</f>
        <v xml:space="preserve">  OUTPATIENT CARE REVENUE</v>
      </c>
      <c r="E83" s="94"/>
      <c r="F83" s="94"/>
      <c r="G83" s="63" t="e">
        <f t="shared" ref="G83:G86" si="69">(+F83/E83)-1</f>
        <v>#DIV/0!</v>
      </c>
      <c r="H83" s="95"/>
      <c r="I83" s="63" t="e">
        <f t="shared" ref="I83:I86" si="70">+(H83/F83)-1</f>
        <v>#DIV/0!</v>
      </c>
      <c r="J83" s="95"/>
      <c r="K83" s="63" t="e">
        <f t="shared" ref="K83:K86" si="71">+(J83/H83)-1</f>
        <v>#DIV/0!</v>
      </c>
      <c r="L83" s="64"/>
      <c r="M83" s="65" t="e">
        <f t="shared" ref="M83:M86" si="72">+(L83/H83)-1</f>
        <v>#DIV/0!</v>
      </c>
      <c r="N83" s="78"/>
      <c r="O83" s="65" t="e">
        <f t="shared" ref="O83:O88" si="73">+(N83/J83)-1</f>
        <v>#DIV/0!</v>
      </c>
      <c r="P83" s="78"/>
      <c r="Q83" s="65" t="e">
        <f t="shared" ref="Q83:Q88" si="74">+(P83/N83)-1</f>
        <v>#DIV/0!</v>
      </c>
      <c r="R83" s="78"/>
      <c r="S83" s="66" t="e">
        <f t="shared" ref="S83:S88" si="75">+(R83/P83)-1</f>
        <v>#DIV/0!</v>
      </c>
    </row>
    <row r="84" spans="1:19" ht="15" x14ac:dyDescent="0.2">
      <c r="A84" s="11" t="s">
        <v>60</v>
      </c>
      <c r="D84" s="46" t="str">
        <f t="shared" si="68"/>
        <v xml:space="preserve">  OUTPATIENT CARE REVENUE - PHYSICIAN</v>
      </c>
      <c r="E84" s="94"/>
      <c r="F84" s="94"/>
      <c r="G84" s="63" t="e">
        <f t="shared" si="69"/>
        <v>#DIV/0!</v>
      </c>
      <c r="H84" s="95"/>
      <c r="I84" s="63" t="e">
        <f t="shared" si="70"/>
        <v>#DIV/0!</v>
      </c>
      <c r="J84" s="95"/>
      <c r="K84" s="63" t="e">
        <f t="shared" si="71"/>
        <v>#DIV/0!</v>
      </c>
      <c r="L84" s="64"/>
      <c r="M84" s="65" t="e">
        <f t="shared" si="72"/>
        <v>#DIV/0!</v>
      </c>
      <c r="N84" s="78"/>
      <c r="O84" s="65" t="e">
        <f t="shared" si="73"/>
        <v>#DIV/0!</v>
      </c>
      <c r="P84" s="78"/>
      <c r="Q84" s="65" t="e">
        <f t="shared" si="74"/>
        <v>#DIV/0!</v>
      </c>
      <c r="R84" s="78"/>
      <c r="S84" s="66" t="e">
        <f t="shared" si="75"/>
        <v>#DIV/0!</v>
      </c>
    </row>
    <row r="85" spans="1:19" ht="15" x14ac:dyDescent="0.2">
      <c r="A85" s="11" t="s">
        <v>57</v>
      </c>
      <c r="D85" s="46" t="str">
        <f t="shared" si="68"/>
        <v xml:space="preserve">  CHRONIC/SNF PT CARE REVENUE</v>
      </c>
      <c r="E85" s="94"/>
      <c r="F85" s="94"/>
      <c r="G85" s="63" t="e">
        <f t="shared" si="69"/>
        <v>#DIV/0!</v>
      </c>
      <c r="H85" s="95"/>
      <c r="I85" s="63" t="e">
        <f t="shared" si="70"/>
        <v>#DIV/0!</v>
      </c>
      <c r="J85" s="95"/>
      <c r="K85" s="63" t="e">
        <f t="shared" si="71"/>
        <v>#DIV/0!</v>
      </c>
      <c r="L85" s="64"/>
      <c r="M85" s="65" t="e">
        <f t="shared" si="72"/>
        <v>#DIV/0!</v>
      </c>
      <c r="N85" s="78"/>
      <c r="O85" s="65" t="e">
        <f t="shared" si="73"/>
        <v>#DIV/0!</v>
      </c>
      <c r="P85" s="78"/>
      <c r="Q85" s="65" t="e">
        <f t="shared" si="74"/>
        <v>#DIV/0!</v>
      </c>
      <c r="R85" s="78"/>
      <c r="S85" s="66" t="e">
        <f t="shared" si="75"/>
        <v>#DIV/0!</v>
      </c>
    </row>
    <row r="86" spans="1:19" ht="15" x14ac:dyDescent="0.2">
      <c r="A86" s="11" t="s">
        <v>58</v>
      </c>
      <c r="D86" s="46" t="str">
        <f t="shared" si="68"/>
        <v xml:space="preserve">  SWING BEDS PT CARE REVENUE</v>
      </c>
      <c r="E86" s="94"/>
      <c r="F86" s="94"/>
      <c r="G86" s="63" t="e">
        <f t="shared" si="69"/>
        <v>#DIV/0!</v>
      </c>
      <c r="H86" s="95"/>
      <c r="I86" s="63" t="e">
        <f t="shared" si="70"/>
        <v>#DIV/0!</v>
      </c>
      <c r="J86" s="95"/>
      <c r="K86" s="63" t="e">
        <f t="shared" si="71"/>
        <v>#DIV/0!</v>
      </c>
      <c r="L86" s="64"/>
      <c r="M86" s="65" t="e">
        <f t="shared" si="72"/>
        <v>#DIV/0!</v>
      </c>
      <c r="N86" s="78"/>
      <c r="O86" s="65" t="e">
        <f t="shared" si="73"/>
        <v>#DIV/0!</v>
      </c>
      <c r="P86" s="78"/>
      <c r="Q86" s="65" t="e">
        <f t="shared" si="74"/>
        <v>#DIV/0!</v>
      </c>
      <c r="R86" s="78"/>
      <c r="S86" s="66" t="e">
        <f t="shared" si="75"/>
        <v>#DIV/0!</v>
      </c>
    </row>
    <row r="87" spans="1:19" ht="15" x14ac:dyDescent="0.2">
      <c r="D87" s="46"/>
      <c r="E87" s="94"/>
      <c r="F87" s="94"/>
      <c r="G87" s="67"/>
      <c r="H87" s="95"/>
      <c r="I87" s="67"/>
      <c r="J87" s="95"/>
      <c r="K87" s="67"/>
      <c r="L87" s="64"/>
      <c r="M87" s="173"/>
      <c r="N87" s="78"/>
      <c r="O87" s="173"/>
      <c r="P87" s="78"/>
      <c r="Q87" s="173"/>
      <c r="R87" s="78"/>
      <c r="S87" s="174"/>
    </row>
    <row r="88" spans="1:19" ht="15" x14ac:dyDescent="0.2">
      <c r="A88" s="5" t="s">
        <v>4</v>
      </c>
      <c r="D88" s="69" t="s">
        <v>45</v>
      </c>
      <c r="E88" s="96">
        <f>SUM(E82:E87)</f>
        <v>0</v>
      </c>
      <c r="F88" s="96">
        <f>SUM(F82:F87)</f>
        <v>0</v>
      </c>
      <c r="G88" s="71" t="e">
        <f>(+F88/E88)-1</f>
        <v>#DIV/0!</v>
      </c>
      <c r="H88" s="96">
        <f t="shared" ref="H88" si="76">SUM(H82:H87)</f>
        <v>0</v>
      </c>
      <c r="I88" s="71" t="e">
        <f t="shared" ref="I88" si="77">+(H88/F88)-1</f>
        <v>#DIV/0!</v>
      </c>
      <c r="J88" s="96">
        <f t="shared" ref="J88" si="78">SUM(J82:J87)</f>
        <v>0</v>
      </c>
      <c r="K88" s="71" t="e">
        <f t="shared" ref="K88" si="79">+(J88/H88)-1</f>
        <v>#DIV/0!</v>
      </c>
      <c r="L88" s="175">
        <f t="shared" ref="L88:N88" si="80">SUM(L82:L87)</f>
        <v>0</v>
      </c>
      <c r="M88" s="176" t="e">
        <f t="shared" ref="M88" si="81">+(L88/H88)-1</f>
        <v>#DIV/0!</v>
      </c>
      <c r="N88" s="175">
        <f t="shared" si="80"/>
        <v>0</v>
      </c>
      <c r="O88" s="176" t="e">
        <f t="shared" si="73"/>
        <v>#DIV/0!</v>
      </c>
      <c r="P88" s="175">
        <f t="shared" ref="P88" si="82">SUM(P82:P87)</f>
        <v>0</v>
      </c>
      <c r="Q88" s="176" t="e">
        <f t="shared" si="74"/>
        <v>#DIV/0!</v>
      </c>
      <c r="R88" s="175">
        <f t="shared" ref="R88" si="83">SUM(R82:R87)</f>
        <v>0</v>
      </c>
      <c r="S88" s="177" t="e">
        <f t="shared" si="75"/>
        <v>#DIV/0!</v>
      </c>
    </row>
    <row r="89" spans="1:19" ht="15" x14ac:dyDescent="0.2">
      <c r="B89" s="5"/>
      <c r="C89" s="5"/>
      <c r="D89" s="46"/>
      <c r="E89" s="94"/>
      <c r="F89" s="94"/>
      <c r="G89" s="60"/>
      <c r="H89" s="95"/>
      <c r="I89" s="60"/>
      <c r="J89" s="95"/>
      <c r="K89" s="60"/>
      <c r="L89" s="64"/>
      <c r="M89" s="78"/>
      <c r="N89" s="78"/>
      <c r="O89" s="78"/>
      <c r="P89" s="78"/>
      <c r="Q89" s="78"/>
      <c r="R89" s="78"/>
      <c r="S89" s="79"/>
    </row>
    <row r="90" spans="1:19" ht="15" x14ac:dyDescent="0.2">
      <c r="A90" s="2" t="s">
        <v>6</v>
      </c>
      <c r="D90" s="46" t="str">
        <f t="shared" ref="D90:D91" si="84">"  "&amp;UPPER(TRIM(A90))</f>
        <v xml:space="preserve">  DISPROPORTIONATE SHARE PAYMENTS</v>
      </c>
      <c r="E90" s="94"/>
      <c r="F90" s="94"/>
      <c r="G90" s="63" t="e">
        <f>(+F90/E90)-1</f>
        <v>#DIV/0!</v>
      </c>
      <c r="H90" s="95"/>
      <c r="I90" s="63" t="e">
        <f t="shared" ref="I90:I94" si="85">+(H90/F90)-1</f>
        <v>#DIV/0!</v>
      </c>
      <c r="J90" s="95"/>
      <c r="K90" s="63" t="e">
        <f t="shared" ref="K90:K94" si="86">+(J90/H90)-1</f>
        <v>#DIV/0!</v>
      </c>
      <c r="L90" s="64"/>
      <c r="M90" s="65" t="e">
        <f t="shared" ref="M90:M94" si="87">+(L90/H90)-1</f>
        <v>#DIV/0!</v>
      </c>
      <c r="N90" s="78"/>
      <c r="O90" s="65" t="e">
        <f t="shared" ref="O90:O94" si="88">+(N90/J90)-1</f>
        <v>#DIV/0!</v>
      </c>
      <c r="P90" s="78"/>
      <c r="Q90" s="65" t="e">
        <f t="shared" ref="Q90:Q92" si="89">+(P90/N90)-1</f>
        <v>#DIV/0!</v>
      </c>
      <c r="R90" s="78"/>
      <c r="S90" s="66" t="e">
        <f t="shared" ref="S90:S92" si="90">+(R90/P90)-1</f>
        <v>#DIV/0!</v>
      </c>
    </row>
    <row r="91" spans="1:19" ht="15" x14ac:dyDescent="0.2">
      <c r="A91" s="45" t="s">
        <v>7</v>
      </c>
      <c r="D91" s="46" t="str">
        <f t="shared" si="84"/>
        <v xml:space="preserve">  BAD DEBT FREE CARE</v>
      </c>
      <c r="E91" s="94"/>
      <c r="F91" s="94"/>
      <c r="G91" s="63" t="e">
        <f t="shared" ref="G91:G92" si="91">(+F91/E91)-1</f>
        <v>#DIV/0!</v>
      </c>
      <c r="H91" s="95"/>
      <c r="I91" s="63" t="e">
        <f t="shared" si="85"/>
        <v>#DIV/0!</v>
      </c>
      <c r="J91" s="95"/>
      <c r="K91" s="63" t="e">
        <f t="shared" si="86"/>
        <v>#DIV/0!</v>
      </c>
      <c r="L91" s="64"/>
      <c r="M91" s="65" t="e">
        <f t="shared" si="87"/>
        <v>#DIV/0!</v>
      </c>
      <c r="N91" s="78"/>
      <c r="O91" s="65" t="e">
        <f t="shared" si="88"/>
        <v>#DIV/0!</v>
      </c>
      <c r="P91" s="78"/>
      <c r="Q91" s="65" t="e">
        <f t="shared" si="89"/>
        <v>#DIV/0!</v>
      </c>
      <c r="R91" s="78"/>
      <c r="S91" s="66" t="e">
        <f t="shared" si="90"/>
        <v>#DIV/0!</v>
      </c>
    </row>
    <row r="92" spans="1:19" ht="15" x14ac:dyDescent="0.2">
      <c r="A92" s="2" t="s">
        <v>8</v>
      </c>
      <c r="D92" s="46" t="str">
        <f>"  "&amp;UPPER(TRIM(A92))</f>
        <v xml:space="preserve">  DEDUCTIONS FROM REVENUE</v>
      </c>
      <c r="E92" s="94"/>
      <c r="F92" s="94"/>
      <c r="G92" s="63" t="e">
        <f t="shared" si="91"/>
        <v>#DIV/0!</v>
      </c>
      <c r="H92" s="95"/>
      <c r="I92" s="63" t="e">
        <f t="shared" si="85"/>
        <v>#DIV/0!</v>
      </c>
      <c r="J92" s="95"/>
      <c r="K92" s="63" t="e">
        <f t="shared" si="86"/>
        <v>#DIV/0!</v>
      </c>
      <c r="L92" s="64"/>
      <c r="M92" s="65" t="e">
        <f t="shared" si="87"/>
        <v>#DIV/0!</v>
      </c>
      <c r="N92" s="78"/>
      <c r="O92" s="65" t="e">
        <f t="shared" si="88"/>
        <v>#DIV/0!</v>
      </c>
      <c r="P92" s="78"/>
      <c r="Q92" s="65" t="e">
        <f t="shared" si="89"/>
        <v>#DIV/0!</v>
      </c>
      <c r="R92" s="78"/>
      <c r="S92" s="66" t="e">
        <f t="shared" si="90"/>
        <v>#DIV/0!</v>
      </c>
    </row>
    <row r="93" spans="1:19" ht="15" hidden="1" outlineLevel="1" x14ac:dyDescent="0.2">
      <c r="A93" s="45" t="s">
        <v>73</v>
      </c>
      <c r="D93" s="46"/>
      <c r="E93" s="94"/>
      <c r="F93" s="94"/>
      <c r="G93" s="63" t="e">
        <f t="shared" ref="G93" si="92">(+F93/E93)-1</f>
        <v>#DIV/0!</v>
      </c>
      <c r="H93" s="95"/>
      <c r="I93" s="63" t="e">
        <f t="shared" si="85"/>
        <v>#DIV/0!</v>
      </c>
      <c r="J93" s="95"/>
      <c r="K93" s="63" t="e">
        <f t="shared" si="86"/>
        <v>#DIV/0!</v>
      </c>
      <c r="L93" s="64"/>
      <c r="M93" s="65" t="e">
        <f t="shared" si="87"/>
        <v>#DIV/0!</v>
      </c>
      <c r="N93" s="78"/>
      <c r="O93" s="65" t="e">
        <f t="shared" si="88"/>
        <v>#DIV/0!</v>
      </c>
      <c r="P93" s="78"/>
      <c r="Q93" s="65" t="e">
        <f t="shared" ref="Q93" si="93">+(P93/N93)-1</f>
        <v>#DIV/0!</v>
      </c>
      <c r="R93" s="78"/>
      <c r="S93" s="66" t="e">
        <f t="shared" ref="S93" si="94">+(R93/P93)-1</f>
        <v>#DIV/0!</v>
      </c>
    </row>
    <row r="94" spans="1:19" ht="15.75" collapsed="1" x14ac:dyDescent="0.25">
      <c r="A94" s="5"/>
      <c r="D94" s="74" t="s">
        <v>47</v>
      </c>
      <c r="E94" s="96">
        <f>SUM(E88:E93)</f>
        <v>0</v>
      </c>
      <c r="F94" s="96">
        <f>SUM(F88:F93)</f>
        <v>0</v>
      </c>
      <c r="G94" s="71" t="e">
        <f>(+F94/E94)-1</f>
        <v>#DIV/0!</v>
      </c>
      <c r="H94" s="96">
        <f t="shared" ref="H94" si="95">SUM(H88:H93)</f>
        <v>0</v>
      </c>
      <c r="I94" s="71" t="e">
        <f t="shared" si="85"/>
        <v>#DIV/0!</v>
      </c>
      <c r="J94" s="96">
        <f t="shared" ref="J94" si="96">SUM(J88:J93)</f>
        <v>0</v>
      </c>
      <c r="K94" s="71" t="e">
        <f t="shared" si="86"/>
        <v>#DIV/0!</v>
      </c>
      <c r="L94" s="175">
        <f t="shared" ref="L94:N94" si="97">SUM(L88:L93)</f>
        <v>0</v>
      </c>
      <c r="M94" s="176" t="e">
        <f t="shared" si="87"/>
        <v>#DIV/0!</v>
      </c>
      <c r="N94" s="175">
        <f t="shared" si="97"/>
        <v>0</v>
      </c>
      <c r="O94" s="176" t="e">
        <f t="shared" si="88"/>
        <v>#DIV/0!</v>
      </c>
      <c r="P94" s="175">
        <f t="shared" ref="P94" si="98">SUM(P88:P93)</f>
        <v>0</v>
      </c>
      <c r="Q94" s="176" t="e">
        <f t="shared" ref="Q94" si="99">+(P94/N94)-1</f>
        <v>#DIV/0!</v>
      </c>
      <c r="R94" s="175">
        <f t="shared" ref="R94" si="100">SUM(R88:R93)</f>
        <v>0</v>
      </c>
      <c r="S94" s="177" t="e">
        <f t="shared" ref="S94" si="101">+(R94/P94)-1</f>
        <v>#DIV/0!</v>
      </c>
    </row>
    <row r="95" spans="1:19" ht="15" x14ac:dyDescent="0.2">
      <c r="B95" s="5"/>
      <c r="C95" s="5"/>
      <c r="D95" s="46"/>
      <c r="E95" s="94"/>
      <c r="F95" s="94"/>
      <c r="G95" s="60"/>
      <c r="H95" s="95"/>
      <c r="I95" s="60"/>
      <c r="J95" s="95"/>
      <c r="K95" s="60"/>
      <c r="L95" s="64"/>
      <c r="M95" s="78"/>
      <c r="N95" s="78"/>
      <c r="O95" s="78"/>
      <c r="P95" s="78"/>
      <c r="Q95" s="78"/>
      <c r="R95" s="78"/>
      <c r="S95" s="79"/>
    </row>
    <row r="96" spans="1:19" ht="15" x14ac:dyDescent="0.2">
      <c r="A96" s="45" t="s">
        <v>22</v>
      </c>
      <c r="D96" s="46" t="s">
        <v>46</v>
      </c>
      <c r="E96" s="94"/>
      <c r="F96" s="94"/>
      <c r="G96" s="63" t="e">
        <f t="shared" ref="G96" si="102">(+F96/E96)-1</f>
        <v>#DIV/0!</v>
      </c>
      <c r="H96" s="94"/>
      <c r="I96" s="63" t="e">
        <f t="shared" ref="I96" si="103">+(H96/F96)-1</f>
        <v>#DIV/0!</v>
      </c>
      <c r="J96" s="95"/>
      <c r="K96" s="63" t="e">
        <f t="shared" ref="K96" si="104">+(J96/H96)-1</f>
        <v>#DIV/0!</v>
      </c>
      <c r="L96" s="64"/>
      <c r="M96" s="65" t="e">
        <f t="shared" ref="M96" si="105">+(L96/H96)-1</f>
        <v>#DIV/0!</v>
      </c>
      <c r="N96" s="78"/>
      <c r="O96" s="65" t="e">
        <f t="shared" ref="O96" si="106">+(N96/J96)-1</f>
        <v>#DIV/0!</v>
      </c>
      <c r="P96" s="78"/>
      <c r="Q96" s="65" t="e">
        <f t="shared" ref="Q96" si="107">+(P96/N96)-1</f>
        <v>#DIV/0!</v>
      </c>
      <c r="R96" s="78"/>
      <c r="S96" s="66" t="e">
        <f t="shared" ref="S96" si="108">+(R96/P96)-1</f>
        <v>#DIV/0!</v>
      </c>
    </row>
    <row r="97" spans="1:19" ht="15" x14ac:dyDescent="0.2">
      <c r="A97" s="8"/>
      <c r="B97" s="8"/>
      <c r="C97" s="8"/>
      <c r="D97" s="46"/>
      <c r="E97" s="94"/>
      <c r="F97" s="94"/>
      <c r="G97" s="60"/>
      <c r="H97" s="95"/>
      <c r="I97" s="60"/>
      <c r="J97" s="95"/>
      <c r="K97" s="60"/>
      <c r="L97" s="64"/>
      <c r="M97" s="78"/>
      <c r="N97" s="78"/>
      <c r="O97" s="78"/>
      <c r="P97" s="78"/>
      <c r="Q97" s="78"/>
      <c r="R97" s="78"/>
      <c r="S97" s="79"/>
    </row>
    <row r="98" spans="1:19" ht="15.75" x14ac:dyDescent="0.25">
      <c r="A98" s="6"/>
      <c r="B98" s="8"/>
      <c r="C98" s="8"/>
      <c r="D98" s="75" t="s">
        <v>48</v>
      </c>
      <c r="E98" s="97">
        <f t="shared" ref="E98:H98" si="109">E94+E96</f>
        <v>0</v>
      </c>
      <c r="F98" s="97">
        <f t="shared" si="109"/>
        <v>0</v>
      </c>
      <c r="G98" s="76" t="e">
        <f t="shared" ref="G98" si="110">(+F98/E98)-1</f>
        <v>#DIV/0!</v>
      </c>
      <c r="H98" s="97">
        <f t="shared" si="109"/>
        <v>0</v>
      </c>
      <c r="I98" s="76" t="e">
        <f t="shared" ref="I98" si="111">+(H98/F98)-1</f>
        <v>#DIV/0!</v>
      </c>
      <c r="J98" s="97">
        <f t="shared" ref="J98" si="112">J94+J96</f>
        <v>0</v>
      </c>
      <c r="K98" s="76" t="e">
        <f t="shared" ref="K98" si="113">+(J98/H98)-1</f>
        <v>#DIV/0!</v>
      </c>
      <c r="L98" s="173">
        <f t="shared" ref="L98:N98" si="114">L94+L96</f>
        <v>0</v>
      </c>
      <c r="M98" s="81" t="e">
        <f t="shared" ref="M98" si="115">+(L98/H98)-1</f>
        <v>#DIV/0!</v>
      </c>
      <c r="N98" s="173">
        <f t="shared" si="114"/>
        <v>0</v>
      </c>
      <c r="O98" s="81" t="e">
        <f t="shared" ref="O98" si="116">+(N98/J98)-1</f>
        <v>#DIV/0!</v>
      </c>
      <c r="P98" s="173">
        <f t="shared" ref="P98" si="117">P94+P96</f>
        <v>0</v>
      </c>
      <c r="Q98" s="81" t="e">
        <f t="shared" ref="Q98" si="118">+(P98/N98)-1</f>
        <v>#DIV/0!</v>
      </c>
      <c r="R98" s="173">
        <f t="shared" ref="R98" si="119">R94+R96</f>
        <v>0</v>
      </c>
      <c r="S98" s="82" t="e">
        <f t="shared" ref="S98" si="120">+(R98/P98)-1</f>
        <v>#DIV/0!</v>
      </c>
    </row>
    <row r="99" spans="1:19" ht="15" x14ac:dyDescent="0.2">
      <c r="B99" s="6"/>
      <c r="C99" s="6"/>
      <c r="D99" s="46"/>
      <c r="E99" s="94"/>
      <c r="F99" s="94"/>
      <c r="G99" s="60"/>
      <c r="H99" s="95"/>
      <c r="I99" s="60"/>
      <c r="J99" s="95"/>
      <c r="K99" s="60"/>
      <c r="L99" s="64"/>
      <c r="M99" s="78"/>
      <c r="N99" s="78"/>
      <c r="O99" s="78"/>
      <c r="P99" s="78"/>
      <c r="Q99" s="78"/>
      <c r="R99" s="78"/>
      <c r="S99" s="79"/>
    </row>
    <row r="100" spans="1:19" ht="15.75" x14ac:dyDescent="0.25">
      <c r="A100" s="2" t="s">
        <v>24</v>
      </c>
      <c r="D100" s="59" t="s">
        <v>49</v>
      </c>
      <c r="E100" s="94"/>
      <c r="F100" s="94"/>
      <c r="G100" s="60"/>
      <c r="H100" s="95"/>
      <c r="I100" s="60"/>
      <c r="J100" s="95"/>
      <c r="K100" s="60"/>
      <c r="L100" s="64"/>
      <c r="M100" s="78"/>
      <c r="N100" s="78"/>
      <c r="O100" s="78"/>
      <c r="P100" s="78"/>
      <c r="Q100" s="78"/>
      <c r="R100" s="78"/>
      <c r="S100" s="79"/>
    </row>
    <row r="101" spans="1:19" ht="15" x14ac:dyDescent="0.2">
      <c r="A101" s="2" t="s">
        <v>25</v>
      </c>
      <c r="D101" s="46" t="str">
        <f t="shared" ref="D101:D106" si="121">"  "&amp;UPPER(TRIM(A101))</f>
        <v xml:space="preserve">  SALARIES NON MD</v>
      </c>
      <c r="E101" s="94"/>
      <c r="F101" s="94"/>
      <c r="G101" s="63" t="e">
        <f t="shared" ref="G101:G109" si="122">(+F101/E101)-1</f>
        <v>#DIV/0!</v>
      </c>
      <c r="H101" s="95"/>
      <c r="I101" s="63" t="e">
        <f t="shared" ref="I101:I107" si="123">+(H101/F101)-1</f>
        <v>#DIV/0!</v>
      </c>
      <c r="J101" s="95"/>
      <c r="K101" s="63" t="e">
        <f t="shared" ref="K101:K107" si="124">+(J101/H101)-1</f>
        <v>#DIV/0!</v>
      </c>
      <c r="L101" s="64"/>
      <c r="M101" s="65" t="e">
        <f t="shared" ref="M101:M107" si="125">+(L101/H101)-1</f>
        <v>#DIV/0!</v>
      </c>
      <c r="N101" s="78"/>
      <c r="O101" s="65" t="e">
        <f t="shared" ref="O101:O109" si="126">+(N101/J101)-1</f>
        <v>#DIV/0!</v>
      </c>
      <c r="P101" s="78"/>
      <c r="Q101" s="65" t="e">
        <f t="shared" ref="Q101:Q109" si="127">+(P101/N101)-1</f>
        <v>#DIV/0!</v>
      </c>
      <c r="R101" s="78"/>
      <c r="S101" s="66" t="e">
        <f t="shared" ref="S101:S109" si="128">+(R101/P101)-1</f>
        <v>#DIV/0!</v>
      </c>
    </row>
    <row r="102" spans="1:19" ht="15" x14ac:dyDescent="0.2">
      <c r="A102" s="2" t="s">
        <v>26</v>
      </c>
      <c r="D102" s="46" t="str">
        <f t="shared" si="121"/>
        <v xml:space="preserve">  FRINGE BENEFITS NON MD</v>
      </c>
      <c r="E102" s="94"/>
      <c r="F102" s="94"/>
      <c r="G102" s="63" t="e">
        <f t="shared" si="122"/>
        <v>#DIV/0!</v>
      </c>
      <c r="H102" s="95"/>
      <c r="I102" s="63" t="e">
        <f t="shared" si="123"/>
        <v>#DIV/0!</v>
      </c>
      <c r="J102" s="95"/>
      <c r="K102" s="63" t="e">
        <f t="shared" si="124"/>
        <v>#DIV/0!</v>
      </c>
      <c r="L102" s="64"/>
      <c r="M102" s="65" t="e">
        <f t="shared" si="125"/>
        <v>#DIV/0!</v>
      </c>
      <c r="N102" s="78"/>
      <c r="O102" s="65" t="e">
        <f t="shared" si="126"/>
        <v>#DIV/0!</v>
      </c>
      <c r="P102" s="78"/>
      <c r="Q102" s="65" t="e">
        <f t="shared" si="127"/>
        <v>#DIV/0!</v>
      </c>
      <c r="R102" s="78"/>
      <c r="S102" s="66" t="e">
        <f t="shared" si="128"/>
        <v>#DIV/0!</v>
      </c>
    </row>
    <row r="103" spans="1:19" ht="15" x14ac:dyDescent="0.2">
      <c r="A103" s="2" t="s">
        <v>27</v>
      </c>
      <c r="D103" s="46" t="str">
        <f t="shared" si="121"/>
        <v xml:space="preserve">  FRINGE BENEFITS MD</v>
      </c>
      <c r="E103" s="94"/>
      <c r="F103" s="94"/>
      <c r="G103" s="63" t="e">
        <f t="shared" si="122"/>
        <v>#DIV/0!</v>
      </c>
      <c r="H103" s="95"/>
      <c r="I103" s="63" t="e">
        <f t="shared" si="123"/>
        <v>#DIV/0!</v>
      </c>
      <c r="J103" s="95"/>
      <c r="K103" s="63" t="e">
        <f t="shared" si="124"/>
        <v>#DIV/0!</v>
      </c>
      <c r="L103" s="64"/>
      <c r="M103" s="65" t="e">
        <f t="shared" si="125"/>
        <v>#DIV/0!</v>
      </c>
      <c r="N103" s="78"/>
      <c r="O103" s="65" t="e">
        <f t="shared" si="126"/>
        <v>#DIV/0!</v>
      </c>
      <c r="P103" s="78"/>
      <c r="Q103" s="65" t="e">
        <f t="shared" si="127"/>
        <v>#DIV/0!</v>
      </c>
      <c r="R103" s="78"/>
      <c r="S103" s="66" t="e">
        <f t="shared" si="128"/>
        <v>#DIV/0!</v>
      </c>
    </row>
    <row r="104" spans="1:19" ht="15" x14ac:dyDescent="0.2">
      <c r="A104" s="45" t="s">
        <v>28</v>
      </c>
      <c r="D104" s="46" t="str">
        <f t="shared" si="121"/>
        <v xml:space="preserve">  PHYSICIAN FEES SALARIES CONTRACTS &amp; FRINGES</v>
      </c>
      <c r="E104" s="94"/>
      <c r="F104" s="94"/>
      <c r="G104" s="63" t="e">
        <f t="shared" si="122"/>
        <v>#DIV/0!</v>
      </c>
      <c r="H104" s="95"/>
      <c r="I104" s="63" t="e">
        <f t="shared" si="123"/>
        <v>#DIV/0!</v>
      </c>
      <c r="J104" s="95"/>
      <c r="K104" s="63" t="e">
        <f t="shared" si="124"/>
        <v>#DIV/0!</v>
      </c>
      <c r="L104" s="64"/>
      <c r="M104" s="65" t="e">
        <f t="shared" si="125"/>
        <v>#DIV/0!</v>
      </c>
      <c r="N104" s="78"/>
      <c r="O104" s="65" t="e">
        <f t="shared" si="126"/>
        <v>#DIV/0!</v>
      </c>
      <c r="P104" s="78"/>
      <c r="Q104" s="65" t="e">
        <f t="shared" si="127"/>
        <v>#DIV/0!</v>
      </c>
      <c r="R104" s="78"/>
      <c r="S104" s="66" t="e">
        <f t="shared" si="128"/>
        <v>#DIV/0!</v>
      </c>
    </row>
    <row r="105" spans="1:19" ht="15" x14ac:dyDescent="0.2">
      <c r="A105" s="2" t="s">
        <v>29</v>
      </c>
      <c r="D105" s="46" t="str">
        <f t="shared" si="121"/>
        <v xml:space="preserve">  HEALTH CARE PROVIDER TAX</v>
      </c>
      <c r="E105" s="94"/>
      <c r="F105" s="94"/>
      <c r="G105" s="63" t="e">
        <f t="shared" si="122"/>
        <v>#DIV/0!</v>
      </c>
      <c r="H105" s="95"/>
      <c r="I105" s="63" t="e">
        <f t="shared" si="123"/>
        <v>#DIV/0!</v>
      </c>
      <c r="J105" s="95"/>
      <c r="K105" s="63" t="e">
        <f t="shared" si="124"/>
        <v>#DIV/0!</v>
      </c>
      <c r="L105" s="64"/>
      <c r="M105" s="65" t="e">
        <f t="shared" si="125"/>
        <v>#DIV/0!</v>
      </c>
      <c r="N105" s="78"/>
      <c r="O105" s="65" t="e">
        <f t="shared" si="126"/>
        <v>#DIV/0!</v>
      </c>
      <c r="P105" s="78"/>
      <c r="Q105" s="65" t="e">
        <f t="shared" si="127"/>
        <v>#DIV/0!</v>
      </c>
      <c r="R105" s="78"/>
      <c r="S105" s="66" t="e">
        <f t="shared" si="128"/>
        <v>#DIV/0!</v>
      </c>
    </row>
    <row r="106" spans="1:19" ht="15" x14ac:dyDescent="0.2">
      <c r="A106" s="2" t="s">
        <v>30</v>
      </c>
      <c r="D106" s="46" t="str">
        <f t="shared" si="121"/>
        <v xml:space="preserve">  DEPRECIATION AMORTIZATION</v>
      </c>
      <c r="E106" s="94"/>
      <c r="F106" s="94"/>
      <c r="G106" s="63" t="e">
        <f t="shared" si="122"/>
        <v>#DIV/0!</v>
      </c>
      <c r="H106" s="95"/>
      <c r="I106" s="63" t="e">
        <f t="shared" si="123"/>
        <v>#DIV/0!</v>
      </c>
      <c r="J106" s="95"/>
      <c r="K106" s="63" t="e">
        <f t="shared" si="124"/>
        <v>#DIV/0!</v>
      </c>
      <c r="L106" s="64"/>
      <c r="M106" s="65" t="e">
        <f t="shared" si="125"/>
        <v>#DIV/0!</v>
      </c>
      <c r="N106" s="78"/>
      <c r="O106" s="65" t="e">
        <f t="shared" si="126"/>
        <v>#DIV/0!</v>
      </c>
      <c r="P106" s="78">
        <v>155160</v>
      </c>
      <c r="Q106" s="65" t="e">
        <f t="shared" si="127"/>
        <v>#DIV/0!</v>
      </c>
      <c r="R106" s="78">
        <v>310321</v>
      </c>
      <c r="S106" s="66">
        <f t="shared" si="128"/>
        <v>1.0000064449600412</v>
      </c>
    </row>
    <row r="107" spans="1:19" ht="15" x14ac:dyDescent="0.2">
      <c r="A107" s="2" t="s">
        <v>31</v>
      </c>
      <c r="D107" s="46" t="s">
        <v>85</v>
      </c>
      <c r="E107" s="94"/>
      <c r="F107" s="94"/>
      <c r="G107" s="63" t="e">
        <f t="shared" si="122"/>
        <v>#DIV/0!</v>
      </c>
      <c r="H107" s="95"/>
      <c r="I107" s="63" t="e">
        <f t="shared" si="123"/>
        <v>#DIV/0!</v>
      </c>
      <c r="J107" s="95"/>
      <c r="K107" s="63" t="e">
        <f t="shared" si="124"/>
        <v>#DIV/0!</v>
      </c>
      <c r="L107" s="64"/>
      <c r="M107" s="65" t="e">
        <f t="shared" si="125"/>
        <v>#DIV/0!</v>
      </c>
      <c r="N107" s="78"/>
      <c r="O107" s="65" t="e">
        <f t="shared" si="126"/>
        <v>#DIV/0!</v>
      </c>
      <c r="P107" s="78"/>
      <c r="Q107" s="65" t="e">
        <f t="shared" si="127"/>
        <v>#DIV/0!</v>
      </c>
      <c r="R107" s="78"/>
      <c r="S107" s="66" t="e">
        <f t="shared" si="128"/>
        <v>#DIV/0!</v>
      </c>
    </row>
    <row r="108" spans="1:19" ht="15" hidden="1" outlineLevel="1" x14ac:dyDescent="0.2">
      <c r="A108" s="2" t="s">
        <v>32</v>
      </c>
      <c r="D108" s="46"/>
      <c r="E108" s="94"/>
      <c r="F108" s="94"/>
      <c r="G108" s="63" t="e">
        <f t="shared" si="122"/>
        <v>#DIV/0!</v>
      </c>
      <c r="H108" s="95"/>
      <c r="I108" s="63"/>
      <c r="J108" s="95"/>
      <c r="K108" s="63"/>
      <c r="L108" s="64"/>
      <c r="M108" s="65"/>
      <c r="N108" s="78"/>
      <c r="O108" s="65"/>
      <c r="P108" s="78"/>
      <c r="Q108" s="65" t="e">
        <f t="shared" si="127"/>
        <v>#DIV/0!</v>
      </c>
      <c r="R108" s="78"/>
      <c r="S108" s="66" t="e">
        <f t="shared" si="128"/>
        <v>#DIV/0!</v>
      </c>
    </row>
    <row r="109" spans="1:19" ht="15" collapsed="1" x14ac:dyDescent="0.2">
      <c r="A109" s="2" t="s">
        <v>33</v>
      </c>
      <c r="D109" s="46" t="str">
        <f>"  "&amp;UPPER(TRIM(A109))</f>
        <v xml:space="preserve">  OTHER OPERATING EXPENSE</v>
      </c>
      <c r="E109" s="94"/>
      <c r="F109" s="94"/>
      <c r="G109" s="63" t="e">
        <f t="shared" si="122"/>
        <v>#DIV/0!</v>
      </c>
      <c r="H109" s="95"/>
      <c r="I109" s="63" t="e">
        <f t="shared" ref="I109" si="129">+(H109/F109)-1</f>
        <v>#DIV/0!</v>
      </c>
      <c r="J109" s="95"/>
      <c r="K109" s="63" t="e">
        <f t="shared" ref="K109" si="130">+(J109/H109)-1</f>
        <v>#DIV/0!</v>
      </c>
      <c r="L109" s="64"/>
      <c r="M109" s="65" t="e">
        <f t="shared" ref="M109" si="131">+(L109/H109)-1</f>
        <v>#DIV/0!</v>
      </c>
      <c r="N109" s="78">
        <v>15000</v>
      </c>
      <c r="O109" s="65" t="e">
        <f t="shared" si="126"/>
        <v>#DIV/0!</v>
      </c>
      <c r="P109" s="78">
        <v>35470</v>
      </c>
      <c r="Q109" s="65">
        <f t="shared" si="127"/>
        <v>1.3646666666666665</v>
      </c>
      <c r="R109" s="78">
        <v>19682</v>
      </c>
      <c r="S109" s="66">
        <f t="shared" si="128"/>
        <v>-0.44510854243022269</v>
      </c>
    </row>
    <row r="110" spans="1:19" ht="15" hidden="1" outlineLevel="1" x14ac:dyDescent="0.2">
      <c r="A110" s="2" t="s">
        <v>34</v>
      </c>
      <c r="D110" s="46" t="str">
        <f>"  "&amp;UPPER(TRIM(A110))</f>
        <v xml:space="preserve">  BAD DEBT</v>
      </c>
      <c r="E110" s="94"/>
      <c r="F110" s="94"/>
      <c r="G110" s="60"/>
      <c r="H110" s="95"/>
      <c r="I110" s="60"/>
      <c r="J110" s="95"/>
      <c r="K110" s="60"/>
      <c r="L110" s="64"/>
      <c r="M110" s="78"/>
      <c r="N110" s="78"/>
      <c r="O110" s="78"/>
      <c r="P110" s="78"/>
      <c r="Q110" s="78"/>
      <c r="R110" s="78"/>
      <c r="S110" s="79"/>
    </row>
    <row r="111" spans="1:19" ht="15" collapsed="1" x14ac:dyDescent="0.2">
      <c r="D111" s="46"/>
      <c r="E111" s="94"/>
      <c r="F111" s="94"/>
      <c r="G111" s="60"/>
      <c r="H111" s="61"/>
      <c r="I111" s="60"/>
      <c r="J111" s="95"/>
      <c r="K111" s="60"/>
      <c r="L111" s="64"/>
      <c r="M111" s="78"/>
      <c r="N111" s="78"/>
      <c r="O111" s="78"/>
      <c r="P111" s="78"/>
      <c r="Q111" s="78"/>
      <c r="R111" s="78"/>
      <c r="S111" s="79"/>
    </row>
    <row r="112" spans="1:19" ht="15.75" x14ac:dyDescent="0.25">
      <c r="A112" s="5"/>
      <c r="D112" s="74" t="s">
        <v>50</v>
      </c>
      <c r="E112" s="96">
        <f t="shared" ref="E112:H112" si="132">SUM(E101:E111)</f>
        <v>0</v>
      </c>
      <c r="F112" s="96">
        <f t="shared" si="132"/>
        <v>0</v>
      </c>
      <c r="G112" s="71" t="e">
        <f>(+F112/E112)-1</f>
        <v>#DIV/0!</v>
      </c>
      <c r="H112" s="70">
        <f t="shared" si="132"/>
        <v>0</v>
      </c>
      <c r="I112" s="71" t="e">
        <f t="shared" ref="I112" si="133">+(H112/F112)-1</f>
        <v>#DIV/0!</v>
      </c>
      <c r="J112" s="96">
        <f t="shared" ref="J112" si="134">SUM(J101:J111)</f>
        <v>0</v>
      </c>
      <c r="K112" s="71" t="e">
        <f t="shared" ref="K112" si="135">+(J112/H112)-1</f>
        <v>#DIV/0!</v>
      </c>
      <c r="L112" s="175">
        <f t="shared" ref="L112:N112" si="136">SUM(L101:L111)</f>
        <v>0</v>
      </c>
      <c r="M112" s="176" t="e">
        <f t="shared" ref="M112" si="137">+(L112/H112)-1</f>
        <v>#DIV/0!</v>
      </c>
      <c r="N112" s="175">
        <f t="shared" si="136"/>
        <v>15000</v>
      </c>
      <c r="O112" s="176" t="e">
        <f t="shared" ref="O112" si="138">+(N112/J112)-1</f>
        <v>#DIV/0!</v>
      </c>
      <c r="P112" s="175">
        <f t="shared" ref="P112" si="139">SUM(P101:P111)</f>
        <v>190630</v>
      </c>
      <c r="Q112" s="176">
        <f t="shared" ref="Q112" si="140">+(P112/N112)-1</f>
        <v>11.708666666666666</v>
      </c>
      <c r="R112" s="175">
        <f t="shared" ref="R112" si="141">SUM(R101:R111)</f>
        <v>330003</v>
      </c>
      <c r="S112" s="177">
        <f t="shared" ref="S112" si="142">+(R112/P112)-1</f>
        <v>0.7311178723181031</v>
      </c>
    </row>
    <row r="113" spans="1:19" ht="15" x14ac:dyDescent="0.2">
      <c r="B113" s="5"/>
      <c r="C113" s="5"/>
      <c r="D113" s="46"/>
      <c r="E113" s="94"/>
      <c r="F113" s="94"/>
      <c r="G113" s="60"/>
      <c r="H113" s="61"/>
      <c r="I113" s="60"/>
      <c r="J113" s="95"/>
      <c r="K113" s="60"/>
      <c r="L113" s="64"/>
      <c r="M113" s="78"/>
      <c r="N113" s="78"/>
      <c r="O113" s="78"/>
      <c r="P113" s="78"/>
      <c r="Q113" s="78"/>
      <c r="R113" s="78"/>
      <c r="S113" s="79"/>
    </row>
    <row r="114" spans="1:19" ht="15" x14ac:dyDescent="0.2">
      <c r="D114" s="46" t="s">
        <v>51</v>
      </c>
      <c r="E114" s="94">
        <f t="shared" ref="E114:H114" si="143">E98-E112</f>
        <v>0</v>
      </c>
      <c r="F114" s="94">
        <f t="shared" si="143"/>
        <v>0</v>
      </c>
      <c r="G114" s="63" t="e">
        <f t="shared" ref="G114" si="144">(+F114/E114)-1</f>
        <v>#DIV/0!</v>
      </c>
      <c r="H114" s="60">
        <f t="shared" si="143"/>
        <v>0</v>
      </c>
      <c r="I114" s="63" t="e">
        <f t="shared" ref="I114" si="145">+(H114/F114)-1</f>
        <v>#DIV/0!</v>
      </c>
      <c r="J114" s="94">
        <f t="shared" ref="J114" si="146">J98-J112</f>
        <v>0</v>
      </c>
      <c r="K114" s="63" t="e">
        <f t="shared" ref="K114" si="147">+(J114/H114)-1</f>
        <v>#DIV/0!</v>
      </c>
      <c r="L114" s="78">
        <f t="shared" ref="L114:N114" si="148">L98-L112</f>
        <v>0</v>
      </c>
      <c r="M114" s="65" t="e">
        <f t="shared" ref="M114" si="149">+(L114/H114)-1</f>
        <v>#DIV/0!</v>
      </c>
      <c r="N114" s="78">
        <f t="shared" si="148"/>
        <v>-15000</v>
      </c>
      <c r="O114" s="65" t="e">
        <f t="shared" ref="O114" si="150">+(N114/J114)-1</f>
        <v>#DIV/0!</v>
      </c>
      <c r="P114" s="78">
        <f t="shared" ref="P114" si="151">P98-P112</f>
        <v>-190630</v>
      </c>
      <c r="Q114" s="65">
        <f t="shared" ref="Q114" si="152">+(P114/N114)-1</f>
        <v>11.708666666666666</v>
      </c>
      <c r="R114" s="78">
        <f t="shared" ref="R114" si="153">R98-R112</f>
        <v>-330003</v>
      </c>
      <c r="S114" s="66">
        <f t="shared" ref="S114" si="154">+(R114/P114)-1</f>
        <v>0.7311178723181031</v>
      </c>
    </row>
    <row r="115" spans="1:19" ht="15" x14ac:dyDescent="0.2">
      <c r="D115" s="46"/>
      <c r="E115" s="94"/>
      <c r="F115" s="94"/>
      <c r="G115" s="60"/>
      <c r="H115" s="61"/>
      <c r="I115" s="60"/>
      <c r="J115" s="95"/>
      <c r="K115" s="60"/>
      <c r="L115" s="64"/>
      <c r="M115" s="78"/>
      <c r="N115" s="78"/>
      <c r="O115" s="78"/>
      <c r="P115" s="78"/>
      <c r="Q115" s="78"/>
      <c r="R115" s="78"/>
      <c r="S115" s="79"/>
    </row>
    <row r="116" spans="1:19" ht="15" x14ac:dyDescent="0.2">
      <c r="A116" s="2" t="s">
        <v>37</v>
      </c>
      <c r="D116" s="46" t="str">
        <f>UPPER(TRIM(A116))</f>
        <v>NON-OPERATING REVENUE</v>
      </c>
      <c r="E116" s="94"/>
      <c r="F116" s="94"/>
      <c r="G116" s="76" t="e">
        <f t="shared" ref="G116" si="155">(+F116/E116)-1</f>
        <v>#DIV/0!</v>
      </c>
      <c r="H116" s="94"/>
      <c r="I116" s="76" t="e">
        <f t="shared" ref="I116" si="156">+(H116/F116)-1</f>
        <v>#DIV/0!</v>
      </c>
      <c r="J116" s="94"/>
      <c r="K116" s="76" t="e">
        <f t="shared" ref="K116" si="157">+(J116/H116)-1</f>
        <v>#DIV/0!</v>
      </c>
      <c r="L116" s="78"/>
      <c r="M116" s="81" t="e">
        <f t="shared" ref="M116" si="158">+(L116/H116)-1</f>
        <v>#DIV/0!</v>
      </c>
      <c r="N116" s="78"/>
      <c r="O116" s="81" t="e">
        <f t="shared" ref="O116" si="159">+(N116/J116)-1</f>
        <v>#DIV/0!</v>
      </c>
      <c r="P116" s="78"/>
      <c r="Q116" s="81" t="e">
        <f t="shared" ref="Q116" si="160">+(P116/N116)-1</f>
        <v>#DIV/0!</v>
      </c>
      <c r="R116" s="78"/>
      <c r="S116" s="82" t="e">
        <f t="shared" ref="S116" si="161">+(R116/P116)-1</f>
        <v>#DIV/0!</v>
      </c>
    </row>
    <row r="117" spans="1:19" ht="15" x14ac:dyDescent="0.2">
      <c r="D117" s="69"/>
      <c r="E117" s="70"/>
      <c r="F117" s="70"/>
      <c r="G117" s="70"/>
      <c r="H117" s="70"/>
      <c r="I117" s="70"/>
      <c r="J117" s="70"/>
      <c r="K117" s="70"/>
      <c r="L117" s="70"/>
      <c r="M117" s="70"/>
      <c r="N117" s="70"/>
      <c r="O117" s="70"/>
      <c r="P117" s="70"/>
      <c r="Q117" s="70"/>
      <c r="R117" s="70"/>
      <c r="S117" s="83"/>
    </row>
    <row r="118" spans="1:19" ht="16.5" thickBot="1" x14ac:dyDescent="0.3">
      <c r="A118" s="5"/>
      <c r="B118" s="5"/>
      <c r="C118" s="5"/>
      <c r="D118" s="84" t="s">
        <v>52</v>
      </c>
      <c r="E118" s="85">
        <f t="shared" ref="E118:H118" si="162">E114+E116</f>
        <v>0</v>
      </c>
      <c r="F118" s="85">
        <f t="shared" si="162"/>
        <v>0</v>
      </c>
      <c r="G118" s="86" t="e">
        <f>+(F118/E118)-1</f>
        <v>#DIV/0!</v>
      </c>
      <c r="H118" s="85">
        <f t="shared" si="162"/>
        <v>0</v>
      </c>
      <c r="I118" s="86" t="e">
        <f t="shared" ref="I118" si="163">+(H118/F118)-1</f>
        <v>#DIV/0!</v>
      </c>
      <c r="J118" s="85">
        <f t="shared" ref="J118" si="164">J114+J116</f>
        <v>0</v>
      </c>
      <c r="K118" s="86" t="e">
        <f t="shared" ref="K118" si="165">+(J118/H118)-1</f>
        <v>#DIV/0!</v>
      </c>
      <c r="L118" s="85">
        <f t="shared" ref="L118:N118" si="166">L114+L116</f>
        <v>0</v>
      </c>
      <c r="M118" s="86" t="e">
        <f t="shared" ref="M118" si="167">+(L118/H118)-1</f>
        <v>#DIV/0!</v>
      </c>
      <c r="N118" s="85">
        <f t="shared" si="166"/>
        <v>-15000</v>
      </c>
      <c r="O118" s="86" t="e">
        <f t="shared" ref="O118" si="168">+(N118/J118)-1</f>
        <v>#DIV/0!</v>
      </c>
      <c r="P118" s="85">
        <f t="shared" ref="P118" si="169">P114+P116</f>
        <v>-190630</v>
      </c>
      <c r="Q118" s="86">
        <f t="shared" ref="Q118" si="170">+(P118/N118)-1</f>
        <v>11.708666666666666</v>
      </c>
      <c r="R118" s="85">
        <f t="shared" ref="R118" si="171">R114+R116</f>
        <v>-330003</v>
      </c>
      <c r="S118" s="87">
        <f t="shared" ref="S118" si="172">+(R118/P118)-1</f>
        <v>0.7311178723181031</v>
      </c>
    </row>
    <row r="119" spans="1:19" ht="14.25" thickTop="1" thickBot="1" x14ac:dyDescent="0.25">
      <c r="A119" s="7"/>
      <c r="B119" s="7"/>
      <c r="C119" s="7"/>
      <c r="D119" s="18"/>
      <c r="E119" s="19"/>
      <c r="F119" s="20"/>
      <c r="G119" s="20"/>
      <c r="H119" s="20"/>
      <c r="I119" s="20"/>
      <c r="J119" s="20"/>
      <c r="K119" s="20"/>
      <c r="L119" s="20"/>
      <c r="M119" s="20"/>
      <c r="N119" s="20"/>
      <c r="O119" s="20"/>
      <c r="P119" s="20"/>
      <c r="Q119" s="20"/>
      <c r="R119" s="20"/>
      <c r="S119" s="21"/>
    </row>
    <row r="120" spans="1:19" ht="13.5" thickTop="1" x14ac:dyDescent="0.2">
      <c r="D120" s="8"/>
      <c r="E120" s="9"/>
    </row>
    <row r="121" spans="1:19" x14ac:dyDescent="0.2">
      <c r="D121" s="8"/>
      <c r="E121" s="9"/>
    </row>
    <row r="122" spans="1:19" ht="13.5" thickBot="1" x14ac:dyDescent="0.25"/>
    <row r="123" spans="1:19" ht="13.5" thickBot="1" x14ac:dyDescent="0.25">
      <c r="D123" s="22"/>
      <c r="E123" s="23"/>
      <c r="F123" s="24"/>
      <c r="G123" s="24"/>
      <c r="H123" s="24"/>
      <c r="I123" s="24"/>
      <c r="J123" s="24"/>
      <c r="K123" s="24"/>
      <c r="L123" s="24"/>
      <c r="M123" s="24"/>
      <c r="N123" s="24"/>
      <c r="O123" s="24"/>
      <c r="P123" s="24"/>
      <c r="Q123" s="24"/>
      <c r="R123" s="24"/>
      <c r="S123" s="25"/>
    </row>
    <row r="124" spans="1:19" ht="19.5" thickBot="1" x14ac:dyDescent="0.25">
      <c r="D124" s="209" t="str">
        <f>+D4</f>
        <v>Nuclear Medicine</v>
      </c>
      <c r="E124" s="210"/>
      <c r="F124" s="210"/>
      <c r="G124" s="210"/>
      <c r="H124" s="210"/>
      <c r="I124" s="210"/>
      <c r="J124" s="210"/>
      <c r="K124" s="210"/>
      <c r="L124" s="210"/>
      <c r="M124" s="210"/>
      <c r="N124" s="210"/>
      <c r="O124" s="210"/>
      <c r="P124" s="210"/>
      <c r="Q124" s="210"/>
      <c r="R124" s="210"/>
      <c r="S124" s="211"/>
    </row>
    <row r="125" spans="1:19" ht="18" x14ac:dyDescent="0.25">
      <c r="D125" s="212" t="s">
        <v>71</v>
      </c>
      <c r="E125" s="213"/>
      <c r="F125" s="213"/>
      <c r="G125" s="213"/>
      <c r="H125" s="213"/>
      <c r="I125" s="213"/>
      <c r="J125" s="213"/>
      <c r="K125" s="213"/>
      <c r="L125" s="213"/>
      <c r="M125" s="213"/>
      <c r="N125" s="213"/>
      <c r="O125" s="213"/>
      <c r="P125" s="213"/>
      <c r="Q125" s="213"/>
      <c r="R125" s="213"/>
      <c r="S125" s="214"/>
    </row>
    <row r="126" spans="1:19" ht="21" customHeight="1" thickBot="1" x14ac:dyDescent="0.3">
      <c r="D126" s="201" t="str">
        <f>+D6</f>
        <v>INCOME STATEMENT</v>
      </c>
      <c r="E126" s="202"/>
      <c r="F126" s="202"/>
      <c r="G126" s="202"/>
      <c r="H126" s="202"/>
      <c r="I126" s="202"/>
      <c r="J126" s="202"/>
      <c r="K126" s="202"/>
      <c r="L126" s="202"/>
      <c r="M126" s="202"/>
      <c r="N126" s="202"/>
      <c r="O126" s="202"/>
      <c r="P126" s="202"/>
      <c r="Q126" s="202"/>
      <c r="R126" s="202"/>
      <c r="S126" s="203"/>
    </row>
    <row r="127" spans="1:19" s="16" customFormat="1" ht="16.5" customHeight="1" x14ac:dyDescent="0.2">
      <c r="A127" s="33"/>
      <c r="B127" s="33"/>
      <c r="C127" s="33"/>
      <c r="D127" s="206" t="s">
        <v>75</v>
      </c>
      <c r="E127" s="207"/>
      <c r="F127" s="207"/>
      <c r="G127" s="207"/>
      <c r="H127" s="207"/>
      <c r="I127" s="207"/>
      <c r="J127" s="207"/>
      <c r="K127" s="207"/>
      <c r="L127" s="207"/>
      <c r="M127" s="207"/>
      <c r="N127" s="207"/>
      <c r="O127" s="207"/>
      <c r="P127" s="207"/>
      <c r="Q127" s="207"/>
      <c r="R127" s="207"/>
      <c r="S127" s="208"/>
    </row>
    <row r="128" spans="1:19" ht="15" customHeight="1" x14ac:dyDescent="0.25">
      <c r="D128" s="197" t="s">
        <v>65</v>
      </c>
      <c r="E128" s="198"/>
      <c r="F128" s="198"/>
      <c r="G128" s="198"/>
      <c r="H128" s="198"/>
      <c r="I128" s="198"/>
      <c r="J128" s="198"/>
      <c r="K128" s="198"/>
      <c r="L128" s="198"/>
      <c r="M128" s="198"/>
      <c r="N128" s="198"/>
      <c r="O128" s="198"/>
      <c r="P128" s="198"/>
      <c r="Q128" s="198"/>
      <c r="R128" s="198"/>
      <c r="S128" s="199"/>
    </row>
    <row r="129" spans="1:19" ht="15.75" x14ac:dyDescent="0.25">
      <c r="D129" s="46"/>
      <c r="E129" s="44" t="str">
        <f>+E79</f>
        <v>2015</v>
      </c>
      <c r="F129" s="44" t="str">
        <f>+F79</f>
        <v>2016</v>
      </c>
      <c r="G129" s="47"/>
      <c r="H129" s="170" t="str">
        <f>+H79</f>
        <v>2016</v>
      </c>
      <c r="I129" s="47"/>
      <c r="J129" s="170" t="str">
        <f>+J79</f>
        <v>2017</v>
      </c>
      <c r="K129" s="48"/>
      <c r="L129" s="48" t="s">
        <v>183</v>
      </c>
      <c r="M129" s="48"/>
      <c r="N129" s="48" t="s">
        <v>68</v>
      </c>
      <c r="O129" s="48"/>
      <c r="P129" s="48" t="s">
        <v>68</v>
      </c>
      <c r="Q129" s="48"/>
      <c r="R129" s="48" t="s">
        <v>69</v>
      </c>
      <c r="S129" s="49"/>
    </row>
    <row r="130" spans="1:19" ht="38.25" customHeight="1" x14ac:dyDescent="0.25">
      <c r="D130" s="46"/>
      <c r="E130" s="44" t="str">
        <f>+E80</f>
        <v>Actual</v>
      </c>
      <c r="F130" s="170" t="str">
        <f>+F80</f>
        <v>Budget</v>
      </c>
      <c r="G130" s="50" t="s">
        <v>77</v>
      </c>
      <c r="H130" s="170" t="str">
        <f>+H80</f>
        <v>Actuals</v>
      </c>
      <c r="I130" s="50" t="s">
        <v>77</v>
      </c>
      <c r="J130" s="170" t="str">
        <f>+J80</f>
        <v>Budget</v>
      </c>
      <c r="K130" s="50" t="s">
        <v>77</v>
      </c>
      <c r="L130" s="57">
        <f>+L10</f>
        <v>2017</v>
      </c>
      <c r="M130" s="50" t="s">
        <v>77</v>
      </c>
      <c r="N130" s="57">
        <f>+N10</f>
        <v>2018</v>
      </c>
      <c r="O130" s="50" t="s">
        <v>77</v>
      </c>
      <c r="P130" s="57">
        <f>+P10</f>
        <v>2019</v>
      </c>
      <c r="Q130" s="50" t="s">
        <v>77</v>
      </c>
      <c r="R130" s="57">
        <f>+R10</f>
        <v>2020</v>
      </c>
      <c r="S130" s="98" t="s">
        <v>77</v>
      </c>
    </row>
    <row r="131" spans="1:19" ht="15.75" x14ac:dyDescent="0.25">
      <c r="A131" s="8" t="s">
        <v>2</v>
      </c>
      <c r="D131" s="59" t="s">
        <v>44</v>
      </c>
      <c r="E131" s="60"/>
      <c r="F131" s="61"/>
      <c r="G131" s="61"/>
      <c r="H131" s="61"/>
      <c r="I131" s="61"/>
      <c r="J131" s="95"/>
      <c r="K131" s="61"/>
      <c r="L131" s="61"/>
      <c r="M131" s="61"/>
      <c r="N131" s="61"/>
      <c r="O131" s="61"/>
      <c r="P131" s="61"/>
      <c r="Q131" s="61"/>
      <c r="R131" s="61"/>
      <c r="S131" s="62"/>
    </row>
    <row r="132" spans="1:19" ht="15" x14ac:dyDescent="0.2">
      <c r="A132" s="11" t="s">
        <v>55</v>
      </c>
      <c r="D132" s="46" t="str">
        <f>"  "&amp;UPPER(TRIM(A132))</f>
        <v xml:space="preserve">  INPATIENT CARE REVENUE</v>
      </c>
      <c r="E132" s="60">
        <f t="shared" ref="E132:F136" si="173">+E14+E82</f>
        <v>170343832</v>
      </c>
      <c r="F132" s="60">
        <f t="shared" si="173"/>
        <v>176547476</v>
      </c>
      <c r="G132" s="63">
        <f>(+F132/E132)-1</f>
        <v>3.6418365884829829E-2</v>
      </c>
      <c r="H132" s="60">
        <f>+H14+H82</f>
        <v>191888077</v>
      </c>
      <c r="I132" s="63">
        <f>+(H132/F132)-1</f>
        <v>8.6892213627568271E-2</v>
      </c>
      <c r="J132" s="60">
        <f>+J14+J82</f>
        <v>180666477</v>
      </c>
      <c r="K132" s="63">
        <f>+(J132/H132)-1</f>
        <v>-5.8479923168962666E-2</v>
      </c>
      <c r="L132" s="60">
        <f>+L14+L82</f>
        <v>205322090</v>
      </c>
      <c r="M132" s="63">
        <f>+(L132/H132)-1</f>
        <v>7.0009628581561012E-2</v>
      </c>
      <c r="N132" s="60">
        <f>+N14+N82</f>
        <v>214308929</v>
      </c>
      <c r="O132" s="63">
        <f>+(N132/J132)-1</f>
        <v>0.18621302943766382</v>
      </c>
      <c r="P132" s="60">
        <f>+P14+P82</f>
        <v>228018451.81835347</v>
      </c>
      <c r="Q132" s="63">
        <f>+(P132/N132)-1</f>
        <v>6.3970842849732534E-2</v>
      </c>
      <c r="R132" s="60">
        <f>+R14+R82</f>
        <v>243100926.51998258</v>
      </c>
      <c r="S132" s="80">
        <f>+(R132/P132)-1</f>
        <v>6.6145851712230197E-2</v>
      </c>
    </row>
    <row r="133" spans="1:19" ht="15" x14ac:dyDescent="0.2">
      <c r="A133" s="11" t="s">
        <v>56</v>
      </c>
      <c r="D133" s="46" t="str">
        <f t="shared" ref="D133:D136" si="174">"  "&amp;UPPER(TRIM(A133))</f>
        <v xml:space="preserve">  OUTPATIENT CARE REVENUE</v>
      </c>
      <c r="E133" s="60">
        <f t="shared" si="173"/>
        <v>281110791</v>
      </c>
      <c r="F133" s="60">
        <f t="shared" si="173"/>
        <v>274404943.99999994</v>
      </c>
      <c r="G133" s="63">
        <f t="shared" ref="G133:G136" si="175">(+F133/E133)-1</f>
        <v>-2.3854818863926375E-2</v>
      </c>
      <c r="H133" s="60">
        <f>+H15+H83</f>
        <v>274399840.00000006</v>
      </c>
      <c r="I133" s="63">
        <f t="shared" ref="I133:I136" si="176">+(H133/F133)-1</f>
        <v>-1.8600247960076643E-5</v>
      </c>
      <c r="J133" s="60">
        <f>+J15+J83</f>
        <v>257142036</v>
      </c>
      <c r="K133" s="63">
        <f t="shared" ref="K133:K136" si="177">+(J133/H133)-1</f>
        <v>-6.2892908392366609E-2</v>
      </c>
      <c r="L133" s="60">
        <f>+L15+L83</f>
        <v>255704927</v>
      </c>
      <c r="M133" s="63">
        <f t="shared" ref="M133:M136" si="178">+(L133/H133)-1</f>
        <v>-6.8130189142967645E-2</v>
      </c>
      <c r="N133" s="60">
        <f>+N15+N83</f>
        <v>264354189</v>
      </c>
      <c r="O133" s="63">
        <f t="shared" ref="O133:O138" si="179">+(N133/J133)-1</f>
        <v>2.8047351231208273E-2</v>
      </c>
      <c r="P133" s="60">
        <f>+P15+P83</f>
        <v>281265149.28118747</v>
      </c>
      <c r="Q133" s="63">
        <f t="shared" ref="Q133:S138" si="180">+(P133/N133)-1</f>
        <v>6.3970842849732534E-2</v>
      </c>
      <c r="R133" s="60">
        <f>+R15+R83</f>
        <v>299869672.13735914</v>
      </c>
      <c r="S133" s="80">
        <f t="shared" si="180"/>
        <v>6.6145851712229975E-2</v>
      </c>
    </row>
    <row r="134" spans="1:19" ht="15" x14ac:dyDescent="0.2">
      <c r="A134" s="11" t="s">
        <v>60</v>
      </c>
      <c r="D134" s="46" t="str">
        <f t="shared" si="174"/>
        <v xml:space="preserve">  OUTPATIENT CARE REVENUE - PHYSICIAN</v>
      </c>
      <c r="E134" s="60">
        <f t="shared" si="173"/>
        <v>40880965</v>
      </c>
      <c r="F134" s="60">
        <f t="shared" si="173"/>
        <v>58686415.000000007</v>
      </c>
      <c r="G134" s="63">
        <f t="shared" si="175"/>
        <v>0.43554377936039446</v>
      </c>
      <c r="H134" s="60">
        <f>+H16+H84</f>
        <v>62566398.000000007</v>
      </c>
      <c r="I134" s="63">
        <f t="shared" si="176"/>
        <v>6.6113818675071601E-2</v>
      </c>
      <c r="J134" s="60">
        <f>+J16+J84</f>
        <v>63107824.999999978</v>
      </c>
      <c r="K134" s="63">
        <f t="shared" si="177"/>
        <v>8.6536386512128249E-3</v>
      </c>
      <c r="L134" s="60">
        <f>+L16+L84</f>
        <v>49400399</v>
      </c>
      <c r="M134" s="63">
        <f t="shared" si="178"/>
        <v>-0.21043242732304979</v>
      </c>
      <c r="N134" s="60">
        <f>+N16+N84</f>
        <v>52275189</v>
      </c>
      <c r="O134" s="63">
        <f t="shared" si="179"/>
        <v>-0.17165281801424759</v>
      </c>
      <c r="P134" s="60">
        <f>+P16+P84</f>
        <v>55619276.900459059</v>
      </c>
      <c r="Q134" s="63">
        <f t="shared" si="180"/>
        <v>6.3970842849732312E-2</v>
      </c>
      <c r="R134" s="60">
        <f>+R16+R84</f>
        <v>59298261.342658289</v>
      </c>
      <c r="S134" s="80">
        <f t="shared" si="180"/>
        <v>6.6145851712230197E-2</v>
      </c>
    </row>
    <row r="135" spans="1:19" ht="15" x14ac:dyDescent="0.2">
      <c r="A135" s="11" t="s">
        <v>57</v>
      </c>
      <c r="D135" s="46" t="str">
        <f t="shared" si="174"/>
        <v xml:space="preserve">  CHRONIC/SNF PT CARE REVENUE</v>
      </c>
      <c r="E135" s="60">
        <f t="shared" si="173"/>
        <v>0</v>
      </c>
      <c r="F135" s="60">
        <f t="shared" si="173"/>
        <v>0</v>
      </c>
      <c r="G135" s="63" t="e">
        <f t="shared" si="175"/>
        <v>#DIV/0!</v>
      </c>
      <c r="H135" s="60">
        <f>+H17+H85</f>
        <v>0</v>
      </c>
      <c r="I135" s="63" t="e">
        <f t="shared" si="176"/>
        <v>#DIV/0!</v>
      </c>
      <c r="J135" s="60">
        <f>+J17+J85</f>
        <v>0</v>
      </c>
      <c r="K135" s="63" t="e">
        <f t="shared" si="177"/>
        <v>#DIV/0!</v>
      </c>
      <c r="L135" s="60">
        <f>+L17+L85</f>
        <v>0</v>
      </c>
      <c r="M135" s="63" t="e">
        <f t="shared" si="178"/>
        <v>#DIV/0!</v>
      </c>
      <c r="N135" s="60">
        <f>+N17+N85</f>
        <v>0</v>
      </c>
      <c r="O135" s="63" t="e">
        <f t="shared" si="179"/>
        <v>#DIV/0!</v>
      </c>
      <c r="P135" s="60">
        <f>+P17+P85</f>
        <v>0</v>
      </c>
      <c r="Q135" s="63" t="e">
        <f t="shared" si="180"/>
        <v>#DIV/0!</v>
      </c>
      <c r="R135" s="60">
        <f>+R17+R85</f>
        <v>0</v>
      </c>
      <c r="S135" s="80" t="e">
        <f t="shared" si="180"/>
        <v>#DIV/0!</v>
      </c>
    </row>
    <row r="136" spans="1:19" ht="15" x14ac:dyDescent="0.2">
      <c r="A136" s="11" t="s">
        <v>58</v>
      </c>
      <c r="D136" s="46" t="str">
        <f t="shared" si="174"/>
        <v xml:space="preserve">  SWING BEDS PT CARE REVENUE</v>
      </c>
      <c r="E136" s="60">
        <f t="shared" si="173"/>
        <v>1058923.9999999998</v>
      </c>
      <c r="F136" s="60">
        <f t="shared" si="173"/>
        <v>793290.00000000012</v>
      </c>
      <c r="G136" s="63">
        <f t="shared" si="175"/>
        <v>-0.25085275241660376</v>
      </c>
      <c r="H136" s="60">
        <f>+H18+H86</f>
        <v>0</v>
      </c>
      <c r="I136" s="63">
        <f t="shared" si="176"/>
        <v>-1</v>
      </c>
      <c r="J136" s="60">
        <f>+J18+J86</f>
        <v>0</v>
      </c>
      <c r="K136" s="63" t="e">
        <f t="shared" si="177"/>
        <v>#DIV/0!</v>
      </c>
      <c r="L136" s="60">
        <f>+L18+L86</f>
        <v>0</v>
      </c>
      <c r="M136" s="63" t="e">
        <f t="shared" si="178"/>
        <v>#DIV/0!</v>
      </c>
      <c r="N136" s="60">
        <f>+N18+N86</f>
        <v>0</v>
      </c>
      <c r="O136" s="63" t="e">
        <f t="shared" si="179"/>
        <v>#DIV/0!</v>
      </c>
      <c r="P136" s="60">
        <f>+P18+P86</f>
        <v>0</v>
      </c>
      <c r="Q136" s="63" t="e">
        <f t="shared" si="180"/>
        <v>#DIV/0!</v>
      </c>
      <c r="R136" s="60">
        <f>+R18+R86</f>
        <v>0</v>
      </c>
      <c r="S136" s="80" t="e">
        <f t="shared" si="180"/>
        <v>#DIV/0!</v>
      </c>
    </row>
    <row r="137" spans="1:19" ht="15" x14ac:dyDescent="0.2">
      <c r="D137" s="46"/>
      <c r="E137" s="60"/>
      <c r="F137" s="60"/>
      <c r="G137" s="67"/>
      <c r="H137" s="60"/>
      <c r="I137" s="67"/>
      <c r="J137" s="60"/>
      <c r="K137" s="67"/>
      <c r="L137" s="60"/>
      <c r="M137" s="67"/>
      <c r="N137" s="60"/>
      <c r="O137" s="67"/>
      <c r="P137" s="60"/>
      <c r="Q137" s="67"/>
      <c r="R137" s="60"/>
      <c r="S137" s="68"/>
    </row>
    <row r="138" spans="1:19" ht="15" x14ac:dyDescent="0.2">
      <c r="A138" s="5" t="s">
        <v>4</v>
      </c>
      <c r="D138" s="69" t="s">
        <v>45</v>
      </c>
      <c r="E138" s="70">
        <f>SUM(E132:E137)</f>
        <v>493394512</v>
      </c>
      <c r="F138" s="70">
        <f t="shared" ref="F138:R138" si="181">SUM(F132:F137)</f>
        <v>510432124.99999994</v>
      </c>
      <c r="G138" s="71">
        <f>(+F138/E138)-1</f>
        <v>3.4531419757664272E-2</v>
      </c>
      <c r="H138" s="70">
        <f t="shared" ref="H138:J138" si="182">SUM(H132:H137)</f>
        <v>528854315.00000006</v>
      </c>
      <c r="I138" s="71">
        <f t="shared" ref="I138" si="183">+(H138/F138)-1</f>
        <v>3.6091360824909158E-2</v>
      </c>
      <c r="J138" s="70">
        <f t="shared" si="182"/>
        <v>500916338</v>
      </c>
      <c r="K138" s="71">
        <f t="shared" ref="K138" si="184">+(J138/H138)-1</f>
        <v>-5.2827359459098E-2</v>
      </c>
      <c r="L138" s="70">
        <f t="shared" ref="L138:N138" si="185">SUM(L132:L137)</f>
        <v>510427416</v>
      </c>
      <c r="M138" s="71">
        <f t="shared" ref="M138" si="186">+(L138/H138)-1</f>
        <v>-3.4843053138367663E-2</v>
      </c>
      <c r="N138" s="70">
        <f t="shared" si="185"/>
        <v>530938307</v>
      </c>
      <c r="O138" s="71">
        <f t="shared" si="179"/>
        <v>5.9934098216616771E-2</v>
      </c>
      <c r="P138" s="70">
        <f t="shared" si="181"/>
        <v>564902878</v>
      </c>
      <c r="Q138" s="71">
        <f t="shared" si="180"/>
        <v>6.3970842849732534E-2</v>
      </c>
      <c r="R138" s="70">
        <f t="shared" si="181"/>
        <v>602268860</v>
      </c>
      <c r="S138" s="72">
        <f t="shared" si="180"/>
        <v>6.6145851712229975E-2</v>
      </c>
    </row>
    <row r="139" spans="1:19" ht="15" x14ac:dyDescent="0.2">
      <c r="B139" s="5"/>
      <c r="C139" s="5"/>
      <c r="D139" s="46"/>
      <c r="E139" s="60"/>
      <c r="F139" s="60"/>
      <c r="G139" s="60"/>
      <c r="H139" s="60"/>
      <c r="I139" s="60"/>
      <c r="J139" s="60"/>
      <c r="K139" s="60"/>
      <c r="L139" s="60"/>
      <c r="M139" s="60"/>
      <c r="N139" s="60"/>
      <c r="O139" s="60"/>
      <c r="P139" s="60"/>
      <c r="Q139" s="60"/>
      <c r="R139" s="60"/>
      <c r="S139" s="73"/>
    </row>
    <row r="140" spans="1:19" ht="15" x14ac:dyDescent="0.2">
      <c r="A140" s="2" t="s">
        <v>6</v>
      </c>
      <c r="D140" s="46" t="str">
        <f t="shared" ref="D140:D141" si="187">"  "&amp;UPPER(TRIM(A140))</f>
        <v xml:space="preserve">  DISPROPORTIONATE SHARE PAYMENTS</v>
      </c>
      <c r="E140" s="60">
        <f t="shared" ref="E140:F143" si="188">+E22+E90</f>
        <v>4576163</v>
      </c>
      <c r="F140" s="60">
        <f t="shared" si="188"/>
        <v>4169146.0000000005</v>
      </c>
      <c r="G140" s="63">
        <f>(+F140/E140)-1</f>
        <v>-8.8942854526816384E-2</v>
      </c>
      <c r="H140" s="60">
        <f>+H22+H90</f>
        <v>4573554</v>
      </c>
      <c r="I140" s="63">
        <f t="shared" ref="I140:I144" si="189">+(H140/F140)-1</f>
        <v>9.7000201000396524E-2</v>
      </c>
      <c r="J140" s="60">
        <f>+J22+J90</f>
        <v>5724870</v>
      </c>
      <c r="K140" s="63">
        <f t="shared" ref="K140:K144" si="190">+(J140/H140)-1</f>
        <v>0.25173333473268267</v>
      </c>
      <c r="L140" s="60">
        <f>+L22+L90</f>
        <v>5724870</v>
      </c>
      <c r="M140" s="63">
        <f t="shared" ref="M140:M144" si="191">+(L140/H140)-1</f>
        <v>0.25173333473268267</v>
      </c>
      <c r="N140" s="60">
        <f>+N22+N90</f>
        <v>4579237</v>
      </c>
      <c r="O140" s="63">
        <f t="shared" ref="O140:O144" si="192">+(N140/J140)-1</f>
        <v>-0.20011511178419772</v>
      </c>
      <c r="P140" s="60">
        <f>+P22+P90</f>
        <v>4837858</v>
      </c>
      <c r="Q140" s="63">
        <f t="shared" ref="Q140:S142" si="193">+(P140/N140)-1</f>
        <v>5.6476875951168237E-2</v>
      </c>
      <c r="R140" s="60">
        <f>+R22+R90</f>
        <v>5002345</v>
      </c>
      <c r="S140" s="80">
        <f t="shared" si="193"/>
        <v>3.3999964447075648E-2</v>
      </c>
    </row>
    <row r="141" spans="1:19" ht="15" x14ac:dyDescent="0.2">
      <c r="A141" s="45" t="s">
        <v>7</v>
      </c>
      <c r="D141" s="46" t="str">
        <f t="shared" si="187"/>
        <v xml:space="preserve">  BAD DEBT FREE CARE</v>
      </c>
      <c r="E141" s="60">
        <f t="shared" si="188"/>
        <v>-9687417</v>
      </c>
      <c r="F141" s="60">
        <f t="shared" si="188"/>
        <v>-13964808</v>
      </c>
      <c r="G141" s="63">
        <f t="shared" ref="G141:G142" si="194">(+F141/E141)-1</f>
        <v>0.44154091849251453</v>
      </c>
      <c r="H141" s="60">
        <f>+H23+H91</f>
        <v>-10022418.999999998</v>
      </c>
      <c r="I141" s="63">
        <f t="shared" si="189"/>
        <v>-0.28230885809529227</v>
      </c>
      <c r="J141" s="60">
        <f>+J23+J91</f>
        <v>-10196810</v>
      </c>
      <c r="K141" s="63">
        <f t="shared" si="190"/>
        <v>1.7400090736577889E-2</v>
      </c>
      <c r="L141" s="60">
        <f>+L23+L91</f>
        <v>-10989502</v>
      </c>
      <c r="M141" s="63">
        <f t="shared" si="191"/>
        <v>9.6491974642050282E-2</v>
      </c>
      <c r="N141" s="60">
        <f>+N23+N91</f>
        <v>-11431102</v>
      </c>
      <c r="O141" s="63">
        <f t="shared" si="192"/>
        <v>0.12104687642507805</v>
      </c>
      <c r="P141" s="60">
        <f>+P23+P91</f>
        <v>-12162359</v>
      </c>
      <c r="Q141" s="63">
        <f t="shared" si="193"/>
        <v>6.3970822760570201E-2</v>
      </c>
      <c r="R141" s="60">
        <f>+R23+R91</f>
        <v>-12966849</v>
      </c>
      <c r="S141" s="80">
        <f t="shared" si="193"/>
        <v>6.614588502115426E-2</v>
      </c>
    </row>
    <row r="142" spans="1:19" ht="15" x14ac:dyDescent="0.2">
      <c r="A142" s="2" t="s">
        <v>8</v>
      </c>
      <c r="D142" s="46" t="str">
        <f>"  "&amp;UPPER(TRIM(A142))</f>
        <v xml:space="preserve">  DEDUCTIONS FROM REVENUE</v>
      </c>
      <c r="E142" s="60">
        <f t="shared" si="188"/>
        <v>-259954621.00000009</v>
      </c>
      <c r="F142" s="60">
        <f t="shared" si="188"/>
        <v>-267388300.99999997</v>
      </c>
      <c r="G142" s="63">
        <f t="shared" si="194"/>
        <v>2.8596067926793589E-2</v>
      </c>
      <c r="H142" s="60">
        <f>+H24+H92</f>
        <v>-277582497.99999988</v>
      </c>
      <c r="I142" s="63">
        <f t="shared" si="189"/>
        <v>3.8125067408988578E-2</v>
      </c>
      <c r="J142" s="60">
        <f>+J24+J92</f>
        <v>-253028950.00000003</v>
      </c>
      <c r="K142" s="63">
        <f t="shared" si="190"/>
        <v>-8.8454957271837276E-2</v>
      </c>
      <c r="L142" s="60">
        <f>+L24+L92</f>
        <v>-259915041</v>
      </c>
      <c r="M142" s="63">
        <f t="shared" si="191"/>
        <v>-6.3647589913971792E-2</v>
      </c>
      <c r="N142" s="60">
        <f>+N24+N92</f>
        <v>-272539164</v>
      </c>
      <c r="O142" s="63">
        <f t="shared" si="192"/>
        <v>7.7106647282850327E-2</v>
      </c>
      <c r="P142" s="60">
        <f>+P24+P92</f>
        <v>-297478492</v>
      </c>
      <c r="Q142" s="63">
        <f t="shared" si="193"/>
        <v>9.1507318192258102E-2</v>
      </c>
      <c r="R142" s="60">
        <f>+R24+R92</f>
        <v>-325361075</v>
      </c>
      <c r="S142" s="80">
        <f t="shared" si="193"/>
        <v>9.3729744333919784E-2</v>
      </c>
    </row>
    <row r="143" spans="1:19" ht="15" hidden="1" outlineLevel="1" x14ac:dyDescent="0.2">
      <c r="A143" s="45" t="s">
        <v>73</v>
      </c>
      <c r="D143" s="46"/>
      <c r="E143" s="60">
        <f t="shared" si="188"/>
        <v>0</v>
      </c>
      <c r="F143" s="60">
        <f t="shared" si="188"/>
        <v>0</v>
      </c>
      <c r="G143" s="63" t="e">
        <f t="shared" ref="G143" si="195">(+F143/E143)-1</f>
        <v>#DIV/0!</v>
      </c>
      <c r="H143" s="60">
        <f>+H25+H93</f>
        <v>0</v>
      </c>
      <c r="I143" s="63" t="e">
        <f t="shared" si="189"/>
        <v>#DIV/0!</v>
      </c>
      <c r="J143" s="60">
        <f>+J25+J93</f>
        <v>0</v>
      </c>
      <c r="K143" s="63" t="e">
        <f t="shared" si="190"/>
        <v>#DIV/0!</v>
      </c>
      <c r="L143" s="60">
        <f>+L25+L93</f>
        <v>0</v>
      </c>
      <c r="M143" s="63" t="e">
        <f t="shared" si="191"/>
        <v>#DIV/0!</v>
      </c>
      <c r="N143" s="60">
        <f>+N25+N93</f>
        <v>0</v>
      </c>
      <c r="O143" s="63" t="e">
        <f t="shared" si="192"/>
        <v>#DIV/0!</v>
      </c>
      <c r="P143" s="60">
        <f>+P25+P93</f>
        <v>0</v>
      </c>
      <c r="Q143" s="63" t="e">
        <f t="shared" ref="Q143" si="196">+(P143/N143)-1</f>
        <v>#DIV/0!</v>
      </c>
      <c r="R143" s="60">
        <f>+R25+R93</f>
        <v>0</v>
      </c>
      <c r="S143" s="80" t="e">
        <f t="shared" ref="S143" si="197">+(R143/P143)-1</f>
        <v>#DIV/0!</v>
      </c>
    </row>
    <row r="144" spans="1:19" ht="15.75" collapsed="1" x14ac:dyDescent="0.25">
      <c r="A144" s="5"/>
      <c r="D144" s="74" t="s">
        <v>47</v>
      </c>
      <c r="E144" s="70">
        <f>SUM(E138:E143)</f>
        <v>228328636.99999991</v>
      </c>
      <c r="F144" s="70">
        <f t="shared" ref="F144:R144" si="198">SUM(F138:F143)</f>
        <v>233248161.99999997</v>
      </c>
      <c r="G144" s="71">
        <f>(+F144/E144)-1</f>
        <v>2.154580811516893E-2</v>
      </c>
      <c r="H144" s="70">
        <f t="shared" ref="H144:J144" si="199">SUM(H138:H143)</f>
        <v>245822952.00000018</v>
      </c>
      <c r="I144" s="71">
        <f t="shared" si="189"/>
        <v>5.391163596821924E-2</v>
      </c>
      <c r="J144" s="70">
        <f t="shared" si="199"/>
        <v>243415447.99999997</v>
      </c>
      <c r="K144" s="71">
        <f t="shared" si="190"/>
        <v>-9.7936501877180504E-3</v>
      </c>
      <c r="L144" s="70">
        <f t="shared" ref="L144:N144" si="200">SUM(L138:L143)</f>
        <v>245247743</v>
      </c>
      <c r="M144" s="71">
        <f t="shared" si="191"/>
        <v>-2.3399320336865426E-3</v>
      </c>
      <c r="N144" s="70">
        <f t="shared" si="200"/>
        <v>251547278</v>
      </c>
      <c r="O144" s="71">
        <f t="shared" si="192"/>
        <v>3.3407205938712714E-2</v>
      </c>
      <c r="P144" s="70">
        <f t="shared" si="198"/>
        <v>260099885</v>
      </c>
      <c r="Q144" s="71">
        <f t="shared" ref="Q144:S144" si="201">+(P144/N144)-1</f>
        <v>3.3999998203121162E-2</v>
      </c>
      <c r="R144" s="70">
        <f t="shared" si="198"/>
        <v>268943281</v>
      </c>
      <c r="S144" s="72">
        <f t="shared" si="201"/>
        <v>3.3999999653979041E-2</v>
      </c>
    </row>
    <row r="145" spans="1:19" ht="15" x14ac:dyDescent="0.2">
      <c r="B145" s="5"/>
      <c r="C145" s="5"/>
      <c r="D145" s="46"/>
      <c r="E145" s="60"/>
      <c r="F145" s="60"/>
      <c r="G145" s="60"/>
      <c r="H145" s="60"/>
      <c r="I145" s="60"/>
      <c r="J145" s="60"/>
      <c r="K145" s="60"/>
      <c r="L145" s="60"/>
      <c r="M145" s="60"/>
      <c r="N145" s="60"/>
      <c r="O145" s="60"/>
      <c r="P145" s="60"/>
      <c r="Q145" s="60"/>
      <c r="R145" s="60"/>
      <c r="S145" s="73"/>
    </row>
    <row r="146" spans="1:19" ht="15" x14ac:dyDescent="0.2">
      <c r="A146" s="45" t="s">
        <v>22</v>
      </c>
      <c r="D146" s="46" t="s">
        <v>46</v>
      </c>
      <c r="E146" s="60">
        <f>+E28+E96</f>
        <v>9275938</v>
      </c>
      <c r="F146" s="60">
        <f>+F28+F96</f>
        <v>9938846</v>
      </c>
      <c r="G146" s="63">
        <f t="shared" ref="G146" si="202">(+F146/E146)-1</f>
        <v>7.1465333209428605E-2</v>
      </c>
      <c r="H146" s="60">
        <f>+H28+H96</f>
        <v>8598282.9999999981</v>
      </c>
      <c r="I146" s="63">
        <f t="shared" ref="I146" si="203">+(H146/F146)-1</f>
        <v>-0.13488115219815278</v>
      </c>
      <c r="J146" s="60">
        <f>+J28+J96</f>
        <v>11017731</v>
      </c>
      <c r="K146" s="63">
        <f t="shared" ref="K146" si="204">+(J146/H146)-1</f>
        <v>0.2813873421007429</v>
      </c>
      <c r="L146" s="60">
        <f>+L28+L96</f>
        <v>11959805</v>
      </c>
      <c r="M146" s="63">
        <f t="shared" ref="M146" si="205">+(L146/H146)-1</f>
        <v>0.39095270532500526</v>
      </c>
      <c r="N146" s="60">
        <f>+N28+N96</f>
        <v>12290310</v>
      </c>
      <c r="O146" s="63">
        <f t="shared" ref="O146" si="206">+(N146/J146)-1</f>
        <v>0.11550281995448963</v>
      </c>
      <c r="P146" s="60">
        <f>+P28+P96</f>
        <v>12490310</v>
      </c>
      <c r="Q146" s="63">
        <f t="shared" ref="Q146:S146" si="207">+(P146/N146)-1</f>
        <v>1.6272982536648772E-2</v>
      </c>
      <c r="R146" s="60">
        <f>+R28+R96</f>
        <v>12690310</v>
      </c>
      <c r="S146" s="80">
        <f t="shared" si="207"/>
        <v>1.6012412822419941E-2</v>
      </c>
    </row>
    <row r="147" spans="1:19" ht="15" x14ac:dyDescent="0.2">
      <c r="A147" s="8"/>
      <c r="B147" s="8"/>
      <c r="C147" s="8"/>
      <c r="D147" s="46"/>
      <c r="E147" s="60"/>
      <c r="F147" s="60"/>
      <c r="G147" s="60"/>
      <c r="H147" s="60"/>
      <c r="I147" s="60"/>
      <c r="J147" s="60"/>
      <c r="K147" s="60"/>
      <c r="L147" s="60"/>
      <c r="M147" s="60"/>
      <c r="N147" s="60"/>
      <c r="O147" s="60"/>
      <c r="P147" s="60"/>
      <c r="Q147" s="60"/>
      <c r="R147" s="60"/>
      <c r="S147" s="73"/>
    </row>
    <row r="148" spans="1:19" ht="15.75" x14ac:dyDescent="0.25">
      <c r="A148" s="6"/>
      <c r="B148" s="8"/>
      <c r="C148" s="8"/>
      <c r="D148" s="75" t="s">
        <v>48</v>
      </c>
      <c r="E148" s="67">
        <f>E144+E146</f>
        <v>237604574.99999991</v>
      </c>
      <c r="F148" s="67">
        <f t="shared" ref="F148:R148" si="208">F144+F146</f>
        <v>243187007.99999997</v>
      </c>
      <c r="G148" s="76">
        <f t="shared" ref="G148" si="209">(+F148/E148)-1</f>
        <v>2.3494635993436042E-2</v>
      </c>
      <c r="H148" s="67">
        <f t="shared" ref="H148:J148" si="210">H144+H146</f>
        <v>254421235.00000018</v>
      </c>
      <c r="I148" s="76">
        <f t="shared" ref="I148" si="211">+(H148/F148)-1</f>
        <v>4.6195835428840981E-2</v>
      </c>
      <c r="J148" s="67">
        <f t="shared" si="210"/>
        <v>254433178.99999997</v>
      </c>
      <c r="K148" s="76">
        <f t="shared" ref="K148" si="212">+(J148/H148)-1</f>
        <v>4.6945766927874999E-5</v>
      </c>
      <c r="L148" s="67">
        <f t="shared" ref="L148:N148" si="213">L144+L146</f>
        <v>257207548</v>
      </c>
      <c r="M148" s="76">
        <f t="shared" ref="M148" si="214">+(L148/H148)-1</f>
        <v>1.095157406967151E-2</v>
      </c>
      <c r="N148" s="67">
        <f t="shared" si="213"/>
        <v>263837588</v>
      </c>
      <c r="O148" s="76">
        <f t="shared" ref="O148" si="215">+(N148/J148)-1</f>
        <v>3.6962195877763282E-2</v>
      </c>
      <c r="P148" s="67">
        <f t="shared" si="208"/>
        <v>272590195</v>
      </c>
      <c r="Q148" s="76">
        <f t="shared" ref="Q148:S148" si="216">+(P148/N148)-1</f>
        <v>3.3174223075447484E-2</v>
      </c>
      <c r="R148" s="67">
        <f t="shared" si="208"/>
        <v>281633591</v>
      </c>
      <c r="S148" s="77">
        <f t="shared" si="216"/>
        <v>3.3175793428666722E-2</v>
      </c>
    </row>
    <row r="149" spans="1:19" ht="15" x14ac:dyDescent="0.2">
      <c r="B149" s="6"/>
      <c r="C149" s="6"/>
      <c r="D149" s="46"/>
      <c r="E149" s="60"/>
      <c r="F149" s="60"/>
      <c r="G149" s="60"/>
      <c r="H149" s="60"/>
      <c r="I149" s="60"/>
      <c r="J149" s="60"/>
      <c r="K149" s="60"/>
      <c r="L149" s="60"/>
      <c r="M149" s="60"/>
      <c r="N149" s="60"/>
      <c r="O149" s="60"/>
      <c r="P149" s="60"/>
      <c r="Q149" s="60"/>
      <c r="R149" s="60"/>
      <c r="S149" s="73"/>
    </row>
    <row r="150" spans="1:19" ht="15.75" x14ac:dyDescent="0.25">
      <c r="A150" s="2" t="s">
        <v>24</v>
      </c>
      <c r="D150" s="59" t="s">
        <v>49</v>
      </c>
      <c r="E150" s="60"/>
      <c r="F150" s="60"/>
      <c r="G150" s="60"/>
      <c r="H150" s="60"/>
      <c r="I150" s="60"/>
      <c r="J150" s="60"/>
      <c r="K150" s="60"/>
      <c r="L150" s="60"/>
      <c r="M150" s="60"/>
      <c r="N150" s="60"/>
      <c r="O150" s="60"/>
      <c r="P150" s="60"/>
      <c r="Q150" s="60"/>
      <c r="R150" s="60"/>
      <c r="S150" s="73"/>
    </row>
    <row r="151" spans="1:19" ht="15" x14ac:dyDescent="0.2">
      <c r="A151" s="2" t="s">
        <v>25</v>
      </c>
      <c r="D151" s="46" t="str">
        <f t="shared" ref="D151:D156" si="217">"  "&amp;UPPER(TRIM(A151))</f>
        <v xml:space="preserve">  SALARIES NON MD</v>
      </c>
      <c r="E151" s="60">
        <f t="shared" ref="E151:F160" si="218">+E33+E101</f>
        <v>70594783.000000015</v>
      </c>
      <c r="F151" s="60">
        <f t="shared" si="218"/>
        <v>73162615.999999985</v>
      </c>
      <c r="G151" s="63">
        <f t="shared" ref="G151:G159" si="219">(+F151/E151)-1</f>
        <v>3.6374260120609403E-2</v>
      </c>
      <c r="H151" s="60">
        <f t="shared" ref="H151:J160" si="220">+H33+H101</f>
        <v>78446783.00000003</v>
      </c>
      <c r="I151" s="63">
        <f t="shared" ref="I151:I157" si="221">+(H151/F151)-1</f>
        <v>7.2224959807342781E-2</v>
      </c>
      <c r="J151" s="60">
        <f t="shared" si="220"/>
        <v>82628936.999999985</v>
      </c>
      <c r="K151" s="63">
        <f t="shared" ref="K151:K157" si="222">+(J151/H151)-1</f>
        <v>5.3311988587217751E-2</v>
      </c>
      <c r="L151" s="60">
        <f t="shared" ref="L151" si="223">+L33+L101</f>
        <v>79468595</v>
      </c>
      <c r="M151" s="63">
        <f t="shared" ref="M151:M157" si="224">+(L151/H151)-1</f>
        <v>1.302554369884068E-2</v>
      </c>
      <c r="N151" s="60">
        <f t="shared" ref="N151:P160" si="225">+N33+N101</f>
        <v>82525214</v>
      </c>
      <c r="O151" s="63">
        <f t="shared" ref="O151:O159" si="226">+(N151/J151)-1</f>
        <v>-1.2552866316069E-3</v>
      </c>
      <c r="P151" s="60">
        <f t="shared" si="225"/>
        <v>85413596.489999995</v>
      </c>
      <c r="Q151" s="63">
        <f t="shared" ref="Q151:S159" si="227">+(P151/N151)-1</f>
        <v>3.499999999999992E-2</v>
      </c>
      <c r="R151" s="60">
        <f t="shared" ref="R151:R160" si="228">+R33+R101</f>
        <v>88403072.367149994</v>
      </c>
      <c r="S151" s="80">
        <f t="shared" si="227"/>
        <v>3.499999999999992E-2</v>
      </c>
    </row>
    <row r="152" spans="1:19" ht="15" x14ac:dyDescent="0.2">
      <c r="A152" s="2" t="s">
        <v>26</v>
      </c>
      <c r="D152" s="46" t="str">
        <f t="shared" si="217"/>
        <v xml:space="preserve">  FRINGE BENEFITS NON MD</v>
      </c>
      <c r="E152" s="60">
        <f t="shared" si="218"/>
        <v>27728540.000000004</v>
      </c>
      <c r="F152" s="60">
        <f t="shared" si="218"/>
        <v>25651715.000000004</v>
      </c>
      <c r="G152" s="63">
        <f t="shared" si="219"/>
        <v>-7.4898462017834344E-2</v>
      </c>
      <c r="H152" s="60">
        <f t="shared" si="220"/>
        <v>25172850.999999996</v>
      </c>
      <c r="I152" s="63">
        <f t="shared" si="221"/>
        <v>-1.8667913626827959E-2</v>
      </c>
      <c r="J152" s="60">
        <f t="shared" si="220"/>
        <v>27673380.000000004</v>
      </c>
      <c r="K152" s="63">
        <f t="shared" si="222"/>
        <v>9.9334358273522882E-2</v>
      </c>
      <c r="L152" s="60">
        <f t="shared" ref="L152" si="229">+L34+L102</f>
        <v>25223283</v>
      </c>
      <c r="M152" s="63">
        <f t="shared" si="224"/>
        <v>2.0034282171694784E-3</v>
      </c>
      <c r="N152" s="60">
        <f t="shared" si="225"/>
        <v>26994266</v>
      </c>
      <c r="O152" s="63">
        <f t="shared" si="226"/>
        <v>-2.4540334429693944E-2</v>
      </c>
      <c r="P152" s="60">
        <f t="shared" si="225"/>
        <v>27804093.98</v>
      </c>
      <c r="Q152" s="63">
        <f t="shared" si="227"/>
        <v>3.0000000000000027E-2</v>
      </c>
      <c r="R152" s="60">
        <f t="shared" si="228"/>
        <v>28638216.799400002</v>
      </c>
      <c r="S152" s="80">
        <f t="shared" si="227"/>
        <v>3.0000000000000027E-2</v>
      </c>
    </row>
    <row r="153" spans="1:19" ht="15" x14ac:dyDescent="0.2">
      <c r="A153" s="2" t="s">
        <v>27</v>
      </c>
      <c r="D153" s="46" t="str">
        <f t="shared" si="217"/>
        <v xml:space="preserve">  FRINGE BENEFITS MD</v>
      </c>
      <c r="E153" s="60">
        <f t="shared" si="218"/>
        <v>2101245.9999999995</v>
      </c>
      <c r="F153" s="60">
        <f t="shared" si="218"/>
        <v>2008606.0000000009</v>
      </c>
      <c r="G153" s="63">
        <f t="shared" si="219"/>
        <v>-4.4088126759074697E-2</v>
      </c>
      <c r="H153" s="60">
        <f t="shared" si="220"/>
        <v>1375451</v>
      </c>
      <c r="I153" s="63">
        <f t="shared" si="221"/>
        <v>-0.31522110359124722</v>
      </c>
      <c r="J153" s="60">
        <f t="shared" si="220"/>
        <v>1529900.9999999998</v>
      </c>
      <c r="K153" s="63">
        <f t="shared" si="222"/>
        <v>0.1122904414624728</v>
      </c>
      <c r="L153" s="60">
        <f t="shared" ref="L153" si="230">+L35+L103</f>
        <v>1380112</v>
      </c>
      <c r="M153" s="63">
        <f t="shared" si="224"/>
        <v>3.3887066860252002E-3</v>
      </c>
      <c r="N153" s="60">
        <f t="shared" si="225"/>
        <v>1439639</v>
      </c>
      <c r="O153" s="63">
        <f t="shared" si="226"/>
        <v>-5.8998588797575691E-2</v>
      </c>
      <c r="P153" s="60">
        <f t="shared" si="225"/>
        <v>1482828.17</v>
      </c>
      <c r="Q153" s="63">
        <f t="shared" si="227"/>
        <v>3.0000000000000027E-2</v>
      </c>
      <c r="R153" s="60">
        <f t="shared" si="228"/>
        <v>1527313.0151</v>
      </c>
      <c r="S153" s="80">
        <f t="shared" si="227"/>
        <v>3.0000000000000027E-2</v>
      </c>
    </row>
    <row r="154" spans="1:19" ht="15" x14ac:dyDescent="0.2">
      <c r="A154" s="45" t="s">
        <v>28</v>
      </c>
      <c r="D154" s="46" t="str">
        <f t="shared" si="217"/>
        <v xml:space="preserve">  PHYSICIAN FEES SALARIES CONTRACTS &amp; FRINGES</v>
      </c>
      <c r="E154" s="60">
        <f t="shared" si="218"/>
        <v>30053013</v>
      </c>
      <c r="F154" s="60">
        <f t="shared" si="218"/>
        <v>30114342</v>
      </c>
      <c r="G154" s="63">
        <f t="shared" si="219"/>
        <v>2.0406938898271942E-3</v>
      </c>
      <c r="H154" s="60">
        <f t="shared" si="220"/>
        <v>30000114.999999989</v>
      </c>
      <c r="I154" s="63">
        <f t="shared" si="221"/>
        <v>-3.7931096087043814E-3</v>
      </c>
      <c r="J154" s="60">
        <f t="shared" si="220"/>
        <v>29969646.999999996</v>
      </c>
      <c r="K154" s="63">
        <f t="shared" si="222"/>
        <v>-1.0155961068812891E-3</v>
      </c>
      <c r="L154" s="60">
        <f t="shared" ref="L154" si="231">+L36+L104</f>
        <v>33858442</v>
      </c>
      <c r="M154" s="63">
        <f t="shared" si="224"/>
        <v>0.12861040699344017</v>
      </c>
      <c r="N154" s="60">
        <f t="shared" si="225"/>
        <v>35060044</v>
      </c>
      <c r="O154" s="63">
        <f t="shared" si="226"/>
        <v>0.16985175033926847</v>
      </c>
      <c r="P154" s="60">
        <f t="shared" si="225"/>
        <v>36111845.32</v>
      </c>
      <c r="Q154" s="63">
        <f t="shared" si="227"/>
        <v>3.0000000000000027E-2</v>
      </c>
      <c r="R154" s="60">
        <f t="shared" si="228"/>
        <v>37195200.6796</v>
      </c>
      <c r="S154" s="80">
        <f t="shared" si="227"/>
        <v>3.0000000000000027E-2</v>
      </c>
    </row>
    <row r="155" spans="1:19" ht="15" x14ac:dyDescent="0.2">
      <c r="A155" s="2" t="s">
        <v>29</v>
      </c>
      <c r="D155" s="46" t="str">
        <f t="shared" si="217"/>
        <v xml:space="preserve">  HEALTH CARE PROVIDER TAX</v>
      </c>
      <c r="E155" s="60">
        <f t="shared" si="218"/>
        <v>13002474</v>
      </c>
      <c r="F155" s="60">
        <f t="shared" si="218"/>
        <v>13519504.999999998</v>
      </c>
      <c r="G155" s="63">
        <f t="shared" si="219"/>
        <v>3.9764047980407335E-2</v>
      </c>
      <c r="H155" s="60">
        <f t="shared" si="220"/>
        <v>14052304.000000002</v>
      </c>
      <c r="I155" s="63">
        <f t="shared" si="221"/>
        <v>3.9409652942175244E-2</v>
      </c>
      <c r="J155" s="60">
        <f t="shared" si="220"/>
        <v>14352823.000000002</v>
      </c>
      <c r="K155" s="63">
        <f t="shared" si="222"/>
        <v>2.1385745711165915E-2</v>
      </c>
      <c r="L155" s="60">
        <f t="shared" ref="L155" si="232">+L37+L105</f>
        <v>14740749</v>
      </c>
      <c r="M155" s="63">
        <f t="shared" si="224"/>
        <v>4.899161020143028E-2</v>
      </c>
      <c r="N155" s="60">
        <f t="shared" si="225"/>
        <v>14810108</v>
      </c>
      <c r="O155" s="63">
        <f t="shared" si="226"/>
        <v>3.1860282816836616E-2</v>
      </c>
      <c r="P155" s="60">
        <f t="shared" si="225"/>
        <v>15254411.24</v>
      </c>
      <c r="Q155" s="63">
        <f t="shared" si="227"/>
        <v>3.0000000000000027E-2</v>
      </c>
      <c r="R155" s="60">
        <f t="shared" si="228"/>
        <v>15712043.577200001</v>
      </c>
      <c r="S155" s="80">
        <f t="shared" si="227"/>
        <v>3.0000000000000027E-2</v>
      </c>
    </row>
    <row r="156" spans="1:19" ht="15" x14ac:dyDescent="0.2">
      <c r="A156" s="2" t="s">
        <v>30</v>
      </c>
      <c r="D156" s="46" t="str">
        <f t="shared" si="217"/>
        <v xml:space="preserve">  DEPRECIATION AMORTIZATION</v>
      </c>
      <c r="E156" s="60">
        <f t="shared" si="218"/>
        <v>12433768.999999998</v>
      </c>
      <c r="F156" s="60">
        <f t="shared" si="218"/>
        <v>13374000</v>
      </c>
      <c r="G156" s="63">
        <f t="shared" si="219"/>
        <v>7.5619146535535808E-2</v>
      </c>
      <c r="H156" s="60">
        <f t="shared" si="220"/>
        <v>13596262.999999994</v>
      </c>
      <c r="I156" s="63">
        <f t="shared" si="221"/>
        <v>1.6619036937340681E-2</v>
      </c>
      <c r="J156" s="60">
        <f t="shared" si="220"/>
        <v>13161688.000000006</v>
      </c>
      <c r="K156" s="63">
        <f t="shared" si="222"/>
        <v>-3.1962826844404879E-2</v>
      </c>
      <c r="L156" s="60">
        <f t="shared" ref="L156" si="233">+L38+L106</f>
        <v>12996477</v>
      </c>
      <c r="M156" s="63">
        <f t="shared" si="224"/>
        <v>-4.4114033392851693E-2</v>
      </c>
      <c r="N156" s="60">
        <f t="shared" si="225"/>
        <v>12728164</v>
      </c>
      <c r="O156" s="63">
        <f t="shared" si="226"/>
        <v>-3.2938328275218587E-2</v>
      </c>
      <c r="P156" s="60">
        <f t="shared" si="225"/>
        <v>14217302</v>
      </c>
      <c r="Q156" s="63">
        <f t="shared" si="227"/>
        <v>0.11699550697178318</v>
      </c>
      <c r="R156" s="60">
        <f t="shared" si="228"/>
        <v>16849963</v>
      </c>
      <c r="S156" s="80">
        <f t="shared" si="227"/>
        <v>0.18517303775357652</v>
      </c>
    </row>
    <row r="157" spans="1:19" ht="15" x14ac:dyDescent="0.2">
      <c r="A157" s="2" t="s">
        <v>31</v>
      </c>
      <c r="D157" s="46" t="s">
        <v>85</v>
      </c>
      <c r="E157" s="60">
        <f t="shared" si="218"/>
        <v>1897137.9999999998</v>
      </c>
      <c r="F157" s="60">
        <f t="shared" si="218"/>
        <v>1873113</v>
      </c>
      <c r="G157" s="63">
        <f t="shared" si="219"/>
        <v>-1.2663812542893393E-2</v>
      </c>
      <c r="H157" s="60">
        <f t="shared" si="220"/>
        <v>1803468.9999999998</v>
      </c>
      <c r="I157" s="63">
        <f t="shared" si="221"/>
        <v>-3.7180885509843886E-2</v>
      </c>
      <c r="J157" s="60">
        <f t="shared" si="220"/>
        <v>1749035.0000000002</v>
      </c>
      <c r="K157" s="63">
        <f t="shared" si="222"/>
        <v>-3.0182941874797753E-2</v>
      </c>
      <c r="L157" s="60">
        <f t="shared" ref="L157" si="234">+L39+L107</f>
        <v>1517751</v>
      </c>
      <c r="M157" s="63">
        <f t="shared" si="224"/>
        <v>-0.15842689838306057</v>
      </c>
      <c r="N157" s="60">
        <f t="shared" si="225"/>
        <v>1688565</v>
      </c>
      <c r="O157" s="63">
        <f t="shared" si="226"/>
        <v>-3.4573350447532625E-2</v>
      </c>
      <c r="P157" s="60">
        <f t="shared" si="225"/>
        <v>1739221.95</v>
      </c>
      <c r="Q157" s="63">
        <f t="shared" si="227"/>
        <v>3.0000000000000027E-2</v>
      </c>
      <c r="R157" s="60">
        <f t="shared" si="228"/>
        <v>1791398.6085000001</v>
      </c>
      <c r="S157" s="80">
        <f t="shared" si="227"/>
        <v>3.0000000000000027E-2</v>
      </c>
    </row>
    <row r="158" spans="1:19" ht="15" hidden="1" outlineLevel="1" x14ac:dyDescent="0.2">
      <c r="A158" s="2" t="s">
        <v>32</v>
      </c>
      <c r="D158" s="46"/>
      <c r="E158" s="60">
        <f t="shared" si="218"/>
        <v>0</v>
      </c>
      <c r="F158" s="60">
        <f t="shared" si="218"/>
        <v>0</v>
      </c>
      <c r="G158" s="63" t="e">
        <f t="shared" si="219"/>
        <v>#DIV/0!</v>
      </c>
      <c r="H158" s="60">
        <f t="shared" si="220"/>
        <v>0</v>
      </c>
      <c r="I158" s="63"/>
      <c r="J158" s="60">
        <f t="shared" si="220"/>
        <v>0</v>
      </c>
      <c r="K158" s="63"/>
      <c r="L158" s="60">
        <f t="shared" ref="L158" si="235">+L40+L108</f>
        <v>0</v>
      </c>
      <c r="M158" s="63"/>
      <c r="N158" s="60">
        <f t="shared" si="225"/>
        <v>0</v>
      </c>
      <c r="O158" s="63"/>
      <c r="P158" s="60">
        <f t="shared" si="225"/>
        <v>0</v>
      </c>
      <c r="Q158" s="63" t="e">
        <f t="shared" si="227"/>
        <v>#DIV/0!</v>
      </c>
      <c r="R158" s="60">
        <f t="shared" si="228"/>
        <v>0</v>
      </c>
      <c r="S158" s="80" t="e">
        <f t="shared" si="227"/>
        <v>#DIV/0!</v>
      </c>
    </row>
    <row r="159" spans="1:19" ht="15" collapsed="1" x14ac:dyDescent="0.2">
      <c r="A159" s="2" t="s">
        <v>33</v>
      </c>
      <c r="D159" s="46" t="str">
        <f>"  "&amp;UPPER(TRIM(A159))</f>
        <v xml:space="preserve">  OTHER OPERATING EXPENSE</v>
      </c>
      <c r="E159" s="60">
        <f t="shared" si="218"/>
        <v>75385578.99999997</v>
      </c>
      <c r="F159" s="60">
        <f t="shared" si="218"/>
        <v>77623156.999999985</v>
      </c>
      <c r="G159" s="63">
        <f t="shared" si="219"/>
        <v>2.9681777730990344E-2</v>
      </c>
      <c r="H159" s="60">
        <f t="shared" si="220"/>
        <v>79195624.000000015</v>
      </c>
      <c r="I159" s="63">
        <f t="shared" ref="I159" si="236">+(H159/F159)-1</f>
        <v>2.0257704798067211E-2</v>
      </c>
      <c r="J159" s="60">
        <f t="shared" si="220"/>
        <v>77262880.999999985</v>
      </c>
      <c r="K159" s="63">
        <f t="shared" ref="K159" si="237">+(J159/H159)-1</f>
        <v>-2.4404669126668277E-2</v>
      </c>
      <c r="L159" s="60">
        <f t="shared" ref="L159" si="238">+L41+L109</f>
        <v>81111075</v>
      </c>
      <c r="M159" s="63">
        <f t="shared" ref="M159" si="239">+(L159/H159)-1</f>
        <v>2.418632372919971E-2</v>
      </c>
      <c r="N159" s="60">
        <f t="shared" si="225"/>
        <v>82318323</v>
      </c>
      <c r="O159" s="63">
        <f t="shared" si="226"/>
        <v>6.5431704520570788E-2</v>
      </c>
      <c r="P159" s="60">
        <f t="shared" si="225"/>
        <v>84255028.689999998</v>
      </c>
      <c r="Q159" s="63">
        <f t="shared" si="227"/>
        <v>2.3527030427964446E-2</v>
      </c>
      <c r="R159" s="60">
        <f t="shared" si="228"/>
        <v>85131540.4507</v>
      </c>
      <c r="S159" s="80">
        <f t="shared" si="227"/>
        <v>1.0403079487693923E-2</v>
      </c>
    </row>
    <row r="160" spans="1:19" ht="15" hidden="1" outlineLevel="1" x14ac:dyDescent="0.2">
      <c r="A160" s="2" t="s">
        <v>34</v>
      </c>
      <c r="D160" s="46" t="str">
        <f>"  "&amp;UPPER(TRIM(A160))</f>
        <v xml:space="preserve">  BAD DEBT</v>
      </c>
      <c r="E160" s="60">
        <f t="shared" si="218"/>
        <v>0</v>
      </c>
      <c r="F160" s="60">
        <f t="shared" si="218"/>
        <v>0</v>
      </c>
      <c r="G160" s="60"/>
      <c r="H160" s="60">
        <f t="shared" si="220"/>
        <v>0</v>
      </c>
      <c r="I160" s="60"/>
      <c r="J160" s="60">
        <f t="shared" si="220"/>
        <v>0</v>
      </c>
      <c r="K160" s="60"/>
      <c r="L160" s="60">
        <f t="shared" ref="L160" si="240">+L42+L110</f>
        <v>0</v>
      </c>
      <c r="M160" s="60"/>
      <c r="N160" s="60">
        <f t="shared" si="225"/>
        <v>0</v>
      </c>
      <c r="O160" s="60"/>
      <c r="P160" s="60">
        <f t="shared" si="225"/>
        <v>0</v>
      </c>
      <c r="Q160" s="60"/>
      <c r="R160" s="60">
        <f t="shared" si="228"/>
        <v>0</v>
      </c>
      <c r="S160" s="73"/>
    </row>
    <row r="161" spans="1:20" ht="15" collapsed="1" x14ac:dyDescent="0.2">
      <c r="D161" s="46"/>
      <c r="E161" s="60"/>
      <c r="F161" s="60"/>
      <c r="G161" s="60"/>
      <c r="H161" s="60"/>
      <c r="I161" s="60"/>
      <c r="J161" s="60"/>
      <c r="K161" s="60"/>
      <c r="L161" s="60"/>
      <c r="M161" s="60"/>
      <c r="N161" s="60"/>
      <c r="O161" s="60"/>
      <c r="P161" s="60"/>
      <c r="Q161" s="60"/>
      <c r="R161" s="60"/>
      <c r="S161" s="73"/>
    </row>
    <row r="162" spans="1:20" ht="15.75" x14ac:dyDescent="0.25">
      <c r="A162" s="5"/>
      <c r="D162" s="74" t="s">
        <v>50</v>
      </c>
      <c r="E162" s="70">
        <f t="shared" ref="E162" si="241">SUM(E151:E161)</f>
        <v>233196541.99999997</v>
      </c>
      <c r="F162" s="70">
        <f t="shared" ref="F162:R162" si="242">SUM(F151:F161)</f>
        <v>237327053.99999994</v>
      </c>
      <c r="G162" s="71">
        <f>(+F162/E162)-1</f>
        <v>1.7712578259414968E-2</v>
      </c>
      <c r="H162" s="70">
        <f t="shared" ref="H162:J162" si="243">SUM(H151:H161)</f>
        <v>243642860.00000006</v>
      </c>
      <c r="I162" s="71">
        <f t="shared" ref="I162" si="244">+(H162/F162)-1</f>
        <v>2.6612246238054693E-2</v>
      </c>
      <c r="J162" s="70">
        <f t="shared" si="243"/>
        <v>248328291.99999994</v>
      </c>
      <c r="K162" s="71">
        <f t="shared" ref="K162" si="245">+(J162/H162)-1</f>
        <v>1.9230737974426537E-2</v>
      </c>
      <c r="L162" s="70">
        <f t="shared" ref="L162:N162" si="246">SUM(L151:L161)</f>
        <v>250296484</v>
      </c>
      <c r="M162" s="71">
        <f t="shared" ref="M162" si="247">+(L162/H162)-1</f>
        <v>2.7308922576265715E-2</v>
      </c>
      <c r="N162" s="70">
        <f t="shared" si="246"/>
        <v>257564323</v>
      </c>
      <c r="O162" s="71">
        <f t="shared" ref="O162" si="248">+(N162/J162)-1</f>
        <v>3.7192826180272975E-2</v>
      </c>
      <c r="P162" s="70">
        <f t="shared" si="242"/>
        <v>266278327.84</v>
      </c>
      <c r="Q162" s="71">
        <f t="shared" ref="Q162:S162" si="249">+(P162/N162)-1</f>
        <v>3.3832344241248036E-2</v>
      </c>
      <c r="R162" s="70">
        <f t="shared" si="242"/>
        <v>275248748.49764997</v>
      </c>
      <c r="S162" s="72">
        <f t="shared" si="249"/>
        <v>3.3688136508954081E-2</v>
      </c>
    </row>
    <row r="163" spans="1:20" ht="15" x14ac:dyDescent="0.2">
      <c r="B163" s="5"/>
      <c r="C163" s="5"/>
      <c r="D163" s="46"/>
      <c r="E163" s="60"/>
      <c r="F163" s="60"/>
      <c r="G163" s="60"/>
      <c r="H163" s="60"/>
      <c r="I163" s="60"/>
      <c r="J163" s="60"/>
      <c r="K163" s="60"/>
      <c r="L163" s="60"/>
      <c r="M163" s="60"/>
      <c r="N163" s="60"/>
      <c r="O163" s="60"/>
      <c r="P163" s="60"/>
      <c r="Q163" s="60"/>
      <c r="R163" s="60"/>
      <c r="S163" s="73"/>
    </row>
    <row r="164" spans="1:20" ht="15" x14ac:dyDescent="0.2">
      <c r="D164" s="46" t="s">
        <v>51</v>
      </c>
      <c r="E164" s="60">
        <f t="shared" ref="E164" si="250">E148-E162</f>
        <v>4408032.9999999404</v>
      </c>
      <c r="F164" s="60">
        <f t="shared" ref="F164:R164" si="251">F148-F162</f>
        <v>5859954.0000000298</v>
      </c>
      <c r="G164" s="63">
        <f t="shared" ref="G164" si="252">(+F164/E164)-1</f>
        <v>0.32938070109731687</v>
      </c>
      <c r="H164" s="60">
        <f t="shared" ref="H164:J164" si="253">H148-H162</f>
        <v>10778375.000000119</v>
      </c>
      <c r="I164" s="63">
        <f t="shared" ref="I164" si="254">+(H164/F164)-1</f>
        <v>0.83932757833936322</v>
      </c>
      <c r="J164" s="60">
        <f t="shared" si="253"/>
        <v>6104887.0000000298</v>
      </c>
      <c r="K164" s="63">
        <f t="shared" ref="K164" si="255">+(J164/H164)-1</f>
        <v>-0.43359857121319656</v>
      </c>
      <c r="L164" s="60">
        <f t="shared" ref="L164:N164" si="256">L148-L162</f>
        <v>6911064</v>
      </c>
      <c r="M164" s="63">
        <f t="shared" ref="M164" si="257">+(L164/H164)-1</f>
        <v>-0.35880278798984788</v>
      </c>
      <c r="N164" s="60">
        <f t="shared" si="256"/>
        <v>6273265</v>
      </c>
      <c r="O164" s="63">
        <f t="shared" ref="O164" si="258">+(N164/J164)-1</f>
        <v>2.7580854485917516E-2</v>
      </c>
      <c r="P164" s="60">
        <f t="shared" si="251"/>
        <v>6311867.1599999964</v>
      </c>
      <c r="Q164" s="63">
        <f t="shared" ref="Q164:S164" si="259">+(P164/N164)-1</f>
        <v>6.153440034813773E-3</v>
      </c>
      <c r="R164" s="60">
        <f t="shared" si="251"/>
        <v>6384842.5023500323</v>
      </c>
      <c r="S164" s="80">
        <f t="shared" si="259"/>
        <v>1.1561609346359525E-2</v>
      </c>
    </row>
    <row r="165" spans="1:20" ht="15" x14ac:dyDescent="0.2">
      <c r="D165" s="46"/>
      <c r="E165" s="60"/>
      <c r="F165" s="60"/>
      <c r="G165" s="60"/>
      <c r="H165" s="60"/>
      <c r="I165" s="60"/>
      <c r="J165" s="60"/>
      <c r="K165" s="60"/>
      <c r="L165" s="60"/>
      <c r="M165" s="60"/>
      <c r="N165" s="60"/>
      <c r="O165" s="60"/>
      <c r="P165" s="60"/>
      <c r="Q165" s="60"/>
      <c r="R165" s="60"/>
      <c r="S165" s="73"/>
    </row>
    <row r="166" spans="1:20" ht="15" x14ac:dyDescent="0.2">
      <c r="A166" s="2" t="s">
        <v>37</v>
      </c>
      <c r="D166" s="46" t="str">
        <f>UPPER(TRIM(A166))</f>
        <v>NON-OPERATING REVENUE</v>
      </c>
      <c r="E166" s="60">
        <f>+E48+E116</f>
        <v>-492377.00000000373</v>
      </c>
      <c r="F166" s="60">
        <f>+F48+F116</f>
        <v>5973111</v>
      </c>
      <c r="G166" s="76">
        <f t="shared" ref="G166" si="260">(+F166/E166)-1</f>
        <v>-13.131173876927546</v>
      </c>
      <c r="H166" s="60">
        <f>+H48+H116</f>
        <v>11380794</v>
      </c>
      <c r="I166" s="76">
        <f t="shared" ref="I166" si="261">+(H166/F166)-1</f>
        <v>0.90533777122173009</v>
      </c>
      <c r="J166" s="60">
        <f>+J48+J116</f>
        <v>7136913</v>
      </c>
      <c r="K166" s="76">
        <f t="shared" ref="K166" si="262">+(J166/H166)-1</f>
        <v>-0.37289849899752159</v>
      </c>
      <c r="L166" s="60">
        <f>+L48+L116</f>
        <v>9727331</v>
      </c>
      <c r="M166" s="76">
        <f t="shared" ref="M166" si="263">+(L166/H166)-1</f>
        <v>-0.14528538167020688</v>
      </c>
      <c r="N166" s="60">
        <f>+N48+N116</f>
        <v>8905374</v>
      </c>
      <c r="O166" s="76">
        <f t="shared" ref="O166" si="264">+(N166/J166)-1</f>
        <v>0.24779074650342525</v>
      </c>
      <c r="P166" s="60">
        <f>+P48+P116</f>
        <v>8905374</v>
      </c>
      <c r="Q166" s="76">
        <f t="shared" ref="Q166:S166" si="265">+(P166/N166)-1</f>
        <v>0</v>
      </c>
      <c r="R166" s="60">
        <f>+R48+R116</f>
        <v>8905374</v>
      </c>
      <c r="S166" s="77">
        <f t="shared" si="265"/>
        <v>0</v>
      </c>
    </row>
    <row r="167" spans="1:20" ht="15" x14ac:dyDescent="0.2">
      <c r="D167" s="69"/>
      <c r="E167" s="70"/>
      <c r="F167" s="70"/>
      <c r="G167" s="70"/>
      <c r="H167" s="70"/>
      <c r="I167" s="70"/>
      <c r="J167" s="70"/>
      <c r="K167" s="70"/>
      <c r="L167" s="70"/>
      <c r="M167" s="70"/>
      <c r="N167" s="70"/>
      <c r="O167" s="70"/>
      <c r="P167" s="70"/>
      <c r="Q167" s="70"/>
      <c r="R167" s="70"/>
      <c r="S167" s="83"/>
    </row>
    <row r="168" spans="1:20" ht="16.5" thickBot="1" x14ac:dyDescent="0.3">
      <c r="A168" s="5"/>
      <c r="B168" s="5"/>
      <c r="C168" s="5"/>
      <c r="D168" s="84" t="s">
        <v>52</v>
      </c>
      <c r="E168" s="85">
        <f t="shared" ref="E168" si="266">E164+E166</f>
        <v>3915655.9999999367</v>
      </c>
      <c r="F168" s="85">
        <f t="shared" ref="F168:R168" si="267">F164+F166</f>
        <v>11833065.00000003</v>
      </c>
      <c r="G168" s="86">
        <f>+(F168/E168)-1</f>
        <v>2.0219878865764054</v>
      </c>
      <c r="H168" s="85">
        <f t="shared" ref="H168:J168" si="268">H164+H166</f>
        <v>22159169.000000119</v>
      </c>
      <c r="I168" s="86">
        <f t="shared" ref="I168" si="269">+(H168/F168)-1</f>
        <v>0.87264829526416565</v>
      </c>
      <c r="J168" s="85">
        <f t="shared" si="268"/>
        <v>13241800.00000003</v>
      </c>
      <c r="K168" s="86">
        <f t="shared" ref="K168" si="270">+(J168/H168)-1</f>
        <v>-0.40242343925442514</v>
      </c>
      <c r="L168" s="85">
        <f t="shared" ref="L168:N168" si="271">L164+L166</f>
        <v>16638395</v>
      </c>
      <c r="M168" s="86">
        <f t="shared" ref="M168" si="272">+(L168/H168)-1</f>
        <v>-0.24914174353740837</v>
      </c>
      <c r="N168" s="85">
        <f t="shared" si="271"/>
        <v>15178639</v>
      </c>
      <c r="O168" s="86">
        <f t="shared" ref="O168" si="273">+(N168/J168)-1</f>
        <v>0.14626704828648407</v>
      </c>
      <c r="P168" s="85">
        <f t="shared" si="267"/>
        <v>15217241.159999996</v>
      </c>
      <c r="Q168" s="86">
        <f t="shared" ref="Q168:S168" si="274">+(P168/N168)-1</f>
        <v>2.5431898077288295E-3</v>
      </c>
      <c r="R168" s="85">
        <f t="shared" si="267"/>
        <v>15290216.502350032</v>
      </c>
      <c r="S168" s="87">
        <f t="shared" si="274"/>
        <v>4.7955698133941294E-3</v>
      </c>
    </row>
    <row r="169" spans="1:20" ht="16.5" thickTop="1" thickBot="1" x14ac:dyDescent="0.25">
      <c r="A169" s="7"/>
      <c r="B169" s="7"/>
      <c r="C169" s="7"/>
      <c r="D169" s="88"/>
      <c r="E169" s="89"/>
      <c r="F169" s="90"/>
      <c r="G169" s="90"/>
      <c r="H169" s="90"/>
      <c r="I169" s="90"/>
      <c r="J169" s="90"/>
      <c r="K169" s="90"/>
      <c r="L169" s="90"/>
      <c r="M169" s="90"/>
      <c r="N169" s="90"/>
      <c r="O169" s="90"/>
      <c r="P169" s="90"/>
      <c r="Q169" s="90"/>
      <c r="R169" s="90"/>
      <c r="S169" s="91"/>
    </row>
    <row r="170" spans="1:20" ht="15.75" thickTop="1" x14ac:dyDescent="0.2">
      <c r="D170" s="92"/>
      <c r="E170" s="93"/>
      <c r="F170" s="61"/>
      <c r="G170" s="61"/>
      <c r="H170" s="61"/>
      <c r="I170" s="61"/>
      <c r="J170" s="61"/>
      <c r="K170" s="61"/>
      <c r="L170" s="61"/>
      <c r="M170" s="61"/>
      <c r="N170" s="61"/>
      <c r="O170" s="61"/>
      <c r="P170" s="61"/>
      <c r="Q170" s="61"/>
      <c r="R170" s="61"/>
      <c r="S170" s="61"/>
    </row>
    <row r="171" spans="1:20" ht="15" x14ac:dyDescent="0.2">
      <c r="D171" s="61" t="s">
        <v>80</v>
      </c>
      <c r="E171" s="63">
        <f>+E164/E148</f>
        <v>1.8551970221953606E-2</v>
      </c>
      <c r="F171" s="63">
        <f>+F164/F148</f>
        <v>2.4096492852118279E-2</v>
      </c>
      <c r="G171" s="63"/>
      <c r="H171" s="63">
        <f>+H164/H148</f>
        <v>4.2364290071935672E-2</v>
      </c>
      <c r="I171" s="63"/>
      <c r="J171" s="63">
        <f>+J164/J148</f>
        <v>2.3994068006358678E-2</v>
      </c>
      <c r="K171" s="63"/>
      <c r="L171" s="63">
        <f>+L164/L148</f>
        <v>2.6869600265385679E-2</v>
      </c>
      <c r="M171" s="63"/>
      <c r="N171" s="63">
        <f>+N164/N148</f>
        <v>2.3776994959490004E-2</v>
      </c>
      <c r="O171" s="63"/>
      <c r="P171" s="63">
        <f>+P164/P148</f>
        <v>2.3155151123465743E-2</v>
      </c>
      <c r="Q171" s="63"/>
      <c r="R171" s="63">
        <f>+R164/R148</f>
        <v>2.2670742079022924E-2</v>
      </c>
      <c r="S171" s="63"/>
      <c r="T171" s="37"/>
    </row>
    <row r="172" spans="1:20" ht="15" x14ac:dyDescent="0.2">
      <c r="D172" s="61" t="s">
        <v>81</v>
      </c>
      <c r="E172" s="63">
        <f>-E141/E138</f>
        <v>1.9634221225387282E-2</v>
      </c>
      <c r="F172" s="63">
        <f>-F141/F138</f>
        <v>2.7358795256078369E-2</v>
      </c>
      <c r="G172" s="63"/>
      <c r="H172" s="63">
        <f>-H141/H138</f>
        <v>1.8951190745224413E-2</v>
      </c>
      <c r="I172" s="63"/>
      <c r="J172" s="63">
        <f>-J141/J138</f>
        <v>2.0356313472849833E-2</v>
      </c>
      <c r="K172" s="63"/>
      <c r="L172" s="63">
        <f>-L141/L138</f>
        <v>2.152999947792773E-2</v>
      </c>
      <c r="M172" s="63"/>
      <c r="N172" s="63">
        <f>-N141/N138</f>
        <v>2.1530000471410703E-2</v>
      </c>
      <c r="O172" s="63"/>
      <c r="P172" s="63">
        <f>-P141/P138</f>
        <v>2.153000006489611E-2</v>
      </c>
      <c r="Q172" s="63"/>
      <c r="R172" s="63">
        <f>-R141/R138</f>
        <v>2.1530000737544359E-2</v>
      </c>
      <c r="S172" s="63"/>
    </row>
    <row r="173" spans="1:20" ht="15" x14ac:dyDescent="0.2">
      <c r="D173" s="61" t="s">
        <v>82</v>
      </c>
      <c r="E173" s="63">
        <f>SUM(E151:E154)/E162</f>
        <v>0.55951765356795058</v>
      </c>
      <c r="F173" s="63">
        <f>SUM(F151:F154)/F162</f>
        <v>0.55171661550225126</v>
      </c>
      <c r="G173" s="61"/>
      <c r="H173" s="63">
        <f>SUM(H151:H154)/H162</f>
        <v>0.55407000229762526</v>
      </c>
      <c r="I173" s="60"/>
      <c r="J173" s="63">
        <f>SUM(J151:J154)/J162</f>
        <v>0.5710258136837667</v>
      </c>
      <c r="K173" s="63"/>
      <c r="L173" s="63">
        <f>SUM(L151:L154)/L162</f>
        <v>0.55905872013767477</v>
      </c>
      <c r="M173" s="63"/>
      <c r="N173" s="63">
        <f>SUM(N151:N154)/N162</f>
        <v>0.56692309439145416</v>
      </c>
      <c r="O173" s="63"/>
      <c r="P173" s="63">
        <f>SUM(P151:P154)/P162</f>
        <v>0.56637115451100251</v>
      </c>
      <c r="Q173" s="63"/>
      <c r="R173" s="63">
        <f>SUM(R151:R154)/R162</f>
        <v>0.56590194764347812</v>
      </c>
      <c r="S173" s="63"/>
    </row>
    <row r="174" spans="1:20" ht="15" x14ac:dyDescent="0.2">
      <c r="D174" s="61" t="s">
        <v>83</v>
      </c>
      <c r="E174" s="63">
        <f>(+E156+E157)/E162</f>
        <v>6.1454200294273661E-2</v>
      </c>
      <c r="F174" s="63">
        <f>(+F156+F157)/F162</f>
        <v>6.424515344129289E-2</v>
      </c>
      <c r="G174" s="61"/>
      <c r="H174" s="63">
        <f>(+H156+H157)/H162</f>
        <v>6.3206169883246288E-2</v>
      </c>
      <c r="I174" s="60"/>
      <c r="J174" s="63">
        <f>(+J156+J157)/J162</f>
        <v>6.0044398807365895E-2</v>
      </c>
      <c r="K174" s="63"/>
      <c r="L174" s="63">
        <f>(+L156+L157)/L162</f>
        <v>5.7988141775095807E-2</v>
      </c>
      <c r="M174" s="63"/>
      <c r="N174" s="63">
        <f>(+N156+N157)/N162</f>
        <v>5.5973315061962209E-2</v>
      </c>
      <c r="O174" s="63"/>
      <c r="P174" s="63">
        <f>(+P156+P157)/P162</f>
        <v>5.992423070790754E-2</v>
      </c>
      <c r="Q174" s="63"/>
      <c r="R174" s="63">
        <f>(+R156+R157)/R162</f>
        <v>6.7725509054073527E-2</v>
      </c>
      <c r="S174" s="63"/>
    </row>
  </sheetData>
  <mergeCells count="14">
    <mergeCell ref="D128:S128"/>
    <mergeCell ref="D1:R1"/>
    <mergeCell ref="D6:S6"/>
    <mergeCell ref="D4:S4"/>
    <mergeCell ref="D8:S8"/>
    <mergeCell ref="D7:S7"/>
    <mergeCell ref="D74:S74"/>
    <mergeCell ref="D124:S124"/>
    <mergeCell ref="D125:S125"/>
    <mergeCell ref="D126:S126"/>
    <mergeCell ref="D127:S127"/>
    <mergeCell ref="D76:S76"/>
    <mergeCell ref="D77:S77"/>
    <mergeCell ref="D78:S78"/>
  </mergeCells>
  <pageMargins left="0.7" right="0.7" top="0.5" bottom="0.5" header="0.3" footer="0.3"/>
  <pageSetup scale="52" fitToHeight="0" orientation="landscape" r:id="rId1"/>
  <headerFooter>
    <oddFooter>&amp;L&amp;D, Pg &amp;P&amp;CGMCB&amp;R&amp;F</oddFooter>
  </headerFooter>
  <rowBreaks count="2" manualBreakCount="2">
    <brk id="70" min="3" max="15" man="1"/>
    <brk id="121" min="3"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workbookViewId="0">
      <pane xSplit="1" ySplit="2" topLeftCell="B3" activePane="bottomRight" state="frozen"/>
      <selection pane="topRight" activeCell="B1" sqref="B1"/>
      <selection pane="bottomLeft" activeCell="A3" sqref="A3"/>
      <selection pane="bottomRight" activeCell="B14" activeCellId="2" sqref="B9 B12 B14:B17"/>
    </sheetView>
  </sheetViews>
  <sheetFormatPr defaultRowHeight="12.75" x14ac:dyDescent="0.2"/>
  <cols>
    <col min="1" max="1" width="40.42578125" bestFit="1" customWidth="1"/>
    <col min="2" max="2" width="24.5703125" bestFit="1" customWidth="1"/>
    <col min="3" max="3" width="34" customWidth="1"/>
    <col min="4" max="4" width="24.5703125" bestFit="1" customWidth="1"/>
    <col min="5" max="5" width="25.7109375" customWidth="1"/>
    <col min="6" max="6" width="22.28515625" bestFit="1" customWidth="1"/>
    <col min="8" max="8" width="10.7109375" bestFit="1" customWidth="1"/>
    <col min="10" max="10" width="22.28515625" bestFit="1" customWidth="1"/>
    <col min="12" max="12" width="11.140625" bestFit="1" customWidth="1"/>
    <col min="14" max="14" width="22.28515625" bestFit="1" customWidth="1"/>
    <col min="16" max="16" width="16.28515625" bestFit="1" customWidth="1"/>
    <col min="18" max="18" width="22.28515625" bestFit="1" customWidth="1"/>
    <col min="20" max="20" width="49.28515625" customWidth="1"/>
    <col min="22" max="22" width="35.140625" customWidth="1"/>
  </cols>
  <sheetData>
    <row r="1" spans="1:22" ht="12.75" customHeight="1" x14ac:dyDescent="0.2">
      <c r="A1" s="215" t="s">
        <v>0</v>
      </c>
      <c r="B1" s="30" t="s">
        <v>72</v>
      </c>
      <c r="C1" s="216" t="s">
        <v>86</v>
      </c>
      <c r="D1" s="216" t="s">
        <v>1</v>
      </c>
      <c r="E1" s="30" t="s">
        <v>178</v>
      </c>
      <c r="F1" s="215" t="s">
        <v>1</v>
      </c>
      <c r="G1" s="215" t="s">
        <v>1</v>
      </c>
      <c r="H1" s="215" t="s">
        <v>1</v>
      </c>
      <c r="I1" s="215" t="s">
        <v>1</v>
      </c>
      <c r="J1" s="215" t="s">
        <v>1</v>
      </c>
      <c r="K1" s="215" t="s">
        <v>1</v>
      </c>
      <c r="L1" s="215" t="s">
        <v>1</v>
      </c>
      <c r="M1" s="215" t="s">
        <v>1</v>
      </c>
      <c r="N1" s="215" t="s">
        <v>1</v>
      </c>
      <c r="O1" s="215" t="s">
        <v>1</v>
      </c>
      <c r="P1" s="215" t="s">
        <v>1</v>
      </c>
      <c r="Q1" s="215" t="s">
        <v>1</v>
      </c>
      <c r="R1" s="215" t="s">
        <v>1</v>
      </c>
      <c r="S1" s="215" t="s">
        <v>1</v>
      </c>
      <c r="T1" s="215" t="s">
        <v>1</v>
      </c>
      <c r="U1" s="215" t="s">
        <v>1</v>
      </c>
      <c r="V1" t="s">
        <v>1</v>
      </c>
    </row>
    <row r="2" spans="1:22" ht="12.75" customHeight="1" x14ac:dyDescent="0.2">
      <c r="A2" s="215" t="s">
        <v>1</v>
      </c>
      <c r="B2" t="s">
        <v>79</v>
      </c>
      <c r="C2" t="s">
        <v>87</v>
      </c>
      <c r="D2" t="s">
        <v>79</v>
      </c>
      <c r="E2" t="s">
        <v>180</v>
      </c>
      <c r="F2" t="s">
        <v>1</v>
      </c>
      <c r="G2" t="s">
        <v>1</v>
      </c>
      <c r="H2" t="s">
        <v>1</v>
      </c>
      <c r="I2" t="s">
        <v>1</v>
      </c>
      <c r="J2" t="s">
        <v>1</v>
      </c>
      <c r="K2" t="s">
        <v>1</v>
      </c>
      <c r="L2" t="s">
        <v>1</v>
      </c>
      <c r="M2" t="s">
        <v>1</v>
      </c>
      <c r="N2" t="s">
        <v>1</v>
      </c>
      <c r="O2" t="s">
        <v>1</v>
      </c>
      <c r="P2" t="s">
        <v>1</v>
      </c>
      <c r="Q2" t="s">
        <v>1</v>
      </c>
      <c r="R2" t="s">
        <v>1</v>
      </c>
      <c r="S2" t="s">
        <v>1</v>
      </c>
      <c r="T2" t="s">
        <v>1</v>
      </c>
      <c r="U2" t="s">
        <v>1</v>
      </c>
      <c r="V2" t="s">
        <v>1</v>
      </c>
    </row>
    <row r="3" spans="1:22" ht="12.75" customHeight="1" x14ac:dyDescent="0.2">
      <c r="A3" t="s">
        <v>53</v>
      </c>
      <c r="B3" s="1"/>
      <c r="C3" s="1"/>
      <c r="D3" s="1"/>
      <c r="E3" s="1"/>
      <c r="F3" s="1" t="s">
        <v>1</v>
      </c>
      <c r="G3" s="1" t="s">
        <v>1</v>
      </c>
      <c r="H3" s="1" t="s">
        <v>1</v>
      </c>
      <c r="I3" s="1" t="s">
        <v>1</v>
      </c>
      <c r="J3" s="1" t="s">
        <v>1</v>
      </c>
      <c r="K3" s="1" t="s">
        <v>1</v>
      </c>
      <c r="L3" s="1" t="s">
        <v>1</v>
      </c>
      <c r="M3" s="1" t="s">
        <v>1</v>
      </c>
      <c r="N3" s="1" t="s">
        <v>1</v>
      </c>
      <c r="O3" s="1" t="s">
        <v>1</v>
      </c>
      <c r="P3" s="1" t="s">
        <v>1</v>
      </c>
      <c r="Q3" s="1" t="s">
        <v>1</v>
      </c>
      <c r="R3" s="1" t="s">
        <v>1</v>
      </c>
      <c r="S3" s="1" t="s">
        <v>1</v>
      </c>
      <c r="T3" s="1" t="s">
        <v>1</v>
      </c>
      <c r="U3" s="1" t="s">
        <v>1</v>
      </c>
      <c r="V3" s="1" t="s">
        <v>1</v>
      </c>
    </row>
    <row r="4" spans="1:22" ht="12.75" customHeight="1" x14ac:dyDescent="0.2">
      <c r="A4" t="s">
        <v>54</v>
      </c>
      <c r="B4" s="1"/>
      <c r="C4" s="1"/>
      <c r="D4" s="1"/>
      <c r="E4" s="1"/>
      <c r="F4" s="1" t="s">
        <v>1</v>
      </c>
      <c r="G4" s="1" t="s">
        <v>1</v>
      </c>
      <c r="H4" s="1" t="s">
        <v>1</v>
      </c>
      <c r="I4" s="1" t="s">
        <v>1</v>
      </c>
      <c r="J4" s="1" t="s">
        <v>1</v>
      </c>
      <c r="K4" s="1" t="s">
        <v>1</v>
      </c>
      <c r="L4" s="1" t="s">
        <v>1</v>
      </c>
      <c r="M4" s="1" t="s">
        <v>1</v>
      </c>
      <c r="N4" s="1" t="s">
        <v>1</v>
      </c>
      <c r="O4" s="1" t="s">
        <v>1</v>
      </c>
      <c r="P4" s="1" t="s">
        <v>1</v>
      </c>
      <c r="Q4" s="1" t="s">
        <v>1</v>
      </c>
      <c r="R4" s="1" t="s">
        <v>1</v>
      </c>
      <c r="S4" s="1" t="s">
        <v>1</v>
      </c>
      <c r="T4" s="1" t="s">
        <v>1</v>
      </c>
      <c r="U4" s="1" t="s">
        <v>1</v>
      </c>
      <c r="V4" s="1" t="s">
        <v>1</v>
      </c>
    </row>
    <row r="5" spans="1:22" ht="12.75" customHeight="1" x14ac:dyDescent="0.2">
      <c r="A5" t="s">
        <v>55</v>
      </c>
      <c r="B5" s="1">
        <v>170343832</v>
      </c>
      <c r="C5" s="1">
        <v>176547476</v>
      </c>
      <c r="D5" s="1">
        <v>191888077</v>
      </c>
      <c r="E5" s="1">
        <v>180666477</v>
      </c>
      <c r="F5" s="1" t="s">
        <v>1</v>
      </c>
      <c r="G5" s="1" t="s">
        <v>1</v>
      </c>
      <c r="H5" s="1" t="s">
        <v>1</v>
      </c>
      <c r="I5" s="1" t="s">
        <v>1</v>
      </c>
      <c r="J5" s="1" t="s">
        <v>1</v>
      </c>
      <c r="K5" s="1" t="s">
        <v>1</v>
      </c>
      <c r="L5" s="1" t="s">
        <v>1</v>
      </c>
      <c r="M5" s="1" t="s">
        <v>1</v>
      </c>
      <c r="N5" s="1" t="s">
        <v>1</v>
      </c>
      <c r="O5" s="1" t="s">
        <v>1</v>
      </c>
      <c r="P5" s="1" t="s">
        <v>1</v>
      </c>
      <c r="Q5" s="1" t="s">
        <v>1</v>
      </c>
      <c r="R5" s="1" t="s">
        <v>1</v>
      </c>
      <c r="S5" s="1" t="s">
        <v>1</v>
      </c>
      <c r="T5" s="1" t="s">
        <v>1</v>
      </c>
      <c r="U5" s="1" t="s">
        <v>1</v>
      </c>
      <c r="V5" s="1" t="s">
        <v>1</v>
      </c>
    </row>
    <row r="6" spans="1:22" ht="12.75" customHeight="1" x14ac:dyDescent="0.2">
      <c r="A6" t="s">
        <v>56</v>
      </c>
      <c r="B6" s="1">
        <v>281110791</v>
      </c>
      <c r="C6" s="1">
        <v>274404943.99999994</v>
      </c>
      <c r="D6" s="1">
        <v>274399840.00000006</v>
      </c>
      <c r="E6" s="1">
        <v>257142036</v>
      </c>
      <c r="F6" s="1" t="s">
        <v>1</v>
      </c>
      <c r="G6" s="1" t="s">
        <v>1</v>
      </c>
      <c r="H6" s="1" t="s">
        <v>1</v>
      </c>
      <c r="I6" s="1" t="s">
        <v>1</v>
      </c>
      <c r="J6" s="1" t="s">
        <v>1</v>
      </c>
      <c r="K6" s="1" t="s">
        <v>1</v>
      </c>
      <c r="L6" s="1" t="s">
        <v>1</v>
      </c>
      <c r="M6" s="1" t="s">
        <v>1</v>
      </c>
      <c r="N6" s="1" t="s">
        <v>1</v>
      </c>
      <c r="O6" s="1" t="s">
        <v>1</v>
      </c>
      <c r="P6" s="1" t="s">
        <v>1</v>
      </c>
      <c r="Q6" s="1" t="s">
        <v>1</v>
      </c>
      <c r="R6" s="1" t="s">
        <v>1</v>
      </c>
      <c r="S6" s="1" t="s">
        <v>1</v>
      </c>
      <c r="T6" s="1" t="s">
        <v>1</v>
      </c>
      <c r="U6" s="1" t="s">
        <v>1</v>
      </c>
      <c r="V6" s="1" t="s">
        <v>1</v>
      </c>
    </row>
    <row r="7" spans="1:22" ht="12.75" customHeight="1" x14ac:dyDescent="0.2">
      <c r="A7" t="s">
        <v>57</v>
      </c>
      <c r="B7" s="1">
        <v>0</v>
      </c>
      <c r="C7" s="1">
        <v>0</v>
      </c>
      <c r="D7" s="1">
        <v>0</v>
      </c>
      <c r="E7" s="1">
        <v>0</v>
      </c>
      <c r="F7" s="1" t="s">
        <v>1</v>
      </c>
      <c r="G7" s="1" t="s">
        <v>1</v>
      </c>
      <c r="H7" s="1" t="s">
        <v>1</v>
      </c>
      <c r="I7" s="1" t="s">
        <v>1</v>
      </c>
      <c r="J7" s="1" t="s">
        <v>1</v>
      </c>
      <c r="K7" s="1" t="s">
        <v>1</v>
      </c>
      <c r="L7" s="1" t="s">
        <v>1</v>
      </c>
      <c r="M7" s="1" t="s">
        <v>1</v>
      </c>
      <c r="N7" s="1" t="s">
        <v>1</v>
      </c>
      <c r="O7" s="1" t="s">
        <v>1</v>
      </c>
      <c r="P7" s="1" t="s">
        <v>1</v>
      </c>
      <c r="Q7" s="1" t="s">
        <v>1</v>
      </c>
      <c r="R7" s="1" t="s">
        <v>1</v>
      </c>
      <c r="S7" s="1" t="s">
        <v>1</v>
      </c>
      <c r="T7" s="1" t="s">
        <v>1</v>
      </c>
      <c r="U7" s="1" t="s">
        <v>1</v>
      </c>
      <c r="V7" s="1" t="s">
        <v>1</v>
      </c>
    </row>
    <row r="8" spans="1:22" ht="12.75" customHeight="1" x14ac:dyDescent="0.2">
      <c r="A8" t="s">
        <v>58</v>
      </c>
      <c r="B8" s="1">
        <v>1058923.9999999998</v>
      </c>
      <c r="C8" s="1">
        <v>793290.00000000012</v>
      </c>
      <c r="D8" s="1">
        <v>0</v>
      </c>
      <c r="E8" s="1">
        <v>0</v>
      </c>
      <c r="F8" s="1" t="s">
        <v>1</v>
      </c>
      <c r="G8" s="1" t="s">
        <v>1</v>
      </c>
      <c r="H8" s="1" t="s">
        <v>1</v>
      </c>
      <c r="I8" s="1" t="s">
        <v>1</v>
      </c>
      <c r="J8" s="1" t="s">
        <v>1</v>
      </c>
      <c r="K8" s="1" t="s">
        <v>1</v>
      </c>
      <c r="L8" s="1" t="s">
        <v>1</v>
      </c>
      <c r="M8" s="1" t="s">
        <v>1</v>
      </c>
      <c r="N8" s="1" t="s">
        <v>1</v>
      </c>
      <c r="O8" s="1" t="s">
        <v>1</v>
      </c>
      <c r="P8" s="1" t="s">
        <v>1</v>
      </c>
      <c r="Q8" s="1" t="s">
        <v>1</v>
      </c>
      <c r="R8" s="1" t="s">
        <v>1</v>
      </c>
      <c r="S8" s="1" t="s">
        <v>1</v>
      </c>
      <c r="T8" s="1" t="s">
        <v>1</v>
      </c>
      <c r="U8" s="1" t="s">
        <v>1</v>
      </c>
      <c r="V8" s="1" t="s">
        <v>1</v>
      </c>
    </row>
    <row r="9" spans="1:22" ht="12.75" customHeight="1" x14ac:dyDescent="0.2">
      <c r="A9" t="s">
        <v>59</v>
      </c>
      <c r="B9" s="1">
        <v>452513547</v>
      </c>
      <c r="C9" s="1">
        <v>451745709.99999982</v>
      </c>
      <c r="D9" s="1">
        <v>466287917.00000018</v>
      </c>
      <c r="E9" s="1">
        <v>437808513</v>
      </c>
      <c r="F9" s="1" t="s">
        <v>1</v>
      </c>
      <c r="G9" s="1" t="s">
        <v>1</v>
      </c>
      <c r="H9" s="1" t="s">
        <v>1</v>
      </c>
      <c r="I9" s="1" t="s">
        <v>1</v>
      </c>
      <c r="J9" s="1" t="s">
        <v>1</v>
      </c>
      <c r="K9" s="1" t="s">
        <v>1</v>
      </c>
      <c r="L9" s="1" t="s">
        <v>1</v>
      </c>
      <c r="M9" s="1" t="s">
        <v>1</v>
      </c>
      <c r="N9" s="1" t="s">
        <v>1</v>
      </c>
      <c r="O9" s="1" t="s">
        <v>1</v>
      </c>
      <c r="P9" s="1" t="s">
        <v>1</v>
      </c>
      <c r="Q9" s="1" t="s">
        <v>1</v>
      </c>
      <c r="R9" s="1" t="s">
        <v>1</v>
      </c>
      <c r="S9" s="1" t="s">
        <v>1</v>
      </c>
      <c r="T9" s="1" t="s">
        <v>1</v>
      </c>
      <c r="U9" s="1" t="s">
        <v>1</v>
      </c>
      <c r="V9" s="1" t="s">
        <v>1</v>
      </c>
    </row>
    <row r="10" spans="1:22" ht="12.75" customHeight="1" x14ac:dyDescent="0.2">
      <c r="A10" t="s">
        <v>3</v>
      </c>
      <c r="B10" s="1"/>
      <c r="C10" s="1"/>
      <c r="D10" s="1"/>
      <c r="E10" s="1"/>
      <c r="F10" s="1" t="s">
        <v>1</v>
      </c>
      <c r="G10" s="1" t="s">
        <v>1</v>
      </c>
      <c r="H10" s="1" t="s">
        <v>1</v>
      </c>
      <c r="I10" s="1" t="s">
        <v>1</v>
      </c>
      <c r="J10" s="1" t="s">
        <v>1</v>
      </c>
      <c r="K10" s="1" t="s">
        <v>1</v>
      </c>
      <c r="L10" s="1" t="s">
        <v>1</v>
      </c>
      <c r="M10" s="1" t="s">
        <v>1</v>
      </c>
      <c r="N10" s="1" t="s">
        <v>1</v>
      </c>
      <c r="O10" s="1" t="s">
        <v>1</v>
      </c>
      <c r="P10" s="1" t="s">
        <v>1</v>
      </c>
      <c r="Q10" s="1" t="s">
        <v>1</v>
      </c>
      <c r="R10" s="1" t="s">
        <v>1</v>
      </c>
      <c r="S10" s="1" t="s">
        <v>1</v>
      </c>
      <c r="T10" s="1" t="s">
        <v>1</v>
      </c>
      <c r="U10" s="1" t="s">
        <v>1</v>
      </c>
      <c r="V10" s="1" t="s">
        <v>1</v>
      </c>
    </row>
    <row r="11" spans="1:22" ht="12.75" customHeight="1" x14ac:dyDescent="0.2">
      <c r="A11" t="s">
        <v>60</v>
      </c>
      <c r="B11" s="1">
        <v>40880965</v>
      </c>
      <c r="C11" s="1">
        <v>58686415.000000007</v>
      </c>
      <c r="D11" s="1">
        <v>62566398.000000007</v>
      </c>
      <c r="E11" s="1">
        <v>63107824.999999978</v>
      </c>
      <c r="F11" s="1" t="s">
        <v>1</v>
      </c>
      <c r="G11" s="1" t="s">
        <v>1</v>
      </c>
      <c r="H11" s="1" t="s">
        <v>1</v>
      </c>
      <c r="I11" s="1" t="s">
        <v>1</v>
      </c>
      <c r="J11" s="1" t="s">
        <v>1</v>
      </c>
      <c r="K11" s="1" t="s">
        <v>1</v>
      </c>
      <c r="L11" s="1" t="s">
        <v>1</v>
      </c>
      <c r="M11" s="1" t="s">
        <v>1</v>
      </c>
      <c r="N11" s="1" t="s">
        <v>1</v>
      </c>
      <c r="O11" s="1" t="s">
        <v>1</v>
      </c>
      <c r="P11" s="1" t="s">
        <v>1</v>
      </c>
      <c r="Q11" s="1" t="s">
        <v>1</v>
      </c>
      <c r="R11" s="1" t="s">
        <v>1</v>
      </c>
      <c r="S11" s="1" t="s">
        <v>1</v>
      </c>
      <c r="T11" s="1" t="s">
        <v>1</v>
      </c>
      <c r="U11" s="1" t="s">
        <v>1</v>
      </c>
      <c r="V11" s="1" t="s">
        <v>1</v>
      </c>
    </row>
    <row r="12" spans="1:22" ht="12.75" customHeight="1" x14ac:dyDescent="0.2">
      <c r="A12" t="s">
        <v>61</v>
      </c>
      <c r="B12" s="1">
        <v>40880965</v>
      </c>
      <c r="C12" s="1">
        <v>58686415.000000007</v>
      </c>
      <c r="D12" s="1">
        <v>62566398.000000007</v>
      </c>
      <c r="E12" s="1">
        <v>63107824.999999978</v>
      </c>
      <c r="F12" s="1" t="s">
        <v>1</v>
      </c>
      <c r="G12" s="1" t="s">
        <v>1</v>
      </c>
      <c r="H12" s="1" t="s">
        <v>1</v>
      </c>
      <c r="I12" s="1" t="s">
        <v>1</v>
      </c>
      <c r="J12" s="1" t="s">
        <v>1</v>
      </c>
      <c r="K12" s="1" t="s">
        <v>1</v>
      </c>
      <c r="L12" s="1" t="s">
        <v>1</v>
      </c>
      <c r="M12" s="1" t="s">
        <v>1</v>
      </c>
      <c r="N12" s="1" t="s">
        <v>1</v>
      </c>
      <c r="O12" s="1" t="s">
        <v>1</v>
      </c>
      <c r="P12" s="1" t="s">
        <v>1</v>
      </c>
      <c r="Q12" s="1" t="s">
        <v>1</v>
      </c>
      <c r="R12" s="1" t="s">
        <v>1</v>
      </c>
      <c r="S12" s="1" t="s">
        <v>1</v>
      </c>
      <c r="T12" s="1" t="s">
        <v>1</v>
      </c>
      <c r="U12" s="1" t="s">
        <v>1</v>
      </c>
      <c r="V12" s="1" t="s">
        <v>1</v>
      </c>
    </row>
    <row r="13" spans="1:22" ht="12.75" customHeight="1" x14ac:dyDescent="0.2">
      <c r="A13" t="s">
        <v>5</v>
      </c>
      <c r="B13" s="1"/>
      <c r="C13" s="1"/>
      <c r="D13" s="1"/>
      <c r="E13" s="1"/>
      <c r="F13" s="1" t="s">
        <v>1</v>
      </c>
      <c r="G13" s="1" t="s">
        <v>1</v>
      </c>
      <c r="H13" s="1" t="s">
        <v>1</v>
      </c>
      <c r="I13" s="1" t="s">
        <v>1</v>
      </c>
      <c r="J13" s="1" t="s">
        <v>1</v>
      </c>
      <c r="K13" s="1" t="s">
        <v>1</v>
      </c>
      <c r="L13" s="1" t="s">
        <v>1</v>
      </c>
      <c r="M13" s="1" t="s">
        <v>1</v>
      </c>
      <c r="N13" s="1" t="s">
        <v>1</v>
      </c>
      <c r="O13" s="1" t="s">
        <v>1</v>
      </c>
      <c r="P13" s="1" t="s">
        <v>1</v>
      </c>
      <c r="Q13" s="1" t="s">
        <v>1</v>
      </c>
      <c r="R13" s="1" t="s">
        <v>1</v>
      </c>
      <c r="S13" s="1" t="s">
        <v>1</v>
      </c>
      <c r="T13" s="1" t="s">
        <v>1</v>
      </c>
      <c r="U13" s="1" t="s">
        <v>1</v>
      </c>
      <c r="V13" s="1" t="s">
        <v>1</v>
      </c>
    </row>
    <row r="14" spans="1:22" ht="12.75" customHeight="1" x14ac:dyDescent="0.2">
      <c r="A14" t="s">
        <v>6</v>
      </c>
      <c r="B14" s="1">
        <v>4576163</v>
      </c>
      <c r="C14" s="1">
        <v>4169146.0000000005</v>
      </c>
      <c r="D14" s="1">
        <v>4573554</v>
      </c>
      <c r="E14" s="1">
        <v>5724870</v>
      </c>
      <c r="F14" s="1" t="s">
        <v>1</v>
      </c>
      <c r="G14" s="1" t="s">
        <v>1</v>
      </c>
      <c r="H14" s="1" t="s">
        <v>1</v>
      </c>
      <c r="I14" s="1" t="s">
        <v>1</v>
      </c>
      <c r="J14" s="1" t="s">
        <v>1</v>
      </c>
      <c r="K14" s="1" t="s">
        <v>1</v>
      </c>
      <c r="L14" s="1" t="s">
        <v>1</v>
      </c>
      <c r="M14" s="1" t="s">
        <v>1</v>
      </c>
      <c r="N14" s="1" t="s">
        <v>1</v>
      </c>
      <c r="O14" s="1" t="s">
        <v>1</v>
      </c>
      <c r="P14" s="1" t="s">
        <v>1</v>
      </c>
      <c r="Q14" s="1" t="s">
        <v>1</v>
      </c>
      <c r="R14" s="1" t="s">
        <v>1</v>
      </c>
      <c r="S14" s="1" t="s">
        <v>1</v>
      </c>
      <c r="T14" s="1" t="s">
        <v>1</v>
      </c>
      <c r="U14" s="1" t="s">
        <v>1</v>
      </c>
      <c r="V14" s="1" t="s">
        <v>1</v>
      </c>
    </row>
    <row r="15" spans="1:22" ht="12.75" customHeight="1" x14ac:dyDescent="0.2">
      <c r="A15" t="s">
        <v>7</v>
      </c>
      <c r="B15" s="1">
        <v>-9687417</v>
      </c>
      <c r="C15" s="1">
        <v>-13964808</v>
      </c>
      <c r="D15" s="1">
        <v>-10022418.999999998</v>
      </c>
      <c r="E15" s="1">
        <v>-10196810</v>
      </c>
      <c r="F15" s="1" t="s">
        <v>1</v>
      </c>
      <c r="G15" s="1" t="s">
        <v>1</v>
      </c>
      <c r="H15" s="1" t="s">
        <v>1</v>
      </c>
      <c r="I15" s="1" t="s">
        <v>1</v>
      </c>
      <c r="J15" s="1" t="s">
        <v>1</v>
      </c>
      <c r="K15" s="1" t="s">
        <v>1</v>
      </c>
      <c r="L15" s="1" t="s">
        <v>1</v>
      </c>
      <c r="M15" s="1" t="s">
        <v>1</v>
      </c>
      <c r="N15" s="1" t="s">
        <v>1</v>
      </c>
      <c r="O15" s="1" t="s">
        <v>1</v>
      </c>
      <c r="P15" s="1" t="s">
        <v>1</v>
      </c>
      <c r="Q15" s="1" t="s">
        <v>1</v>
      </c>
      <c r="R15" s="1" t="s">
        <v>1</v>
      </c>
      <c r="S15" s="1" t="s">
        <v>1</v>
      </c>
      <c r="T15" s="1" t="s">
        <v>1</v>
      </c>
      <c r="U15" s="1" t="s">
        <v>1</v>
      </c>
      <c r="V15" s="1" t="s">
        <v>1</v>
      </c>
    </row>
    <row r="16" spans="1:22" ht="12.75" customHeight="1" x14ac:dyDescent="0.2">
      <c r="A16" t="s">
        <v>8</v>
      </c>
      <c r="B16" s="1">
        <v>-259954621.00000009</v>
      </c>
      <c r="C16" s="1">
        <v>-267388300.99999997</v>
      </c>
      <c r="D16" s="1">
        <v>-277582497.99999988</v>
      </c>
      <c r="E16" s="1">
        <v>-253028950.00000003</v>
      </c>
      <c r="F16" s="1" t="s">
        <v>1</v>
      </c>
      <c r="G16" s="1" t="s">
        <v>1</v>
      </c>
      <c r="H16" s="1" t="s">
        <v>1</v>
      </c>
      <c r="I16" s="1" t="s">
        <v>1</v>
      </c>
      <c r="J16" s="1" t="s">
        <v>1</v>
      </c>
      <c r="K16" s="1" t="s">
        <v>1</v>
      </c>
      <c r="L16" s="1" t="s">
        <v>1</v>
      </c>
      <c r="M16" s="1" t="s">
        <v>1</v>
      </c>
      <c r="N16" s="1" t="s">
        <v>1</v>
      </c>
      <c r="O16" s="1" t="s">
        <v>1</v>
      </c>
      <c r="P16" s="1" t="s">
        <v>1</v>
      </c>
      <c r="Q16" s="1" t="s">
        <v>1</v>
      </c>
      <c r="R16" s="1" t="s">
        <v>1</v>
      </c>
      <c r="S16" s="1" t="s">
        <v>1</v>
      </c>
      <c r="T16" s="1" t="s">
        <v>1</v>
      </c>
      <c r="U16" s="1" t="s">
        <v>1</v>
      </c>
      <c r="V16" s="1" t="s">
        <v>1</v>
      </c>
    </row>
    <row r="17" spans="1:22" ht="12.75" customHeight="1" x14ac:dyDescent="0.2">
      <c r="A17" t="s">
        <v>73</v>
      </c>
      <c r="B17" s="1">
        <v>0</v>
      </c>
      <c r="C17" s="1">
        <v>0</v>
      </c>
      <c r="D17" s="1">
        <v>0</v>
      </c>
      <c r="E17" s="1">
        <v>0</v>
      </c>
      <c r="F17" s="1" t="s">
        <v>1</v>
      </c>
      <c r="G17" s="1" t="s">
        <v>1</v>
      </c>
      <c r="H17" s="1" t="s">
        <v>1</v>
      </c>
      <c r="I17" s="1" t="s">
        <v>1</v>
      </c>
      <c r="J17" s="1" t="s">
        <v>1</v>
      </c>
      <c r="K17" s="1" t="s">
        <v>1</v>
      </c>
      <c r="L17" s="1" t="s">
        <v>1</v>
      </c>
      <c r="M17" s="1" t="s">
        <v>1</v>
      </c>
      <c r="N17" s="1" t="s">
        <v>1</v>
      </c>
      <c r="O17" s="1" t="s">
        <v>1</v>
      </c>
      <c r="P17" s="1" t="s">
        <v>1</v>
      </c>
      <c r="Q17" s="1" t="s">
        <v>1</v>
      </c>
      <c r="R17" s="1" t="s">
        <v>1</v>
      </c>
      <c r="S17" s="1" t="s">
        <v>1</v>
      </c>
      <c r="T17" s="1" t="s">
        <v>1</v>
      </c>
      <c r="U17" s="1" t="s">
        <v>1</v>
      </c>
      <c r="V17" s="1" t="s">
        <v>1</v>
      </c>
    </row>
    <row r="18" spans="1:22" ht="12.75" customHeight="1" x14ac:dyDescent="0.2">
      <c r="A18" t="s">
        <v>9</v>
      </c>
      <c r="B18" s="1">
        <v>-265065874.99999997</v>
      </c>
      <c r="C18" s="1">
        <v>-277183963.00000006</v>
      </c>
      <c r="D18" s="1">
        <v>-283031362.99999994</v>
      </c>
      <c r="E18" s="1">
        <v>-257500890</v>
      </c>
      <c r="F18" s="1" t="s">
        <v>1</v>
      </c>
      <c r="G18" s="1" t="s">
        <v>1</v>
      </c>
      <c r="H18" s="1" t="s">
        <v>1</v>
      </c>
      <c r="I18" s="1" t="s">
        <v>1</v>
      </c>
      <c r="J18" s="1" t="s">
        <v>1</v>
      </c>
      <c r="K18" s="1" t="s">
        <v>1</v>
      </c>
      <c r="L18" s="1" t="s">
        <v>1</v>
      </c>
      <c r="M18" s="1" t="s">
        <v>1</v>
      </c>
      <c r="N18" s="1" t="s">
        <v>1</v>
      </c>
      <c r="O18" s="1" t="s">
        <v>1</v>
      </c>
      <c r="P18" s="1" t="s">
        <v>1</v>
      </c>
      <c r="Q18" s="1" t="s">
        <v>1</v>
      </c>
      <c r="R18" s="1" t="s">
        <v>1</v>
      </c>
      <c r="S18" s="1" t="s">
        <v>1</v>
      </c>
      <c r="T18" s="1" t="s">
        <v>1</v>
      </c>
      <c r="U18" s="1" t="s">
        <v>1</v>
      </c>
      <c r="V18" s="1" t="s">
        <v>1</v>
      </c>
    </row>
    <row r="19" spans="1:22" ht="12.75" customHeight="1" x14ac:dyDescent="0.2">
      <c r="A19" t="s">
        <v>10</v>
      </c>
      <c r="B19" s="1">
        <v>228328636.99999985</v>
      </c>
      <c r="C19" s="1">
        <v>233248162.00000012</v>
      </c>
      <c r="D19" s="1">
        <v>245822952.00000024</v>
      </c>
      <c r="E19" s="1">
        <v>243415448.00000018</v>
      </c>
      <c r="F19" s="1" t="s">
        <v>1</v>
      </c>
      <c r="G19" s="1" t="s">
        <v>1</v>
      </c>
      <c r="H19" s="1" t="s">
        <v>1</v>
      </c>
      <c r="I19" s="1" t="s">
        <v>1</v>
      </c>
      <c r="J19" s="1" t="s">
        <v>1</v>
      </c>
      <c r="K19" s="1" t="s">
        <v>1</v>
      </c>
      <c r="L19" s="1" t="s">
        <v>1</v>
      </c>
      <c r="M19" s="1" t="s">
        <v>1</v>
      </c>
      <c r="N19" s="1" t="s">
        <v>1</v>
      </c>
      <c r="O19" s="1" t="s">
        <v>1</v>
      </c>
      <c r="P19" s="1" t="s">
        <v>1</v>
      </c>
      <c r="Q19" s="1" t="s">
        <v>1</v>
      </c>
      <c r="R19" s="1" t="s">
        <v>1</v>
      </c>
      <c r="S19" s="1" t="s">
        <v>1</v>
      </c>
      <c r="T19" s="1" t="s">
        <v>1</v>
      </c>
      <c r="U19" s="1" t="s">
        <v>1</v>
      </c>
      <c r="V19" s="1" t="s">
        <v>1</v>
      </c>
    </row>
    <row r="20" spans="1:22" ht="12.75" customHeight="1" x14ac:dyDescent="0.2">
      <c r="A20" t="s">
        <v>11</v>
      </c>
      <c r="B20" s="1"/>
      <c r="C20" s="1"/>
      <c r="D20" s="1"/>
      <c r="E20" s="1"/>
      <c r="F20" s="1" t="s">
        <v>1</v>
      </c>
      <c r="G20" s="1" t="s">
        <v>1</v>
      </c>
      <c r="H20" s="1" t="s">
        <v>1</v>
      </c>
      <c r="I20" s="1" t="s">
        <v>1</v>
      </c>
      <c r="J20" s="1" t="s">
        <v>1</v>
      </c>
      <c r="K20" s="1" t="s">
        <v>1</v>
      </c>
      <c r="L20" s="1" t="s">
        <v>1</v>
      </c>
      <c r="M20" s="1" t="s">
        <v>1</v>
      </c>
      <c r="N20" s="1" t="s">
        <v>1</v>
      </c>
      <c r="O20" s="1" t="s">
        <v>1</v>
      </c>
      <c r="P20" s="1" t="s">
        <v>1</v>
      </c>
      <c r="Q20" s="1" t="s">
        <v>1</v>
      </c>
      <c r="R20" s="1" t="s">
        <v>1</v>
      </c>
      <c r="S20" s="1" t="s">
        <v>1</v>
      </c>
      <c r="T20" s="1" t="s">
        <v>1</v>
      </c>
      <c r="U20" s="1" t="s">
        <v>1</v>
      </c>
      <c r="V20" s="1" t="s">
        <v>1</v>
      </c>
    </row>
    <row r="21" spans="1:22" ht="12.75" customHeight="1" x14ac:dyDescent="0.2">
      <c r="A21" t="s">
        <v>12</v>
      </c>
      <c r="B21" s="1">
        <v>0</v>
      </c>
      <c r="C21" s="1">
        <v>0</v>
      </c>
      <c r="D21" s="1">
        <v>0</v>
      </c>
      <c r="E21" s="1">
        <v>0</v>
      </c>
      <c r="F21" s="1" t="s">
        <v>1</v>
      </c>
      <c r="G21" s="1" t="s">
        <v>1</v>
      </c>
      <c r="H21" s="1" t="s">
        <v>1</v>
      </c>
      <c r="I21" s="1" t="s">
        <v>1</v>
      </c>
      <c r="J21" s="1" t="s">
        <v>1</v>
      </c>
      <c r="K21" s="1" t="s">
        <v>1</v>
      </c>
      <c r="L21" s="1" t="s">
        <v>1</v>
      </c>
      <c r="M21" s="1" t="s">
        <v>1</v>
      </c>
      <c r="N21" s="1" t="s">
        <v>1</v>
      </c>
      <c r="O21" s="1" t="s">
        <v>1</v>
      </c>
      <c r="P21" s="1" t="s">
        <v>1</v>
      </c>
      <c r="Q21" s="1" t="s">
        <v>1</v>
      </c>
      <c r="R21" s="1" t="s">
        <v>1</v>
      </c>
      <c r="S21" s="1" t="s">
        <v>1</v>
      </c>
      <c r="T21" s="1" t="s">
        <v>1</v>
      </c>
      <c r="U21" s="1" t="s">
        <v>1</v>
      </c>
      <c r="V21" s="1" t="s">
        <v>1</v>
      </c>
    </row>
    <row r="22" spans="1:22" ht="12.75" customHeight="1" x14ac:dyDescent="0.2">
      <c r="A22" t="s">
        <v>13</v>
      </c>
      <c r="B22" s="1">
        <v>1212607</v>
      </c>
      <c r="C22" s="1">
        <v>2395718</v>
      </c>
      <c r="D22" s="1">
        <v>1660988.0000000002</v>
      </c>
      <c r="E22" s="1">
        <v>2438623</v>
      </c>
      <c r="F22" s="1" t="s">
        <v>1</v>
      </c>
      <c r="G22" s="1" t="s">
        <v>1</v>
      </c>
      <c r="H22" s="1" t="s">
        <v>1</v>
      </c>
      <c r="I22" s="1" t="s">
        <v>1</v>
      </c>
      <c r="J22" s="1" t="s">
        <v>1</v>
      </c>
      <c r="K22" s="1" t="s">
        <v>1</v>
      </c>
      <c r="L22" s="1" t="s">
        <v>1</v>
      </c>
      <c r="M22" s="1" t="s">
        <v>1</v>
      </c>
      <c r="N22" s="1" t="s">
        <v>1</v>
      </c>
      <c r="O22" s="1" t="s">
        <v>1</v>
      </c>
      <c r="P22" s="1" t="s">
        <v>1</v>
      </c>
      <c r="Q22" s="1" t="s">
        <v>1</v>
      </c>
      <c r="R22" s="1" t="s">
        <v>1</v>
      </c>
      <c r="S22" s="1" t="s">
        <v>1</v>
      </c>
      <c r="T22" s="1" t="s">
        <v>1</v>
      </c>
      <c r="U22" s="1" t="s">
        <v>1</v>
      </c>
      <c r="V22" s="1" t="s">
        <v>1</v>
      </c>
    </row>
    <row r="23" spans="1:22" ht="12.75" customHeight="1" x14ac:dyDescent="0.2">
      <c r="A23" t="s">
        <v>14</v>
      </c>
      <c r="B23" s="1">
        <v>889995</v>
      </c>
      <c r="C23" s="1">
        <v>884748</v>
      </c>
      <c r="D23" s="1">
        <v>936682.00000000012</v>
      </c>
      <c r="E23" s="1">
        <v>908838</v>
      </c>
      <c r="F23" s="1" t="s">
        <v>1</v>
      </c>
      <c r="G23" s="1" t="s">
        <v>1</v>
      </c>
      <c r="H23" s="1" t="s">
        <v>1</v>
      </c>
      <c r="I23" s="1" t="s">
        <v>1</v>
      </c>
      <c r="J23" s="1" t="s">
        <v>1</v>
      </c>
      <c r="K23" s="1" t="s">
        <v>1</v>
      </c>
      <c r="L23" s="1" t="s">
        <v>1</v>
      </c>
      <c r="M23" s="1" t="s">
        <v>1</v>
      </c>
      <c r="N23" s="1" t="s">
        <v>1</v>
      </c>
      <c r="O23" s="1" t="s">
        <v>1</v>
      </c>
      <c r="P23" s="1" t="s">
        <v>1</v>
      </c>
      <c r="Q23" s="1" t="s">
        <v>1</v>
      </c>
      <c r="R23" s="1" t="s">
        <v>1</v>
      </c>
      <c r="S23" s="1" t="s">
        <v>1</v>
      </c>
      <c r="T23" s="1" t="s">
        <v>1</v>
      </c>
      <c r="U23" s="1" t="s">
        <v>1</v>
      </c>
      <c r="V23" s="1" t="s">
        <v>1</v>
      </c>
    </row>
    <row r="24" spans="1:22" ht="12.75" customHeight="1" x14ac:dyDescent="0.2">
      <c r="A24" t="s">
        <v>15</v>
      </c>
      <c r="B24" s="1">
        <v>0</v>
      </c>
      <c r="C24" s="1">
        <v>0</v>
      </c>
      <c r="D24" s="1">
        <v>0</v>
      </c>
      <c r="E24" s="1">
        <v>1901208</v>
      </c>
      <c r="F24" s="1" t="s">
        <v>1</v>
      </c>
      <c r="G24" s="1" t="s">
        <v>1</v>
      </c>
      <c r="H24" s="1" t="s">
        <v>1</v>
      </c>
      <c r="I24" s="1" t="s">
        <v>1</v>
      </c>
      <c r="J24" s="1" t="s">
        <v>1</v>
      </c>
      <c r="K24" s="1" t="s">
        <v>1</v>
      </c>
      <c r="L24" s="1" t="s">
        <v>1</v>
      </c>
      <c r="M24" s="1" t="s">
        <v>1</v>
      </c>
      <c r="N24" s="1" t="s">
        <v>1</v>
      </c>
      <c r="O24" s="1" t="s">
        <v>1</v>
      </c>
      <c r="P24" s="1" t="s">
        <v>1</v>
      </c>
      <c r="Q24" s="1" t="s">
        <v>1</v>
      </c>
      <c r="R24" s="1" t="s">
        <v>1</v>
      </c>
      <c r="S24" s="1" t="s">
        <v>1</v>
      </c>
      <c r="T24" s="1" t="s">
        <v>1</v>
      </c>
      <c r="U24" s="1" t="s">
        <v>1</v>
      </c>
      <c r="V24" s="1" t="s">
        <v>1</v>
      </c>
    </row>
    <row r="25" spans="1:22" ht="12.75" customHeight="1" x14ac:dyDescent="0.2">
      <c r="A25" t="s">
        <v>16</v>
      </c>
      <c r="B25" s="1">
        <v>0</v>
      </c>
      <c r="C25" s="1">
        <v>0</v>
      </c>
      <c r="D25" s="1">
        <v>0</v>
      </c>
      <c r="E25" s="1">
        <v>0</v>
      </c>
      <c r="F25" s="1" t="s">
        <v>1</v>
      </c>
      <c r="G25" s="1" t="s">
        <v>1</v>
      </c>
      <c r="H25" s="1" t="s">
        <v>1</v>
      </c>
      <c r="I25" s="1" t="s">
        <v>1</v>
      </c>
      <c r="J25" s="1" t="s">
        <v>1</v>
      </c>
      <c r="K25" s="1" t="s">
        <v>1</v>
      </c>
      <c r="L25" s="1" t="s">
        <v>1</v>
      </c>
      <c r="M25" s="1" t="s">
        <v>1</v>
      </c>
      <c r="N25" s="1" t="s">
        <v>1</v>
      </c>
      <c r="O25" s="1" t="s">
        <v>1</v>
      </c>
      <c r="P25" s="1" t="s">
        <v>1</v>
      </c>
      <c r="Q25" s="1" t="s">
        <v>1</v>
      </c>
      <c r="R25" s="1" t="s">
        <v>1</v>
      </c>
      <c r="S25" s="1" t="s">
        <v>1</v>
      </c>
      <c r="T25" s="1" t="s">
        <v>1</v>
      </c>
      <c r="U25" s="1" t="s">
        <v>1</v>
      </c>
      <c r="V25" s="1" t="s">
        <v>1</v>
      </c>
    </row>
    <row r="26" spans="1:22" ht="12.75" customHeight="1" x14ac:dyDescent="0.2">
      <c r="A26" t="s">
        <v>17</v>
      </c>
      <c r="B26" s="1">
        <v>-2974.9999999999995</v>
      </c>
      <c r="C26" s="1">
        <v>0</v>
      </c>
      <c r="D26" s="1">
        <v>465.99999999999994</v>
      </c>
      <c r="E26" s="1">
        <v>0</v>
      </c>
      <c r="F26" s="1" t="s">
        <v>1</v>
      </c>
      <c r="G26" s="1" t="s">
        <v>1</v>
      </c>
      <c r="H26" s="1" t="s">
        <v>1</v>
      </c>
      <c r="I26" s="1" t="s">
        <v>1</v>
      </c>
      <c r="J26" s="1" t="s">
        <v>1</v>
      </c>
      <c r="K26" s="1" t="s">
        <v>1</v>
      </c>
      <c r="L26" s="1" t="s">
        <v>1</v>
      </c>
      <c r="M26" s="1" t="s">
        <v>1</v>
      </c>
      <c r="N26" s="1" t="s">
        <v>1</v>
      </c>
      <c r="O26" s="1" t="s">
        <v>1</v>
      </c>
      <c r="P26" s="1" t="s">
        <v>1</v>
      </c>
      <c r="Q26" s="1" t="s">
        <v>1</v>
      </c>
      <c r="R26" s="1" t="s">
        <v>1</v>
      </c>
      <c r="S26" s="1" t="s">
        <v>1</v>
      </c>
      <c r="T26" s="1" t="s">
        <v>1</v>
      </c>
      <c r="U26" s="1" t="s">
        <v>1</v>
      </c>
      <c r="V26" s="1" t="s">
        <v>1</v>
      </c>
    </row>
    <row r="27" spans="1:22" ht="12.75" customHeight="1" x14ac:dyDescent="0.2">
      <c r="A27" t="s">
        <v>18</v>
      </c>
      <c r="B27" s="1">
        <v>86392</v>
      </c>
      <c r="C27" s="1">
        <v>84231</v>
      </c>
      <c r="D27" s="1">
        <v>184230</v>
      </c>
      <c r="E27" s="1">
        <v>83682</v>
      </c>
      <c r="F27" s="1" t="s">
        <v>1</v>
      </c>
      <c r="G27" s="1" t="s">
        <v>1</v>
      </c>
      <c r="H27" s="1" t="s">
        <v>1</v>
      </c>
      <c r="I27" s="1" t="s">
        <v>1</v>
      </c>
      <c r="J27" s="1" t="s">
        <v>1</v>
      </c>
      <c r="K27" s="1" t="s">
        <v>1</v>
      </c>
      <c r="L27" s="1" t="s">
        <v>1</v>
      </c>
      <c r="M27" s="1" t="s">
        <v>1</v>
      </c>
      <c r="N27" s="1" t="s">
        <v>1</v>
      </c>
      <c r="O27" s="1" t="s">
        <v>1</v>
      </c>
      <c r="P27" s="1" t="s">
        <v>1</v>
      </c>
      <c r="Q27" s="1" t="s">
        <v>1</v>
      </c>
      <c r="R27" s="1" t="s">
        <v>1</v>
      </c>
      <c r="S27" s="1" t="s">
        <v>1</v>
      </c>
      <c r="T27" s="1" t="s">
        <v>1</v>
      </c>
      <c r="U27" s="1" t="s">
        <v>1</v>
      </c>
      <c r="V27" s="1" t="s">
        <v>1</v>
      </c>
    </row>
    <row r="28" spans="1:22" ht="12.75" customHeight="1" x14ac:dyDescent="0.2">
      <c r="A28" t="s">
        <v>19</v>
      </c>
      <c r="B28" s="1">
        <v>154790</v>
      </c>
      <c r="C28" s="1">
        <v>655615</v>
      </c>
      <c r="D28" s="1">
        <v>1017651</v>
      </c>
      <c r="E28" s="1">
        <v>414597.99999999994</v>
      </c>
      <c r="F28" s="1" t="s">
        <v>1</v>
      </c>
      <c r="G28" s="1" t="s">
        <v>1</v>
      </c>
      <c r="H28" s="1" t="s">
        <v>1</v>
      </c>
      <c r="I28" s="1" t="s">
        <v>1</v>
      </c>
      <c r="J28" s="1" t="s">
        <v>1</v>
      </c>
      <c r="K28" s="1" t="s">
        <v>1</v>
      </c>
      <c r="L28" s="1" t="s">
        <v>1</v>
      </c>
      <c r="M28" s="1" t="s">
        <v>1</v>
      </c>
      <c r="N28" s="1" t="s">
        <v>1</v>
      </c>
      <c r="O28" s="1" t="s">
        <v>1</v>
      </c>
      <c r="P28" s="1" t="s">
        <v>1</v>
      </c>
      <c r="Q28" s="1" t="s">
        <v>1</v>
      </c>
      <c r="R28" s="1" t="s">
        <v>1</v>
      </c>
      <c r="S28" s="1" t="s">
        <v>1</v>
      </c>
      <c r="T28" s="1" t="s">
        <v>1</v>
      </c>
      <c r="U28" s="1" t="s">
        <v>1</v>
      </c>
      <c r="V28" s="1" t="s">
        <v>1</v>
      </c>
    </row>
    <row r="29" spans="1:22" ht="12.75" customHeight="1" x14ac:dyDescent="0.2">
      <c r="A29" t="s">
        <v>20</v>
      </c>
      <c r="B29" s="1">
        <v>4525333.9999999991</v>
      </c>
      <c r="C29" s="1">
        <v>4439700</v>
      </c>
      <c r="D29" s="1">
        <v>3758875.9999999995</v>
      </c>
      <c r="E29" s="1">
        <v>3800296.0000000005</v>
      </c>
      <c r="F29" s="1" t="s">
        <v>1</v>
      </c>
      <c r="G29" s="1" t="s">
        <v>1</v>
      </c>
      <c r="H29" s="1" t="s">
        <v>1</v>
      </c>
      <c r="I29" s="1" t="s">
        <v>1</v>
      </c>
      <c r="J29" s="1" t="s">
        <v>1</v>
      </c>
      <c r="K29" s="1" t="s">
        <v>1</v>
      </c>
      <c r="L29" s="1" t="s">
        <v>1</v>
      </c>
      <c r="M29" s="1" t="s">
        <v>1</v>
      </c>
      <c r="N29" s="1" t="s">
        <v>1</v>
      </c>
      <c r="O29" s="1" t="s">
        <v>1</v>
      </c>
      <c r="P29" s="1" t="s">
        <v>1</v>
      </c>
      <c r="Q29" s="1" t="s">
        <v>1</v>
      </c>
      <c r="R29" s="1" t="s">
        <v>1</v>
      </c>
      <c r="S29" s="1" t="s">
        <v>1</v>
      </c>
      <c r="T29" s="1" t="s">
        <v>1</v>
      </c>
      <c r="U29" s="1" t="s">
        <v>1</v>
      </c>
      <c r="V29" s="1" t="s">
        <v>1</v>
      </c>
    </row>
    <row r="30" spans="1:22" ht="12.75" customHeight="1" x14ac:dyDescent="0.2">
      <c r="A30" t="s">
        <v>21</v>
      </c>
      <c r="B30" s="1">
        <v>2409795</v>
      </c>
      <c r="C30" s="1">
        <v>1478834.0000000002</v>
      </c>
      <c r="D30" s="1">
        <v>1039390.0000000001</v>
      </c>
      <c r="E30" s="1">
        <v>1470486</v>
      </c>
      <c r="F30" s="1" t="s">
        <v>1</v>
      </c>
      <c r="G30" s="1" t="s">
        <v>1</v>
      </c>
      <c r="H30" s="1" t="s">
        <v>1</v>
      </c>
      <c r="I30" s="1" t="s">
        <v>1</v>
      </c>
      <c r="J30" s="1" t="s">
        <v>1</v>
      </c>
      <c r="K30" s="1" t="s">
        <v>1</v>
      </c>
      <c r="L30" s="1" t="s">
        <v>1</v>
      </c>
      <c r="M30" s="1" t="s">
        <v>1</v>
      </c>
      <c r="N30" s="1" t="s">
        <v>1</v>
      </c>
      <c r="O30" s="1" t="s">
        <v>1</v>
      </c>
      <c r="P30" s="1" t="s">
        <v>1</v>
      </c>
      <c r="Q30" s="1" t="s">
        <v>1</v>
      </c>
      <c r="R30" s="1" t="s">
        <v>1</v>
      </c>
      <c r="S30" s="1" t="s">
        <v>1</v>
      </c>
      <c r="T30" s="1" t="s">
        <v>1</v>
      </c>
      <c r="U30" s="1" t="s">
        <v>1</v>
      </c>
      <c r="V30" s="1" t="s">
        <v>1</v>
      </c>
    </row>
    <row r="31" spans="1:22" ht="12.75" customHeight="1" x14ac:dyDescent="0.2">
      <c r="A31" t="s">
        <v>171</v>
      </c>
      <c r="B31" s="1">
        <v>0</v>
      </c>
      <c r="C31" s="1">
        <v>0</v>
      </c>
      <c r="D31" s="1">
        <v>0</v>
      </c>
      <c r="E31" s="1">
        <v>0</v>
      </c>
      <c r="F31" s="1" t="s">
        <v>1</v>
      </c>
      <c r="G31" s="1" t="s">
        <v>1</v>
      </c>
      <c r="H31" s="1" t="s">
        <v>1</v>
      </c>
      <c r="I31" s="1" t="s">
        <v>1</v>
      </c>
      <c r="J31" s="1" t="s">
        <v>1</v>
      </c>
      <c r="K31" s="1" t="s">
        <v>1</v>
      </c>
      <c r="L31" s="1" t="s">
        <v>1</v>
      </c>
      <c r="M31" s="1" t="s">
        <v>1</v>
      </c>
      <c r="N31" s="1" t="s">
        <v>1</v>
      </c>
      <c r="O31" s="1" t="s">
        <v>1</v>
      </c>
      <c r="P31" s="1" t="s">
        <v>1</v>
      </c>
      <c r="Q31" s="1" t="s">
        <v>1</v>
      </c>
      <c r="R31" s="1" t="s">
        <v>1</v>
      </c>
      <c r="S31" s="1" t="s">
        <v>1</v>
      </c>
      <c r="T31" s="1" t="s">
        <v>1</v>
      </c>
      <c r="U31" s="1" t="s">
        <v>1</v>
      </c>
      <c r="V31" s="1" t="s">
        <v>1</v>
      </c>
    </row>
    <row r="32" spans="1:22" ht="12.75" customHeight="1" x14ac:dyDescent="0.2">
      <c r="A32" t="s">
        <v>172</v>
      </c>
      <c r="B32" s="1">
        <v>0</v>
      </c>
      <c r="C32" s="1">
        <v>0</v>
      </c>
      <c r="D32" s="1">
        <v>0</v>
      </c>
      <c r="E32" s="1">
        <v>0</v>
      </c>
      <c r="F32" s="1" t="s">
        <v>1</v>
      </c>
      <c r="G32" s="1" t="s">
        <v>1</v>
      </c>
      <c r="H32" s="1" t="s">
        <v>1</v>
      </c>
      <c r="I32" s="1" t="s">
        <v>1</v>
      </c>
      <c r="J32" s="1" t="s">
        <v>1</v>
      </c>
      <c r="K32" s="1" t="s">
        <v>1</v>
      </c>
      <c r="L32" s="1" t="s">
        <v>1</v>
      </c>
      <c r="M32" s="1" t="s">
        <v>1</v>
      </c>
      <c r="N32" s="1" t="s">
        <v>1</v>
      </c>
      <c r="O32" s="1" t="s">
        <v>1</v>
      </c>
      <c r="P32" s="1" t="s">
        <v>1</v>
      </c>
      <c r="Q32" s="1" t="s">
        <v>1</v>
      </c>
      <c r="R32" s="1" t="s">
        <v>1</v>
      </c>
      <c r="S32" s="1" t="s">
        <v>1</v>
      </c>
      <c r="T32" s="1" t="s">
        <v>1</v>
      </c>
      <c r="U32" s="1" t="s">
        <v>1</v>
      </c>
      <c r="V32" s="1" t="s">
        <v>1</v>
      </c>
    </row>
    <row r="33" spans="1:22" ht="12.75" customHeight="1" x14ac:dyDescent="0.2">
      <c r="A33" t="s">
        <v>173</v>
      </c>
      <c r="B33" s="1">
        <v>0</v>
      </c>
      <c r="C33" s="1">
        <v>0</v>
      </c>
      <c r="D33" s="1">
        <v>0</v>
      </c>
      <c r="E33" s="1">
        <v>0</v>
      </c>
      <c r="F33" s="1" t="s">
        <v>1</v>
      </c>
      <c r="G33" s="1" t="s">
        <v>1</v>
      </c>
      <c r="H33" s="1" t="s">
        <v>1</v>
      </c>
      <c r="I33" s="1" t="s">
        <v>1</v>
      </c>
      <c r="J33" s="1" t="s">
        <v>1</v>
      </c>
      <c r="K33" s="1" t="s">
        <v>1</v>
      </c>
      <c r="L33" s="1" t="s">
        <v>1</v>
      </c>
      <c r="M33" s="1" t="s">
        <v>1</v>
      </c>
      <c r="N33" s="1" t="s">
        <v>1</v>
      </c>
      <c r="O33" s="1" t="s">
        <v>1</v>
      </c>
      <c r="P33" s="1" t="s">
        <v>1</v>
      </c>
      <c r="Q33" s="1" t="s">
        <v>1</v>
      </c>
      <c r="R33" s="1" t="s">
        <v>1</v>
      </c>
      <c r="S33" s="1" t="s">
        <v>1</v>
      </c>
      <c r="T33" s="1" t="s">
        <v>1</v>
      </c>
      <c r="U33" s="1" t="s">
        <v>1</v>
      </c>
      <c r="V33" s="1" t="s">
        <v>1</v>
      </c>
    </row>
    <row r="34" spans="1:22" ht="12.75" customHeight="1" x14ac:dyDescent="0.2">
      <c r="A34" t="s">
        <v>174</v>
      </c>
      <c r="B34" s="1">
        <v>0</v>
      </c>
      <c r="C34" s="1">
        <v>0</v>
      </c>
      <c r="D34" s="1">
        <v>0</v>
      </c>
      <c r="E34" s="1">
        <v>0</v>
      </c>
      <c r="F34" s="1" t="s">
        <v>1</v>
      </c>
      <c r="G34" s="1" t="s">
        <v>1</v>
      </c>
      <c r="H34" s="1" t="s">
        <v>1</v>
      </c>
      <c r="I34" s="1" t="s">
        <v>1</v>
      </c>
      <c r="J34" s="1" t="s">
        <v>1</v>
      </c>
      <c r="K34" s="1" t="s">
        <v>1</v>
      </c>
      <c r="L34" s="1" t="s">
        <v>1</v>
      </c>
      <c r="M34" s="1" t="s">
        <v>1</v>
      </c>
      <c r="N34" s="1" t="s">
        <v>1</v>
      </c>
      <c r="O34" s="1" t="s">
        <v>1</v>
      </c>
      <c r="P34" s="1" t="s">
        <v>1</v>
      </c>
      <c r="Q34" s="1" t="s">
        <v>1</v>
      </c>
      <c r="R34" s="1" t="s">
        <v>1</v>
      </c>
      <c r="S34" s="1" t="s">
        <v>1</v>
      </c>
      <c r="T34" s="1" t="s">
        <v>1</v>
      </c>
      <c r="U34" s="1" t="s">
        <v>1</v>
      </c>
      <c r="V34" s="1" t="s">
        <v>1</v>
      </c>
    </row>
    <row r="35" spans="1:22" ht="12.75" customHeight="1" x14ac:dyDescent="0.2">
      <c r="A35" t="s">
        <v>175</v>
      </c>
      <c r="B35" s="1">
        <v>0</v>
      </c>
      <c r="C35" s="1">
        <v>0</v>
      </c>
      <c r="D35" s="1">
        <v>0</v>
      </c>
      <c r="E35" s="1">
        <v>0</v>
      </c>
      <c r="F35" s="1" t="s">
        <v>1</v>
      </c>
      <c r="G35" s="1" t="s">
        <v>1</v>
      </c>
      <c r="H35" s="1" t="s">
        <v>1</v>
      </c>
      <c r="I35" s="1" t="s">
        <v>1</v>
      </c>
      <c r="J35" s="1" t="s">
        <v>1</v>
      </c>
      <c r="K35" s="1" t="s">
        <v>1</v>
      </c>
      <c r="L35" s="1" t="s">
        <v>1</v>
      </c>
      <c r="M35" s="1" t="s">
        <v>1</v>
      </c>
      <c r="N35" s="1" t="s">
        <v>1</v>
      </c>
      <c r="O35" s="1" t="s">
        <v>1</v>
      </c>
      <c r="P35" s="1" t="s">
        <v>1</v>
      </c>
      <c r="Q35" s="1" t="s">
        <v>1</v>
      </c>
      <c r="R35" s="1" t="s">
        <v>1</v>
      </c>
      <c r="S35" s="1" t="s">
        <v>1</v>
      </c>
      <c r="T35" s="1" t="s">
        <v>1</v>
      </c>
      <c r="U35" s="1" t="s">
        <v>1</v>
      </c>
      <c r="V35" s="1" t="s">
        <v>1</v>
      </c>
    </row>
    <row r="36" spans="1:22" ht="12.75" customHeight="1" x14ac:dyDescent="0.2">
      <c r="A36" t="s">
        <v>176</v>
      </c>
      <c r="B36" s="1">
        <v>0</v>
      </c>
      <c r="C36" s="1">
        <v>0</v>
      </c>
      <c r="D36" s="1">
        <v>0</v>
      </c>
      <c r="E36" s="1">
        <v>0</v>
      </c>
      <c r="F36" s="1" t="s">
        <v>1</v>
      </c>
      <c r="G36" s="1" t="s">
        <v>1</v>
      </c>
      <c r="H36" s="1" t="s">
        <v>1</v>
      </c>
      <c r="I36" s="1" t="s">
        <v>1</v>
      </c>
      <c r="J36" s="1" t="s">
        <v>1</v>
      </c>
      <c r="K36" s="1" t="s">
        <v>1</v>
      </c>
      <c r="L36" s="1" t="s">
        <v>1</v>
      </c>
      <c r="M36" s="1" t="s">
        <v>1</v>
      </c>
      <c r="N36" s="1" t="s">
        <v>1</v>
      </c>
      <c r="O36" s="1" t="s">
        <v>1</v>
      </c>
      <c r="P36" s="1" t="s">
        <v>1</v>
      </c>
      <c r="Q36" s="1" t="s">
        <v>1</v>
      </c>
      <c r="R36" s="1" t="s">
        <v>1</v>
      </c>
      <c r="S36" s="1" t="s">
        <v>1</v>
      </c>
      <c r="T36" s="1" t="s">
        <v>1</v>
      </c>
      <c r="U36" s="1" t="s">
        <v>1</v>
      </c>
      <c r="V36" s="1" t="s">
        <v>1</v>
      </c>
    </row>
    <row r="37" spans="1:22" ht="12.75" customHeight="1" x14ac:dyDescent="0.2">
      <c r="A37" t="s">
        <v>177</v>
      </c>
      <c r="B37" s="1">
        <v>0</v>
      </c>
      <c r="C37" s="1">
        <v>0</v>
      </c>
      <c r="D37" s="1">
        <v>0</v>
      </c>
      <c r="E37" s="1">
        <v>0</v>
      </c>
      <c r="F37" s="1" t="s">
        <v>1</v>
      </c>
      <c r="G37" s="1" t="s">
        <v>1</v>
      </c>
      <c r="H37" s="1" t="s">
        <v>1</v>
      </c>
      <c r="I37" s="1" t="s">
        <v>1</v>
      </c>
      <c r="J37" s="1" t="s">
        <v>1</v>
      </c>
      <c r="K37" s="1" t="s">
        <v>1</v>
      </c>
      <c r="L37" s="1" t="s">
        <v>1</v>
      </c>
      <c r="M37" s="1" t="s">
        <v>1</v>
      </c>
      <c r="N37" s="1" t="s">
        <v>1</v>
      </c>
      <c r="O37" s="1" t="s">
        <v>1</v>
      </c>
      <c r="P37" s="1" t="s">
        <v>1</v>
      </c>
      <c r="Q37" s="1" t="s">
        <v>1</v>
      </c>
      <c r="R37" s="1" t="s">
        <v>1</v>
      </c>
      <c r="S37" s="1" t="s">
        <v>1</v>
      </c>
      <c r="T37" s="1" t="s">
        <v>1</v>
      </c>
      <c r="U37" s="1" t="s">
        <v>1</v>
      </c>
      <c r="V37" s="1" t="s">
        <v>1</v>
      </c>
    </row>
    <row r="38" spans="1:22" ht="12.75" customHeight="1" x14ac:dyDescent="0.2">
      <c r="A38" t="s">
        <v>22</v>
      </c>
      <c r="B38" s="1">
        <v>9275938</v>
      </c>
      <c r="C38" s="1">
        <v>9938846</v>
      </c>
      <c r="D38" s="1">
        <v>8598282.9999999981</v>
      </c>
      <c r="E38" s="1">
        <v>11017731</v>
      </c>
      <c r="F38" s="1" t="s">
        <v>1</v>
      </c>
      <c r="G38" s="1" t="s">
        <v>1</v>
      </c>
      <c r="H38" s="1" t="s">
        <v>1</v>
      </c>
      <c r="I38" s="1" t="s">
        <v>1</v>
      </c>
      <c r="J38" s="1" t="s">
        <v>1</v>
      </c>
      <c r="K38" s="1" t="s">
        <v>1</v>
      </c>
      <c r="L38" s="1" t="s">
        <v>1</v>
      </c>
      <c r="M38" s="1" t="s">
        <v>1</v>
      </c>
      <c r="N38" s="1" t="s">
        <v>1</v>
      </c>
      <c r="O38" s="1" t="s">
        <v>1</v>
      </c>
      <c r="P38" s="1" t="s">
        <v>1</v>
      </c>
      <c r="Q38" s="1" t="s">
        <v>1</v>
      </c>
      <c r="R38" s="1" t="s">
        <v>1</v>
      </c>
      <c r="S38" s="1" t="s">
        <v>1</v>
      </c>
      <c r="T38" s="1" t="s">
        <v>1</v>
      </c>
      <c r="U38" s="1" t="s">
        <v>1</v>
      </c>
      <c r="V38" s="1" t="s">
        <v>1</v>
      </c>
    </row>
    <row r="39" spans="1:22" ht="12.75" customHeight="1" x14ac:dyDescent="0.2">
      <c r="A39" t="s">
        <v>23</v>
      </c>
      <c r="B39" s="1">
        <v>237604574.99999985</v>
      </c>
      <c r="C39" s="1">
        <v>243187008.00000012</v>
      </c>
      <c r="D39" s="1">
        <v>254421235.00000024</v>
      </c>
      <c r="E39" s="1">
        <v>254433179.00000018</v>
      </c>
      <c r="F39" s="1" t="s">
        <v>1</v>
      </c>
      <c r="G39" s="1" t="s">
        <v>1</v>
      </c>
      <c r="H39" s="1" t="s">
        <v>1</v>
      </c>
      <c r="I39" s="1" t="s">
        <v>1</v>
      </c>
      <c r="J39" s="1" t="s">
        <v>1</v>
      </c>
      <c r="K39" s="1" t="s">
        <v>1</v>
      </c>
      <c r="L39" s="1" t="s">
        <v>1</v>
      </c>
      <c r="M39" s="1" t="s">
        <v>1</v>
      </c>
      <c r="N39" s="1" t="s">
        <v>1</v>
      </c>
      <c r="O39" s="1" t="s">
        <v>1</v>
      </c>
      <c r="P39" s="1" t="s">
        <v>1</v>
      </c>
      <c r="Q39" s="1" t="s">
        <v>1</v>
      </c>
      <c r="R39" s="1" t="s">
        <v>1</v>
      </c>
      <c r="S39" s="1" t="s">
        <v>1</v>
      </c>
      <c r="T39" s="1" t="s">
        <v>1</v>
      </c>
      <c r="U39" s="1" t="s">
        <v>1</v>
      </c>
      <c r="V39" s="1" t="s">
        <v>1</v>
      </c>
    </row>
    <row r="40" spans="1:22" ht="12.75" customHeight="1" x14ac:dyDescent="0.2">
      <c r="A40" t="s">
        <v>24</v>
      </c>
      <c r="B40" s="1"/>
      <c r="C40" s="1"/>
      <c r="D40" s="1"/>
      <c r="E40" s="1"/>
      <c r="F40" s="1" t="s">
        <v>1</v>
      </c>
      <c r="G40" s="1" t="s">
        <v>1</v>
      </c>
      <c r="H40" s="1" t="s">
        <v>1</v>
      </c>
      <c r="I40" s="1" t="s">
        <v>1</v>
      </c>
      <c r="J40" s="1" t="s">
        <v>1</v>
      </c>
      <c r="K40" s="1" t="s">
        <v>1</v>
      </c>
      <c r="L40" s="1" t="s">
        <v>1</v>
      </c>
      <c r="M40" s="1" t="s">
        <v>1</v>
      </c>
      <c r="N40" s="1" t="s">
        <v>1</v>
      </c>
      <c r="O40" s="1" t="s">
        <v>1</v>
      </c>
      <c r="P40" s="1" t="s">
        <v>1</v>
      </c>
      <c r="Q40" s="1" t="s">
        <v>1</v>
      </c>
      <c r="R40" s="1" t="s">
        <v>1</v>
      </c>
      <c r="S40" s="1" t="s">
        <v>1</v>
      </c>
      <c r="T40" s="1" t="s">
        <v>1</v>
      </c>
      <c r="U40" s="1" t="s">
        <v>1</v>
      </c>
      <c r="V40" s="1" t="s">
        <v>1</v>
      </c>
    </row>
    <row r="41" spans="1:22" ht="12.75" customHeight="1" x14ac:dyDescent="0.2">
      <c r="A41" t="s">
        <v>25</v>
      </c>
      <c r="B41" s="1">
        <v>70594783.000000015</v>
      </c>
      <c r="C41" s="1">
        <v>73162615.999999985</v>
      </c>
      <c r="D41" s="1">
        <v>78446783.00000003</v>
      </c>
      <c r="E41" s="1">
        <v>82628936.999999985</v>
      </c>
      <c r="F41" s="1" t="s">
        <v>1</v>
      </c>
      <c r="G41" s="1" t="s">
        <v>1</v>
      </c>
      <c r="H41" s="1" t="s">
        <v>1</v>
      </c>
      <c r="I41" s="1" t="s">
        <v>1</v>
      </c>
      <c r="J41" s="1" t="s">
        <v>1</v>
      </c>
      <c r="K41" s="1" t="s">
        <v>1</v>
      </c>
      <c r="L41" s="1" t="s">
        <v>1</v>
      </c>
      <c r="M41" s="1" t="s">
        <v>1</v>
      </c>
      <c r="N41" s="1" t="s">
        <v>1</v>
      </c>
      <c r="O41" s="1" t="s">
        <v>1</v>
      </c>
      <c r="P41" s="1" t="s">
        <v>1</v>
      </c>
      <c r="Q41" s="1" t="s">
        <v>1</v>
      </c>
      <c r="R41" s="1" t="s">
        <v>1</v>
      </c>
      <c r="S41" s="1" t="s">
        <v>1</v>
      </c>
      <c r="T41" s="1" t="s">
        <v>1</v>
      </c>
      <c r="U41" s="1" t="s">
        <v>1</v>
      </c>
      <c r="V41" s="1" t="s">
        <v>1</v>
      </c>
    </row>
    <row r="42" spans="1:22" ht="12.75" customHeight="1" x14ac:dyDescent="0.2">
      <c r="A42" t="s">
        <v>26</v>
      </c>
      <c r="B42" s="1">
        <v>27728540.000000004</v>
      </c>
      <c r="C42" s="1">
        <v>25651715.000000004</v>
      </c>
      <c r="D42" s="1">
        <v>25172850.999999996</v>
      </c>
      <c r="E42" s="1">
        <v>27673380.000000004</v>
      </c>
      <c r="F42" s="1" t="s">
        <v>1</v>
      </c>
      <c r="G42" s="1" t="s">
        <v>1</v>
      </c>
      <c r="H42" s="1" t="s">
        <v>1</v>
      </c>
      <c r="I42" s="1" t="s">
        <v>1</v>
      </c>
      <c r="J42" s="1" t="s">
        <v>1</v>
      </c>
      <c r="K42" s="1" t="s">
        <v>1</v>
      </c>
      <c r="L42" s="1" t="s">
        <v>1</v>
      </c>
      <c r="M42" s="1" t="s">
        <v>1</v>
      </c>
      <c r="N42" s="1" t="s">
        <v>1</v>
      </c>
      <c r="O42" s="1" t="s">
        <v>1</v>
      </c>
      <c r="P42" s="1" t="s">
        <v>1</v>
      </c>
      <c r="Q42" s="1" t="s">
        <v>1</v>
      </c>
      <c r="R42" s="1" t="s">
        <v>1</v>
      </c>
      <c r="S42" s="1" t="s">
        <v>1</v>
      </c>
      <c r="T42" s="1" t="s">
        <v>1</v>
      </c>
      <c r="U42" s="1" t="s">
        <v>1</v>
      </c>
      <c r="V42" s="1" t="s">
        <v>1</v>
      </c>
    </row>
    <row r="43" spans="1:22" ht="12.75" customHeight="1" x14ac:dyDescent="0.2">
      <c r="A43" t="s">
        <v>27</v>
      </c>
      <c r="B43" s="1">
        <v>2101245.9999999995</v>
      </c>
      <c r="C43" s="1">
        <v>2008606.0000000009</v>
      </c>
      <c r="D43" s="1">
        <v>1375451</v>
      </c>
      <c r="E43" s="1">
        <v>1529900.9999999998</v>
      </c>
      <c r="F43" s="1" t="s">
        <v>1</v>
      </c>
      <c r="G43" s="1" t="s">
        <v>1</v>
      </c>
      <c r="H43" s="1" t="s">
        <v>1</v>
      </c>
      <c r="I43" s="1" t="s">
        <v>1</v>
      </c>
      <c r="J43" s="1" t="s">
        <v>1</v>
      </c>
      <c r="K43" s="1" t="s">
        <v>1</v>
      </c>
      <c r="L43" s="1" t="s">
        <v>1</v>
      </c>
      <c r="M43" s="1" t="s">
        <v>1</v>
      </c>
      <c r="N43" s="1" t="s">
        <v>1</v>
      </c>
      <c r="O43" s="1" t="s">
        <v>1</v>
      </c>
      <c r="P43" s="1" t="s">
        <v>1</v>
      </c>
      <c r="Q43" s="1" t="s">
        <v>1</v>
      </c>
      <c r="R43" s="1" t="s">
        <v>1</v>
      </c>
      <c r="S43" s="1" t="s">
        <v>1</v>
      </c>
      <c r="T43" s="1" t="s">
        <v>1</v>
      </c>
      <c r="U43" s="1" t="s">
        <v>1</v>
      </c>
      <c r="V43" s="1" t="s">
        <v>1</v>
      </c>
    </row>
    <row r="44" spans="1:22" ht="12.75" customHeight="1" x14ac:dyDescent="0.2">
      <c r="A44" t="s">
        <v>28</v>
      </c>
      <c r="B44" s="1">
        <v>30053013</v>
      </c>
      <c r="C44" s="1">
        <v>30114342</v>
      </c>
      <c r="D44" s="1">
        <v>30000114.999999989</v>
      </c>
      <c r="E44" s="1">
        <v>29969646.999999996</v>
      </c>
      <c r="F44" s="1" t="s">
        <v>1</v>
      </c>
      <c r="G44" s="1" t="s">
        <v>1</v>
      </c>
      <c r="H44" s="1" t="s">
        <v>1</v>
      </c>
      <c r="I44" s="1" t="s">
        <v>1</v>
      </c>
      <c r="J44" s="1" t="s">
        <v>1</v>
      </c>
      <c r="K44" s="1" t="s">
        <v>1</v>
      </c>
      <c r="L44" s="1" t="s">
        <v>1</v>
      </c>
      <c r="M44" s="1" t="s">
        <v>1</v>
      </c>
      <c r="N44" s="1" t="s">
        <v>1</v>
      </c>
      <c r="O44" s="1" t="s">
        <v>1</v>
      </c>
      <c r="P44" s="1" t="s">
        <v>1</v>
      </c>
      <c r="Q44" s="1" t="s">
        <v>1</v>
      </c>
      <c r="R44" s="1" t="s">
        <v>1</v>
      </c>
      <c r="S44" s="1" t="s">
        <v>1</v>
      </c>
      <c r="T44" s="1" t="s">
        <v>1</v>
      </c>
      <c r="U44" s="1" t="s">
        <v>1</v>
      </c>
      <c r="V44" s="1" t="s">
        <v>1</v>
      </c>
    </row>
    <row r="45" spans="1:22" ht="12.75" customHeight="1" x14ac:dyDescent="0.2">
      <c r="A45" t="s">
        <v>29</v>
      </c>
      <c r="B45" s="1">
        <v>13002474</v>
      </c>
      <c r="C45" s="1">
        <v>13519504.999999998</v>
      </c>
      <c r="D45" s="1">
        <v>14052304.000000002</v>
      </c>
      <c r="E45" s="1">
        <v>14352823.000000002</v>
      </c>
      <c r="F45" s="1" t="s">
        <v>1</v>
      </c>
      <c r="G45" s="1" t="s">
        <v>1</v>
      </c>
      <c r="H45" s="1" t="s">
        <v>1</v>
      </c>
      <c r="I45" s="1" t="s">
        <v>1</v>
      </c>
      <c r="J45" s="1" t="s">
        <v>1</v>
      </c>
      <c r="K45" s="1" t="s">
        <v>1</v>
      </c>
      <c r="L45" s="1" t="s">
        <v>1</v>
      </c>
      <c r="M45" s="1" t="s">
        <v>1</v>
      </c>
      <c r="N45" s="1" t="s">
        <v>1</v>
      </c>
      <c r="O45" s="1" t="s">
        <v>1</v>
      </c>
      <c r="P45" s="1" t="s">
        <v>1</v>
      </c>
      <c r="Q45" s="1" t="s">
        <v>1</v>
      </c>
      <c r="R45" s="1" t="s">
        <v>1</v>
      </c>
      <c r="S45" s="1" t="s">
        <v>1</v>
      </c>
      <c r="T45" s="1" t="s">
        <v>1</v>
      </c>
      <c r="U45" s="1" t="s">
        <v>1</v>
      </c>
      <c r="V45" s="1" t="s">
        <v>1</v>
      </c>
    </row>
    <row r="46" spans="1:22" ht="12.75" customHeight="1" x14ac:dyDescent="0.2">
      <c r="A46" t="s">
        <v>30</v>
      </c>
      <c r="B46" s="1">
        <v>12433768.999999998</v>
      </c>
      <c r="C46" s="1">
        <v>13374000</v>
      </c>
      <c r="D46" s="1">
        <v>13596262.999999994</v>
      </c>
      <c r="E46" s="1">
        <v>13161688.000000006</v>
      </c>
      <c r="F46" s="1" t="s">
        <v>1</v>
      </c>
      <c r="G46" s="1" t="s">
        <v>1</v>
      </c>
      <c r="H46" s="1" t="s">
        <v>1</v>
      </c>
      <c r="I46" s="1" t="s">
        <v>1</v>
      </c>
      <c r="J46" s="1" t="s">
        <v>1</v>
      </c>
      <c r="K46" s="1" t="s">
        <v>1</v>
      </c>
      <c r="L46" s="1" t="s">
        <v>1</v>
      </c>
      <c r="M46" s="1" t="s">
        <v>1</v>
      </c>
      <c r="N46" s="1" t="s">
        <v>1</v>
      </c>
      <c r="O46" s="1" t="s">
        <v>1</v>
      </c>
      <c r="P46" s="1" t="s">
        <v>1</v>
      </c>
      <c r="Q46" s="1" t="s">
        <v>1</v>
      </c>
      <c r="R46" s="1" t="s">
        <v>1</v>
      </c>
      <c r="S46" s="1" t="s">
        <v>1</v>
      </c>
      <c r="T46" s="1" t="s">
        <v>1</v>
      </c>
      <c r="U46" s="1" t="s">
        <v>1</v>
      </c>
      <c r="V46" s="1" t="s">
        <v>1</v>
      </c>
    </row>
    <row r="47" spans="1:22" ht="12.75" customHeight="1" x14ac:dyDescent="0.2">
      <c r="A47" t="s">
        <v>31</v>
      </c>
      <c r="B47" s="1">
        <v>0</v>
      </c>
      <c r="C47" s="1">
        <v>0</v>
      </c>
      <c r="D47" s="1">
        <v>0</v>
      </c>
      <c r="E47" s="1">
        <v>0</v>
      </c>
      <c r="F47" s="1" t="s">
        <v>1</v>
      </c>
      <c r="G47" s="1" t="s">
        <v>1</v>
      </c>
      <c r="H47" s="1" t="s">
        <v>1</v>
      </c>
      <c r="I47" s="1" t="s">
        <v>1</v>
      </c>
      <c r="J47" s="1" t="s">
        <v>1</v>
      </c>
      <c r="K47" s="1" t="s">
        <v>1</v>
      </c>
      <c r="L47" s="1" t="s">
        <v>1</v>
      </c>
      <c r="M47" s="1" t="s">
        <v>1</v>
      </c>
      <c r="N47" s="1" t="s">
        <v>1</v>
      </c>
      <c r="O47" s="1" t="s">
        <v>1</v>
      </c>
      <c r="P47" s="1" t="s">
        <v>1</v>
      </c>
      <c r="Q47" s="1" t="s">
        <v>1</v>
      </c>
      <c r="R47" s="1" t="s">
        <v>1</v>
      </c>
      <c r="S47" s="1" t="s">
        <v>1</v>
      </c>
      <c r="T47" s="1" t="s">
        <v>1</v>
      </c>
      <c r="U47" s="1" t="s">
        <v>1</v>
      </c>
      <c r="V47" s="1" t="s">
        <v>1</v>
      </c>
    </row>
    <row r="48" spans="1:22" ht="12.75" customHeight="1" x14ac:dyDescent="0.2">
      <c r="A48" t="s">
        <v>32</v>
      </c>
      <c r="B48" s="1">
        <v>1897137.9999999998</v>
      </c>
      <c r="C48" s="1">
        <v>1873113</v>
      </c>
      <c r="D48" s="1">
        <v>1803468.9999999998</v>
      </c>
      <c r="E48" s="1">
        <v>1749035.0000000002</v>
      </c>
      <c r="F48" s="1" t="s">
        <v>1</v>
      </c>
      <c r="G48" s="1" t="s">
        <v>1</v>
      </c>
      <c r="H48" s="1" t="s">
        <v>1</v>
      </c>
      <c r="I48" s="1" t="s">
        <v>1</v>
      </c>
      <c r="J48" s="1" t="s">
        <v>1</v>
      </c>
      <c r="K48" s="1" t="s">
        <v>1</v>
      </c>
      <c r="L48" s="1" t="s">
        <v>1</v>
      </c>
      <c r="M48" s="1" t="s">
        <v>1</v>
      </c>
      <c r="N48" s="1" t="s">
        <v>1</v>
      </c>
      <c r="O48" s="1" t="s">
        <v>1</v>
      </c>
      <c r="P48" s="1" t="s">
        <v>1</v>
      </c>
      <c r="Q48" s="1" t="s">
        <v>1</v>
      </c>
      <c r="R48" s="1" t="s">
        <v>1</v>
      </c>
      <c r="S48" s="1" t="s">
        <v>1</v>
      </c>
      <c r="T48" s="1" t="s">
        <v>1</v>
      </c>
      <c r="U48" s="1" t="s">
        <v>1</v>
      </c>
      <c r="V48" s="1" t="s">
        <v>1</v>
      </c>
    </row>
    <row r="49" spans="1:22" ht="12.75" customHeight="1" x14ac:dyDescent="0.2">
      <c r="A49" t="s">
        <v>33</v>
      </c>
      <c r="B49" s="1">
        <v>75385578.99999997</v>
      </c>
      <c r="C49" s="1">
        <v>77623156.999999985</v>
      </c>
      <c r="D49" s="1">
        <v>79195624.000000015</v>
      </c>
      <c r="E49" s="1">
        <v>77262880.999999985</v>
      </c>
      <c r="F49" s="1" t="s">
        <v>1</v>
      </c>
      <c r="G49" s="1" t="s">
        <v>1</v>
      </c>
      <c r="H49" s="1" t="s">
        <v>1</v>
      </c>
      <c r="I49" s="1" t="s">
        <v>1</v>
      </c>
      <c r="J49" s="1" t="s">
        <v>1</v>
      </c>
      <c r="K49" s="1" t="s">
        <v>1</v>
      </c>
      <c r="L49" s="1" t="s">
        <v>1</v>
      </c>
      <c r="M49" s="1" t="s">
        <v>1</v>
      </c>
      <c r="N49" s="1" t="s">
        <v>1</v>
      </c>
      <c r="O49" s="1" t="s">
        <v>1</v>
      </c>
      <c r="P49" s="1" t="s">
        <v>1</v>
      </c>
      <c r="Q49" s="1" t="s">
        <v>1</v>
      </c>
      <c r="R49" s="1" t="s">
        <v>1</v>
      </c>
      <c r="S49" s="1" t="s">
        <v>1</v>
      </c>
      <c r="T49" s="1" t="s">
        <v>1</v>
      </c>
      <c r="U49" s="1" t="s">
        <v>1</v>
      </c>
      <c r="V49" s="1" t="s">
        <v>1</v>
      </c>
    </row>
    <row r="50" spans="1:22" ht="12.75" customHeight="1" x14ac:dyDescent="0.2">
      <c r="A50" t="s">
        <v>179</v>
      </c>
      <c r="B50" s="1">
        <v>0</v>
      </c>
      <c r="C50" s="1">
        <v>0</v>
      </c>
      <c r="D50" s="1">
        <v>0</v>
      </c>
      <c r="E50" s="1">
        <v>0</v>
      </c>
    </row>
    <row r="51" spans="1:22" ht="12.75" customHeight="1" x14ac:dyDescent="0.2">
      <c r="A51" t="s">
        <v>35</v>
      </c>
      <c r="B51" s="1">
        <v>233196541.99999991</v>
      </c>
      <c r="C51" s="1">
        <v>237327053.99999997</v>
      </c>
      <c r="D51" s="1">
        <v>243642859.99999997</v>
      </c>
      <c r="E51" s="1">
        <v>248328292.00000009</v>
      </c>
    </row>
    <row r="52" spans="1:22" ht="12.75" customHeight="1" x14ac:dyDescent="0.2">
      <c r="A52" t="s">
        <v>36</v>
      </c>
      <c r="B52" s="1">
        <v>4408033</v>
      </c>
      <c r="C52" s="1">
        <v>5859954.0000000596</v>
      </c>
      <c r="D52" s="1">
        <v>10778375.000000119</v>
      </c>
      <c r="E52" s="1">
        <v>6104886.9999998212</v>
      </c>
    </row>
    <row r="53" spans="1:22" ht="12.75" customHeight="1" x14ac:dyDescent="0.2">
      <c r="A53" t="s">
        <v>37</v>
      </c>
      <c r="B53" s="1">
        <v>-492377.00000000373</v>
      </c>
      <c r="C53" s="1">
        <v>5973111</v>
      </c>
      <c r="D53" s="1">
        <v>11380794</v>
      </c>
      <c r="E53" s="1">
        <v>7136913</v>
      </c>
    </row>
    <row r="54" spans="1:22" ht="12.75" customHeight="1" x14ac:dyDescent="0.2">
      <c r="A54" t="s">
        <v>38</v>
      </c>
      <c r="B54" s="1">
        <v>3915655.9999999963</v>
      </c>
      <c r="C54" s="1">
        <v>11833065.00000006</v>
      </c>
      <c r="D54" s="1">
        <v>22159169.000000119</v>
      </c>
      <c r="E54" s="1">
        <v>13241799.999999821</v>
      </c>
    </row>
  </sheetData>
  <mergeCells count="6">
    <mergeCell ref="A1:A2"/>
    <mergeCell ref="R1:U1"/>
    <mergeCell ref="F1:I1"/>
    <mergeCell ref="J1:M1"/>
    <mergeCell ref="N1:Q1"/>
    <mergeCell ref="C1: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6"/>
  <sheetViews>
    <sheetView workbookViewId="0">
      <selection activeCell="B12" sqref="B12"/>
    </sheetView>
  </sheetViews>
  <sheetFormatPr defaultRowHeight="12.75" x14ac:dyDescent="0.2"/>
  <sheetData>
    <row r="2" spans="1:2" ht="12.75" customHeight="1" x14ac:dyDescent="0.2">
      <c r="A2" t="s">
        <v>62</v>
      </c>
    </row>
    <row r="3" spans="1:2" ht="12.75" customHeight="1" x14ac:dyDescent="0.2">
      <c r="A3" t="s">
        <v>39</v>
      </c>
      <c r="B3" t="s">
        <v>84</v>
      </c>
    </row>
    <row r="4" spans="1:2" ht="12.75" customHeight="1" x14ac:dyDescent="0.2"/>
    <row r="5" spans="1:2" ht="12.75" customHeight="1" x14ac:dyDescent="0.2">
      <c r="A5" t="s">
        <v>40</v>
      </c>
      <c r="B5" t="s">
        <v>181</v>
      </c>
    </row>
    <row r="6" spans="1:2" ht="12.75" customHeight="1" x14ac:dyDescent="0.2">
      <c r="A6" t="s">
        <v>41</v>
      </c>
      <c r="B6"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Assumptions</vt:lpstr>
      <vt:lpstr>Table 1</vt:lpstr>
      <vt:lpstr>Table 2</vt:lpstr>
      <vt:lpstr>PL</vt:lpstr>
      <vt:lpstr>Report Data</vt:lpstr>
      <vt:lpstr>Report Info</vt:lpstr>
      <vt:lpstr>PL!Print_Area</vt:lpstr>
      <vt:lpstr>'Table 1'!Print_Area</vt:lpstr>
      <vt:lpstr>'Table 2'!Print_Area</vt:lpstr>
      <vt:lpstr>PL!Print_Titles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2008-12-12T22:09:54Z</dcterms:created>
  <dcterms:modified xsi:type="dcterms:W3CDTF">2017-05-19T13:39:47Z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TemplateVersion">
    <vt:i4>6</vt:i4>
  </property>
</Properties>
</file>