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workbookPr defaultThemeVersion="166925"/>
  <mc:AlternateContent xmlns:mc="http://schemas.openxmlformats.org/markup-compatibility/2006">
    <mc:Choice Requires="x15">
      <x15ac:absPath xmlns:x15ac="http://schemas.microsoft.com/office/spreadsheetml/2010/11/ac" url="S:\AOA\GMCB\GMCB - Shared\HCA-Special\HOME\HOSP\B2022\Appendix workbook\"/>
    </mc:Choice>
  </mc:AlternateContent>
  <xr:revisionPtr revIDLastSave="0" documentId="13_ncr:1_{3116D85F-A686-4AB4-A38D-5AFA4D1D793C}" xr6:coauthVersionLast="47" xr6:coauthVersionMax="47" xr10:uidLastSave="{00000000-0000-0000-0000-000000000000}"/>
  <bookViews>
    <workbookView xWindow="-120" yWindow="-120" windowWidth="29040" windowHeight="15840" tabRatio="889" activeTab="1" xr2:uid="{EDA287F5-79D0-4FF5-98F1-6BE045AC2F7D}"/>
  </bookViews>
  <sheets>
    <sheet name="Overview" sheetId="17" r:id="rId1"/>
    <sheet name="1. Reconciliation" sheetId="15" r:id="rId2"/>
    <sheet name="2. Charge and NPR Detail" sheetId="13" r:id="rId3"/>
    <sheet name="3. Utilization" sheetId="7" r:id="rId4"/>
    <sheet name="4. Inflation" sheetId="16" r:id="rId5"/>
    <sheet name="5. Vaccine Clinics and Testing" sheetId="21" r:id="rId6"/>
    <sheet name="6. Value Based Care Participati" sheetId="8" r:id="rId7"/>
    <sheet name="7. COVID-19 Advances, Relief Fu" sheetId="20" r:id="rId8"/>
    <sheet name="Edit of Request Summary" sheetId="4" r:id="rId9"/>
    <sheet name="Non-Financial- Reimb. Ratio" sheetId="9" state="hidden" r:id="rId10"/>
  </sheets>
  <externalReferences>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s>
  <definedNames>
    <definedName name="\B">#REF!</definedName>
    <definedName name="\D">#REF!</definedName>
    <definedName name="\E">#REF!</definedName>
    <definedName name="\F">#REF!</definedName>
    <definedName name="\H">#REF!</definedName>
    <definedName name="\L">#REF!</definedName>
    <definedName name="\M">#REF!</definedName>
    <definedName name="\S">#REF!</definedName>
    <definedName name="___A66000">[1]opsumm!#REF!</definedName>
    <definedName name="__A66000">[1]opsumm!#REF!</definedName>
    <definedName name="_A66000">[1]opsumm!#REF!</definedName>
    <definedName name="_CAP1">[2]CAP!#REF!</definedName>
    <definedName name="_Key1" hidden="1">'[3]000'!#REF!</definedName>
    <definedName name="_Order1" hidden="1">0</definedName>
    <definedName name="_Order2" hidden="1">0</definedName>
    <definedName name="_Parse_In" hidden="1">#REF!</definedName>
    <definedName name="_xlchart.v1.0" hidden="1">'1. Reconciliation'!$J$11:$J$18</definedName>
    <definedName name="_xlchart.v1.1" hidden="1">'1. Reconciliation'!$K$11:$K$18</definedName>
    <definedName name="_xlchart.v1.2" hidden="1">'1. Reconciliation'!$J$71:$J$77</definedName>
    <definedName name="_xlchart.v1.3" hidden="1">'1. Reconciliation'!$K$71:$K$77</definedName>
    <definedName name="Access_Load">#REF!</definedName>
    <definedName name="ACCT">[4]Hidden!$F$11</definedName>
    <definedName name="ADC_IP">#REF!</definedName>
    <definedName name="ADCTable">[5]ADC!$W$70:$AM$224</definedName>
    <definedName name="Adjusted_Patient_Days">#REF!</definedName>
    <definedName name="Admissions_Adjusted">#REF!</definedName>
    <definedName name="Admissions_IP">#REF!</definedName>
    <definedName name="AGE">#REF!</definedName>
    <definedName name="AR">#REF!</definedName>
    <definedName name="AREA_COLUMN_LABEL">[6]Evaluation!#REF!</definedName>
    <definedName name="B_BalSht">#REF!</definedName>
    <definedName name="Bal_Acct">#REF!</definedName>
    <definedName name="Bal_MTD">#REF!</definedName>
    <definedName name="Bal_YTD">#REF!</definedName>
    <definedName name="BalSht">#REF!</definedName>
    <definedName name="Budget">#REF!</definedName>
    <definedName name="BudgetInput">'[7]Budget Input'!$C$10:$AN$302</definedName>
    <definedName name="CAP">[2]CAP!#REF!</definedName>
    <definedName name="Capital_Accounts">#REF!</definedName>
    <definedName name="colgroup">[4]Orientation!$G$6</definedName>
    <definedName name="colsegment">[4]Orientation!$F$6</definedName>
    <definedName name="Column1">[8]Options!$A$3:$A$85</definedName>
    <definedName name="Column2">[8]Options!$G$3:$G$120</definedName>
    <definedName name="Comm_AR">#REF!</definedName>
    <definedName name="Complexity_Factor">'[9]Client Profile'!$L$9</definedName>
    <definedName name="Consulting_Complexity_Factor">[9]Assumptions!$L$30</definedName>
    <definedName name="Contract_Complexity_Factor">[9]Assumptions!$K$30</definedName>
    <definedName name="Conversion_Complexity_Factor">[9]Assumptions!$H$30</definedName>
    <definedName name="CostCenter">#REF!</definedName>
    <definedName name="CritO">[10]OPReport!#REF!</definedName>
    <definedName name="Data">#REF!</definedName>
    <definedName name="DEPT">[4]Hidden!$D$11</definedName>
    <definedName name="drlFilter">[4]Settings!$D$27</definedName>
    <definedName name="End">#REF!</definedName>
    <definedName name="filter">[4]Settings!$B$14:$H$25</definedName>
    <definedName name="FM_Data">#REF!</definedName>
    <definedName name="fy2000_budget">'[11]FY Budget Items'!$B$15:$AA$26</definedName>
    <definedName name="FY2001_budget">'[11]FY Budget Items'!$B$2:$AF$13</definedName>
    <definedName name="FY2004_budget">'[11]FY Budget Items'!$B$2:$AS$13</definedName>
    <definedName name="FY2005_budget">'[11]FY Budget Items'!$B$2:$BB$13</definedName>
    <definedName name="GL_Codes">#REF!</definedName>
    <definedName name="Hardware_Complexity_Factor">[9]Assumptions!$C$30</definedName>
    <definedName name="Hardware_Depreciation_Term">[9]Assumptions!$C$20</definedName>
    <definedName name="hide1">[12]Cover!$A$18:$B$29</definedName>
    <definedName name="InSumm">#REF!</definedName>
    <definedName name="Interface_Complexity_Factor">[9]Assumptions!$G$30</definedName>
    <definedName name="IPsumm">#REF!</definedName>
    <definedName name="Level">'[9]Client Profile'!$L$7</definedName>
    <definedName name="LookupTable">'[7]Budget Input'!$H$882:$N$905</definedName>
    <definedName name="master_def">#REF!</definedName>
    <definedName name="Mcaid_AR">#REF!</definedName>
    <definedName name="Mcare_AR">#REF!</definedName>
    <definedName name="MetaSet">[4]Orientation!$C$22</definedName>
    <definedName name="monroe">#REF!</definedName>
    <definedName name="NetGross">'[13]Net to Gross'!$A$6:$L$132</definedName>
    <definedName name="Network_Complexity_Factor">[9]Assumptions!$E$30</definedName>
    <definedName name="NewAR">#REF!</definedName>
    <definedName name="o">#REF!</definedName>
    <definedName name="Operational_Accounts">#REF!</definedName>
    <definedName name="Operational_Accounts2">#REF!</definedName>
    <definedName name="opsumm">#REF!</definedName>
    <definedName name="Options">[14]List!$B$3:$B$52</definedName>
    <definedName name="OutSum">#REF!</definedName>
    <definedName name="Patient_Days_IP">#REF!</definedName>
    <definedName name="PAYER">#REF!</definedName>
    <definedName name="Peripheral_Complexity_Factor">[9]Assumptions!$F$30</definedName>
    <definedName name="Peripheral_Depreciation_Term">[9]Assumptions!$C$22</definedName>
    <definedName name="PL">#REF!</definedName>
    <definedName name="PosChange">'[15]Detailed Changes'!$B$41:$D$52</definedName>
    <definedName name="PPSSummary">#REF!</definedName>
    <definedName name="Prescriptions" hidden="1">{"add",#N/A,FALSE,"code"}</definedName>
    <definedName name="primtbl">[4]Orientation!$C$23</definedName>
    <definedName name="_xlnm.Print_Area" localSheetId="1">'1. Reconciliation'!$B$6:$O$116</definedName>
    <definedName name="_xlnm.Print_Area" localSheetId="2">'2. Charge and NPR Detail'!$A$2:$H$49</definedName>
    <definedName name="_xlnm.Print_Area" localSheetId="3">'3. Utilization'!$B$1:$D$17</definedName>
    <definedName name="_xlnm.Print_Area" localSheetId="4">'4. Inflation'!$B$1:$D$20</definedName>
    <definedName name="_xlnm.Print_Area" localSheetId="5">'5. Vaccine Clinics and Testing'!$B$7:$D$48</definedName>
    <definedName name="_xlnm.Print_Area" localSheetId="6">'6. Value Based Care Participati'!$B$2:$F$15</definedName>
    <definedName name="_xlnm.Print_Area" localSheetId="0">Overview!$A$1:$B$13</definedName>
    <definedName name="_xlnm.Print_Titles" localSheetId="1">'1. Reconciliation'!$2:$4</definedName>
    <definedName name="_xlnm.Print_Titles">#REF!</definedName>
    <definedName name="prof">#REF!</definedName>
    <definedName name="Rate_nmc" hidden="1">#REF!</definedName>
    <definedName name="Rate_nmc1" hidden="1">#REF!</definedName>
    <definedName name="REHAB">'[16]M''care IP DRG'!#REF!</definedName>
    <definedName name="report_type">[4]Orientation!$C$24</definedName>
    <definedName name="REPORT1">#REF!</definedName>
    <definedName name="REPORT11">#REF!</definedName>
    <definedName name="REPORT3">#REF!</definedName>
    <definedName name="REPORT4">#REF!</definedName>
    <definedName name="REPORT5">#REF!</definedName>
    <definedName name="REPORT6">#REF!</definedName>
    <definedName name="REPORT7">#REF!</definedName>
    <definedName name="REPORT8">#REF!</definedName>
    <definedName name="ReportVersion">[4]Settings!$D$5</definedName>
    <definedName name="RevbyPayor">[13]Stats!$A$8:$V$124</definedName>
    <definedName name="Revenue">#REF!</definedName>
    <definedName name="rngCreateLog">[4]Delivery!$B$12</definedName>
    <definedName name="rngFilePassword">[4]Delivery!$B$6</definedName>
    <definedName name="rngSourceTab">[4]Delivery!$E$8</definedName>
    <definedName name="rowgroup">[4]Orientation!$C$17</definedName>
    <definedName name="rowsegment">[4]Orientation!$B$17</definedName>
    <definedName name="ScenGrpList">OFFSET([17]Control!$AG$1,0,0,COUNTIF([17]Control!$AG:$AG,"&gt;"""),1)</definedName>
    <definedName name="Sequential_Group">[4]Settings!$J$6</definedName>
    <definedName name="Sequential_Segment">[4]Settings!$I$6</definedName>
    <definedName name="Sequential_Sort">[4]Settings!$I$10:$J$11</definedName>
    <definedName name="Slicer_Category">#N/A</definedName>
    <definedName name="Software_Complexity_Factor">[9]Assumptions!$D$30</definedName>
    <definedName name="Software_Depreciation_Term">[9]Assumptions!$C$21</definedName>
    <definedName name="sortcol">#REF!</definedName>
    <definedName name="Staff_Complexity_Factor">[9]Assumptions!$I$30</definedName>
    <definedName name="START">#REF!</definedName>
    <definedName name="STAT">[18]List!$A$2:$A$88</definedName>
    <definedName name="Stat2">[18]List!$A$2:$A$88</definedName>
    <definedName name="Supplemental_filter">[4]Settings!$C$31</definedName>
    <definedName name="Time">[8]Options!$L$4:$L$49</definedName>
    <definedName name="timeseries">[4]Orientation!$B$6:$C$13</definedName>
    <definedName name="Types">[19]t!$A$2:$A$7</definedName>
    <definedName name="Vendor_Complexity_Factor">[9]Assumptions!$J$30</definedName>
    <definedName name="w" hidden="1">{"add",#N/A,FALSE,"code"}</definedName>
    <definedName name="WC_AR">#REF!</definedName>
    <definedName name="wrn.rep1." hidden="1">{"add",#N/A,FALSE,"code"}</definedName>
    <definedName name="wrn.rep1._1" hidden="1">{"add",#N/A,FALSE,"code"}</definedName>
    <definedName name="x" hidden="1">#REF!</definedName>
    <definedName name="xperiod">[4]Orientation!$G$15</definedName>
    <definedName name="xtabin">[4]Hidden!$D$10:$H$11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35" i="20" l="1"/>
  <c r="H36" i="20" s="1"/>
  <c r="E16" i="16"/>
  <c r="E9" i="16"/>
  <c r="E10" i="16"/>
  <c r="E11" i="16"/>
  <c r="E12" i="16"/>
  <c r="E13" i="16"/>
  <c r="E14" i="16"/>
  <c r="E8" i="16"/>
  <c r="H12" i="20" l="1"/>
  <c r="F12" i="20" l="1"/>
  <c r="I12" i="20" s="1"/>
  <c r="I26" i="20"/>
  <c r="I25" i="20"/>
  <c r="I14" i="20" l="1"/>
  <c r="F14" i="20"/>
  <c r="C14" i="20" l="1"/>
  <c r="D14" i="15"/>
  <c r="F17" i="15"/>
  <c r="G14" i="15"/>
  <c r="G12" i="15"/>
  <c r="E11" i="15"/>
  <c r="D74" i="15"/>
  <c r="E18" i="15"/>
  <c r="E14" i="15"/>
  <c r="D11" i="15"/>
  <c r="G11" i="15"/>
  <c r="F11" i="15"/>
  <c r="D10" i="8"/>
  <c r="C36" i="21"/>
  <c r="F14" i="16" l="1"/>
  <c r="D106" i="15"/>
  <c r="D105" i="15"/>
  <c r="D104" i="15"/>
  <c r="D103" i="15"/>
  <c r="D102" i="15"/>
  <c r="D101" i="15"/>
  <c r="C40" i="15"/>
  <c r="D9" i="16"/>
  <c r="C21" i="21"/>
  <c r="C26" i="20"/>
  <c r="C25" i="20"/>
  <c r="F14" i="8"/>
  <c r="E14" i="8"/>
  <c r="D14" i="8"/>
  <c r="C16" i="20" l="1"/>
  <c r="C12" i="20"/>
  <c r="C15" i="20"/>
  <c r="C17" i="20"/>
  <c r="C18" i="20"/>
  <c r="C19" i="20"/>
  <c r="C20" i="20"/>
  <c r="C21" i="20"/>
  <c r="C22" i="20"/>
  <c r="C23" i="20"/>
  <c r="C24" i="20"/>
  <c r="C27" i="20"/>
  <c r="C13" i="20"/>
  <c r="C23" i="21" l="1"/>
  <c r="G72" i="15"/>
  <c r="F72" i="15"/>
  <c r="E17" i="15" l="1"/>
  <c r="D35" i="13"/>
  <c r="C47" i="15"/>
  <c r="C42" i="15"/>
  <c r="H13" i="15" l="1"/>
  <c r="C49" i="15"/>
  <c r="C46" i="15"/>
  <c r="C41" i="15"/>
  <c r="D10" i="7" l="1"/>
  <c r="D11" i="16" l="1"/>
  <c r="D10" i="16" l="1"/>
  <c r="D50" i="15" l="1"/>
  <c r="D51" i="15"/>
  <c r="D52" i="15"/>
  <c r="C48" i="15" l="1"/>
  <c r="D16" i="7"/>
  <c r="D16" i="16" l="1"/>
  <c r="F7" i="16"/>
  <c r="D38" i="15"/>
  <c r="G83" i="15"/>
  <c r="G85" i="15" s="1"/>
  <c r="G86" i="15" s="1"/>
  <c r="G23" i="15"/>
  <c r="G25" i="15" s="1"/>
  <c r="C74" i="15"/>
  <c r="C73" i="15"/>
  <c r="C72" i="15"/>
  <c r="C13" i="15"/>
  <c r="C12" i="15"/>
  <c r="F83" i="15"/>
  <c r="F85" i="15" s="1"/>
  <c r="F86" i="15" s="1"/>
  <c r="F23" i="15"/>
  <c r="F25" i="15" s="1"/>
  <c r="C19" i="15"/>
  <c r="C18" i="15"/>
  <c r="C17" i="15"/>
  <c r="C16" i="15"/>
  <c r="B12" i="4" s="1"/>
  <c r="C15" i="15"/>
  <c r="C14" i="15"/>
  <c r="K28" i="20"/>
  <c r="J28" i="20"/>
  <c r="I28" i="20"/>
  <c r="H28" i="20"/>
  <c r="G28" i="20"/>
  <c r="D28" i="20"/>
  <c r="E28" i="20"/>
  <c r="F28" i="20"/>
  <c r="F15" i="16"/>
  <c r="F13" i="16"/>
  <c r="F12" i="16"/>
  <c r="F11" i="16"/>
  <c r="F10" i="16"/>
  <c r="F9" i="16"/>
  <c r="F8" i="16"/>
  <c r="D21" i="13"/>
  <c r="C49" i="13"/>
  <c r="C39" i="13"/>
  <c r="D39" i="13"/>
  <c r="C15" i="13"/>
  <c r="H49" i="13"/>
  <c r="G49" i="13"/>
  <c r="F49" i="13"/>
  <c r="E48" i="13"/>
  <c r="D48" i="13" s="1"/>
  <c r="E47" i="13"/>
  <c r="D47" i="13" s="1"/>
  <c r="E46" i="13"/>
  <c r="D46" i="13" s="1"/>
  <c r="E45" i="13"/>
  <c r="E44" i="13"/>
  <c r="G39" i="13"/>
  <c r="E39" i="13"/>
  <c r="J25" i="13"/>
  <c r="I25" i="13"/>
  <c r="H25" i="13"/>
  <c r="G25" i="13"/>
  <c r="F25" i="13"/>
  <c r="C25" i="13"/>
  <c r="E24" i="13"/>
  <c r="E25" i="13" s="1"/>
  <c r="D23" i="13"/>
  <c r="D22" i="13"/>
  <c r="C109" i="15"/>
  <c r="E109" i="15" s="1"/>
  <c r="D107" i="15"/>
  <c r="D48" i="15"/>
  <c r="D47" i="15"/>
  <c r="C58" i="15"/>
  <c r="C27" i="21"/>
  <c r="D27" i="21"/>
  <c r="D23" i="21"/>
  <c r="F26" i="15" l="1"/>
  <c r="F35" i="13"/>
  <c r="F39" i="13" s="1"/>
  <c r="B10" i="4"/>
  <c r="B11" i="4"/>
  <c r="G26" i="15"/>
  <c r="H35" i="13"/>
  <c r="H39" i="13" s="1"/>
  <c r="B13" i="4"/>
  <c r="B14" i="4"/>
  <c r="D49" i="13"/>
  <c r="D25" i="13"/>
  <c r="C53" i="13"/>
  <c r="C28" i="20"/>
  <c r="C28" i="21"/>
  <c r="C38" i="21" s="1"/>
  <c r="C45" i="21" s="1"/>
  <c r="D53" i="13"/>
  <c r="E49" i="13"/>
  <c r="F53" i="13" s="1"/>
  <c r="D28" i="21"/>
  <c r="D38" i="21" s="1"/>
  <c r="D45" i="21" s="1"/>
  <c r="C28" i="15"/>
  <c r="D18" i="7"/>
  <c r="C39" i="15"/>
  <c r="D108" i="15"/>
  <c r="D46" i="15"/>
  <c r="D49" i="15"/>
  <c r="D45" i="15"/>
  <c r="H83" i="15"/>
  <c r="H85" i="15" s="1"/>
  <c r="H86" i="15" s="1"/>
  <c r="E83" i="15"/>
  <c r="E85" i="15" s="1"/>
  <c r="E86" i="15" s="1"/>
  <c r="D83" i="15"/>
  <c r="D85" i="15" s="1"/>
  <c r="D86" i="15" s="1"/>
  <c r="C82" i="15"/>
  <c r="C81" i="15"/>
  <c r="C80" i="15"/>
  <c r="C79" i="15"/>
  <c r="C78" i="15"/>
  <c r="C77" i="15"/>
  <c r="C76" i="15"/>
  <c r="C75" i="15"/>
  <c r="C71" i="15"/>
  <c r="E23" i="15"/>
  <c r="E25" i="15" s="1"/>
  <c r="H23" i="15"/>
  <c r="H25" i="15" s="1"/>
  <c r="H26" i="15" s="1"/>
  <c r="D23" i="15"/>
  <c r="D25" i="15" s="1"/>
  <c r="C20" i="15"/>
  <c r="C21" i="15"/>
  <c r="C22" i="15"/>
  <c r="C11" i="15"/>
  <c r="C54" i="13" l="1"/>
  <c r="D26" i="15"/>
  <c r="J35" i="13"/>
  <c r="J39" i="13" s="1"/>
  <c r="I35" i="13"/>
  <c r="I39" i="13" s="1"/>
  <c r="E26" i="15"/>
  <c r="C19" i="7"/>
  <c r="D42" i="21"/>
  <c r="D46" i="21" s="1"/>
  <c r="C42" i="21"/>
  <c r="C46" i="21" s="1"/>
  <c r="E53" i="13"/>
  <c r="C55" i="13"/>
  <c r="B15" i="4"/>
  <c r="C83" i="15"/>
  <c r="C88" i="15" l="1"/>
  <c r="C89" i="15" s="1"/>
  <c r="C85" i="15"/>
  <c r="C23" i="15"/>
  <c r="F54" i="13" l="1"/>
  <c r="F55" i="13" s="1"/>
  <c r="C86" i="15"/>
  <c r="B7" i="4" s="1"/>
  <c r="B5" i="4"/>
  <c r="C29" i="15"/>
  <c r="C31" i="15" s="1"/>
  <c r="C32" i="15" s="1"/>
  <c r="D100" i="15"/>
  <c r="D99" i="15"/>
  <c r="D98" i="15"/>
  <c r="D97" i="15"/>
  <c r="D96" i="15"/>
  <c r="D95" i="15"/>
  <c r="D109" i="15" l="1"/>
  <c r="C114" i="15"/>
  <c r="C115" i="15" s="1"/>
  <c r="D44" i="15"/>
  <c r="D43" i="15"/>
  <c r="D42" i="15"/>
  <c r="D41" i="15"/>
  <c r="D40" i="15"/>
  <c r="C111" i="15" l="1"/>
  <c r="C112" i="15" s="1"/>
  <c r="C25" i="15" l="1"/>
  <c r="C26" i="15" s="1"/>
  <c r="D54" i="13" l="1"/>
  <c r="D55" i="13" s="1"/>
  <c r="C53" i="15"/>
  <c r="E54" i="15" s="1"/>
  <c r="D39" i="15"/>
  <c r="D53" i="15" s="1"/>
  <c r="C59" i="15" l="1"/>
  <c r="C61" i="15" s="1"/>
  <c r="C62" i="15" s="1"/>
  <c r="B6" i="4"/>
  <c r="E54" i="13"/>
  <c r="E55" i="13" s="1"/>
  <c r="C55" i="15"/>
  <c r="C56" i="15" s="1"/>
</calcChain>
</file>

<file path=xl/sharedStrings.xml><?xml version="1.0" encoding="utf-8"?>
<sst xmlns="http://schemas.openxmlformats.org/spreadsheetml/2006/main" count="383" uniqueCount="285">
  <si>
    <t>FY2022 Budget Reporting Requirements</t>
  </si>
  <si>
    <t>Appendices 1-7</t>
  </si>
  <si>
    <t>Do not Modify</t>
  </si>
  <si>
    <t>Appendix 1: Reconciliation Tables</t>
  </si>
  <si>
    <t>Appendix 2: Change in Charge</t>
  </si>
  <si>
    <t>Modify</t>
  </si>
  <si>
    <t>Appendix 3: Utilization</t>
  </si>
  <si>
    <t>Appendix 4: Inflation</t>
  </si>
  <si>
    <t>Appendix 5: Vaccine Clinics and Testing</t>
  </si>
  <si>
    <t>Appendix 6: Value-Based Care Participation</t>
  </si>
  <si>
    <t>Appendix 7: COVID-19 Advances, Relief Funds, and Other Grants</t>
  </si>
  <si>
    <t>Request Summary (automatically populated)</t>
  </si>
  <si>
    <t>Appendix 1</t>
  </si>
  <si>
    <t>Do not Modify, except for cells labeled "Other"</t>
  </si>
  <si>
    <t>Reconciliation Tables</t>
  </si>
  <si>
    <t>Budget-to-Budget</t>
  </si>
  <si>
    <t>Table 1: NPR Variance - FY 2021 Approved Budget to FY 2022 Proposed Budget</t>
  </si>
  <si>
    <t>NPR</t>
  </si>
  <si>
    <t>Total</t>
  </si>
  <si>
    <t>Total Medicare</t>
  </si>
  <si>
    <t>Total Medicaid</t>
  </si>
  <si>
    <t>Total Commercial</t>
  </si>
  <si>
    <t>FY 2021 Approved Budget</t>
  </si>
  <si>
    <t>NPR/FPP Rate Impact</t>
  </si>
  <si>
    <t>Utilization (not factored into change in charge request)</t>
  </si>
  <si>
    <t>Provider Acquisitions/Transfers</t>
  </si>
  <si>
    <t>Changes in Accounting</t>
  </si>
  <si>
    <t>Reimbursement/Payer Mix</t>
  </si>
  <si>
    <t>Other (specify)</t>
  </si>
  <si>
    <t>FY 2022 Proposed Budget</t>
  </si>
  <si>
    <t>$ Change from FY 2021 Approved Budget</t>
  </si>
  <si>
    <t>% Change from FY 2021 Approved Budget</t>
  </si>
  <si>
    <t>Impact of COVID-19 vaccination clinics and testing</t>
  </si>
  <si>
    <t>FY 2022 Proposed Budget without COVID-19 vaccination clinics and testing</t>
  </si>
  <si>
    <t>$ Change from FY 2021 Approved Budget to Adjusted FY 2022</t>
  </si>
  <si>
    <t>% Change from FY 2021 Approved Budget to Adjusted FY 2022</t>
  </si>
  <si>
    <t>Table 2: FY 2021 Approved Expenses to FY 2022 Proposed Budget</t>
  </si>
  <si>
    <t>Expenses</t>
  </si>
  <si>
    <t>Amount</t>
  </si>
  <si>
    <t>% over/under</t>
  </si>
  <si>
    <t>FY 21 Approved Budget</t>
  </si>
  <si>
    <t>New Positions</t>
  </si>
  <si>
    <t>Inflation Increases</t>
  </si>
  <si>
    <t>Salaries</t>
  </si>
  <si>
    <t>Fringe</t>
  </si>
  <si>
    <t>Travelers (nurses)</t>
  </si>
  <si>
    <t>Locum tenans (MDs)</t>
  </si>
  <si>
    <t>Drugs</t>
  </si>
  <si>
    <t>Health Care Provider Tax</t>
  </si>
  <si>
    <t>Cost Savings</t>
  </si>
  <si>
    <t>Other (specify, add additional rows as necessary)</t>
  </si>
  <si>
    <t>FY 22 Proposed Budget</t>
  </si>
  <si>
    <t>Projection-to-Budget</t>
  </si>
  <si>
    <t>Table 3: NPR Variance - FY 2021 Projection to FY 2022 Proposed Budget</t>
  </si>
  <si>
    <t>Projection derived as of:</t>
  </si>
  <si>
    <t>(ex. May 2021 year-to-date)</t>
  </si>
  <si>
    <t>FY 2021 Projection</t>
  </si>
  <si>
    <t>Rate Effect</t>
  </si>
  <si>
    <t>Disproportionate Share Payments (DSH)</t>
  </si>
  <si>
    <t>Utilization (not factoring in change in charge request)</t>
  </si>
  <si>
    <t>Fixed Prospective Payments</t>
  </si>
  <si>
    <t>Bad Debt/Free Care</t>
  </si>
  <si>
    <t>$ Change from FY 2021 Projection</t>
  </si>
  <si>
    <t>% Change from FY 2021 Projection</t>
  </si>
  <si>
    <t>$ Change from FY 2021 Projection to Adjusted FY 2022</t>
  </si>
  <si>
    <t>% Change from FY 2021 Projection to Adjusted FY 2022</t>
  </si>
  <si>
    <t>Table 4: FY 2021 Projected Expenses to FY 2022 Proposed Budget</t>
  </si>
  <si>
    <t>Appendix 2</t>
  </si>
  <si>
    <t>Charge and NPR Detail</t>
  </si>
  <si>
    <t>The following tables demonstrate the hospital's charges by payer from your requested charge master increase.</t>
  </si>
  <si>
    <r>
      <rPr>
        <b/>
        <sz val="11"/>
        <color theme="1"/>
        <rFont val="Calibri"/>
        <family val="2"/>
      </rPr>
      <t>Table 1:</t>
    </r>
    <r>
      <rPr>
        <sz val="11"/>
        <color theme="1"/>
        <rFont val="Calibri"/>
        <family val="2"/>
      </rPr>
      <t xml:space="preserve">  Please provide the requested charge master increase by area of service without of utilization and acuity. </t>
    </r>
  </si>
  <si>
    <t>Charge Master Increase Schedule (Charge Increase)</t>
  </si>
  <si>
    <t>Area of Service</t>
  </si>
  <si>
    <t>FY 22 Budget Total Charge Master Increase ($)</t>
  </si>
  <si>
    <t>FY 22 Budget Total Charge Master Increase (%)</t>
  </si>
  <si>
    <t>Hospital Inpatient (Incl. SNF &amp; Rehab)</t>
  </si>
  <si>
    <t>Hospital Outpatient</t>
  </si>
  <si>
    <t>Professional Services</t>
  </si>
  <si>
    <t>Overall Increase in Gross Revenues Across All Categories</t>
  </si>
  <si>
    <t>Budget-to-Budget Variance (%)</t>
  </si>
  <si>
    <t>In State</t>
  </si>
  <si>
    <t>Other</t>
  </si>
  <si>
    <r>
      <rPr>
        <b/>
        <sz val="11"/>
        <color theme="1"/>
        <rFont val="Calibri"/>
        <family val="2"/>
      </rPr>
      <t>Table 3:</t>
    </r>
    <r>
      <rPr>
        <sz val="11"/>
        <color theme="1"/>
        <rFont val="Calibri"/>
        <family val="2"/>
      </rPr>
      <t xml:space="preserve">  Please provide FY21 budgeted NPR/FPP and FY22 budgeted NPR/FPP by category of service taking into account the gross revenue assumptions in Table 2. </t>
    </r>
  </si>
  <si>
    <t>Areas of Service</t>
  </si>
  <si>
    <t>FY21 Budget NPR</t>
  </si>
  <si>
    <t>Budget-to-Budget Variance ($)</t>
  </si>
  <si>
    <t>FY22 Budget NPR</t>
  </si>
  <si>
    <t>FY21 Budget FPP</t>
  </si>
  <si>
    <t>FY22 Total Budget FPP</t>
  </si>
  <si>
    <t>Reserves</t>
  </si>
  <si>
    <t>Other Reform Payments</t>
  </si>
  <si>
    <t>FY21 Budget NPR/FPP</t>
  </si>
  <si>
    <t>FY22 Budget NPR/FPP</t>
  </si>
  <si>
    <t>Total Overall NPR/FPP</t>
  </si>
  <si>
    <t>From 1. Reconciliation tab</t>
  </si>
  <si>
    <t>Variance (should be 0)</t>
  </si>
  <si>
    <r>
      <rPr>
        <b/>
        <sz val="11"/>
        <color theme="1"/>
        <rFont val="Calibri"/>
        <family val="2"/>
      </rPr>
      <t>Table 4:</t>
    </r>
    <r>
      <rPr>
        <sz val="11"/>
        <color theme="1"/>
        <rFont val="Calibri"/>
        <family val="2"/>
      </rPr>
      <t xml:space="preserve"> Please indicate the NPR/FPP FY2022 dollar value of 1% overall change in charge.</t>
    </r>
  </si>
  <si>
    <t>NPR/FPP value of 1% Overall Change in Charge</t>
  </si>
  <si>
    <t>Appendix 3</t>
  </si>
  <si>
    <t>Utilization</t>
  </si>
  <si>
    <t>Category of Service</t>
  </si>
  <si>
    <t>Total increase in Gross Revenues (%)</t>
  </si>
  <si>
    <t>Total increase in Gross Revenues ($)</t>
  </si>
  <si>
    <t>$ Change from FY 2021 Approved budget</t>
  </si>
  <si>
    <t>% Change from FY 2021 Approved budget</t>
  </si>
  <si>
    <t>Does not need to tie to P&amp;L</t>
  </si>
  <si>
    <t>Appendix 4</t>
  </si>
  <si>
    <t>Inflation</t>
  </si>
  <si>
    <t>Expense Category</t>
  </si>
  <si>
    <t>Estimated Inflation</t>
  </si>
  <si>
    <t>Comment</t>
  </si>
  <si>
    <t>% Increase</t>
  </si>
  <si>
    <t>$ Increase</t>
  </si>
  <si>
    <t>Category % of Operating Expense Budget</t>
  </si>
  <si>
    <t>Example: Wages/Compensation- Medical Staff</t>
  </si>
  <si>
    <t>This is inflation price effect only, does not account for new hires (volume).</t>
  </si>
  <si>
    <t>Wages/Compensation - Medical Staff</t>
  </si>
  <si>
    <t>Wages/Compensation - Non-Medical Staff</t>
  </si>
  <si>
    <t>Medical Supplies</t>
  </si>
  <si>
    <t>Other (Please Specify)</t>
  </si>
  <si>
    <t>*should be 100%</t>
  </si>
  <si>
    <t>Not intended for systemwide look or comparative analysis</t>
  </si>
  <si>
    <t>Appendix 5</t>
  </si>
  <si>
    <t>Vaccine Clinics and Testing</t>
  </si>
  <si>
    <t>Where is your hospital reporting Vaccine/Testing Revenues and Expenses?</t>
  </si>
  <si>
    <t>Fiscal Year 2022 Budget Analysis</t>
  </si>
  <si>
    <t>INCOME STATEMENT</t>
  </si>
  <si>
    <t>2021 Projection Vaccine/Testing Income Statement Supplement</t>
  </si>
  <si>
    <t>2022 Budget Vaccine/Testing Income Statement Supplement</t>
  </si>
  <si>
    <t>Revenues</t>
  </si>
  <si>
    <t>Gross Patient Care Revenue</t>
  </si>
  <si>
    <t>Disproportionate Share Payments</t>
  </si>
  <si>
    <t>Graduate Medical Education (UVMMC only)</t>
  </si>
  <si>
    <t>Bad Debt</t>
  </si>
  <si>
    <t>Free Care</t>
  </si>
  <si>
    <t>Deductions from Revenue</t>
  </si>
  <si>
    <t>Net Patient Care Revenue</t>
  </si>
  <si>
    <t>Fixed Prospective Payments, Reserves &amp; Other</t>
  </si>
  <si>
    <t>Total NPR &amp; FPP</t>
  </si>
  <si>
    <t>COVID-19 Stimulus and Other Grant Funding</t>
  </si>
  <si>
    <t>Other Operating Revenue</t>
  </si>
  <si>
    <t>Total Operating Revenue</t>
  </si>
  <si>
    <t>Salaries, Fringe Benefits, Physician Fees, Contracts</t>
  </si>
  <si>
    <t>Medical/Surgical Drugs and Supplies</t>
  </si>
  <si>
    <t>Depreciation/Amortization</t>
  </si>
  <si>
    <t>Interest - Short and Long Term</t>
  </si>
  <si>
    <t>Other Operating Expenses (includes ACO Participation Fees)</t>
  </si>
  <si>
    <t>Operating Expense</t>
  </si>
  <si>
    <t>Net Operating Income</t>
  </si>
  <si>
    <t>Non Operating Revenue</t>
  </si>
  <si>
    <t>Excess (Deficit) of Rev over Exp</t>
  </si>
  <si>
    <t>Income Statement Metrics</t>
  </si>
  <si>
    <t>Operating Margin %</t>
  </si>
  <si>
    <t>Total Margin %</t>
  </si>
  <si>
    <t>edit from P&amp;L</t>
  </si>
  <si>
    <t>Appendix 6</t>
  </si>
  <si>
    <t>Value-Based Care Participation</t>
  </si>
  <si>
    <t>Complete the following table if the hospital is participating in one or more of value-based care programs. If the hospital is not participating in value-based care programs, please indicate in the narrative.</t>
  </si>
  <si>
    <t>Value-Based Care Program</t>
  </si>
  <si>
    <t xml:space="preserve">Participating in Program in Calendar Year (CY) 2022? </t>
  </si>
  <si>
    <t xml:space="preserve">Budgeted Number of Attributed Lives (monthly average </t>
  </si>
  <si>
    <t xml:space="preserve">Budgeted Amount of FPP (monthly average </t>
  </si>
  <si>
    <t xml:space="preserve">Budgeted Maximum Upside/Downside Risk </t>
  </si>
  <si>
    <t>(Yes/No)</t>
  </si>
  <si>
    <t xml:space="preserve"> for CY 2022)</t>
  </si>
  <si>
    <t xml:space="preserve"> for CY 2022</t>
  </si>
  <si>
    <t>Medicaid</t>
  </si>
  <si>
    <t>Medicare</t>
  </si>
  <si>
    <t>Self-Insured</t>
  </si>
  <si>
    <t>TOTAL</t>
  </si>
  <si>
    <t>Appendix 7</t>
  </si>
  <si>
    <t>Do not Modify, except cells labeled "Other"</t>
  </si>
  <si>
    <t>COVID-19 Advances, Relief Funds, and Other Grants</t>
  </si>
  <si>
    <t>Description</t>
  </si>
  <si>
    <t>Amounts Received</t>
  </si>
  <si>
    <t>Recognized in Revenues</t>
  </si>
  <si>
    <t>Recorded as a liability</t>
  </si>
  <si>
    <t>As of Sept. 30, 2020</t>
  </si>
  <si>
    <t>As of Sept. 30, 2021</t>
  </si>
  <si>
    <t>As of Sept. 30, 2022</t>
  </si>
  <si>
    <t>Medicare Advance - Repayment</t>
  </si>
  <si>
    <t>VT Blue Cross Advance</t>
  </si>
  <si>
    <t>VT Healthcare Stabilization Grant</t>
  </si>
  <si>
    <t>VT Medicaid Retainer Funding</t>
  </si>
  <si>
    <t>VT Hazard Pay Grant</t>
  </si>
  <si>
    <t>VT Unemployment Credit - CARES Act</t>
  </si>
  <si>
    <t>CARES Workforce Retention Credit</t>
  </si>
  <si>
    <t>Totals</t>
  </si>
  <si>
    <t>EDIT Summary of Budget Request</t>
  </si>
  <si>
    <t>Do not Modify- Do not Populate</t>
  </si>
  <si>
    <t>This worksheet is formula driven and will automatically populate with data provided in "1. Reconciliation"</t>
  </si>
  <si>
    <t>FY 2022 NPR/FPP</t>
  </si>
  <si>
    <t>% Increase over FY 2021 Approved Budget</t>
  </si>
  <si>
    <t>% Increase over FY 2021 Projection</t>
  </si>
  <si>
    <t>Components of Request</t>
  </si>
  <si>
    <t>Total NPR/FPP change</t>
  </si>
  <si>
    <t>Non-financial reporting</t>
  </si>
  <si>
    <t>Hosptial</t>
  </si>
  <si>
    <t>Commercial</t>
  </si>
  <si>
    <t>BMH</t>
  </si>
  <si>
    <t>DNR</t>
  </si>
  <si>
    <t>COP**</t>
  </si>
  <si>
    <t>CVMC***</t>
  </si>
  <si>
    <t>GCH</t>
  </si>
  <si>
    <t>GMC</t>
  </si>
  <si>
    <t>MAHHC</t>
  </si>
  <si>
    <t>NCH</t>
  </si>
  <si>
    <t>NMC</t>
  </si>
  <si>
    <t>NVRH</t>
  </si>
  <si>
    <t>PMC</t>
  </si>
  <si>
    <t>RRMC*</t>
  </si>
  <si>
    <t>SPR</t>
  </si>
  <si>
    <t>SVMC</t>
  </si>
  <si>
    <t>UVMMC</t>
  </si>
  <si>
    <r>
      <rPr>
        <b/>
        <sz val="11"/>
        <color theme="1"/>
        <rFont val="Calibri"/>
        <family val="2"/>
        <scheme val="minor"/>
      </rPr>
      <t>Budget Narrative:</t>
    </r>
    <r>
      <rPr>
        <sz val="11"/>
        <color theme="1"/>
        <rFont val="Calibri"/>
        <family val="2"/>
        <scheme val="minor"/>
      </rPr>
      <t xml:space="preserve"> Appendices 1-6 will be assessed in the context of the hospital's budget narrative. Variations or further explanations of the data should be addressed in the hospital's budget narrative. 
</t>
    </r>
    <r>
      <rPr>
        <b/>
        <sz val="11"/>
        <color theme="1"/>
        <rFont val="Calibri"/>
        <family val="2"/>
        <scheme val="minor"/>
      </rPr>
      <t>Modify:</t>
    </r>
    <r>
      <rPr>
        <sz val="11"/>
        <color theme="1"/>
        <rFont val="Calibri"/>
        <family val="2"/>
        <scheme val="minor"/>
      </rPr>
      <t xml:space="preserve"> Appendices marked "Modify" (tabs colored blue) may be altered to accommodate each hospital's individual needs. Please overwrite categories to best suit the hospital's needs. 
</t>
    </r>
    <r>
      <rPr>
        <b/>
        <sz val="11"/>
        <color theme="1"/>
        <rFont val="Calibri"/>
        <family val="2"/>
        <scheme val="minor"/>
      </rPr>
      <t>Do not Modify:</t>
    </r>
    <r>
      <rPr>
        <sz val="11"/>
        <color theme="1"/>
        <rFont val="Calibri"/>
        <family val="2"/>
        <scheme val="minor"/>
      </rPr>
      <t xml:space="preserve"> Appendices labeled "Do not Modify" (tabs colored yellow) should not be altered, except for cells designated for additional categories, labeled "Other". The purpose of restricted modification in certain appendices is to ensure systemwide tabulations.</t>
    </r>
  </si>
  <si>
    <t xml:space="preserve">Identify key categories of operating expense inflation and provide the estimated inflation factor. This is not an assessment of overall growth of the category (i.e.-does not need to tie to the P&amp;L). It should focus on price effects only (not utilization growth or new hires).  Please follow the prompted categories below. Use the 'Other' lines to capture line items not listed that cover 5% or more of the budget, and then one as a "catch all" category so the entire operating expense budget is covered (i.e. Category % of Operating Expense Budget is 100%). Please explain inflation assumptions in the comment column.   </t>
  </si>
  <si>
    <t>Grand Total</t>
  </si>
  <si>
    <t>PPP Funds</t>
  </si>
  <si>
    <t>Total Self-Pay/Other</t>
  </si>
  <si>
    <t>NPR ($) Analysis by Payer</t>
  </si>
  <si>
    <t>FPP ($) Analysis by Payer</t>
  </si>
  <si>
    <t>FY21 Budget Gross Revenue</t>
  </si>
  <si>
    <t>FY 22 Budget Gross Revenue</t>
  </si>
  <si>
    <t xml:space="preserve">Gross Revenue by Commercial Payer 
</t>
  </si>
  <si>
    <t xml:space="preserve">Gross Revenue by Self-Pay/Other      </t>
  </si>
  <si>
    <t xml:space="preserve">Gross Revenue by Medicaid
</t>
  </si>
  <si>
    <t xml:space="preserve">Gross Revenue by Medicare
</t>
  </si>
  <si>
    <t>Gross Revenue ($) Analysis by Payer</t>
  </si>
  <si>
    <t xml:space="preserve"> NPR by Commercial Payer</t>
  </si>
  <si>
    <t xml:space="preserve"> NPR by Self-Pay/Other</t>
  </si>
  <si>
    <t>NPR by Medicaid</t>
  </si>
  <si>
    <t>NPR by Medicare</t>
  </si>
  <si>
    <t>FPP by Medicaid</t>
  </si>
  <si>
    <t>FPP by Medicare</t>
  </si>
  <si>
    <t>Total FPP Across All Categories</t>
  </si>
  <si>
    <t>Total NPR Across All Categories</t>
  </si>
  <si>
    <t>Total Gross Revenues Across All Categories</t>
  </si>
  <si>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</si>
  <si>
    <t>Commercial (not Self-Insured)</t>
  </si>
  <si>
    <t>DSH</t>
  </si>
  <si>
    <t>from Appendix 4. Inflation (price effect only)</t>
  </si>
  <si>
    <t xml:space="preserve"> FPP by Commercial Payer (in state only)*</t>
  </si>
  <si>
    <t>*if possible</t>
  </si>
  <si>
    <t>tie to income statement</t>
  </si>
  <si>
    <t>Weighted Average 
(Column C * Column E)</t>
  </si>
  <si>
    <r>
      <t xml:space="preserve">Please denote the advances, relief funds, and other grants </t>
    </r>
    <r>
      <rPr>
        <i/>
        <sz val="12"/>
        <color rgb="FFFF0000"/>
        <rFont val="Calibri"/>
        <family val="2"/>
      </rPr>
      <t xml:space="preserve">received by the hospital </t>
    </r>
    <r>
      <rPr>
        <sz val="12"/>
        <color theme="1"/>
        <rFont val="Calibri"/>
        <family val="2"/>
      </rPr>
      <t>for COVID-19 as of the budget submission under the "Description" column. In addition, please note the amounts recognized in revenues or planned to be recognized in revenues, and/or recorded as a liability or planned to be recorded as a liability as of September 30, 2020, September 30, 2021 and September 30, 2022.</t>
    </r>
  </si>
  <si>
    <r>
      <rPr>
        <b/>
        <sz val="11"/>
        <color theme="1"/>
        <rFont val="Calibri"/>
        <family val="2"/>
      </rPr>
      <t>Table 2:</t>
    </r>
    <r>
      <rPr>
        <sz val="11"/>
        <color theme="1"/>
        <rFont val="Calibri"/>
        <family val="2"/>
      </rPr>
      <t xml:space="preserve">  Please indicate gross revenue by payer. This analysis should only take into consideration the charge master increase (Table 1), utilization assumptions, and acuity. </t>
    </r>
  </si>
  <si>
    <t xml:space="preserve">Physician activity </t>
  </si>
  <si>
    <t>MRI decrease (machine down in 2022)</t>
  </si>
  <si>
    <t>Added SCU PSIU Days</t>
  </si>
  <si>
    <t>Misc</t>
  </si>
  <si>
    <t>Depreciation</t>
  </si>
  <si>
    <t>Interest</t>
  </si>
  <si>
    <t>Physician wRVU Increase</t>
  </si>
  <si>
    <t>Med Surg Supplies related to volume</t>
  </si>
  <si>
    <t>IP Routine Volume (Back to Pre- Covid levels)</t>
  </si>
  <si>
    <t>OP Ancilliary Revenue (Back to Pre-Covid levels)</t>
  </si>
  <si>
    <t>Contract Staffing (Covid increase hrly rate)</t>
  </si>
  <si>
    <t xml:space="preserve">Inflation based on actual FYTD 2.28.21 CCR </t>
  </si>
  <si>
    <t>Inflation based on actual FYTD 2.28.21 CCR - and additional 2.2% inflation</t>
  </si>
  <si>
    <t>RRMC pays $20/hour additional to Contract Staffing for Covid</t>
  </si>
  <si>
    <t>Other Self Insurance</t>
  </si>
  <si>
    <t>Rate Increase</t>
  </si>
  <si>
    <t>IT Works/Information Systems</t>
  </si>
  <si>
    <t>Other (unable to provide NPR at Service Level)</t>
  </si>
  <si>
    <t>The NPR amount equal to 1% rate / Price increase is $1,246,892</t>
  </si>
  <si>
    <t>Other (Psych ICU and ADAP)</t>
  </si>
  <si>
    <t>HPP Grant</t>
  </si>
  <si>
    <t>VAHHS Grant</t>
  </si>
  <si>
    <t>DCF Grant</t>
  </si>
  <si>
    <t>Yes</t>
  </si>
  <si>
    <t>State Vaccine Clinic</t>
  </si>
  <si>
    <t>CIC Health</t>
  </si>
  <si>
    <t>ADAP</t>
  </si>
  <si>
    <t>Covid Exp(Vaccine Clinic, Specimen Collection, Crisis Prev.)</t>
  </si>
  <si>
    <t>Retail Pharmacy</t>
  </si>
  <si>
    <t>Misc (various cost centers)</t>
  </si>
  <si>
    <t>Retail and 340b Program</t>
  </si>
  <si>
    <t>FY 2021 Wage Increase not budgeted.  Budgeted 3% in FY 2021.  Minimum wage increase</t>
  </si>
  <si>
    <t>FEMA</t>
  </si>
  <si>
    <t xml:space="preserve">Note:  Capital purchases used to justify Provider Relief Funds were not recorded as revenue instead posted as a change in fund balance. </t>
  </si>
  <si>
    <r>
      <t xml:space="preserve">CARES Act Funding </t>
    </r>
    <r>
      <rPr>
        <u/>
        <sz val="11"/>
        <color theme="1"/>
        <rFont val="Calibri"/>
        <family val="2"/>
        <scheme val="minor"/>
      </rPr>
      <t>(see note below)</t>
    </r>
  </si>
  <si>
    <t xml:space="preserve">             For this reason the Fiscal 2021 recognized revenues in this schedule will not agree to the Fiscal 2021 projected Profit &amp; Loss.</t>
  </si>
  <si>
    <t>COVID related Capital</t>
  </si>
  <si>
    <t>COVID Relief Funds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</si>
</sst>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6" formatCode="&quot;$&quot;#,##0_);[Red]\(&quot;$&quot;#,##0\)"/>
    <numFmt numFmtId="44" formatCode="_(&quot;$&quot;* #,##0.00_);_(&quot;$&quot;* \(#,##0.00\);_(&quot;$&quot;* &quot;-&quot;??_);_(@_)"/>
    <numFmt numFmtId="43" formatCode="_(* #,##0.00_);_(* \(#,##0.00\);_(* &quot;-&quot;??_);_(@_)"/>
    <numFmt numFmtId="164" formatCode="0.0%"/>
    <numFmt numFmtId="165" formatCode="_(&quot;$&quot;* #,##0_);_(&quot;$&quot;* \(#,##0\);_(&quot;$&quot;* &quot;-&quot;??_);_(@_)"/>
    <numFmt numFmtId="166" formatCode="_(* #,##0_);_(* \(#,##0\);_(* &quot;-&quot;??_);_(@_)"/>
    <numFmt numFmtId="167" formatCode="&quot;$&quot;#,##0"/>
    <numFmt numFmtId="168" formatCode="&quot;$&quot;#,##0.00"/>
  </numFmts>
  <fonts count="33"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b/>
      <sz val="11"/>
      <color theme="1"/>
      <name val="Calibri"/>
      <family val="2"/>
    </font>
    <font>
      <sz val="14"/>
      <color theme="1"/>
      <name val="Calibri"/>
      <family val="2"/>
      <scheme val="minor"/>
    </font>
    <font>
      <u/>
      <sz val="11"/>
      <color theme="10"/>
      <name val="Calibri"/>
      <family val="2"/>
    </font>
    <font>
      <sz val="12"/>
      <color theme="1"/>
      <name val="Calibri"/>
      <family val="2"/>
      <scheme val="minor"/>
    </font>
    <font>
      <b/>
      <sz val="12"/>
      <color theme="1"/>
      <name val="Calibri"/>
      <family val="2"/>
      <scheme val="minor"/>
    </font>
    <font>
      <b/>
      <sz val="14"/>
      <color theme="1"/>
      <name val="Calibri"/>
      <family val="2"/>
      <scheme val="minor"/>
    </font>
    <font>
      <b/>
      <sz val="14"/>
      <color theme="1"/>
      <name val="Calibri"/>
      <family val="2"/>
    </font>
    <font>
      <b/>
      <sz val="10"/>
      <color theme="1"/>
      <name val="Calibri"/>
      <family val="2"/>
      <scheme val="minor"/>
    </font>
    <font>
      <sz val="10"/>
      <color theme="1"/>
      <name val="Calibri"/>
      <family val="2"/>
      <scheme val="minor"/>
    </font>
    <font>
      <b/>
      <sz val="16"/>
      <color theme="1"/>
      <name val="Calibri"/>
      <family val="2"/>
    </font>
    <font>
      <b/>
      <u/>
      <sz val="11"/>
      <color theme="1"/>
      <name val="Calibri"/>
      <family val="2"/>
      <scheme val="minor"/>
    </font>
    <font>
      <sz val="10.5"/>
      <color theme="1"/>
      <name val="Calibri"/>
      <family val="2"/>
      <scheme val="minor"/>
    </font>
    <font>
      <b/>
      <sz val="10.5"/>
      <color theme="1"/>
      <name val="Calibri"/>
      <family val="2"/>
      <scheme val="minor"/>
    </font>
    <font>
      <sz val="11"/>
      <color rgb="FFFF0000"/>
      <name val="Calibri"/>
      <family val="2"/>
      <scheme val="minor"/>
    </font>
    <font>
      <b/>
      <sz val="24"/>
      <color theme="1"/>
      <name val="Calibri"/>
      <family val="2"/>
      <scheme val="minor"/>
    </font>
    <font>
      <sz val="24"/>
      <color theme="1"/>
      <name val="Calibri"/>
      <family val="2"/>
      <scheme val="minor"/>
    </font>
    <font>
      <b/>
      <sz val="20"/>
      <color theme="1"/>
      <name val="Calibri"/>
      <family val="2"/>
      <scheme val="minor"/>
    </font>
    <font>
      <sz val="20"/>
      <color theme="1"/>
      <name val="Calibri"/>
      <family val="2"/>
      <scheme val="minor"/>
    </font>
    <font>
      <b/>
      <sz val="26"/>
      <color theme="1"/>
      <name val="Calibri"/>
      <family val="2"/>
      <scheme val="minor"/>
    </font>
    <font>
      <b/>
      <i/>
      <sz val="11"/>
      <color theme="1"/>
      <name val="Calibri"/>
      <family val="2"/>
    </font>
    <font>
      <sz val="11"/>
      <name val="Calibri"/>
      <family val="2"/>
    </font>
    <font>
      <i/>
      <sz val="11"/>
      <color theme="1"/>
      <name val="Calibri"/>
      <family val="2"/>
      <scheme val="minor"/>
    </font>
    <font>
      <b/>
      <sz val="24"/>
      <color theme="1"/>
      <name val="Calibri"/>
      <family val="2"/>
    </font>
    <font>
      <sz val="12"/>
      <color theme="1"/>
      <name val="Calibri"/>
      <family val="2"/>
    </font>
    <font>
      <i/>
      <sz val="12"/>
      <color rgb="FFFF0000"/>
      <name val="Calibri"/>
      <family val="2"/>
    </font>
    <font>
      <i/>
      <sz val="24"/>
      <color rgb="FFFF0000"/>
      <name val="Calibri"/>
      <family val="2"/>
      <scheme val="minor"/>
    </font>
    <font>
      <b/>
      <sz val="11"/>
      <color rgb="FFFF0000"/>
      <name val="Calibri"/>
      <family val="2"/>
      <scheme val="minor"/>
    </font>
    <font>
      <u/>
      <sz val="11"/>
      <color theme="1"/>
      <name val="Calibri"/>
      <family val="2"/>
      <scheme val="minor"/>
    </font>
  </fonts>
  <fills count="20">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theme="2" tint="-0.499984740745262"/>
        <bgColor indexed="64"/>
      </patternFill>
    </fill>
    <fill>
      <patternFill patternType="solid">
        <fgColor theme="0"/>
        <bgColor indexed="64"/>
      </patternFill>
    </fill>
    <fill>
      <patternFill patternType="solid">
        <fgColor theme="7" tint="0.79998168889431442"/>
        <bgColor indexed="64"/>
      </patternFill>
    </fill>
    <fill>
      <patternFill patternType="solid">
        <fgColor theme="2"/>
        <bgColor indexed="64"/>
      </patternFill>
    </fill>
    <fill>
      <patternFill patternType="solid">
        <fgColor theme="7"/>
        <bgColor indexed="64"/>
      </patternFill>
    </fill>
    <fill>
      <patternFill patternType="solid">
        <fgColor rgb="FFFFFF00"/>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0" tint="-0.499984740745262"/>
        <bgColor indexed="64"/>
      </patternFill>
    </fill>
    <fill>
      <patternFill patternType="solid">
        <fgColor theme="4"/>
        <bgColor indexed="64"/>
      </patternFill>
    </fill>
    <fill>
      <patternFill patternType="solid">
        <fgColor theme="7" tint="0.39997558519241921"/>
        <bgColor indexed="64"/>
      </patternFill>
    </fill>
    <fill>
      <patternFill patternType="solid">
        <fgColor theme="0" tint="-0.34998626667073579"/>
        <bgColor indexed="64"/>
      </patternFill>
    </fill>
    <fill>
      <patternFill patternType="solid">
        <fgColor theme="8" tint="0.39997558519241921"/>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theme="6"/>
        <bgColor indexed="64"/>
      </patternFill>
    </fill>
  </fills>
  <borders count="4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bottom/>
      <diagonal/>
    </border>
    <border>
      <left style="thin">
        <color auto="1"/>
      </left>
      <right style="thin">
        <color auto="1"/>
      </right>
      <top/>
      <bottom/>
      <diagonal/>
    </border>
    <border>
      <left style="medium">
        <color indexed="64"/>
      </left>
      <right style="thin">
        <color indexed="64"/>
      </right>
      <top/>
      <bottom/>
      <diagonal/>
    </border>
    <border>
      <left style="medium">
        <color indexed="64"/>
      </left>
      <right style="thin">
        <color auto="1"/>
      </right>
      <top style="thin">
        <color indexed="64"/>
      </top>
      <bottom style="double">
        <color indexed="64"/>
      </bottom>
      <diagonal/>
    </border>
    <border>
      <left style="thin">
        <color auto="1"/>
      </left>
      <right style="thin">
        <color auto="1"/>
      </right>
      <top style="thin">
        <color indexed="64"/>
      </top>
      <bottom style="double">
        <color indexed="64"/>
      </bottom>
      <diagonal/>
    </border>
    <border>
      <left style="medium">
        <color indexed="64"/>
      </left>
      <right/>
      <top/>
      <bottom style="medium">
        <color indexed="64"/>
      </bottom>
      <diagonal/>
    </border>
    <border>
      <left style="thin">
        <color auto="1"/>
      </left>
      <right style="thin">
        <color auto="1"/>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diagonal/>
    </border>
    <border>
      <left style="medium">
        <color indexed="64"/>
      </left>
      <right/>
      <top style="thin">
        <color indexed="64"/>
      </top>
      <bottom/>
      <diagonal/>
    </border>
    <border>
      <left style="medium">
        <color indexed="64"/>
      </left>
      <right/>
      <top style="thin">
        <color indexed="64"/>
      </top>
      <bottom style="double">
        <color indexed="64"/>
      </bottom>
      <diagonal/>
    </border>
  </borders>
  <cellStyleXfs count="8">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 fillId="0" borderId="0" applyNumberFormat="0" applyFill="0" applyBorder="0" applyAlignment="0" applyProtection="0"/>
    <xf numFmtId="0" fontId="4" fillId="0" borderId="0"/>
    <xf numFmtId="0" fontId="7" fillId="0" borderId="0" applyNumberFormat="0" applyFill="0" applyBorder="0" applyAlignment="0" applyProtection="0"/>
    <xf numFmtId="43" fontId="4" fillId="0" borderId="0" applyFont="0" applyFill="0" applyBorder="0" applyAlignment="0" applyProtection="0"/>
  </cellStyleXfs>
  <cellXfs count="417">
    <xf numFmtId="0" fontId="0" fillId="0" borderId="0" xfId="0"/>
    <xf numFmtId="0" fontId="4" fillId="0" borderId="0" xfId="5"/>
    <xf numFmtId="0" fontId="5" fillId="0" borderId="0" xfId="5" applyFont="1"/>
    <xf numFmtId="0" fontId="5" fillId="0" borderId="4" xfId="5" applyFont="1" applyBorder="1"/>
    <xf numFmtId="0" fontId="6" fillId="0" borderId="0" xfId="0" applyFont="1"/>
    <xf numFmtId="164" fontId="0" fillId="3" borderId="4" xfId="3" applyNumberFormat="1" applyFont="1" applyFill="1" applyBorder="1"/>
    <xf numFmtId="165" fontId="0" fillId="3" borderId="4" xfId="2" applyNumberFormat="1" applyFont="1" applyFill="1" applyBorder="1"/>
    <xf numFmtId="9" fontId="0" fillId="3" borderId="4" xfId="3" applyFont="1" applyFill="1" applyBorder="1"/>
    <xf numFmtId="164" fontId="0" fillId="0" borderId="4" xfId="3" applyNumberFormat="1" applyFont="1" applyBorder="1" applyAlignment="1">
      <alignment horizontal="right"/>
    </xf>
    <xf numFmtId="164" fontId="0" fillId="0" borderId="4" xfId="3" applyNumberFormat="1" applyFont="1" applyBorder="1" applyAlignment="1">
      <alignment horizontal="center"/>
    </xf>
    <xf numFmtId="0" fontId="0" fillId="0" borderId="4" xfId="0" applyBorder="1" applyAlignment="1">
      <alignment horizontal="right"/>
    </xf>
    <xf numFmtId="0" fontId="0" fillId="3" borderId="4" xfId="0" applyFill="1" applyBorder="1"/>
    <xf numFmtId="165" fontId="0" fillId="3" borderId="4" xfId="0" applyNumberFormat="1" applyFill="1" applyBorder="1"/>
    <xf numFmtId="164" fontId="0" fillId="3" borderId="4" xfId="3" applyNumberFormat="1" applyFont="1" applyFill="1" applyBorder="1" applyAlignment="1">
      <alignment horizontal="center"/>
    </xf>
    <xf numFmtId="165" fontId="0" fillId="0" borderId="0" xfId="0" applyNumberFormat="1"/>
    <xf numFmtId="164" fontId="0" fillId="0" borderId="0" xfId="3" applyNumberFormat="1" applyFont="1" applyAlignment="1">
      <alignment horizontal="center"/>
    </xf>
    <xf numFmtId="0" fontId="0" fillId="0" borderId="4" xfId="0" applyBorder="1"/>
    <xf numFmtId="0" fontId="3" fillId="0" borderId="0" xfId="4" applyAlignment="1">
      <alignment vertical="center"/>
    </xf>
    <xf numFmtId="0" fontId="4" fillId="0" borderId="0" xfId="5" applyFont="1" applyBorder="1" applyAlignment="1"/>
    <xf numFmtId="165" fontId="0" fillId="0" borderId="4" xfId="0" applyNumberFormat="1" applyBorder="1"/>
    <xf numFmtId="166" fontId="0" fillId="0" borderId="0" xfId="7" applyNumberFormat="1" applyFont="1"/>
    <xf numFmtId="0" fontId="4" fillId="0" borderId="0" xfId="5" applyFont="1"/>
    <xf numFmtId="166" fontId="0" fillId="0" borderId="0" xfId="1" applyNumberFormat="1" applyFont="1"/>
    <xf numFmtId="10" fontId="0" fillId="0" borderId="0" xfId="3" applyNumberFormat="1" applyFont="1"/>
    <xf numFmtId="166" fontId="0" fillId="0" borderId="0" xfId="0" applyNumberFormat="1"/>
    <xf numFmtId="6" fontId="0" fillId="0" borderId="4" xfId="0" applyNumberFormat="1" applyBorder="1"/>
    <xf numFmtId="0" fontId="8" fillId="0" borderId="0" xfId="0" applyFont="1" applyAlignment="1">
      <alignment vertical="center"/>
    </xf>
    <xf numFmtId="0" fontId="0" fillId="0" borderId="0" xfId="0" applyFont="1"/>
    <xf numFmtId="0" fontId="0" fillId="0" borderId="0" xfId="0" applyBorder="1"/>
    <xf numFmtId="0" fontId="0" fillId="0" borderId="4" xfId="0" applyFont="1" applyBorder="1" applyAlignment="1">
      <alignment horizontal="left"/>
    </xf>
    <xf numFmtId="0" fontId="0" fillId="0" borderId="4" xfId="0" applyFill="1" applyBorder="1"/>
    <xf numFmtId="0" fontId="8" fillId="0" borderId="0" xfId="5" applyFont="1"/>
    <xf numFmtId="0" fontId="8" fillId="0" borderId="5" xfId="5" applyFont="1" applyBorder="1" applyAlignment="1">
      <alignment horizontal="center" vertical="center" wrapText="1"/>
    </xf>
    <xf numFmtId="0" fontId="8" fillId="0" borderId="6" xfId="5" applyFont="1" applyBorder="1" applyAlignment="1">
      <alignment horizontal="left" vertical="top" wrapText="1"/>
    </xf>
    <xf numFmtId="0" fontId="8" fillId="0" borderId="7" xfId="5" applyFont="1" applyBorder="1" applyAlignment="1">
      <alignment horizontal="left" vertical="top" wrapText="1"/>
    </xf>
    <xf numFmtId="0" fontId="8" fillId="0" borderId="8" xfId="5" applyFont="1" applyBorder="1"/>
    <xf numFmtId="0" fontId="8" fillId="0" borderId="9" xfId="5" applyFont="1" applyBorder="1" applyAlignment="1">
      <alignment vertical="top"/>
    </xf>
    <xf numFmtId="0" fontId="8" fillId="0" borderId="10" xfId="5" applyFont="1" applyBorder="1" applyAlignment="1">
      <alignment vertical="top"/>
    </xf>
    <xf numFmtId="0" fontId="8" fillId="0" borderId="11" xfId="5" applyFont="1" applyBorder="1"/>
    <xf numFmtId="0" fontId="8" fillId="4" borderId="12" xfId="5" applyFont="1" applyFill="1" applyBorder="1"/>
    <xf numFmtId="0" fontId="1" fillId="0" borderId="0" xfId="5" applyFont="1"/>
    <xf numFmtId="0" fontId="8" fillId="0" borderId="0" xfId="5" applyFont="1" applyAlignment="1">
      <alignment horizontal="left"/>
    </xf>
    <xf numFmtId="0" fontId="3" fillId="0" borderId="0" xfId="6" applyFont="1" applyAlignment="1">
      <alignment horizontal="left"/>
    </xf>
    <xf numFmtId="168" fontId="4" fillId="5" borderId="0" xfId="5" applyNumberFormat="1" applyFont="1" applyFill="1" applyBorder="1"/>
    <xf numFmtId="0" fontId="8" fillId="0" borderId="0" xfId="0" applyFont="1" applyBorder="1" applyAlignment="1">
      <alignment vertical="center"/>
    </xf>
    <xf numFmtId="0" fontId="0" fillId="0" borderId="0" xfId="0" applyFont="1" applyBorder="1"/>
    <xf numFmtId="0" fontId="2" fillId="3" borderId="4" xfId="0" applyFont="1" applyFill="1" applyBorder="1"/>
    <xf numFmtId="0" fontId="5" fillId="0" borderId="4" xfId="5" applyFont="1" applyBorder="1" applyAlignment="1">
      <alignment horizontal="center" wrapText="1"/>
    </xf>
    <xf numFmtId="9" fontId="0" fillId="0" borderId="4" xfId="3" applyFont="1" applyBorder="1" applyAlignment="1">
      <alignment horizontal="center"/>
    </xf>
    <xf numFmtId="44" fontId="0" fillId="0" borderId="4" xfId="2" applyFont="1" applyBorder="1" applyAlignment="1">
      <alignment horizontal="center"/>
    </xf>
    <xf numFmtId="0" fontId="0" fillId="0" borderId="0" xfId="0" applyBorder="1" applyAlignment="1">
      <alignment horizontal="center"/>
    </xf>
    <xf numFmtId="164" fontId="0" fillId="0" borderId="0" xfId="3" applyNumberFormat="1" applyFont="1" applyBorder="1" applyAlignment="1">
      <alignment horizontal="center"/>
    </xf>
    <xf numFmtId="165" fontId="0" fillId="3" borderId="4" xfId="3" applyNumberFormat="1" applyFont="1" applyFill="1" applyBorder="1"/>
    <xf numFmtId="0" fontId="0" fillId="5" borderId="4" xfId="0" applyFont="1" applyFill="1" applyBorder="1" applyAlignment="1">
      <alignment horizontal="left"/>
    </xf>
    <xf numFmtId="9" fontId="0" fillId="5" borderId="4" xfId="3" applyFont="1" applyFill="1" applyBorder="1"/>
    <xf numFmtId="0" fontId="6" fillId="5" borderId="0" xfId="0" applyFont="1" applyFill="1" applyAlignment="1">
      <alignment horizontal="center"/>
    </xf>
    <xf numFmtId="0" fontId="0" fillId="5" borderId="0" xfId="0" applyFill="1"/>
    <xf numFmtId="0" fontId="2" fillId="3" borderId="4" xfId="0" applyFont="1" applyFill="1" applyBorder="1" applyAlignment="1">
      <alignment horizontal="center"/>
    </xf>
    <xf numFmtId="0" fontId="5" fillId="3" borderId="4" xfId="5" applyFont="1" applyFill="1" applyBorder="1" applyAlignment="1">
      <alignment wrapText="1"/>
    </xf>
    <xf numFmtId="9" fontId="0" fillId="5" borderId="0" xfId="3" applyFont="1" applyFill="1" applyBorder="1"/>
    <xf numFmtId="0" fontId="0" fillId="5" borderId="0" xfId="0" applyFill="1" applyBorder="1" applyAlignment="1">
      <alignment horizontal="center"/>
    </xf>
    <xf numFmtId="164" fontId="0" fillId="5" borderId="0" xfId="3" applyNumberFormat="1" applyFont="1" applyFill="1" applyBorder="1" applyAlignment="1">
      <alignment horizontal="center"/>
    </xf>
    <xf numFmtId="0" fontId="4" fillId="5" borderId="0" xfId="5" applyFill="1"/>
    <xf numFmtId="9" fontId="4" fillId="5" borderId="0" xfId="3" applyFont="1" applyFill="1" applyBorder="1"/>
    <xf numFmtId="165" fontId="0" fillId="5" borderId="4" xfId="0" applyNumberFormat="1" applyFill="1" applyBorder="1"/>
    <xf numFmtId="0" fontId="13" fillId="0" borderId="0" xfId="0" applyFont="1"/>
    <xf numFmtId="0" fontId="13" fillId="0" borderId="4" xfId="0" applyFont="1" applyBorder="1"/>
    <xf numFmtId="3" fontId="13" fillId="5" borderId="4" xfId="0" applyNumberFormat="1" applyFont="1" applyFill="1" applyBorder="1"/>
    <xf numFmtId="164" fontId="13" fillId="5" borderId="4" xfId="3" applyNumberFormat="1" applyFont="1" applyFill="1" applyBorder="1"/>
    <xf numFmtId="0" fontId="13" fillId="0" borderId="0" xfId="0" applyFont="1" applyBorder="1"/>
    <xf numFmtId="164" fontId="13" fillId="5" borderId="0" xfId="3" applyNumberFormat="1" applyFont="1" applyFill="1" applyBorder="1"/>
    <xf numFmtId="0" fontId="12" fillId="0" borderId="0" xfId="0" applyFont="1" applyFill="1" applyBorder="1"/>
    <xf numFmtId="164" fontId="13" fillId="5" borderId="0" xfId="3" applyNumberFormat="1" applyFont="1" applyFill="1"/>
    <xf numFmtId="167" fontId="13" fillId="5" borderId="4" xfId="0" applyNumberFormat="1" applyFont="1" applyFill="1" applyBorder="1"/>
    <xf numFmtId="0" fontId="12" fillId="0" borderId="4" xfId="0" applyFont="1" applyBorder="1"/>
    <xf numFmtId="167" fontId="12" fillId="5" borderId="4" xfId="0" applyNumberFormat="1" applyFont="1" applyFill="1" applyBorder="1"/>
    <xf numFmtId="0" fontId="4" fillId="0" borderId="0" xfId="5" applyFont="1" applyBorder="1" applyAlignment="1">
      <alignment wrapText="1"/>
    </xf>
    <xf numFmtId="164" fontId="0" fillId="0" borderId="0" xfId="3" applyNumberFormat="1" applyFont="1" applyFill="1" applyBorder="1" applyAlignment="1">
      <alignment horizontal="center"/>
    </xf>
    <xf numFmtId="44" fontId="0" fillId="3" borderId="4" xfId="2" applyFont="1" applyFill="1" applyBorder="1" applyAlignment="1">
      <alignment horizontal="center"/>
    </xf>
    <xf numFmtId="0" fontId="5" fillId="6" borderId="4" xfId="5" applyFont="1" applyFill="1" applyBorder="1"/>
    <xf numFmtId="167" fontId="5" fillId="0" borderId="4" xfId="5" applyNumberFormat="1" applyFont="1" applyBorder="1"/>
    <xf numFmtId="165" fontId="4" fillId="0" borderId="4" xfId="3" applyNumberFormat="1" applyFont="1" applyBorder="1"/>
    <xf numFmtId="165" fontId="4" fillId="3" borderId="4" xfId="3" applyNumberFormat="1" applyFont="1" applyFill="1" applyBorder="1"/>
    <xf numFmtId="0" fontId="2" fillId="0" borderId="0" xfId="0" applyFont="1" applyFill="1" applyBorder="1" applyAlignment="1"/>
    <xf numFmtId="0" fontId="0" fillId="0" borderId="0" xfId="0" applyFill="1" applyBorder="1"/>
    <xf numFmtId="165" fontId="0" fillId="0" borderId="0" xfId="0" applyNumberFormat="1" applyFill="1" applyBorder="1"/>
    <xf numFmtId="0" fontId="0" fillId="0" borderId="0" xfId="0" applyAlignment="1">
      <alignment horizontal="center"/>
    </xf>
    <xf numFmtId="0" fontId="0" fillId="0" borderId="4" xfId="0" applyBorder="1" applyAlignment="1" applyProtection="1">
      <alignment horizontal="right"/>
      <protection locked="0"/>
    </xf>
    <xf numFmtId="165" fontId="0" fillId="3" borderId="4" xfId="2" applyNumberFormat="1" applyFont="1" applyFill="1" applyBorder="1" applyProtection="1">
      <protection locked="0"/>
    </xf>
    <xf numFmtId="44" fontId="0" fillId="0" borderId="4" xfId="3" applyNumberFormat="1" applyFont="1" applyFill="1" applyBorder="1" applyProtection="1">
      <protection locked="0"/>
    </xf>
    <xf numFmtId="44" fontId="0" fillId="0" borderId="4" xfId="2" applyNumberFormat="1" applyFont="1" applyFill="1" applyBorder="1" applyProtection="1">
      <protection locked="0"/>
    </xf>
    <xf numFmtId="44" fontId="0" fillId="0" borderId="4" xfId="1" applyNumberFormat="1" applyFont="1" applyBorder="1" applyProtection="1">
      <protection locked="0"/>
    </xf>
    <xf numFmtId="44" fontId="0" fillId="0" borderId="4" xfId="1" quotePrefix="1" applyNumberFormat="1" applyFont="1" applyBorder="1" applyAlignment="1" applyProtection="1">
      <alignment horizontal="right"/>
      <protection locked="0"/>
    </xf>
    <xf numFmtId="166" fontId="0" fillId="0" borderId="4" xfId="1" applyNumberFormat="1" applyFont="1" applyBorder="1" applyProtection="1">
      <protection locked="0"/>
    </xf>
    <xf numFmtId="44" fontId="0" fillId="3" borderId="4" xfId="3" applyNumberFormat="1" applyFont="1" applyFill="1" applyBorder="1" applyProtection="1">
      <protection locked="0"/>
    </xf>
    <xf numFmtId="44" fontId="0" fillId="3" borderId="4" xfId="2" applyNumberFormat="1" applyFont="1" applyFill="1" applyBorder="1" applyProtection="1">
      <protection locked="0"/>
    </xf>
    <xf numFmtId="0" fontId="10" fillId="0" borderId="0" xfId="0" applyFont="1"/>
    <xf numFmtId="0" fontId="15" fillId="0" borderId="4" xfId="0" applyFont="1" applyBorder="1" applyAlignment="1">
      <alignment horizontal="center" wrapText="1"/>
    </xf>
    <xf numFmtId="0" fontId="15" fillId="0" borderId="4" xfId="0" applyFont="1" applyBorder="1" applyAlignment="1">
      <alignment horizontal="center"/>
    </xf>
    <xf numFmtId="166" fontId="0" fillId="0" borderId="0" xfId="1" applyNumberFormat="1" applyFont="1" applyAlignment="1">
      <alignment horizontal="center"/>
    </xf>
    <xf numFmtId="10" fontId="0" fillId="0" borderId="0" xfId="3" applyNumberFormat="1" applyFont="1" applyAlignment="1">
      <alignment horizontal="center"/>
    </xf>
    <xf numFmtId="0" fontId="15" fillId="0" borderId="4" xfId="0" applyFont="1" applyBorder="1" applyAlignment="1">
      <alignment horizontal="center" vertical="center" wrapText="1"/>
    </xf>
    <xf numFmtId="0" fontId="0" fillId="0" borderId="15" xfId="0" applyFill="1" applyBorder="1" applyAlignment="1">
      <alignment horizontal="center" vertical="center" wrapText="1"/>
    </xf>
    <xf numFmtId="0" fontId="0" fillId="0" borderId="0" xfId="0" applyAlignment="1">
      <alignment horizontal="center" vertical="center"/>
    </xf>
    <xf numFmtId="0" fontId="0" fillId="0" borderId="0" xfId="0" applyBorder="1" applyAlignment="1">
      <alignment horizontal="center" vertical="center"/>
    </xf>
    <xf numFmtId="167" fontId="5" fillId="12" borderId="4" xfId="5" applyNumberFormat="1" applyFont="1" applyFill="1" applyBorder="1"/>
    <xf numFmtId="9" fontId="5" fillId="12" borderId="4" xfId="3" applyFont="1" applyFill="1" applyBorder="1"/>
    <xf numFmtId="0" fontId="16" fillId="0" borderId="0" xfId="0" applyFont="1"/>
    <xf numFmtId="0" fontId="10" fillId="0" borderId="0" xfId="5" applyFont="1" applyFill="1" applyAlignment="1">
      <alignment horizontal="center"/>
    </xf>
    <xf numFmtId="0" fontId="4" fillId="0" borderId="0" xfId="5" applyFill="1"/>
    <xf numFmtId="0" fontId="1" fillId="0" borderId="0" xfId="5" applyFont="1" applyFill="1"/>
    <xf numFmtId="0" fontId="8" fillId="13" borderId="0" xfId="0" applyFont="1" applyFill="1" applyAlignment="1">
      <alignment horizontal="left" vertical="center"/>
    </xf>
    <xf numFmtId="0" fontId="8" fillId="8" borderId="0" xfId="0" applyFont="1" applyFill="1" applyAlignment="1">
      <alignment horizontal="left" vertical="center"/>
    </xf>
    <xf numFmtId="0" fontId="4" fillId="0" borderId="4" xfId="5" applyFont="1" applyFill="1" applyBorder="1"/>
    <xf numFmtId="9" fontId="4" fillId="0" borderId="0" xfId="3" applyFont="1"/>
    <xf numFmtId="0" fontId="2" fillId="0" borderId="0" xfId="1" applyNumberFormat="1" applyFont="1" applyAlignment="1">
      <alignment horizontal="right"/>
    </xf>
    <xf numFmtId="0" fontId="2" fillId="0" borderId="0" xfId="1" applyNumberFormat="1" applyFont="1" applyAlignment="1">
      <alignment horizontal="center" wrapText="1"/>
    </xf>
    <xf numFmtId="0" fontId="19" fillId="0" borderId="0" xfId="1" applyNumberFormat="1" applyFont="1" applyAlignment="1">
      <alignment horizontal="right"/>
    </xf>
    <xf numFmtId="166" fontId="19" fillId="0" borderId="0" xfId="1" applyNumberFormat="1" applyFont="1"/>
    <xf numFmtId="0" fontId="20" fillId="0" borderId="0" xfId="1" applyNumberFormat="1" applyFont="1" applyAlignment="1">
      <alignment horizontal="right"/>
    </xf>
    <xf numFmtId="0" fontId="19" fillId="0" borderId="21" xfId="1" applyNumberFormat="1" applyFont="1" applyBorder="1"/>
    <xf numFmtId="166" fontId="20" fillId="0" borderId="14" xfId="1" applyNumberFormat="1" applyFont="1" applyBorder="1"/>
    <xf numFmtId="166" fontId="20" fillId="0" borderId="0" xfId="1" applyNumberFormat="1" applyFont="1"/>
    <xf numFmtId="0" fontId="19" fillId="11" borderId="22" xfId="1" applyNumberFormat="1" applyFont="1" applyFill="1" applyBorder="1"/>
    <xf numFmtId="0" fontId="21" fillId="0" borderId="0" xfId="1" applyNumberFormat="1" applyFont="1" applyFill="1" applyAlignment="1">
      <alignment horizontal="right"/>
    </xf>
    <xf numFmtId="166" fontId="21" fillId="0" borderId="0" xfId="1" applyNumberFormat="1" applyFont="1" applyFill="1"/>
    <xf numFmtId="0" fontId="22" fillId="0" borderId="0" xfId="1" applyNumberFormat="1" applyFont="1" applyAlignment="1">
      <alignment horizontal="right"/>
    </xf>
    <xf numFmtId="0" fontId="22" fillId="0" borderId="23" xfId="1" applyNumberFormat="1" applyFont="1" applyBorder="1"/>
    <xf numFmtId="166" fontId="22" fillId="0" borderId="0" xfId="1" applyNumberFormat="1" applyFont="1" applyBorder="1"/>
    <xf numFmtId="166" fontId="22" fillId="0" borderId="0" xfId="1" applyNumberFormat="1" applyFont="1"/>
    <xf numFmtId="0" fontId="23" fillId="0" borderId="19" xfId="1" applyNumberFormat="1" applyFont="1" applyBorder="1" applyAlignment="1">
      <alignment horizontal="center" vertical="center"/>
    </xf>
    <xf numFmtId="0" fontId="23" fillId="15" borderId="13" xfId="1" applyNumberFormat="1" applyFont="1" applyFill="1" applyBorder="1" applyAlignment="1">
      <alignment horizontal="center" vertical="center"/>
    </xf>
    <xf numFmtId="166" fontId="23" fillId="14" borderId="4" xfId="1" applyNumberFormat="1" applyFont="1" applyFill="1" applyBorder="1" applyAlignment="1">
      <alignment horizontal="center" vertical="center" wrapText="1"/>
    </xf>
    <xf numFmtId="166" fontId="23" fillId="0" borderId="0" xfId="1" applyNumberFormat="1" applyFont="1" applyAlignment="1">
      <alignment horizontal="center" vertical="center" wrapText="1"/>
    </xf>
    <xf numFmtId="166" fontId="23" fillId="0" borderId="0" xfId="1" applyNumberFormat="1" applyFont="1" applyAlignment="1">
      <alignment horizontal="center" vertical="center"/>
    </xf>
    <xf numFmtId="0" fontId="20" fillId="0" borderId="15" xfId="1" applyNumberFormat="1" applyFont="1" applyBorder="1" applyAlignment="1">
      <alignment horizontal="right"/>
    </xf>
    <xf numFmtId="0" fontId="19" fillId="16" borderId="23" xfId="1" applyNumberFormat="1" applyFont="1" applyFill="1" applyBorder="1"/>
    <xf numFmtId="166" fontId="20" fillId="16" borderId="24" xfId="1" applyNumberFormat="1" applyFont="1" applyFill="1" applyBorder="1"/>
    <xf numFmtId="166" fontId="20" fillId="16" borderId="17" xfId="1" applyNumberFormat="1" applyFont="1" applyFill="1" applyBorder="1"/>
    <xf numFmtId="0" fontId="19" fillId="0" borderId="15" xfId="1" applyNumberFormat="1" applyFont="1" applyBorder="1" applyAlignment="1">
      <alignment horizontal="right"/>
    </xf>
    <xf numFmtId="49" fontId="19" fillId="17" borderId="23" xfId="1" quotePrefix="1" applyNumberFormat="1" applyFont="1" applyFill="1" applyBorder="1"/>
    <xf numFmtId="167" fontId="19" fillId="17" borderId="24" xfId="2" quotePrefix="1" applyNumberFormat="1" applyFont="1" applyFill="1" applyBorder="1"/>
    <xf numFmtId="167" fontId="19" fillId="17" borderId="17" xfId="2" quotePrefix="1" applyNumberFormat="1" applyFont="1" applyFill="1" applyBorder="1"/>
    <xf numFmtId="164" fontId="19" fillId="0" borderId="0" xfId="3" applyNumberFormat="1" applyFont="1"/>
    <xf numFmtId="49" fontId="20" fillId="0" borderId="23" xfId="1" quotePrefix="1" applyNumberFormat="1" applyFont="1" applyBorder="1" applyAlignment="1">
      <alignment horizontal="right"/>
    </xf>
    <xf numFmtId="167" fontId="20" fillId="0" borderId="24" xfId="2" quotePrefix="1" applyNumberFormat="1" applyFont="1" applyBorder="1"/>
    <xf numFmtId="167" fontId="20" fillId="18" borderId="17" xfId="2" quotePrefix="1" applyNumberFormat="1" applyFont="1" applyFill="1" applyBorder="1"/>
    <xf numFmtId="164" fontId="20" fillId="0" borderId="0" xfId="3" applyNumberFormat="1" applyFont="1"/>
    <xf numFmtId="0" fontId="20" fillId="0" borderId="23" xfId="1" quotePrefix="1" applyNumberFormat="1" applyFont="1" applyBorder="1" applyAlignment="1">
      <alignment horizontal="right"/>
    </xf>
    <xf numFmtId="49" fontId="19" fillId="0" borderId="23" xfId="1" quotePrefix="1" applyNumberFormat="1" applyFont="1" applyFill="1" applyBorder="1"/>
    <xf numFmtId="167" fontId="19" fillId="0" borderId="24" xfId="2" quotePrefix="1" applyNumberFormat="1" applyFont="1" applyFill="1" applyBorder="1"/>
    <xf numFmtId="0" fontId="19" fillId="0" borderId="23" xfId="1" applyNumberFormat="1" applyFont="1" applyFill="1" applyBorder="1"/>
    <xf numFmtId="167" fontId="19" fillId="0" borderId="17" xfId="2" quotePrefix="1" applyNumberFormat="1" applyFont="1" applyFill="1" applyBorder="1"/>
    <xf numFmtId="167" fontId="19" fillId="16" borderId="24" xfId="1" applyNumberFormat="1" applyFont="1" applyFill="1" applyBorder="1"/>
    <xf numFmtId="0" fontId="20" fillId="0" borderId="15" xfId="1" applyNumberFormat="1" applyFont="1" applyFill="1" applyBorder="1" applyAlignment="1">
      <alignment horizontal="right"/>
    </xf>
    <xf numFmtId="0" fontId="20" fillId="0" borderId="23" xfId="1" quotePrefix="1" applyNumberFormat="1" applyFont="1" applyFill="1" applyBorder="1" applyAlignment="1">
      <alignment horizontal="right"/>
    </xf>
    <xf numFmtId="167" fontId="20" fillId="0" borderId="24" xfId="2" quotePrefix="1" applyNumberFormat="1" applyFont="1" applyFill="1" applyBorder="1"/>
    <xf numFmtId="167" fontId="20" fillId="0" borderId="17" xfId="2" quotePrefix="1" applyNumberFormat="1" applyFont="1" applyFill="1" applyBorder="1"/>
    <xf numFmtId="164" fontId="20" fillId="0" borderId="0" xfId="3" applyNumberFormat="1" applyFont="1" applyFill="1"/>
    <xf numFmtId="166" fontId="20" fillId="0" borderId="0" xfId="1" applyNumberFormat="1" applyFont="1" applyFill="1"/>
    <xf numFmtId="49" fontId="19" fillId="0" borderId="23" xfId="1" quotePrefix="1" applyNumberFormat="1" applyFont="1" applyFill="1" applyBorder="1" applyAlignment="1">
      <alignment horizontal="right"/>
    </xf>
    <xf numFmtId="49" fontId="20" fillId="0" borderId="23" xfId="1" quotePrefix="1" applyNumberFormat="1" applyFont="1" applyFill="1" applyBorder="1" applyAlignment="1">
      <alignment horizontal="right"/>
    </xf>
    <xf numFmtId="0" fontId="19" fillId="17" borderId="23" xfId="1" applyNumberFormat="1" applyFont="1" applyFill="1" applyBorder="1"/>
    <xf numFmtId="0" fontId="19" fillId="16" borderId="23" xfId="1" applyNumberFormat="1" applyFont="1" applyFill="1" applyBorder="1" applyAlignment="1">
      <alignment horizontal="left"/>
    </xf>
    <xf numFmtId="167" fontId="19" fillId="16" borderId="24" xfId="2" quotePrefix="1" applyNumberFormat="1" applyFont="1" applyFill="1" applyBorder="1"/>
    <xf numFmtId="0" fontId="19" fillId="11" borderId="23" xfId="1" applyNumberFormat="1" applyFont="1" applyFill="1" applyBorder="1"/>
    <xf numFmtId="167" fontId="20" fillId="11" borderId="24" xfId="1" applyNumberFormat="1" applyFont="1" applyFill="1" applyBorder="1"/>
    <xf numFmtId="167" fontId="20" fillId="11" borderId="17" xfId="1" applyNumberFormat="1" applyFont="1" applyFill="1" applyBorder="1"/>
    <xf numFmtId="164" fontId="19" fillId="0" borderId="0" xfId="3" applyNumberFormat="1" applyFont="1" applyFill="1"/>
    <xf numFmtId="0" fontId="20" fillId="0" borderId="23" xfId="1" applyNumberFormat="1" applyFont="1" applyFill="1" applyBorder="1" applyAlignment="1">
      <alignment horizontal="right"/>
    </xf>
    <xf numFmtId="49" fontId="20" fillId="0" borderId="23" xfId="1" applyNumberFormat="1" applyFont="1" applyFill="1" applyBorder="1" applyAlignment="1">
      <alignment horizontal="right"/>
    </xf>
    <xf numFmtId="49" fontId="20" fillId="0" borderId="23" xfId="1" applyNumberFormat="1" applyFont="1" applyBorder="1" applyAlignment="1">
      <alignment horizontal="right"/>
    </xf>
    <xf numFmtId="0" fontId="19" fillId="0" borderId="23" xfId="1" applyNumberFormat="1" applyFont="1" applyFill="1" applyBorder="1" applyAlignment="1">
      <alignment horizontal="left"/>
    </xf>
    <xf numFmtId="0" fontId="20" fillId="0" borderId="23" xfId="1" applyNumberFormat="1" applyFont="1" applyBorder="1"/>
    <xf numFmtId="167" fontId="20" fillId="0" borderId="24" xfId="1" applyNumberFormat="1" applyFont="1" applyBorder="1"/>
    <xf numFmtId="167" fontId="20" fillId="0" borderId="17" xfId="1" applyNumberFormat="1" applyFont="1" applyBorder="1"/>
    <xf numFmtId="0" fontId="19" fillId="5" borderId="15" xfId="1" applyNumberFormat="1" applyFont="1" applyFill="1" applyBorder="1" applyAlignment="1">
      <alignment horizontal="right"/>
    </xf>
    <xf numFmtId="0" fontId="19" fillId="5" borderId="23" xfId="1" applyNumberFormat="1" applyFont="1" applyFill="1" applyBorder="1"/>
    <xf numFmtId="167" fontId="19" fillId="5" borderId="24" xfId="2" applyNumberFormat="1" applyFont="1" applyFill="1" applyBorder="1"/>
    <xf numFmtId="166" fontId="19" fillId="5" borderId="0" xfId="1" applyNumberFormat="1" applyFont="1" applyFill="1"/>
    <xf numFmtId="0" fontId="19" fillId="5" borderId="25" xfId="1" applyNumberFormat="1" applyFont="1" applyFill="1" applyBorder="1"/>
    <xf numFmtId="167" fontId="19" fillId="18" borderId="17" xfId="2" quotePrefix="1" applyNumberFormat="1" applyFont="1" applyFill="1" applyBorder="1"/>
    <xf numFmtId="0" fontId="19" fillId="16" borderId="26" xfId="1" applyNumberFormat="1" applyFont="1" applyFill="1" applyBorder="1" applyAlignment="1">
      <alignment horizontal="left"/>
    </xf>
    <xf numFmtId="167" fontId="19" fillId="16" borderId="27" xfId="2" quotePrefix="1" applyNumberFormat="1" applyFont="1" applyFill="1" applyBorder="1"/>
    <xf numFmtId="0" fontId="19" fillId="0" borderId="23" xfId="1" applyNumberFormat="1" applyFont="1" applyBorder="1"/>
    <xf numFmtId="167" fontId="19" fillId="0" borderId="24" xfId="2" quotePrefix="1" applyNumberFormat="1" applyFont="1" applyBorder="1"/>
    <xf numFmtId="167" fontId="19" fillId="0" borderId="17" xfId="2" quotePrefix="1" applyNumberFormat="1" applyFont="1" applyBorder="1"/>
    <xf numFmtId="0" fontId="19" fillId="2" borderId="23" xfId="1" applyNumberFormat="1" applyFont="1" applyFill="1" applyBorder="1" applyAlignment="1">
      <alignment horizontal="left"/>
    </xf>
    <xf numFmtId="167" fontId="19" fillId="2" borderId="24" xfId="3" quotePrefix="1" applyNumberFormat="1" applyFont="1" applyFill="1" applyBorder="1"/>
    <xf numFmtId="167" fontId="19" fillId="2" borderId="17" xfId="3" quotePrefix="1" applyNumberFormat="1" applyFont="1" applyFill="1" applyBorder="1"/>
    <xf numFmtId="0" fontId="20" fillId="0" borderId="23" xfId="1" applyNumberFormat="1" applyFont="1" applyBorder="1" applyAlignment="1">
      <alignment horizontal="right"/>
    </xf>
    <xf numFmtId="164" fontId="20" fillId="0" borderId="24" xfId="3" quotePrefix="1" applyNumberFormat="1" applyFont="1" applyBorder="1"/>
    <xf numFmtId="164" fontId="20" fillId="0" borderId="17" xfId="3" quotePrefix="1" applyNumberFormat="1" applyFont="1" applyBorder="1"/>
    <xf numFmtId="0" fontId="20" fillId="0" borderId="20" xfId="1" applyNumberFormat="1" applyFont="1" applyBorder="1" applyAlignment="1">
      <alignment horizontal="right"/>
    </xf>
    <xf numFmtId="0" fontId="20" fillId="0" borderId="28" xfId="1" applyNumberFormat="1" applyFont="1" applyBorder="1" applyAlignment="1">
      <alignment horizontal="right"/>
    </xf>
    <xf numFmtId="164" fontId="20" fillId="0" borderId="29" xfId="3" quotePrefix="1" applyNumberFormat="1" applyFont="1" applyBorder="1"/>
    <xf numFmtId="164" fontId="20" fillId="0" borderId="30" xfId="3" quotePrefix="1" applyNumberFormat="1" applyFont="1" applyBorder="1"/>
    <xf numFmtId="166" fontId="20" fillId="0" borderId="0" xfId="1" applyNumberFormat="1" applyFont="1" applyBorder="1"/>
    <xf numFmtId="0" fontId="20" fillId="0" borderId="0" xfId="1" applyNumberFormat="1" applyFont="1"/>
    <xf numFmtId="0" fontId="0" fillId="0" borderId="0" xfId="1" applyNumberFormat="1" applyFont="1" applyAlignment="1">
      <alignment horizontal="right"/>
    </xf>
    <xf numFmtId="0" fontId="0" fillId="0" borderId="0" xfId="1" applyNumberFormat="1" applyFont="1"/>
    <xf numFmtId="0" fontId="18" fillId="0" borderId="0" xfId="1" applyNumberFormat="1" applyFont="1" applyAlignment="1">
      <alignment horizontal="right"/>
    </xf>
    <xf numFmtId="0" fontId="18" fillId="9" borderId="0" xfId="1" applyNumberFormat="1" applyFont="1" applyFill="1"/>
    <xf numFmtId="166" fontId="18" fillId="9" borderId="0" xfId="1" applyNumberFormat="1" applyFont="1" applyFill="1"/>
    <xf numFmtId="166" fontId="18" fillId="0" borderId="0" xfId="1" applyNumberFormat="1" applyFont="1"/>
    <xf numFmtId="0" fontId="18" fillId="0" borderId="0" xfId="1" applyNumberFormat="1" applyFont="1"/>
    <xf numFmtId="0" fontId="19" fillId="0" borderId="14" xfId="1" applyNumberFormat="1" applyFont="1" applyBorder="1"/>
    <xf numFmtId="0" fontId="19" fillId="11" borderId="2" xfId="1" applyNumberFormat="1" applyFont="1" applyFill="1" applyBorder="1"/>
    <xf numFmtId="0" fontId="22" fillId="0" borderId="0" xfId="1" applyNumberFormat="1" applyFont="1" applyBorder="1"/>
    <xf numFmtId="0" fontId="19" fillId="11" borderId="3" xfId="1" applyNumberFormat="1" applyFont="1" applyFill="1" applyBorder="1"/>
    <xf numFmtId="0" fontId="0" fillId="5" borderId="0" xfId="0" applyFont="1" applyFill="1" applyBorder="1" applyAlignment="1">
      <alignment horizontal="left"/>
    </xf>
    <xf numFmtId="0" fontId="0" fillId="5" borderId="4" xfId="0" applyFont="1" applyFill="1" applyBorder="1" applyAlignment="1">
      <alignment horizontal="left" wrapText="1"/>
    </xf>
    <xf numFmtId="165" fontId="0" fillId="5" borderId="4" xfId="3" applyNumberFormat="1" applyFont="1" applyFill="1" applyBorder="1"/>
    <xf numFmtId="0" fontId="10" fillId="5" borderId="0" xfId="5" applyFont="1" applyFill="1" applyAlignment="1">
      <alignment horizontal="center"/>
    </xf>
    <xf numFmtId="0" fontId="19" fillId="0" borderId="0" xfId="5" applyFont="1" applyAlignment="1"/>
    <xf numFmtId="0" fontId="4" fillId="5" borderId="0" xfId="5" applyFill="1" applyAlignment="1">
      <alignment wrapText="1"/>
    </xf>
    <xf numFmtId="0" fontId="4" fillId="0" borderId="0" xfId="5" applyAlignment="1">
      <alignment horizontal="left" wrapText="1"/>
    </xf>
    <xf numFmtId="0" fontId="5" fillId="5" borderId="0" xfId="5" applyFont="1" applyFill="1" applyAlignment="1">
      <alignment wrapText="1"/>
    </xf>
    <xf numFmtId="0" fontId="5" fillId="0" borderId="4" xfId="5" applyFont="1" applyBorder="1" applyAlignment="1">
      <alignment horizontal="center" vertical="center" wrapText="1"/>
    </xf>
    <xf numFmtId="44" fontId="5" fillId="0" borderId="4" xfId="3" applyNumberFormat="1" applyFont="1" applyFill="1" applyBorder="1" applyAlignment="1">
      <alignment horizontal="center" wrapText="1"/>
    </xf>
    <xf numFmtId="165" fontId="4" fillId="0" borderId="4" xfId="3" applyNumberFormat="1" applyFont="1" applyFill="1" applyBorder="1"/>
    <xf numFmtId="164" fontId="4" fillId="0" borderId="4" xfId="3" applyNumberFormat="1" applyFont="1" applyFill="1" applyBorder="1"/>
    <xf numFmtId="165" fontId="25" fillId="3" borderId="4" xfId="3" applyNumberFormat="1" applyFont="1" applyFill="1" applyBorder="1"/>
    <xf numFmtId="44" fontId="4" fillId="0" borderId="4" xfId="2" applyFont="1" applyBorder="1"/>
    <xf numFmtId="44" fontId="4" fillId="3" borderId="4" xfId="2" applyFont="1" applyFill="1" applyBorder="1"/>
    <xf numFmtId="44" fontId="4" fillId="5" borderId="0" xfId="2" applyFont="1" applyFill="1" applyBorder="1"/>
    <xf numFmtId="0" fontId="4" fillId="11" borderId="31" xfId="5" applyFill="1" applyBorder="1" applyAlignment="1">
      <alignment wrapText="1"/>
    </xf>
    <xf numFmtId="44" fontId="5" fillId="11" borderId="32" xfId="2" applyFont="1" applyFill="1" applyBorder="1" applyAlignment="1">
      <alignment horizontal="center" wrapText="1"/>
    </xf>
    <xf numFmtId="44" fontId="5" fillId="11" borderId="33" xfId="2" applyFont="1" applyFill="1" applyBorder="1" applyAlignment="1">
      <alignment horizontal="center" wrapText="1"/>
    </xf>
    <xf numFmtId="0" fontId="5" fillId="0" borderId="0" xfId="5" applyFont="1" applyAlignment="1">
      <alignment wrapText="1"/>
    </xf>
    <xf numFmtId="10" fontId="5" fillId="0" borderId="0" xfId="5" applyNumberFormat="1" applyFont="1"/>
    <xf numFmtId="168" fontId="4" fillId="5" borderId="0" xfId="5" applyNumberFormat="1" applyFill="1"/>
    <xf numFmtId="166" fontId="5" fillId="0" borderId="0" xfId="5" applyNumberFormat="1" applyFont="1"/>
    <xf numFmtId="166" fontId="5" fillId="5" borderId="0" xfId="5" applyNumberFormat="1" applyFont="1" applyFill="1"/>
    <xf numFmtId="0" fontId="5" fillId="5" borderId="0" xfId="5" applyFont="1" applyFill="1"/>
    <xf numFmtId="0" fontId="6" fillId="9" borderId="0" xfId="0" applyFont="1" applyFill="1"/>
    <xf numFmtId="165" fontId="5" fillId="0" borderId="4" xfId="2" applyNumberFormat="1" applyFont="1" applyBorder="1"/>
    <xf numFmtId="165" fontId="5" fillId="3" borderId="4" xfId="2" applyNumberFormat="1" applyFont="1" applyFill="1" applyBorder="1" applyAlignment="1">
      <alignment wrapText="1"/>
    </xf>
    <xf numFmtId="44" fontId="4" fillId="11" borderId="0" xfId="2" applyFont="1" applyFill="1" applyBorder="1"/>
    <xf numFmtId="0" fontId="5" fillId="11" borderId="23" xfId="5" applyFont="1" applyFill="1" applyBorder="1" applyAlignment="1">
      <alignment wrapText="1"/>
    </xf>
    <xf numFmtId="44" fontId="4" fillId="11" borderId="36" xfId="2" applyFont="1" applyFill="1" applyBorder="1"/>
    <xf numFmtId="44" fontId="4" fillId="11" borderId="14" xfId="2" applyFont="1" applyFill="1" applyBorder="1"/>
    <xf numFmtId="9" fontId="4" fillId="11" borderId="14" xfId="2" applyNumberFormat="1" applyFont="1" applyFill="1" applyBorder="1"/>
    <xf numFmtId="44" fontId="4" fillId="11" borderId="37" xfId="2" applyFont="1" applyFill="1" applyBorder="1"/>
    <xf numFmtId="0" fontId="5" fillId="11" borderId="28" xfId="5" applyFont="1" applyFill="1" applyBorder="1" applyAlignment="1">
      <alignment horizontal="left" wrapText="1" indent="3"/>
    </xf>
    <xf numFmtId="44" fontId="4" fillId="17" borderId="34" xfId="2" applyFont="1" applyFill="1" applyBorder="1" applyAlignment="1">
      <alignment horizontal="center" wrapText="1"/>
    </xf>
    <xf numFmtId="44" fontId="4" fillId="17" borderId="35" xfId="2" applyFont="1" applyFill="1" applyBorder="1" applyAlignment="1">
      <alignment horizontal="center" wrapText="1"/>
    </xf>
    <xf numFmtId="44" fontId="0" fillId="0" borderId="4" xfId="2" applyFont="1" applyBorder="1" applyAlignment="1">
      <alignment horizontal="center" wrapText="1"/>
    </xf>
    <xf numFmtId="0" fontId="26" fillId="19" borderId="4" xfId="0" applyFont="1" applyFill="1" applyBorder="1" applyAlignment="1">
      <alignment wrapText="1"/>
    </xf>
    <xf numFmtId="9" fontId="26" fillId="19" borderId="4" xfId="3" applyFont="1" applyFill="1" applyBorder="1" applyAlignment="1">
      <alignment horizontal="center"/>
    </xf>
    <xf numFmtId="44" fontId="26" fillId="19" borderId="4" xfId="2" applyFont="1" applyFill="1" applyBorder="1" applyAlignment="1">
      <alignment horizontal="center"/>
    </xf>
    <xf numFmtId="9" fontId="26" fillId="19" borderId="4" xfId="3" applyFont="1" applyFill="1" applyBorder="1" applyAlignment="1">
      <alignment horizontal="center" wrapText="1"/>
    </xf>
    <xf numFmtId="164" fontId="26" fillId="19" borderId="4" xfId="3" applyNumberFormat="1" applyFont="1" applyFill="1" applyBorder="1" applyAlignment="1">
      <alignment horizontal="center"/>
    </xf>
    <xf numFmtId="0" fontId="17" fillId="0" borderId="0" xfId="0" applyFont="1" applyAlignment="1">
      <alignment horizontal="center"/>
    </xf>
    <xf numFmtId="0" fontId="11" fillId="0" borderId="0" xfId="5" applyFont="1" applyFill="1" applyBorder="1" applyAlignment="1">
      <alignment horizontal="center"/>
    </xf>
    <xf numFmtId="0" fontId="5" fillId="0" borderId="1" xfId="5" applyFont="1" applyBorder="1" applyAlignment="1">
      <alignment horizontal="center" wrapText="1"/>
    </xf>
    <xf numFmtId="0" fontId="0" fillId="9" borderId="0" xfId="0" applyFill="1" applyAlignment="1">
      <alignment horizontal="center"/>
    </xf>
    <xf numFmtId="0" fontId="21" fillId="0" borderId="23" xfId="1" applyNumberFormat="1" applyFont="1" applyFill="1" applyBorder="1" applyAlignment="1">
      <alignment horizontal="center"/>
    </xf>
    <xf numFmtId="0" fontId="21" fillId="0" borderId="0" xfId="1" applyNumberFormat="1" applyFont="1" applyFill="1" applyBorder="1" applyAlignment="1">
      <alignment horizontal="center"/>
    </xf>
    <xf numFmtId="0" fontId="4" fillId="0" borderId="0" xfId="5" applyFill="1" applyBorder="1"/>
    <xf numFmtId="0" fontId="2" fillId="0" borderId="0" xfId="5" applyFont="1" applyFill="1" applyBorder="1" applyAlignment="1">
      <alignment horizontal="center"/>
    </xf>
    <xf numFmtId="0" fontId="4" fillId="0" borderId="0" xfId="5" applyFont="1" applyFill="1" applyBorder="1"/>
    <xf numFmtId="0" fontId="1" fillId="0" borderId="15" xfId="0" applyFont="1" applyBorder="1"/>
    <xf numFmtId="0" fontId="2" fillId="0" borderId="40" xfId="0" applyFont="1" applyBorder="1" applyAlignment="1">
      <alignment horizontal="left" indent="3"/>
    </xf>
    <xf numFmtId="0" fontId="2" fillId="0" borderId="19" xfId="0" applyFont="1" applyBorder="1" applyAlignment="1">
      <alignment horizontal="center" vertical="center"/>
    </xf>
    <xf numFmtId="0" fontId="2" fillId="0" borderId="18" xfId="0" applyFont="1" applyBorder="1" applyAlignment="1">
      <alignment horizontal="center"/>
    </xf>
    <xf numFmtId="0" fontId="2" fillId="0" borderId="7" xfId="0" applyFont="1" applyBorder="1" applyAlignment="1">
      <alignment horizontal="center"/>
    </xf>
    <xf numFmtId="165" fontId="1" fillId="0" borderId="24" xfId="0" applyNumberFormat="1" applyFont="1" applyBorder="1"/>
    <xf numFmtId="0" fontId="2" fillId="0" borderId="16" xfId="0" applyFont="1" applyBorder="1" applyAlignment="1">
      <alignment horizontal="center" vertical="center"/>
    </xf>
    <xf numFmtId="0" fontId="2" fillId="0" borderId="41" xfId="0" applyFont="1" applyBorder="1" applyAlignment="1">
      <alignment horizontal="center" vertical="center"/>
    </xf>
    <xf numFmtId="166" fontId="0" fillId="2" borderId="4" xfId="1" applyNumberFormat="1" applyFont="1" applyFill="1" applyBorder="1" applyProtection="1"/>
    <xf numFmtId="164" fontId="26" fillId="0" borderId="0" xfId="3" applyNumberFormat="1" applyFont="1" applyBorder="1" applyAlignment="1">
      <alignment horizontal="left"/>
    </xf>
    <xf numFmtId="167" fontId="4" fillId="6" borderId="4" xfId="2" applyNumberFormat="1" applyFont="1" applyFill="1" applyBorder="1"/>
    <xf numFmtId="167" fontId="4" fillId="0" borderId="4" xfId="2" applyNumberFormat="1" applyFont="1" applyBorder="1"/>
    <xf numFmtId="10" fontId="4" fillId="6" borderId="4" xfId="3" applyNumberFormat="1" applyFont="1" applyFill="1" applyBorder="1"/>
    <xf numFmtId="164" fontId="4" fillId="0" borderId="4" xfId="3" applyNumberFormat="1" applyFont="1" applyBorder="1"/>
    <xf numFmtId="10" fontId="5" fillId="0" borderId="4" xfId="3" applyNumberFormat="1" applyFont="1" applyBorder="1"/>
    <xf numFmtId="9" fontId="0" fillId="0" borderId="4" xfId="3" applyNumberFormat="1" applyFont="1" applyBorder="1" applyAlignment="1">
      <alignment horizontal="center"/>
    </xf>
    <xf numFmtId="44" fontId="0" fillId="0" borderId="0" xfId="2" applyFont="1" applyFill="1" applyBorder="1" applyAlignment="1">
      <alignment horizontal="center"/>
    </xf>
    <xf numFmtId="10" fontId="0" fillId="0" borderId="4" xfId="3" applyNumberFormat="1" applyFont="1" applyBorder="1" applyAlignment="1">
      <alignment horizontal="center"/>
    </xf>
    <xf numFmtId="44" fontId="0" fillId="0" borderId="0" xfId="2" applyFont="1" applyBorder="1" applyAlignment="1">
      <alignment horizontal="center"/>
    </xf>
    <xf numFmtId="167" fontId="4" fillId="0" borderId="0" xfId="5" applyNumberFormat="1"/>
    <xf numFmtId="10" fontId="4" fillId="0" borderId="4" xfId="3" applyNumberFormat="1" applyFont="1" applyBorder="1"/>
    <xf numFmtId="0" fontId="0" fillId="0" borderId="4" xfId="0" applyBorder="1" applyAlignment="1">
      <alignment wrapText="1"/>
    </xf>
    <xf numFmtId="44" fontId="0" fillId="0" borderId="4" xfId="2" applyFont="1" applyFill="1" applyBorder="1" applyAlignment="1">
      <alignment horizontal="center"/>
    </xf>
    <xf numFmtId="164" fontId="0" fillId="0" borderId="0" xfId="3" applyNumberFormat="1" applyFont="1" applyFill="1" applyBorder="1" applyAlignment="1">
      <alignment horizontal="left"/>
    </xf>
    <xf numFmtId="0" fontId="0" fillId="0" borderId="0" xfId="0" applyFill="1"/>
    <xf numFmtId="166" fontId="0" fillId="0" borderId="4" xfId="1" applyNumberFormat="1" applyFont="1" applyFill="1" applyBorder="1" applyProtection="1">
      <protection locked="0"/>
    </xf>
    <xf numFmtId="164" fontId="0" fillId="0" borderId="0" xfId="3" applyNumberFormat="1" applyFont="1" applyFill="1" applyBorder="1" applyAlignment="1">
      <alignment horizontal="left" wrapText="1"/>
    </xf>
    <xf numFmtId="164" fontId="4" fillId="3" borderId="4" xfId="3" applyNumberFormat="1" applyFont="1" applyFill="1" applyBorder="1"/>
    <xf numFmtId="165" fontId="1" fillId="0" borderId="27" xfId="2" applyNumberFormat="1" applyFont="1" applyBorder="1"/>
    <xf numFmtId="165" fontId="1" fillId="0" borderId="40" xfId="2" applyNumberFormat="1" applyFont="1" applyBorder="1"/>
    <xf numFmtId="165" fontId="1" fillId="0" borderId="38" xfId="2" applyNumberFormat="1" applyFont="1" applyBorder="1"/>
    <xf numFmtId="165" fontId="1" fillId="0" borderId="39" xfId="2" applyNumberFormat="1" applyFont="1" applyBorder="1"/>
    <xf numFmtId="166" fontId="30" fillId="0" borderId="0" xfId="1" applyNumberFormat="1" applyFont="1" applyFill="1"/>
    <xf numFmtId="165" fontId="8" fillId="0" borderId="12" xfId="2" applyNumberFormat="1" applyFont="1" applyBorder="1"/>
    <xf numFmtId="165" fontId="8" fillId="0" borderId="13" xfId="2" applyNumberFormat="1" applyFont="1" applyBorder="1"/>
    <xf numFmtId="0" fontId="8" fillId="0" borderId="12" xfId="5" applyFont="1" applyBorder="1" applyAlignment="1">
      <alignment horizontal="center"/>
    </xf>
    <xf numFmtId="0" fontId="18" fillId="0" borderId="0" xfId="0" applyFont="1"/>
    <xf numFmtId="44" fontId="0" fillId="0" borderId="0" xfId="2" applyFont="1" applyFill="1" applyBorder="1" applyAlignment="1">
      <alignment horizontal="left"/>
    </xf>
    <xf numFmtId="166" fontId="0" fillId="0" borderId="4" xfId="1" applyNumberFormat="1" applyFont="1" applyBorder="1" applyAlignment="1" applyProtection="1">
      <alignment horizontal="center"/>
      <protection locked="0"/>
    </xf>
    <xf numFmtId="44" fontId="0" fillId="0" borderId="4" xfId="2" applyFont="1" applyBorder="1" applyProtection="1">
      <protection locked="0"/>
    </xf>
    <xf numFmtId="165" fontId="0" fillId="5" borderId="0" xfId="2" applyNumberFormat="1" applyFont="1" applyFill="1" applyBorder="1" applyAlignment="1">
      <alignment horizontal="center"/>
    </xf>
    <xf numFmtId="1" fontId="8" fillId="0" borderId="12" xfId="2" applyNumberFormat="1" applyFont="1" applyFill="1" applyBorder="1"/>
    <xf numFmtId="1" fontId="8" fillId="0" borderId="12" xfId="2" applyNumberFormat="1" applyFont="1" applyBorder="1"/>
    <xf numFmtId="165" fontId="1" fillId="0" borderId="24" xfId="0" applyNumberFormat="1" applyFont="1" applyFill="1" applyBorder="1"/>
    <xf numFmtId="165" fontId="1" fillId="0" borderId="15" xfId="0" applyNumberFormat="1" applyFont="1" applyBorder="1"/>
    <xf numFmtId="0" fontId="2" fillId="0" borderId="42" xfId="0" applyFont="1" applyBorder="1" applyAlignment="1">
      <alignment horizontal="center" vertical="center"/>
    </xf>
    <xf numFmtId="165" fontId="1" fillId="0" borderId="25" xfId="0" applyNumberFormat="1" applyFont="1" applyBorder="1"/>
    <xf numFmtId="165" fontId="1" fillId="0" borderId="25" xfId="0" applyNumberFormat="1" applyFont="1" applyFill="1" applyBorder="1"/>
    <xf numFmtId="165" fontId="1" fillId="0" borderId="43" xfId="2" applyNumberFormat="1" applyFont="1" applyBorder="1"/>
    <xf numFmtId="165" fontId="0" fillId="0" borderId="0" xfId="0" applyNumberFormat="1" applyFill="1"/>
    <xf numFmtId="165" fontId="18" fillId="0" borderId="0" xfId="0" applyNumberFormat="1" applyFont="1"/>
    <xf numFmtId="10" fontId="4" fillId="11" borderId="0" xfId="3" applyNumberFormat="1" applyFont="1" applyFill="1" applyBorder="1"/>
    <xf numFmtId="43" fontId="31" fillId="0" borderId="0" xfId="1" applyFont="1" applyAlignment="1">
      <alignment horizontal="center"/>
    </xf>
    <xf numFmtId="44" fontId="0" fillId="0" borderId="0" xfId="0" applyNumberFormat="1"/>
    <xf numFmtId="165" fontId="16" fillId="0" borderId="0" xfId="0" applyNumberFormat="1" applyFont="1"/>
    <xf numFmtId="0" fontId="0" fillId="0" borderId="15" xfId="0" applyFont="1" applyBorder="1"/>
    <xf numFmtId="164" fontId="0" fillId="5" borderId="4" xfId="3" applyNumberFormat="1" applyFont="1" applyFill="1" applyBorder="1"/>
    <xf numFmtId="10" fontId="0" fillId="5" borderId="4" xfId="3" applyNumberFormat="1" applyFont="1" applyFill="1" applyBorder="1"/>
    <xf numFmtId="165" fontId="4" fillId="9" borderId="4" xfId="3" applyNumberFormat="1" applyFont="1" applyFill="1" applyBorder="1"/>
    <xf numFmtId="44" fontId="4" fillId="9" borderId="4" xfId="2" applyFont="1" applyFill="1" applyBorder="1"/>
    <xf numFmtId="44" fontId="4" fillId="0" borderId="4" xfId="2" applyFont="1" applyFill="1" applyBorder="1"/>
    <xf numFmtId="164" fontId="25" fillId="3" borderId="4" xfId="3" applyNumberFormat="1" applyFont="1" applyFill="1" applyBorder="1"/>
    <xf numFmtId="10" fontId="0" fillId="3" borderId="4" xfId="2" applyNumberFormat="1" applyFont="1" applyFill="1" applyBorder="1" applyAlignment="1">
      <alignment horizontal="center"/>
    </xf>
    <xf numFmtId="165" fontId="8" fillId="0" borderId="17" xfId="2" applyNumberFormat="1" applyFont="1" applyBorder="1"/>
    <xf numFmtId="0" fontId="16" fillId="0" borderId="20" xfId="0" applyFont="1" applyBorder="1"/>
    <xf numFmtId="165" fontId="8" fillId="0" borderId="3" xfId="2" applyNumberFormat="1" applyFont="1" applyBorder="1"/>
    <xf numFmtId="165" fontId="8" fillId="0" borderId="7" xfId="2" applyNumberFormat="1" applyFont="1" applyBorder="1"/>
    <xf numFmtId="0" fontId="8" fillId="0" borderId="19" xfId="0" applyFont="1" applyBorder="1" applyAlignment="1">
      <alignment horizontal="right"/>
    </xf>
    <xf numFmtId="0" fontId="8" fillId="0" borderId="15" xfId="0" applyFont="1" applyBorder="1" applyAlignment="1">
      <alignment horizontal="right"/>
    </xf>
    <xf numFmtId="164" fontId="0" fillId="0" borderId="0" xfId="0" applyNumberFormat="1" applyBorder="1"/>
    <xf numFmtId="0" fontId="0" fillId="0" borderId="0" xfId="0" applyAlignment="1">
      <alignment horizontal="left"/>
    </xf>
    <xf numFmtId="165" fontId="0" fillId="0" borderId="0" xfId="1" applyNumberFormat="1" applyFont="1"/>
    <xf numFmtId="0" fontId="0" fillId="0" borderId="0" xfId="0" applyFont="1" applyAlignment="1">
      <alignment horizontal="left" vertical="center" wrapText="1"/>
    </xf>
    <xf numFmtId="0" fontId="10" fillId="0" borderId="0" xfId="0" applyFont="1" applyAlignment="1">
      <alignment horizontal="center"/>
    </xf>
    <xf numFmtId="0" fontId="0" fillId="0" borderId="0" xfId="0" applyFont="1" applyAlignment="1">
      <alignment horizontal="center"/>
    </xf>
    <xf numFmtId="0" fontId="0" fillId="5" borderId="17" xfId="0" applyFill="1" applyBorder="1" applyAlignment="1">
      <alignment horizontal="center" vertical="center" wrapText="1"/>
    </xf>
    <xf numFmtId="0" fontId="2" fillId="0" borderId="0" xfId="0" applyFont="1" applyAlignment="1">
      <alignment horizontal="center"/>
    </xf>
    <xf numFmtId="0" fontId="14" fillId="8" borderId="1" xfId="5" applyFont="1" applyFill="1" applyBorder="1" applyAlignment="1">
      <alignment horizontal="center"/>
    </xf>
    <xf numFmtId="0" fontId="14" fillId="8" borderId="2" xfId="5" applyFont="1" applyFill="1" applyBorder="1" applyAlignment="1">
      <alignment horizontal="center"/>
    </xf>
    <xf numFmtId="0" fontId="14" fillId="8" borderId="3" xfId="5" applyFont="1" applyFill="1" applyBorder="1" applyAlignment="1">
      <alignment horizontal="center"/>
    </xf>
    <xf numFmtId="0" fontId="10" fillId="6" borderId="1" xfId="0" applyFont="1" applyFill="1" applyBorder="1" applyAlignment="1">
      <alignment horizontal="center"/>
    </xf>
    <xf numFmtId="0" fontId="10" fillId="6" borderId="2" xfId="0" applyFont="1" applyFill="1" applyBorder="1" applyAlignment="1">
      <alignment horizontal="center"/>
    </xf>
    <xf numFmtId="0" fontId="10" fillId="6" borderId="3" xfId="0" applyFont="1" applyFill="1" applyBorder="1" applyAlignment="1">
      <alignment horizontal="center"/>
    </xf>
    <xf numFmtId="0" fontId="14" fillId="7" borderId="1" xfId="5" applyFont="1" applyFill="1" applyBorder="1" applyAlignment="1">
      <alignment horizontal="center"/>
    </xf>
    <xf numFmtId="0" fontId="14" fillId="7" borderId="2" xfId="5" applyFont="1" applyFill="1" applyBorder="1" applyAlignment="1">
      <alignment horizontal="center"/>
    </xf>
    <xf numFmtId="0" fontId="14" fillId="7" borderId="3" xfId="5" applyFont="1" applyFill="1" applyBorder="1" applyAlignment="1">
      <alignment horizontal="center"/>
    </xf>
    <xf numFmtId="0" fontId="0" fillId="5" borderId="17" xfId="0" applyFill="1" applyBorder="1" applyAlignment="1">
      <alignment horizontal="center" wrapText="1"/>
    </xf>
    <xf numFmtId="0" fontId="24" fillId="0" borderId="0" xfId="5" applyFont="1" applyAlignment="1">
      <alignment horizontal="left" wrapText="1"/>
    </xf>
    <xf numFmtId="0" fontId="11" fillId="8" borderId="1" xfId="5" applyFont="1" applyFill="1" applyBorder="1" applyAlignment="1">
      <alignment horizontal="center"/>
    </xf>
    <xf numFmtId="0" fontId="11" fillId="8" borderId="2" xfId="5" applyFont="1" applyFill="1" applyBorder="1" applyAlignment="1">
      <alignment horizontal="center"/>
    </xf>
    <xf numFmtId="0" fontId="11" fillId="8" borderId="3" xfId="5" applyFont="1" applyFill="1" applyBorder="1" applyAlignment="1">
      <alignment horizontal="center"/>
    </xf>
    <xf numFmtId="0" fontId="11" fillId="2" borderId="1" xfId="5" applyFont="1" applyFill="1" applyBorder="1" applyAlignment="1">
      <alignment horizontal="center"/>
    </xf>
    <xf numFmtId="0" fontId="11" fillId="2" borderId="2" xfId="5" applyFont="1" applyFill="1" applyBorder="1" applyAlignment="1">
      <alignment horizontal="center"/>
    </xf>
    <xf numFmtId="0" fontId="11" fillId="2" borderId="3" xfId="5" applyFont="1" applyFill="1" applyBorder="1" applyAlignment="1">
      <alignment horizontal="center"/>
    </xf>
    <xf numFmtId="0" fontId="4" fillId="0" borderId="4" xfId="5" applyBorder="1" applyAlignment="1">
      <alignment horizontal="center" vertical="center"/>
    </xf>
    <xf numFmtId="0" fontId="4" fillId="10" borderId="1" xfId="5" applyFill="1" applyBorder="1" applyAlignment="1">
      <alignment horizontal="left" vertical="center" wrapText="1"/>
    </xf>
    <xf numFmtId="0" fontId="4" fillId="10" borderId="2" xfId="5" applyFill="1" applyBorder="1" applyAlignment="1">
      <alignment horizontal="left" vertical="center" wrapText="1"/>
    </xf>
    <xf numFmtId="0" fontId="4" fillId="10" borderId="3" xfId="5" applyFill="1" applyBorder="1" applyAlignment="1">
      <alignment horizontal="left" vertical="center" wrapText="1"/>
    </xf>
    <xf numFmtId="0" fontId="5" fillId="2" borderId="1" xfId="5" applyFont="1" applyFill="1" applyBorder="1" applyAlignment="1">
      <alignment horizontal="center"/>
    </xf>
    <xf numFmtId="0" fontId="5" fillId="2" borderId="2" xfId="5" applyFont="1" applyFill="1" applyBorder="1" applyAlignment="1">
      <alignment horizontal="center"/>
    </xf>
    <xf numFmtId="0" fontId="5" fillId="2" borderId="3" xfId="5" applyFont="1" applyFill="1" applyBorder="1" applyAlignment="1">
      <alignment horizontal="center"/>
    </xf>
    <xf numFmtId="0" fontId="5" fillId="0" borderId="1" xfId="5" applyFont="1" applyBorder="1" applyAlignment="1">
      <alignment horizontal="center" wrapText="1"/>
    </xf>
    <xf numFmtId="0" fontId="5" fillId="0" borderId="3" xfId="5" applyFont="1" applyBorder="1" applyAlignment="1">
      <alignment horizontal="center" wrapText="1"/>
    </xf>
    <xf numFmtId="0" fontId="4" fillId="10" borderId="1" xfId="5" applyFill="1" applyBorder="1" applyAlignment="1">
      <alignment horizontal="left"/>
    </xf>
    <xf numFmtId="0" fontId="4" fillId="10" borderId="2" xfId="5" applyFill="1" applyBorder="1" applyAlignment="1">
      <alignment horizontal="left"/>
    </xf>
    <xf numFmtId="0" fontId="4" fillId="10" borderId="3" xfId="5" applyFill="1" applyBorder="1" applyAlignment="1">
      <alignment horizontal="left"/>
    </xf>
    <xf numFmtId="0" fontId="5" fillId="0" borderId="1" xfId="5" applyFont="1" applyBorder="1" applyAlignment="1">
      <alignment horizontal="center" vertical="center" wrapText="1"/>
    </xf>
    <xf numFmtId="0" fontId="5" fillId="0" borderId="3" xfId="5" applyFont="1" applyBorder="1" applyAlignment="1">
      <alignment horizontal="center" vertical="center" wrapText="1"/>
    </xf>
    <xf numFmtId="0" fontId="5" fillId="0" borderId="0" xfId="5" applyFont="1" applyAlignment="1">
      <alignment horizontal="center"/>
    </xf>
    <xf numFmtId="0" fontId="14" fillId="13" borderId="1" xfId="5" applyFont="1" applyFill="1" applyBorder="1" applyAlignment="1">
      <alignment horizontal="center"/>
    </xf>
    <xf numFmtId="0" fontId="14" fillId="13" borderId="2" xfId="5" applyFont="1" applyFill="1" applyBorder="1" applyAlignment="1">
      <alignment horizontal="center"/>
    </xf>
    <xf numFmtId="0" fontId="14" fillId="13" borderId="3" xfId="5" applyFont="1" applyFill="1" applyBorder="1" applyAlignment="1">
      <alignment horizontal="center"/>
    </xf>
    <xf numFmtId="0" fontId="4" fillId="0" borderId="0" xfId="5" applyFont="1" applyAlignment="1">
      <alignment vertical="center" wrapText="1"/>
    </xf>
    <xf numFmtId="0" fontId="11" fillId="7" borderId="1" xfId="5" applyFont="1" applyFill="1" applyBorder="1" applyAlignment="1">
      <alignment horizontal="center"/>
    </xf>
    <xf numFmtId="0" fontId="11" fillId="7" borderId="2" xfId="5" applyFont="1" applyFill="1" applyBorder="1" applyAlignment="1">
      <alignment horizontal="center"/>
    </xf>
    <xf numFmtId="0" fontId="11" fillId="7" borderId="3" xfId="5" applyFont="1" applyFill="1" applyBorder="1" applyAlignment="1">
      <alignment horizontal="center"/>
    </xf>
    <xf numFmtId="0" fontId="5" fillId="3" borderId="4" xfId="5" applyFont="1" applyFill="1" applyBorder="1" applyAlignment="1">
      <alignment horizontal="center" wrapText="1"/>
    </xf>
    <xf numFmtId="0" fontId="5" fillId="3" borderId="4" xfId="5" applyFont="1" applyFill="1" applyBorder="1" applyAlignment="1">
      <alignment horizontal="center"/>
    </xf>
    <xf numFmtId="0" fontId="0" fillId="9" borderId="0" xfId="0" applyFill="1" applyAlignment="1">
      <alignment horizontal="center"/>
    </xf>
    <xf numFmtId="0" fontId="6" fillId="8" borderId="1" xfId="0" applyFont="1" applyFill="1" applyBorder="1" applyAlignment="1">
      <alignment horizontal="center"/>
    </xf>
    <xf numFmtId="0" fontId="6" fillId="8" borderId="2" xfId="0" applyFont="1" applyFill="1" applyBorder="1" applyAlignment="1">
      <alignment horizontal="center"/>
    </xf>
    <xf numFmtId="0" fontId="6" fillId="8" borderId="3" xfId="0" applyFont="1" applyFill="1" applyBorder="1" applyAlignment="1">
      <alignment horizontal="center"/>
    </xf>
    <xf numFmtId="0" fontId="0" fillId="0" borderId="14" xfId="0" applyBorder="1" applyAlignment="1">
      <alignment horizontal="center" vertical="center" wrapText="1"/>
    </xf>
    <xf numFmtId="0" fontId="2" fillId="3" borderId="1" xfId="0" applyFont="1" applyFill="1" applyBorder="1" applyAlignment="1">
      <alignment horizontal="center"/>
    </xf>
    <xf numFmtId="0" fontId="2" fillId="3" borderId="2" xfId="0" applyFont="1" applyFill="1" applyBorder="1" applyAlignment="1">
      <alignment horizontal="center"/>
    </xf>
    <xf numFmtId="0" fontId="2" fillId="3" borderId="3" xfId="0" applyFont="1" applyFill="1" applyBorder="1" applyAlignment="1">
      <alignment horizontal="center"/>
    </xf>
    <xf numFmtId="0" fontId="19" fillId="11" borderId="1" xfId="1" applyNumberFormat="1" applyFont="1" applyFill="1" applyBorder="1" applyAlignment="1">
      <alignment horizontal="center"/>
    </xf>
    <xf numFmtId="0" fontId="19" fillId="11" borderId="2" xfId="1" applyNumberFormat="1" applyFont="1" applyFill="1" applyBorder="1" applyAlignment="1">
      <alignment horizontal="center"/>
    </xf>
    <xf numFmtId="0" fontId="19" fillId="11" borderId="3" xfId="1" applyNumberFormat="1" applyFont="1" applyFill="1" applyBorder="1" applyAlignment="1">
      <alignment horizontal="center"/>
    </xf>
    <xf numFmtId="0" fontId="21" fillId="0" borderId="23" xfId="1" applyNumberFormat="1" applyFont="1" applyFill="1" applyBorder="1" applyAlignment="1">
      <alignment horizontal="center"/>
    </xf>
    <xf numFmtId="0" fontId="21" fillId="0" borderId="0" xfId="1" applyNumberFormat="1" applyFont="1" applyFill="1" applyBorder="1" applyAlignment="1">
      <alignment horizontal="center"/>
    </xf>
    <xf numFmtId="0" fontId="19" fillId="8" borderId="1" xfId="5" applyFont="1" applyFill="1" applyBorder="1" applyAlignment="1">
      <alignment horizontal="center"/>
    </xf>
    <xf numFmtId="0" fontId="19" fillId="8" borderId="2" xfId="5" applyFont="1" applyFill="1" applyBorder="1" applyAlignment="1">
      <alignment horizontal="center"/>
    </xf>
    <xf numFmtId="0" fontId="19" fillId="8" borderId="3" xfId="5" applyFont="1" applyFill="1" applyBorder="1" applyAlignment="1">
      <alignment horizontal="center"/>
    </xf>
    <xf numFmtId="0" fontId="19" fillId="0" borderId="0" xfId="5" applyFont="1" applyAlignment="1">
      <alignment horizontal="center"/>
    </xf>
    <xf numFmtId="0" fontId="27" fillId="7" borderId="1" xfId="5" applyFont="1" applyFill="1" applyBorder="1" applyAlignment="1">
      <alignment horizontal="center"/>
    </xf>
    <xf numFmtId="0" fontId="27" fillId="7" borderId="2" xfId="5" applyFont="1" applyFill="1" applyBorder="1" applyAlignment="1">
      <alignment horizontal="center"/>
    </xf>
    <xf numFmtId="0" fontId="27" fillId="7" borderId="3" xfId="5" applyFont="1" applyFill="1" applyBorder="1" applyAlignment="1">
      <alignment horizontal="center"/>
    </xf>
    <xf numFmtId="0" fontId="8" fillId="0" borderId="0" xfId="5" applyFont="1" applyAlignment="1">
      <alignment horizontal="left" wrapText="1"/>
    </xf>
    <xf numFmtId="0" fontId="9" fillId="0" borderId="0" xfId="5" applyFont="1" applyAlignment="1">
      <alignment horizontal="center"/>
    </xf>
    <xf numFmtId="0" fontId="10" fillId="8" borderId="1" xfId="5" applyFont="1" applyFill="1" applyBorder="1" applyAlignment="1">
      <alignment horizontal="center"/>
    </xf>
    <xf numFmtId="0" fontId="10" fillId="8" borderId="2" xfId="5" applyFont="1" applyFill="1" applyBorder="1" applyAlignment="1">
      <alignment horizontal="center"/>
    </xf>
    <xf numFmtId="0" fontId="10" fillId="8" borderId="3" xfId="5" applyFont="1" applyFill="1" applyBorder="1" applyAlignment="1">
      <alignment horizont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8" fillId="9" borderId="0" xfId="5" applyFont="1" applyFill="1" applyAlignment="1">
      <alignment horizontal="center" vertical="top" wrapText="1"/>
    </xf>
    <xf numFmtId="0" fontId="2" fillId="0" borderId="1" xfId="0" applyFont="1" applyBorder="1" applyAlignment="1">
      <alignment horizontal="center"/>
    </xf>
    <xf numFmtId="0" fontId="2" fillId="0" borderId="2" xfId="0" applyFont="1" applyBorder="1" applyAlignment="1">
      <alignment horizontal="center"/>
    </xf>
    <xf numFmtId="0" fontId="2" fillId="0" borderId="22" xfId="0" applyFont="1" applyBorder="1" applyAlignment="1">
      <alignment horizontal="center"/>
    </xf>
    <xf numFmtId="0" fontId="2" fillId="0" borderId="3" xfId="0" applyFont="1" applyBorder="1" applyAlignment="1">
      <alignment horizontal="center"/>
    </xf>
    <xf numFmtId="0" fontId="12" fillId="0" borderId="0" xfId="0" applyFont="1" applyAlignment="1">
      <alignment horizontal="center"/>
    </xf>
    <xf numFmtId="0" fontId="9" fillId="8" borderId="0" xfId="0" applyFont="1" applyFill="1" applyAlignment="1">
      <alignment horizontal="center"/>
    </xf>
    <xf numFmtId="0" fontId="13" fillId="0" borderId="14" xfId="0" applyFont="1" applyBorder="1" applyAlignment="1">
      <alignment horizontal="center" wrapText="1"/>
    </xf>
    <xf numFmtId="164" fontId="0" fillId="0" borderId="0" xfId="3" applyNumberFormat="1" applyFont="1" applyBorder="1" applyAlignment="1">
      <alignment horizontal="left"/>
    </xf>
    <xf numFmtId="0" fontId="0" fillId="0" borderId="0" xfId="0" applyBorder="1" applyAlignment="1">
      <alignment horizontal="left"/>
    </xf>
  </cellXfs>
  <cellStyles count="8">
    <cellStyle name="Comma" xfId="1" builtinId="3"/>
    <cellStyle name="Comma 2" xfId="7" xr:uid="{112CFAA7-624C-4552-8F74-E1A4E4EAF61C}"/>
    <cellStyle name="Currency" xfId="2" builtinId="4"/>
    <cellStyle name="Hyperlink" xfId="4" builtinId="8"/>
    <cellStyle name="Hyperlink 2" xfId="6" xr:uid="{F6922A4B-973E-4870-A963-CC81817AD9EE}"/>
    <cellStyle name="Normal" xfId="0" builtinId="0"/>
    <cellStyle name="Normal 2" xfId="5" xr:uid="{C3FDC763-6463-43D6-BFD0-98B707717801}"/>
    <cellStyle name="Percent" xfId="3" builtinId="5"/>
  </cellStyles>
  <dxfs count="0"/>
  <tableStyles count="0" defaultTableStyle="TableStyleMedium2" defaultPivotStyle="PivotStyleLight16"/>
  <colors>
    <mruColors>
      <color rgb="FFF3E7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externalLink" Target="externalLinks/externalLink8.xml"/><Relationship Id="rId26" Type="http://schemas.openxmlformats.org/officeDocument/2006/relationships/externalLink" Target="externalLinks/externalLink16.xml"/><Relationship Id="rId3" Type="http://schemas.openxmlformats.org/officeDocument/2006/relationships/worksheet" Target="worksheets/sheet3.xml"/><Relationship Id="rId21" Type="http://schemas.openxmlformats.org/officeDocument/2006/relationships/externalLink" Target="externalLinks/externalLink1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externalLink" Target="externalLinks/externalLink7.xml"/><Relationship Id="rId25" Type="http://schemas.openxmlformats.org/officeDocument/2006/relationships/externalLink" Target="externalLinks/externalLink1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externalLink" Target="externalLinks/externalLink10.xml"/><Relationship Id="rId29"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externalLink" Target="externalLinks/externalLink1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externalLink" Target="externalLinks/externalLink5.xml"/><Relationship Id="rId23" Type="http://schemas.openxmlformats.org/officeDocument/2006/relationships/externalLink" Target="externalLinks/externalLink13.xml"/><Relationship Id="rId28" Type="http://schemas.openxmlformats.org/officeDocument/2006/relationships/externalLink" Target="externalLinks/externalLink18.xml"/><Relationship Id="rId36"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externalLink" Target="externalLinks/externalLink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 Id="rId22" Type="http://schemas.openxmlformats.org/officeDocument/2006/relationships/externalLink" Target="externalLinks/externalLink12.xml"/><Relationship Id="rId27" Type="http://schemas.openxmlformats.org/officeDocument/2006/relationships/externalLink" Target="externalLinks/externalLink17.xml"/><Relationship Id="rId30" Type="http://schemas.openxmlformats.org/officeDocument/2006/relationships/theme" Target="theme/theme1.xml"/><Relationship Id="rId35"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groups\Reimbursement\Budget\FY%202005\Model\ContractSummaryTemplat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groups\Budget\2004%20Budget\BISHCA\FY%202004%20Original%20Submission\Capital\State%20Budget%20Worksheet%20-%20Capital.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groups\Accounting\Accounting%20Workpapers\FY2005\Sep05-workpapers\PPE\PP&amp;E%20SCHEDULES\ACRAS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eheidkamp\AppData\Local\Microsoft\Windows\Temporary%20Internet%20Files\Content.Outlook\ANIO12TM\B27200.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FY13%20rollforward.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ssenecal\AppData\Local\Microsoft\Windows\Temporary%20Internet%20Files\Content.Outlook\RMIM15N4\CA%20Budget%202015%20FINAL.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apadv01\enuffadv\hospadv\Bud1\FY2009BaseY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Groups\Operations%20Data\Monthly%20Statistics%20Report\Current_Month_Report_Detail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m209362\Local%20Settings\Temporary%20Internet%20Files\OLK52D\FY2004%20Jul04%20Financials%20email%20revised%20rw.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Finance\Reimbursement%20Analysis,%20Allowances,%20Tables\RRMC\FY2013\Budget%20FY2014\CA%20Budget%202014_1%20.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13.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inance\Budget\FY%202002\RRMC\CA%20budget%2002%20to%20state%2011-14%201%25%20Reduc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Documents%20and%20Settings\m132712\Temporary%20Internet%20Files\OLK8D3\finalCapital%20Budget%20Request%20FY08_AS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refreshError="1"/>
      <sheetData sheetId="1"/>
      <sheetData sheetId="2"/>
      <sheetData sheetId="3"/>
      <sheetData sheetId="4" refreshError="1"/>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refreshError="1"/>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refreshError="1"/>
      <sheetData sheetId="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efreshError="1">
        <row r="7">
          <cell r="L7">
            <v>2</v>
          </cell>
        </row>
        <row r="9">
          <cell r="L9">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port"/>
      <sheetName val="OPReport"/>
      <sheetName val="ProReport"/>
      <sheetName val="DETAIL"/>
      <sheetName val="Settings_Fin_Stmts"/>
      <sheetName val="Settings_FSDetail"/>
      <sheetName val="Revenues"/>
      <sheetName val="FTE_Sum"/>
      <sheetName val="FTE_All"/>
      <sheetName val="Summary_5yrs_35mill_yr"/>
      <sheetName val="Charts"/>
      <sheetName val="Settings_Charts"/>
      <sheetName val="Capital"/>
      <sheetName val="Settings_Capital"/>
      <sheetName val="Cap_List"/>
      <sheetName val="Settings_Cap_List"/>
      <sheetName val="Sensitivity"/>
      <sheetName val="Settings_Sensitivity"/>
      <sheetName val="Settings_Custom"/>
      <sheetName val="Settings_System_Inputs"/>
      <sheetName val="Settings_Eliminations"/>
      <sheetName val="SMstr_NonPatient"/>
      <sheetName val="Settings_SMstr_NonPatient"/>
      <sheetName val="SMstr_Operation"/>
      <sheetName val="Settings_SMstr_Operation"/>
      <sheetName val="SMstr_Project"/>
      <sheetName val="Settings_SMstr_Project"/>
      <sheetName val="DirectTotal"/>
      <sheetName val="WSControl"/>
      <sheetName val="ConsData"/>
      <sheetName val="ConsTotal"/>
      <sheetName val="SPMRatings"/>
      <sheetName val="Settings_HospComb"/>
      <sheetName val="Settings_OPFACBLDG"/>
      <sheetName val="Settings_OPEQMME"/>
      <sheetName val="Settings_ITMME"/>
      <sheetName val="Settings_MedComb"/>
      <sheetName val="Settings_CONProj"/>
      <sheetName val="Settings_ProjChart"/>
      <sheetName val="Settings_DeansTax"/>
      <sheetName val="Settings_NewCap"/>
      <sheetName val="Settings_Sal_Adj"/>
      <sheetName val="Settings_EHR_wTotal_Capital"/>
      <sheetName val="Settings_Operational_Imprvmnts"/>
      <sheetName val="Settings_Operational_Changes"/>
      <sheetName val="Settings_EHR"/>
      <sheetName val="Settings_0607_PLUG"/>
      <sheetName val="0607_PLUG"/>
      <sheetName val="TotFAHC"/>
      <sheetName val="Hosp"/>
      <sheetName val="MG"/>
      <sheetName val="Overhead"/>
      <sheetName val="2010_FP"/>
      <sheetName val="2010_Hosp_OH"/>
      <sheetName val="2010_FAHC"/>
      <sheetName val="Custom"/>
      <sheetName val="Fin_Stmts"/>
      <sheetName val="FSDetail"/>
      <sheetName val="System_Inputs"/>
      <sheetName val="HospComb"/>
      <sheetName val="MedComb"/>
      <sheetName val="Eliminations"/>
      <sheetName val="ITMME"/>
      <sheetName val="OPEQMME"/>
      <sheetName val="OPFACBLDG"/>
      <sheetName val="CONProj"/>
      <sheetName val="EHR"/>
      <sheetName val="ProjChart"/>
      <sheetName val="DeansTax"/>
      <sheetName val="EHR_wTotal_Capital"/>
      <sheetName val="Operational_Imprvmnts"/>
      <sheetName val="Operational_Changes"/>
      <sheetName val="NewCap"/>
      <sheetName val="Sal_Adj"/>
      <sheetName val="KHACode"/>
      <sheetName val="Bgt_Hidd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Data-Budget"/>
      <sheetName val="Imported Picis"/>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39356</v>
          </cell>
          <cell r="C2">
            <v>1919</v>
          </cell>
          <cell r="D2">
            <v>10533</v>
          </cell>
          <cell r="E2">
            <v>1928</v>
          </cell>
          <cell r="F2">
            <v>602</v>
          </cell>
          <cell r="G2">
            <v>1533</v>
          </cell>
          <cell r="H2">
            <v>1007</v>
          </cell>
          <cell r="I2">
            <v>433</v>
          </cell>
          <cell r="J2">
            <v>4523</v>
          </cell>
          <cell r="K2">
            <v>1303</v>
          </cell>
          <cell r="L2">
            <v>69623</v>
          </cell>
          <cell r="M2">
            <v>5934</v>
          </cell>
          <cell r="N2">
            <v>32571</v>
          </cell>
          <cell r="O2">
            <v>5140.3479820000002</v>
          </cell>
          <cell r="P2">
            <v>48.862676</v>
          </cell>
          <cell r="Q2">
            <v>4542.2147960000002</v>
          </cell>
          <cell r="R2">
            <v>30187.466034049306</v>
          </cell>
          <cell r="S2">
            <v>6.14</v>
          </cell>
          <cell r="T2">
            <v>1.66</v>
          </cell>
          <cell r="U2">
            <v>1.83</v>
          </cell>
          <cell r="V2">
            <v>1.41</v>
          </cell>
          <cell r="W2">
            <v>198</v>
          </cell>
          <cell r="X2">
            <v>5.4887962480458574</v>
          </cell>
          <cell r="Y2">
            <v>143008</v>
          </cell>
          <cell r="Z2">
            <v>931</v>
          </cell>
          <cell r="AA2">
            <v>424</v>
          </cell>
          <cell r="AB2">
            <v>585</v>
          </cell>
          <cell r="AC2">
            <v>339.77419354838707</v>
          </cell>
          <cell r="AD2">
            <v>1050.6774193548388</v>
          </cell>
          <cell r="AE2">
            <v>1790</v>
          </cell>
          <cell r="AF2">
            <v>31</v>
          </cell>
          <cell r="AG2">
            <v>409</v>
          </cell>
          <cell r="AH2">
            <v>0.4</v>
          </cell>
          <cell r="AI2">
            <v>0.7</v>
          </cell>
          <cell r="AJ2">
            <v>4.75</v>
          </cell>
          <cell r="AK2">
            <v>4.9000000000000004</v>
          </cell>
          <cell r="AL2">
            <v>12</v>
          </cell>
          <cell r="AM2">
            <v>15.1</v>
          </cell>
          <cell r="AN2">
            <v>31</v>
          </cell>
          <cell r="AO2">
            <v>794</v>
          </cell>
          <cell r="AP2">
            <v>5934.0213608092081</v>
          </cell>
          <cell r="AQ2">
            <v>42853588.600000001</v>
          </cell>
          <cell r="AR2">
            <v>48630698.5</v>
          </cell>
          <cell r="AS2">
            <v>41029579.57</v>
          </cell>
          <cell r="AT2">
            <v>725.35348583972757</v>
          </cell>
          <cell r="AU2">
            <v>22485.958061031553</v>
          </cell>
          <cell r="AV2">
            <v>725.35348583972757</v>
          </cell>
          <cell r="AW2">
            <v>22485.958061031553</v>
          </cell>
          <cell r="AX2">
            <v>4591.0774709999996</v>
          </cell>
          <cell r="AY2">
            <v>5140.3479820000002</v>
          </cell>
          <cell r="AZ2">
            <v>48.862676</v>
          </cell>
          <cell r="BA2">
            <v>63</v>
          </cell>
          <cell r="BB2">
            <v>288</v>
          </cell>
        </row>
        <row r="3">
          <cell r="B3">
            <v>39387</v>
          </cell>
          <cell r="C3">
            <v>1855</v>
          </cell>
          <cell r="D3">
            <v>9892</v>
          </cell>
          <cell r="E3">
            <v>1823</v>
          </cell>
          <cell r="F3">
            <v>570</v>
          </cell>
          <cell r="G3">
            <v>1493</v>
          </cell>
          <cell r="H3">
            <v>971</v>
          </cell>
          <cell r="I3">
            <v>418</v>
          </cell>
          <cell r="J3">
            <v>4152</v>
          </cell>
          <cell r="K3">
            <v>1234</v>
          </cell>
          <cell r="L3">
            <v>69554</v>
          </cell>
          <cell r="M3">
            <v>5860</v>
          </cell>
          <cell r="N3">
            <v>31249</v>
          </cell>
          <cell r="O3">
            <v>5100.5768040000003</v>
          </cell>
          <cell r="P3">
            <v>48.321088000000003</v>
          </cell>
          <cell r="Q3">
            <v>4510.1921179999999</v>
          </cell>
          <cell r="R3">
            <v>29420.691355637206</v>
          </cell>
          <cell r="S3">
            <v>6.14</v>
          </cell>
          <cell r="T3">
            <v>1.66</v>
          </cell>
          <cell r="U3">
            <v>1.83</v>
          </cell>
          <cell r="V3">
            <v>1.41</v>
          </cell>
          <cell r="W3">
            <v>174</v>
          </cell>
          <cell r="X3">
            <v>5.3326145552560646</v>
          </cell>
          <cell r="Y3">
            <v>141953</v>
          </cell>
          <cell r="Z3">
            <v>842</v>
          </cell>
          <cell r="AA3">
            <v>373</v>
          </cell>
          <cell r="AB3">
            <v>523</v>
          </cell>
          <cell r="AC3">
            <v>329.73333333333335</v>
          </cell>
          <cell r="AD3">
            <v>1041.6333333333334</v>
          </cell>
          <cell r="AE3">
            <v>1942</v>
          </cell>
          <cell r="AF3">
            <v>30</v>
          </cell>
          <cell r="AG3">
            <v>417</v>
          </cell>
          <cell r="AH3">
            <v>0.4</v>
          </cell>
          <cell r="AI3">
            <v>0.7</v>
          </cell>
          <cell r="AJ3">
            <v>4.75</v>
          </cell>
          <cell r="AK3">
            <v>4.9000000000000004</v>
          </cell>
          <cell r="AL3">
            <v>12</v>
          </cell>
          <cell r="AM3">
            <v>15.1</v>
          </cell>
          <cell r="AN3">
            <v>61</v>
          </cell>
          <cell r="AO3">
            <v>790</v>
          </cell>
          <cell r="AP3">
            <v>5859.969117142452</v>
          </cell>
          <cell r="AQ3">
            <v>40725962.549999997</v>
          </cell>
          <cell r="AR3">
            <v>47395457.75</v>
          </cell>
          <cell r="AS3">
            <v>40532424.880000003</v>
          </cell>
          <cell r="AT3">
            <v>713.46551030963087</v>
          </cell>
          <cell r="AU3">
            <v>21403.965309288928</v>
          </cell>
          <cell r="AV3">
            <v>719.50694049705703</v>
          </cell>
          <cell r="AW3">
            <v>43889.923370320481</v>
          </cell>
          <cell r="AX3">
            <v>4591.0774709999996</v>
          </cell>
          <cell r="AY3">
            <v>5120.7876339314043</v>
          </cell>
          <cell r="AZ3">
            <v>48.596310681628061</v>
          </cell>
          <cell r="BA3">
            <v>59</v>
          </cell>
          <cell r="BB3">
            <v>237</v>
          </cell>
        </row>
        <row r="4">
          <cell r="B4">
            <v>39417</v>
          </cell>
          <cell r="C4">
            <v>1790</v>
          </cell>
          <cell r="D4">
            <v>9620</v>
          </cell>
          <cell r="E4">
            <v>1549</v>
          </cell>
          <cell r="F4">
            <v>508</v>
          </cell>
          <cell r="G4">
            <v>1412</v>
          </cell>
          <cell r="H4">
            <v>961</v>
          </cell>
          <cell r="I4">
            <v>383</v>
          </cell>
          <cell r="J4">
            <v>4233</v>
          </cell>
          <cell r="K4">
            <v>1236</v>
          </cell>
          <cell r="L4">
            <v>65489</v>
          </cell>
          <cell r="M4">
            <v>5664</v>
          </cell>
          <cell r="N4">
            <v>30441</v>
          </cell>
          <cell r="O4">
            <v>5079.5350040000003</v>
          </cell>
          <cell r="P4">
            <v>46.254773</v>
          </cell>
          <cell r="Q4">
            <v>4437.7078970000002</v>
          </cell>
          <cell r="R4">
            <v>28148.81915723631</v>
          </cell>
          <cell r="S4">
            <v>6.14</v>
          </cell>
          <cell r="T4">
            <v>1.66</v>
          </cell>
          <cell r="U4">
            <v>1.83</v>
          </cell>
          <cell r="V4">
            <v>1.41</v>
          </cell>
          <cell r="W4">
            <v>180</v>
          </cell>
          <cell r="X4">
            <v>5.3743016759776534</v>
          </cell>
          <cell r="Y4">
            <v>133289</v>
          </cell>
          <cell r="Z4">
            <v>906</v>
          </cell>
          <cell r="AA4">
            <v>387</v>
          </cell>
          <cell r="AB4">
            <v>543</v>
          </cell>
          <cell r="AC4">
            <v>310.32258064516128</v>
          </cell>
          <cell r="AD4">
            <v>981.9677419354839</v>
          </cell>
          <cell r="AE4">
            <v>1915</v>
          </cell>
          <cell r="AF4">
            <v>31</v>
          </cell>
          <cell r="AG4">
            <v>423</v>
          </cell>
          <cell r="AH4">
            <v>0.4</v>
          </cell>
          <cell r="AI4">
            <v>0.7</v>
          </cell>
          <cell r="AJ4">
            <v>4.75</v>
          </cell>
          <cell r="AK4">
            <v>4.9000000000000004</v>
          </cell>
          <cell r="AL4">
            <v>12</v>
          </cell>
          <cell r="AM4">
            <v>15.1</v>
          </cell>
          <cell r="AN4">
            <v>92</v>
          </cell>
          <cell r="AO4">
            <v>747</v>
          </cell>
          <cell r="AP4">
            <v>5664.1306528729247</v>
          </cell>
          <cell r="AQ4">
            <v>38439360.020000003</v>
          </cell>
          <cell r="AR4">
            <v>45346526.810000002</v>
          </cell>
          <cell r="AS4">
            <v>37848502.759999998</v>
          </cell>
          <cell r="AT4">
            <v>676.40701117814899</v>
          </cell>
          <cell r="AU4">
            <v>20968.61734652262</v>
          </cell>
          <cell r="AV4">
            <v>704.98413822655539</v>
          </cell>
          <cell r="AW4">
            <v>64858.540716843097</v>
          </cell>
          <cell r="AX4">
            <v>4575.0616428130497</v>
          </cell>
          <cell r="AY4">
            <v>5106.8876342858248</v>
          </cell>
          <cell r="AZ4">
            <v>47.807333918598431</v>
          </cell>
          <cell r="BA4">
            <v>58</v>
          </cell>
          <cell r="BB4">
            <v>240</v>
          </cell>
        </row>
        <row r="5">
          <cell r="B5">
            <v>39448</v>
          </cell>
          <cell r="C5">
            <v>1954</v>
          </cell>
          <cell r="D5">
            <v>10658</v>
          </cell>
          <cell r="E5">
            <v>1903</v>
          </cell>
          <cell r="F5">
            <v>594</v>
          </cell>
          <cell r="G5">
            <v>1605</v>
          </cell>
          <cell r="H5">
            <v>1045</v>
          </cell>
          <cell r="I5">
            <v>452</v>
          </cell>
          <cell r="J5">
            <v>4595</v>
          </cell>
          <cell r="K5">
            <v>1297</v>
          </cell>
          <cell r="L5">
            <v>72064</v>
          </cell>
          <cell r="M5">
            <v>6041</v>
          </cell>
          <cell r="N5">
            <v>32951</v>
          </cell>
          <cell r="O5">
            <v>5142.2176790000003</v>
          </cell>
          <cell r="P5">
            <v>48.977409000000002</v>
          </cell>
          <cell r="Q5">
            <v>4550.4443039999996</v>
          </cell>
          <cell r="R5">
            <v>30294.371788288801</v>
          </cell>
          <cell r="S5">
            <v>6.14</v>
          </cell>
          <cell r="T5">
            <v>1.66</v>
          </cell>
          <cell r="U5">
            <v>1.83</v>
          </cell>
          <cell r="V5">
            <v>1.41</v>
          </cell>
          <cell r="W5">
            <v>156</v>
          </cell>
          <cell r="X5">
            <v>5.4544524053224155</v>
          </cell>
          <cell r="Y5">
            <v>149908</v>
          </cell>
          <cell r="Z5">
            <v>995</v>
          </cell>
          <cell r="AA5">
            <v>336</v>
          </cell>
          <cell r="AB5">
            <v>554</v>
          </cell>
          <cell r="AC5">
            <v>343.80645161290323</v>
          </cell>
          <cell r="AD5">
            <v>1062.9354838709678</v>
          </cell>
          <cell r="AE5">
            <v>1984</v>
          </cell>
          <cell r="AF5">
            <v>31</v>
          </cell>
          <cell r="AG5">
            <v>465</v>
          </cell>
          <cell r="AH5">
            <v>0.4</v>
          </cell>
          <cell r="AI5">
            <v>0.7</v>
          </cell>
          <cell r="AJ5">
            <v>4.75</v>
          </cell>
          <cell r="AK5">
            <v>4.9000000000000004</v>
          </cell>
          <cell r="AL5">
            <v>12</v>
          </cell>
          <cell r="AM5">
            <v>15.1</v>
          </cell>
          <cell r="AN5">
            <v>123</v>
          </cell>
          <cell r="AO5">
            <v>798</v>
          </cell>
          <cell r="AP5">
            <v>6041.1735680960755</v>
          </cell>
          <cell r="AQ5">
            <v>43825648.100000001</v>
          </cell>
          <cell r="AR5">
            <v>48802919.039999999</v>
          </cell>
          <cell r="AS5">
            <v>42867004.460000001</v>
          </cell>
          <cell r="AT5">
            <v>726.65893984556885</v>
          </cell>
          <cell r="AU5">
            <v>22526.427135212634</v>
          </cell>
          <cell r="AV5">
            <v>710.44689310614422</v>
          </cell>
          <cell r="AW5">
            <v>87384.967852055735</v>
          </cell>
          <cell r="AX5">
            <v>4544.3660073674555</v>
          </cell>
          <cell r="AY5">
            <v>5115.7917901188839</v>
          </cell>
          <cell r="AZ5">
            <v>48.102225534684784</v>
          </cell>
          <cell r="BA5">
            <v>64</v>
          </cell>
          <cell r="BB5">
            <v>278</v>
          </cell>
        </row>
        <row r="6">
          <cell r="B6">
            <v>39479</v>
          </cell>
          <cell r="C6">
            <v>1743</v>
          </cell>
          <cell r="D6">
            <v>9423</v>
          </cell>
          <cell r="E6">
            <v>1596</v>
          </cell>
          <cell r="F6">
            <v>518</v>
          </cell>
          <cell r="G6">
            <v>1377</v>
          </cell>
          <cell r="H6">
            <v>926</v>
          </cell>
          <cell r="I6">
            <v>372</v>
          </cell>
          <cell r="J6">
            <v>4219</v>
          </cell>
          <cell r="K6">
            <v>1213</v>
          </cell>
          <cell r="L6">
            <v>64090</v>
          </cell>
          <cell r="M6">
            <v>5496</v>
          </cell>
          <cell r="N6">
            <v>29714</v>
          </cell>
          <cell r="O6">
            <v>5084.5459510000001</v>
          </cell>
          <cell r="P6">
            <v>47.617908</v>
          </cell>
          <cell r="Q6">
            <v>4496.1437999999998</v>
          </cell>
          <cell r="R6">
            <v>27445.630338959316</v>
          </cell>
          <cell r="S6">
            <v>6.14</v>
          </cell>
          <cell r="T6">
            <v>1.66</v>
          </cell>
          <cell r="U6">
            <v>1.83</v>
          </cell>
          <cell r="V6">
            <v>1.41</v>
          </cell>
          <cell r="W6">
            <v>158</v>
          </cell>
          <cell r="X6">
            <v>5.4061962134251287</v>
          </cell>
          <cell r="Y6">
            <v>131412</v>
          </cell>
          <cell r="Z6">
            <v>861</v>
          </cell>
          <cell r="AA6">
            <v>345</v>
          </cell>
          <cell r="AB6">
            <v>556</v>
          </cell>
          <cell r="AC6">
            <v>324.93103448275861</v>
          </cell>
          <cell r="AD6">
            <v>1024.6206896551723</v>
          </cell>
          <cell r="AE6">
            <v>1874</v>
          </cell>
          <cell r="AF6">
            <v>29</v>
          </cell>
          <cell r="AG6">
            <v>402</v>
          </cell>
          <cell r="AH6">
            <v>0.4</v>
          </cell>
          <cell r="AI6">
            <v>0.7</v>
          </cell>
          <cell r="AJ6">
            <v>4.75</v>
          </cell>
          <cell r="AK6">
            <v>4.9000000000000004</v>
          </cell>
          <cell r="AL6">
            <v>12</v>
          </cell>
          <cell r="AM6">
            <v>15.1</v>
          </cell>
          <cell r="AN6">
            <v>152</v>
          </cell>
          <cell r="AO6">
            <v>653</v>
          </cell>
          <cell r="AP6">
            <v>5496.3196152868577</v>
          </cell>
          <cell r="AQ6">
            <v>37975552.200000003</v>
          </cell>
          <cell r="AR6">
            <v>44213720.119999997</v>
          </cell>
          <cell r="AS6">
            <v>37561601.149999999</v>
          </cell>
          <cell r="AT6">
            <v>703.23783937821861</v>
          </cell>
          <cell r="AU6">
            <v>20393.897341968339</v>
          </cell>
          <cell r="AV6">
            <v>709.07148153963215</v>
          </cell>
          <cell r="AW6">
            <v>107778.86519402408</v>
          </cell>
          <cell r="AX6">
            <v>4558.2415795424977</v>
          </cell>
          <cell r="AY6">
            <v>5109.8303320958075</v>
          </cell>
          <cell r="AZ6">
            <v>48.009821613299067</v>
          </cell>
          <cell r="BA6">
            <v>57</v>
          </cell>
          <cell r="BB6">
            <v>235</v>
          </cell>
        </row>
        <row r="7">
          <cell r="B7">
            <v>39508</v>
          </cell>
          <cell r="C7">
            <v>1988</v>
          </cell>
          <cell r="D7">
            <v>10516</v>
          </cell>
          <cell r="E7">
            <v>1808</v>
          </cell>
          <cell r="F7">
            <v>577</v>
          </cell>
          <cell r="G7">
            <v>1586</v>
          </cell>
          <cell r="H7">
            <v>1065</v>
          </cell>
          <cell r="I7">
            <v>434</v>
          </cell>
          <cell r="J7">
            <v>4516</v>
          </cell>
          <cell r="K7">
            <v>1362</v>
          </cell>
          <cell r="L7">
            <v>72214</v>
          </cell>
          <cell r="M7">
            <v>6347</v>
          </cell>
          <cell r="N7">
            <v>33577</v>
          </cell>
          <cell r="O7">
            <v>5138.729902</v>
          </cell>
          <cell r="P7">
            <v>48.871558</v>
          </cell>
          <cell r="Q7">
            <v>4536.551359</v>
          </cell>
          <cell r="R7">
            <v>30871.080835428351</v>
          </cell>
          <cell r="S7">
            <v>6.14</v>
          </cell>
          <cell r="T7">
            <v>1.66</v>
          </cell>
          <cell r="U7">
            <v>1.83</v>
          </cell>
          <cell r="V7">
            <v>1.41</v>
          </cell>
          <cell r="W7">
            <v>200</v>
          </cell>
          <cell r="X7">
            <v>5.2897384305835011</v>
          </cell>
          <cell r="Y7">
            <v>149706</v>
          </cell>
          <cell r="Z7">
            <v>951</v>
          </cell>
          <cell r="AA7">
            <v>411</v>
          </cell>
          <cell r="AB7">
            <v>565</v>
          </cell>
          <cell r="AC7">
            <v>339.22580645161293</v>
          </cell>
          <cell r="AD7">
            <v>1083.1290322580646</v>
          </cell>
          <cell r="AE7">
            <v>2060</v>
          </cell>
          <cell r="AF7">
            <v>31</v>
          </cell>
          <cell r="AG7">
            <v>451</v>
          </cell>
          <cell r="AH7">
            <v>0.4</v>
          </cell>
          <cell r="AI7">
            <v>0.7</v>
          </cell>
          <cell r="AJ7">
            <v>4.75</v>
          </cell>
          <cell r="AK7">
            <v>4.9000000000000004</v>
          </cell>
          <cell r="AL7">
            <v>12</v>
          </cell>
          <cell r="AM7">
            <v>15.1</v>
          </cell>
          <cell r="AN7">
            <v>183</v>
          </cell>
          <cell r="AO7">
            <v>710</v>
          </cell>
          <cell r="AP7">
            <v>6347.4873650069176</v>
          </cell>
          <cell r="AQ7">
            <v>42184400.619999997</v>
          </cell>
          <cell r="AR7">
            <v>49731972.299999997</v>
          </cell>
          <cell r="AS7">
            <v>42774245.759999998</v>
          </cell>
          <cell r="AT7">
            <v>739.14540141910379</v>
          </cell>
          <cell r="AU7">
            <v>22913.507443992217</v>
          </cell>
          <cell r="AV7">
            <v>714.16597069954264</v>
          </cell>
          <cell r="AW7">
            <v>130692.3726380163</v>
          </cell>
          <cell r="AX7">
            <v>4555.4789350825413</v>
          </cell>
          <cell r="AY7">
            <v>5114.7257995019181</v>
          </cell>
          <cell r="AZ7">
            <v>48.15579615380917</v>
          </cell>
          <cell r="BA7">
            <v>63</v>
          </cell>
          <cell r="BB7">
            <v>288</v>
          </cell>
        </row>
        <row r="8">
          <cell r="B8">
            <v>39539</v>
          </cell>
          <cell r="C8">
            <v>1852</v>
          </cell>
          <cell r="D8">
            <v>9795</v>
          </cell>
          <cell r="E8">
            <v>1681</v>
          </cell>
          <cell r="F8">
            <v>532</v>
          </cell>
          <cell r="G8">
            <v>1434</v>
          </cell>
          <cell r="H8">
            <v>931</v>
          </cell>
          <cell r="I8">
            <v>368</v>
          </cell>
          <cell r="J8">
            <v>4416</v>
          </cell>
          <cell r="K8">
            <v>1273</v>
          </cell>
          <cell r="L8">
            <v>65856</v>
          </cell>
          <cell r="M8">
            <v>5900</v>
          </cell>
          <cell r="N8">
            <v>31207</v>
          </cell>
          <cell r="O8">
            <v>5103.6803110000001</v>
          </cell>
          <cell r="P8">
            <v>47.910511</v>
          </cell>
          <cell r="Q8">
            <v>4505.1642629999997</v>
          </cell>
          <cell r="R8">
            <v>28930.745016971308</v>
          </cell>
          <cell r="S8">
            <v>6.14</v>
          </cell>
          <cell r="T8">
            <v>1.66</v>
          </cell>
          <cell r="U8">
            <v>1.83</v>
          </cell>
          <cell r="V8">
            <v>1.41</v>
          </cell>
          <cell r="W8">
            <v>190</v>
          </cell>
          <cell r="X8">
            <v>5.2888768898488117</v>
          </cell>
          <cell r="Y8">
            <v>136333</v>
          </cell>
          <cell r="Z8">
            <v>868</v>
          </cell>
          <cell r="AA8">
            <v>412</v>
          </cell>
          <cell r="AB8">
            <v>584</v>
          </cell>
          <cell r="AC8">
            <v>326.5</v>
          </cell>
          <cell r="AD8">
            <v>1040.2333333333333</v>
          </cell>
          <cell r="AE8">
            <v>1924</v>
          </cell>
          <cell r="AF8">
            <v>30</v>
          </cell>
          <cell r="AG8">
            <v>410</v>
          </cell>
          <cell r="AH8">
            <v>0.4</v>
          </cell>
          <cell r="AI8">
            <v>0.7</v>
          </cell>
          <cell r="AJ8">
            <v>4.75</v>
          </cell>
          <cell r="AK8">
            <v>4.9000000000000004</v>
          </cell>
          <cell r="AL8">
            <v>12</v>
          </cell>
          <cell r="AM8">
            <v>15.1</v>
          </cell>
          <cell r="AN8">
            <v>213</v>
          </cell>
          <cell r="AO8">
            <v>622</v>
          </cell>
          <cell r="AP8">
            <v>5900.4812282964458</v>
          </cell>
          <cell r="AQ8">
            <v>39088166.549999997</v>
          </cell>
          <cell r="AR8">
            <v>46606175.450000003</v>
          </cell>
          <cell r="AS8">
            <v>38840751.399999999</v>
          </cell>
          <cell r="AT8">
            <v>715.79726378852115</v>
          </cell>
          <cell r="AU8">
            <v>21473.917913655634</v>
          </cell>
          <cell r="AV8">
            <v>714.39573028953964</v>
          </cell>
          <cell r="AW8">
            <v>152166.29055167193</v>
          </cell>
          <cell r="AX8">
            <v>4560.5513215752071</v>
          </cell>
          <cell r="AY8">
            <v>5113.1700197151577</v>
          </cell>
          <cell r="AZ8">
            <v>48.12124725606985</v>
          </cell>
          <cell r="BA8">
            <v>59</v>
          </cell>
          <cell r="BB8">
            <v>246</v>
          </cell>
        </row>
        <row r="9">
          <cell r="B9">
            <v>39569</v>
          </cell>
          <cell r="C9">
            <v>1945</v>
          </cell>
          <cell r="D9">
            <v>10223</v>
          </cell>
          <cell r="E9">
            <v>1880</v>
          </cell>
          <cell r="F9">
            <v>600</v>
          </cell>
          <cell r="G9">
            <v>1624</v>
          </cell>
          <cell r="H9">
            <v>1091</v>
          </cell>
          <cell r="I9">
            <v>442</v>
          </cell>
          <cell r="J9">
            <v>4545</v>
          </cell>
          <cell r="K9">
            <v>1271</v>
          </cell>
          <cell r="L9">
            <v>69678</v>
          </cell>
          <cell r="M9">
            <v>6176</v>
          </cell>
          <cell r="N9">
            <v>32462</v>
          </cell>
          <cell r="O9">
            <v>5126.6721090000001</v>
          </cell>
          <cell r="P9">
            <v>48.226016000000001</v>
          </cell>
          <cell r="Q9">
            <v>4525.2701429999997</v>
          </cell>
          <cell r="R9">
            <v>31276.135390340027</v>
          </cell>
          <cell r="S9">
            <v>6.14</v>
          </cell>
          <cell r="T9">
            <v>1.66</v>
          </cell>
          <cell r="U9">
            <v>1.83</v>
          </cell>
          <cell r="V9">
            <v>1.41</v>
          </cell>
          <cell r="W9">
            <v>202</v>
          </cell>
          <cell r="X9">
            <v>5.2560411311053983</v>
          </cell>
          <cell r="Y9">
            <v>145141</v>
          </cell>
          <cell r="Z9">
            <v>914</v>
          </cell>
          <cell r="AA9">
            <v>417</v>
          </cell>
          <cell r="AB9">
            <v>636</v>
          </cell>
          <cell r="AC9">
            <v>329.77419354838707</v>
          </cell>
          <cell r="AD9">
            <v>1047.1612903225807</v>
          </cell>
          <cell r="AE9">
            <v>2043</v>
          </cell>
          <cell r="AF9">
            <v>31</v>
          </cell>
          <cell r="AG9">
            <v>454</v>
          </cell>
          <cell r="AH9">
            <v>0.4</v>
          </cell>
          <cell r="AI9">
            <v>0.7</v>
          </cell>
          <cell r="AJ9">
            <v>4.75</v>
          </cell>
          <cell r="AK9">
            <v>4.9000000000000004</v>
          </cell>
          <cell r="AL9">
            <v>12</v>
          </cell>
          <cell r="AM9">
            <v>15.1</v>
          </cell>
          <cell r="AN9">
            <v>244</v>
          </cell>
          <cell r="AO9">
            <v>706</v>
          </cell>
          <cell r="AP9">
            <v>6176.1812342456969</v>
          </cell>
          <cell r="AQ9">
            <v>42385367.789999999</v>
          </cell>
          <cell r="AR9">
            <v>50384497.619999997</v>
          </cell>
          <cell r="AS9">
            <v>41821246.75</v>
          </cell>
          <cell r="AT9">
            <v>721.7846428217855</v>
          </cell>
          <cell r="AU9">
            <v>22375.323927475351</v>
          </cell>
          <cell r="AV9">
            <v>715.33448557027577</v>
          </cell>
          <cell r="AW9">
            <v>174541.61447914728</v>
          </cell>
          <cell r="AX9">
            <v>4559.4982344786004</v>
          </cell>
          <cell r="AY9">
            <v>5114.8854099361051</v>
          </cell>
          <cell r="AZ9">
            <v>48.134557680325386</v>
          </cell>
          <cell r="BA9">
            <v>61</v>
          </cell>
          <cell r="BB9">
            <v>244</v>
          </cell>
        </row>
        <row r="10">
          <cell r="B10">
            <v>39600</v>
          </cell>
          <cell r="C10">
            <v>1943</v>
          </cell>
          <cell r="D10">
            <v>10077</v>
          </cell>
          <cell r="E10">
            <v>1842</v>
          </cell>
          <cell r="F10">
            <v>576</v>
          </cell>
          <cell r="G10">
            <v>1470</v>
          </cell>
          <cell r="H10">
            <v>997</v>
          </cell>
          <cell r="I10">
            <v>410</v>
          </cell>
          <cell r="J10">
            <v>4645</v>
          </cell>
          <cell r="K10">
            <v>1246</v>
          </cell>
          <cell r="L10">
            <v>68896</v>
          </cell>
          <cell r="M10">
            <v>6237</v>
          </cell>
          <cell r="N10">
            <v>32348</v>
          </cell>
          <cell r="O10">
            <v>5151.9291890000004</v>
          </cell>
          <cell r="P10">
            <v>48.374726000000003</v>
          </cell>
          <cell r="Q10">
            <v>4537.8906820000002</v>
          </cell>
          <cell r="R10">
            <v>30772.896638414502</v>
          </cell>
          <cell r="S10">
            <v>6.14</v>
          </cell>
          <cell r="T10">
            <v>1.66</v>
          </cell>
          <cell r="U10">
            <v>1.83</v>
          </cell>
          <cell r="V10">
            <v>1.41</v>
          </cell>
          <cell r="W10">
            <v>190</v>
          </cell>
          <cell r="X10">
            <v>5.1863098301595469</v>
          </cell>
          <cell r="Y10">
            <v>144848</v>
          </cell>
          <cell r="Z10">
            <v>959</v>
          </cell>
          <cell r="AA10">
            <v>410</v>
          </cell>
          <cell r="AB10">
            <v>616</v>
          </cell>
          <cell r="AC10">
            <v>335.9</v>
          </cell>
          <cell r="AD10">
            <v>1078.2666666666667</v>
          </cell>
          <cell r="AE10">
            <v>2023</v>
          </cell>
          <cell r="AF10">
            <v>30</v>
          </cell>
          <cell r="AG10">
            <v>450</v>
          </cell>
          <cell r="AH10">
            <v>0.4</v>
          </cell>
          <cell r="AI10">
            <v>0.7</v>
          </cell>
          <cell r="AJ10">
            <v>4.75</v>
          </cell>
          <cell r="AK10">
            <v>4.9000000000000004</v>
          </cell>
          <cell r="AL10">
            <v>12</v>
          </cell>
          <cell r="AM10">
            <v>15.1</v>
          </cell>
          <cell r="AN10">
            <v>274</v>
          </cell>
          <cell r="AO10">
            <v>705</v>
          </cell>
          <cell r="AP10">
            <v>6237.138778868245</v>
          </cell>
          <cell r="AQ10">
            <v>41140877.369999997</v>
          </cell>
          <cell r="AR10">
            <v>49573801.82</v>
          </cell>
          <cell r="AS10">
            <v>41349840.439999998</v>
          </cell>
          <cell r="AT10">
            <v>740.65169942487785</v>
          </cell>
          <cell r="AU10">
            <v>22219.550982746336</v>
          </cell>
          <cell r="AV10">
            <v>718.10644329158254</v>
          </cell>
          <cell r="AW10">
            <v>196761.1654618936</v>
          </cell>
          <cell r="AX10">
            <v>4561.2766186570607</v>
          </cell>
          <cell r="AY10">
            <v>5118.9414891976412</v>
          </cell>
          <cell r="AZ10">
            <v>48.160854706645424</v>
          </cell>
          <cell r="BA10">
            <v>60</v>
          </cell>
          <cell r="BB10">
            <v>258</v>
          </cell>
        </row>
        <row r="11">
          <cell r="B11">
            <v>39630</v>
          </cell>
          <cell r="C11">
            <v>1910</v>
          </cell>
          <cell r="D11">
            <v>10271</v>
          </cell>
          <cell r="E11">
            <v>1781</v>
          </cell>
          <cell r="F11">
            <v>551</v>
          </cell>
          <cell r="G11">
            <v>1289</v>
          </cell>
          <cell r="H11">
            <v>874</v>
          </cell>
          <cell r="I11">
            <v>398</v>
          </cell>
          <cell r="J11">
            <v>4877</v>
          </cell>
          <cell r="K11">
            <v>1183</v>
          </cell>
          <cell r="L11">
            <v>64076</v>
          </cell>
          <cell r="M11">
            <v>5815</v>
          </cell>
          <cell r="N11">
            <v>31268</v>
          </cell>
          <cell r="O11">
            <v>5152.8776989999997</v>
          </cell>
          <cell r="P11">
            <v>48.113011999999998</v>
          </cell>
          <cell r="Q11">
            <v>4512.7704240000003</v>
          </cell>
          <cell r="R11">
            <v>29026.028667835875</v>
          </cell>
          <cell r="S11">
            <v>6.14</v>
          </cell>
          <cell r="T11">
            <v>1.66</v>
          </cell>
          <cell r="U11">
            <v>1.83</v>
          </cell>
          <cell r="V11">
            <v>1.41</v>
          </cell>
          <cell r="W11">
            <v>189</v>
          </cell>
          <cell r="X11">
            <v>5.3774869109947643</v>
          </cell>
          <cell r="Y11">
            <v>133954</v>
          </cell>
          <cell r="Z11">
            <v>886</v>
          </cell>
          <cell r="AA11">
            <v>400</v>
          </cell>
          <cell r="AB11">
            <v>682</v>
          </cell>
          <cell r="AC11">
            <v>331.32258064516128</v>
          </cell>
          <cell r="AD11">
            <v>1008.6451612903226</v>
          </cell>
          <cell r="AE11">
            <v>1839</v>
          </cell>
          <cell r="AF11">
            <v>31</v>
          </cell>
          <cell r="AG11">
            <v>441</v>
          </cell>
          <cell r="AH11">
            <v>0.4</v>
          </cell>
          <cell r="AI11">
            <v>0.7</v>
          </cell>
          <cell r="AJ11">
            <v>4.75</v>
          </cell>
          <cell r="AK11">
            <v>4.9000000000000004</v>
          </cell>
          <cell r="AL11">
            <v>12</v>
          </cell>
          <cell r="AM11">
            <v>15.1</v>
          </cell>
          <cell r="AN11">
            <v>305</v>
          </cell>
          <cell r="AO11">
            <v>792</v>
          </cell>
          <cell r="AP11">
            <v>5814.6621479983705</v>
          </cell>
          <cell r="AQ11">
            <v>41672018.020000003</v>
          </cell>
          <cell r="AR11">
            <v>46759673.280000001</v>
          </cell>
          <cell r="AS11">
            <v>38431505.460000001</v>
          </cell>
          <cell r="AT11">
            <v>703.095687813111</v>
          </cell>
          <cell r="AU11">
            <v>21795.966322206441</v>
          </cell>
          <cell r="AV11">
            <v>716.58075994786896</v>
          </cell>
          <cell r="AW11">
            <v>218557.13178410003</v>
          </cell>
          <cell r="AX11">
            <v>4564.0127463048111</v>
          </cell>
          <cell r="AY11">
            <v>5122.3906547258739</v>
          </cell>
          <cell r="AZ11">
            <v>48.155992132484862</v>
          </cell>
          <cell r="BA11">
            <v>62</v>
          </cell>
          <cell r="BB11">
            <v>224</v>
          </cell>
        </row>
        <row r="12">
          <cell r="B12">
            <v>39661</v>
          </cell>
          <cell r="C12">
            <v>1976</v>
          </cell>
          <cell r="D12">
            <v>10453</v>
          </cell>
          <cell r="E12">
            <v>1896</v>
          </cell>
          <cell r="F12">
            <v>591</v>
          </cell>
          <cell r="G12">
            <v>1517</v>
          </cell>
          <cell r="H12">
            <v>1001</v>
          </cell>
          <cell r="I12">
            <v>411</v>
          </cell>
          <cell r="J12">
            <v>4803</v>
          </cell>
          <cell r="K12">
            <v>1263</v>
          </cell>
          <cell r="L12">
            <v>68721</v>
          </cell>
          <cell r="M12">
            <v>6169</v>
          </cell>
          <cell r="N12">
            <v>32631</v>
          </cell>
          <cell r="O12">
            <v>5165.4142570000004</v>
          </cell>
          <cell r="P12">
            <v>48.869416000000001</v>
          </cell>
          <cell r="Q12">
            <v>4540.3761050000003</v>
          </cell>
          <cell r="R12">
            <v>30577.630685720767</v>
          </cell>
          <cell r="S12">
            <v>6.14</v>
          </cell>
          <cell r="T12">
            <v>1.66</v>
          </cell>
          <cell r="U12">
            <v>1.83</v>
          </cell>
          <cell r="V12">
            <v>1.41</v>
          </cell>
          <cell r="W12">
            <v>199</v>
          </cell>
          <cell r="X12">
            <v>5.2899797570850202</v>
          </cell>
          <cell r="Y12">
            <v>144360</v>
          </cell>
          <cell r="Z12">
            <v>946</v>
          </cell>
          <cell r="AA12">
            <v>428</v>
          </cell>
          <cell r="AB12">
            <v>661</v>
          </cell>
          <cell r="AC12">
            <v>337.19354838709677</v>
          </cell>
          <cell r="AD12">
            <v>1052.6129032258063</v>
          </cell>
          <cell r="AE12">
            <v>1949</v>
          </cell>
          <cell r="AF12">
            <v>31</v>
          </cell>
          <cell r="AG12">
            <v>436</v>
          </cell>
          <cell r="AH12">
            <v>0.4</v>
          </cell>
          <cell r="AI12">
            <v>0.7</v>
          </cell>
          <cell r="AJ12">
            <v>4.75</v>
          </cell>
          <cell r="AK12">
            <v>4.9000000000000004</v>
          </cell>
          <cell r="AL12">
            <v>12</v>
          </cell>
          <cell r="AM12">
            <v>15.1</v>
          </cell>
          <cell r="AN12">
            <v>336</v>
          </cell>
          <cell r="AO12">
            <v>738</v>
          </cell>
          <cell r="AP12">
            <v>6168.5051490340638</v>
          </cell>
          <cell r="AQ12">
            <v>42841419.82</v>
          </cell>
          <cell r="AR12">
            <v>49259236.840000004</v>
          </cell>
          <cell r="AS12">
            <v>41637966.189999998</v>
          </cell>
          <cell r="AT12">
            <v>724.9000466942764</v>
          </cell>
          <cell r="AU12">
            <v>22471.901447522567</v>
          </cell>
          <cell r="AV12">
            <v>717.34831318935301</v>
          </cell>
          <cell r="AW12">
            <v>241029.0332316226</v>
          </cell>
          <cell r="AX12">
            <v>4563.6946934640255</v>
          </cell>
          <cell r="AY12">
            <v>5126.3600016580249</v>
          </cell>
          <cell r="AZ12">
            <v>48.221812422623714</v>
          </cell>
          <cell r="BA12">
            <v>63</v>
          </cell>
          <cell r="BB12">
            <v>264</v>
          </cell>
        </row>
        <row r="13">
          <cell r="B13">
            <v>39692</v>
          </cell>
          <cell r="C13">
            <v>1924</v>
          </cell>
          <cell r="D13">
            <v>10187.234127</v>
          </cell>
          <cell r="E13">
            <v>1660.6316999999999</v>
          </cell>
          <cell r="F13">
            <v>524</v>
          </cell>
          <cell r="G13">
            <v>1381</v>
          </cell>
          <cell r="H13">
            <v>900</v>
          </cell>
          <cell r="I13">
            <v>412</v>
          </cell>
          <cell r="J13">
            <v>4830</v>
          </cell>
          <cell r="K13">
            <v>1205</v>
          </cell>
          <cell r="L13">
            <v>66943</v>
          </cell>
          <cell r="M13">
            <v>6150</v>
          </cell>
          <cell r="N13">
            <v>32623</v>
          </cell>
          <cell r="O13">
            <v>5153.3544680000005</v>
          </cell>
          <cell r="P13">
            <v>48.926622999999999</v>
          </cell>
          <cell r="Q13">
            <v>4543.4248939999998</v>
          </cell>
          <cell r="R13">
            <v>29692.063497355946</v>
          </cell>
          <cell r="S13">
            <v>6.14</v>
          </cell>
          <cell r="T13">
            <v>1.66</v>
          </cell>
          <cell r="U13">
            <v>1.83</v>
          </cell>
          <cell r="V13">
            <v>1.41</v>
          </cell>
          <cell r="W13">
            <v>185</v>
          </cell>
          <cell r="X13">
            <v>5.2948202323284823</v>
          </cell>
          <cell r="Y13">
            <v>141945</v>
          </cell>
          <cell r="Z13">
            <v>891</v>
          </cell>
          <cell r="AA13">
            <v>402</v>
          </cell>
          <cell r="AB13">
            <v>613</v>
          </cell>
          <cell r="AC13">
            <v>339.57447089999999</v>
          </cell>
          <cell r="AD13">
            <v>1087.4333333333334</v>
          </cell>
          <cell r="AE13">
            <v>1873</v>
          </cell>
          <cell r="AF13">
            <v>30</v>
          </cell>
          <cell r="AG13">
            <v>438.56589600000001</v>
          </cell>
          <cell r="AH13">
            <v>0.4</v>
          </cell>
          <cell r="AI13">
            <v>0.7</v>
          </cell>
          <cell r="AJ13">
            <v>4.75</v>
          </cell>
          <cell r="AK13">
            <v>4.9000000000000004</v>
          </cell>
          <cell r="AL13">
            <v>12</v>
          </cell>
          <cell r="AM13">
            <v>15.1</v>
          </cell>
          <cell r="AN13">
            <v>366</v>
          </cell>
          <cell r="AO13">
            <v>705</v>
          </cell>
          <cell r="AP13">
            <v>6166.9565215728007</v>
          </cell>
          <cell r="AQ13">
            <v>40255454.780000001</v>
          </cell>
          <cell r="AR13">
            <v>47832626.5</v>
          </cell>
          <cell r="AS13">
            <v>40941876.82</v>
          </cell>
          <cell r="AT13">
            <v>743.06609518453422</v>
          </cell>
          <cell r="AU13">
            <v>22291.982855536025</v>
          </cell>
          <cell r="AV13">
            <v>719.45632810699078</v>
          </cell>
          <cell r="AW13">
            <v>263321.01608715864</v>
          </cell>
          <cell r="AX13">
            <v>4566.0520065284099</v>
          </cell>
          <cell r="AY13">
            <v>5128.5727690000003</v>
          </cell>
          <cell r="AZ13">
            <v>48.279586999999999</v>
          </cell>
          <cell r="BA13">
            <v>61</v>
          </cell>
          <cell r="BB13">
            <v>247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38991</v>
          </cell>
          <cell r="C16">
            <v>2002</v>
          </cell>
          <cell r="D16">
            <v>10023.77</v>
          </cell>
          <cell r="E16">
            <v>1838</v>
          </cell>
          <cell r="F16">
            <v>577</v>
          </cell>
          <cell r="G16">
            <v>1487</v>
          </cell>
          <cell r="H16">
            <v>1005</v>
          </cell>
          <cell r="I16">
            <v>414</v>
          </cell>
          <cell r="J16">
            <v>4359</v>
          </cell>
          <cell r="K16">
            <v>1250</v>
          </cell>
          <cell r="L16">
            <v>69536</v>
          </cell>
          <cell r="M16">
            <v>5827</v>
          </cell>
          <cell r="N16">
            <v>29177</v>
          </cell>
          <cell r="O16">
            <v>4923.66543</v>
          </cell>
          <cell r="P16">
            <v>42.895460999999997</v>
          </cell>
          <cell r="Q16">
            <v>4356.345405</v>
          </cell>
          <cell r="R16">
            <v>24206.161999999997</v>
          </cell>
          <cell r="S16">
            <v>6.14</v>
          </cell>
          <cell r="T16">
            <v>1.63</v>
          </cell>
          <cell r="U16">
            <v>1.87</v>
          </cell>
          <cell r="V16">
            <v>1.36</v>
          </cell>
          <cell r="W16">
            <v>194</v>
          </cell>
          <cell r="X16">
            <v>5.0068781218781222</v>
          </cell>
          <cell r="Y16">
            <v>143710</v>
          </cell>
          <cell r="Z16">
            <v>992</v>
          </cell>
          <cell r="AA16">
            <v>405</v>
          </cell>
        </row>
        <row r="17">
          <cell r="B17">
            <v>39022</v>
          </cell>
          <cell r="C17">
            <v>1908</v>
          </cell>
          <cell r="D17">
            <v>9742.86</v>
          </cell>
          <cell r="E17">
            <v>1788</v>
          </cell>
          <cell r="F17">
            <v>564</v>
          </cell>
          <cell r="G17">
            <v>1388</v>
          </cell>
          <cell r="H17">
            <v>943</v>
          </cell>
          <cell r="I17">
            <v>391</v>
          </cell>
          <cell r="J17">
            <v>4075</v>
          </cell>
          <cell r="K17">
            <v>1200</v>
          </cell>
          <cell r="L17">
            <v>66687</v>
          </cell>
          <cell r="M17">
            <v>5547</v>
          </cell>
          <cell r="N17">
            <v>28326</v>
          </cell>
          <cell r="O17">
            <v>4895.056552</v>
          </cell>
          <cell r="P17">
            <v>42.986989000000001</v>
          </cell>
          <cell r="Q17">
            <v>4355.3034550000002</v>
          </cell>
          <cell r="R17">
            <v>22770.6803</v>
          </cell>
          <cell r="S17">
            <v>6.14</v>
          </cell>
          <cell r="T17">
            <v>1.63</v>
          </cell>
          <cell r="U17">
            <v>1.87</v>
          </cell>
          <cell r="V17">
            <v>1.36</v>
          </cell>
          <cell r="W17">
            <v>181</v>
          </cell>
          <cell r="X17">
            <v>5.1063207547169815</v>
          </cell>
          <cell r="Y17">
            <v>145137</v>
          </cell>
          <cell r="Z17">
            <v>960</v>
          </cell>
          <cell r="AA17">
            <v>355</v>
          </cell>
        </row>
        <row r="18">
          <cell r="B18">
            <v>39052</v>
          </cell>
          <cell r="C18">
            <v>1882</v>
          </cell>
          <cell r="D18">
            <v>9488.48</v>
          </cell>
          <cell r="E18">
            <v>1586</v>
          </cell>
          <cell r="F18">
            <v>529</v>
          </cell>
          <cell r="G18">
            <v>1360</v>
          </cell>
          <cell r="H18">
            <v>929</v>
          </cell>
          <cell r="I18">
            <v>377</v>
          </cell>
          <cell r="J18">
            <v>4251</v>
          </cell>
          <cell r="K18">
            <v>1004</v>
          </cell>
          <cell r="L18">
            <v>57907</v>
          </cell>
          <cell r="M18">
            <v>5428</v>
          </cell>
          <cell r="N18">
            <v>27368</v>
          </cell>
          <cell r="O18">
            <v>4921.1220599999997</v>
          </cell>
          <cell r="P18">
            <v>40.644635999999998</v>
          </cell>
          <cell r="Q18">
            <v>4252.1528170000001</v>
          </cell>
          <cell r="R18">
            <v>22404.7732</v>
          </cell>
          <cell r="S18">
            <v>6.14</v>
          </cell>
          <cell r="T18">
            <v>1.63</v>
          </cell>
          <cell r="U18">
            <v>1.87</v>
          </cell>
          <cell r="V18">
            <v>1.36</v>
          </cell>
          <cell r="W18">
            <v>171</v>
          </cell>
          <cell r="X18">
            <v>5.0417003188097764</v>
          </cell>
          <cell r="Y18">
            <v>134147</v>
          </cell>
          <cell r="Z18">
            <v>992</v>
          </cell>
          <cell r="AA18">
            <v>358</v>
          </cell>
        </row>
        <row r="19">
          <cell r="B19">
            <v>39083</v>
          </cell>
          <cell r="C19">
            <v>1995</v>
          </cell>
          <cell r="D19">
            <v>10273.620000000001</v>
          </cell>
          <cell r="E19">
            <v>1805.11</v>
          </cell>
          <cell r="F19">
            <v>594</v>
          </cell>
          <cell r="G19">
            <v>1513.8</v>
          </cell>
          <cell r="H19">
            <v>1031</v>
          </cell>
          <cell r="I19">
            <v>399</v>
          </cell>
          <cell r="J19">
            <v>4372</v>
          </cell>
          <cell r="K19">
            <v>1170</v>
          </cell>
          <cell r="L19">
            <v>66158</v>
          </cell>
          <cell r="M19">
            <v>5812</v>
          </cell>
          <cell r="N19">
            <v>29930</v>
          </cell>
          <cell r="O19">
            <v>4928.2615880000003</v>
          </cell>
          <cell r="P19">
            <v>42.489769000000003</v>
          </cell>
          <cell r="Q19">
            <v>4370.0870029999996</v>
          </cell>
          <cell r="R19">
            <v>24121.7219</v>
          </cell>
          <cell r="S19">
            <v>6.14</v>
          </cell>
          <cell r="T19">
            <v>1.63</v>
          </cell>
          <cell r="U19">
            <v>1.87</v>
          </cell>
          <cell r="V19">
            <v>1.36</v>
          </cell>
          <cell r="W19">
            <v>164</v>
          </cell>
          <cell r="X19">
            <v>5.1496842105263161</v>
          </cell>
          <cell r="Y19">
            <v>149053</v>
          </cell>
          <cell r="Z19">
            <v>992</v>
          </cell>
          <cell r="AA19">
            <v>340</v>
          </cell>
        </row>
        <row r="20">
          <cell r="B20">
            <v>39114</v>
          </cell>
          <cell r="C20">
            <v>1830</v>
          </cell>
          <cell r="D20">
            <v>9169.66</v>
          </cell>
          <cell r="E20">
            <v>1606</v>
          </cell>
          <cell r="F20">
            <v>530</v>
          </cell>
          <cell r="G20">
            <v>1336</v>
          </cell>
          <cell r="H20">
            <v>916</v>
          </cell>
          <cell r="I20">
            <v>340</v>
          </cell>
          <cell r="J20">
            <v>4066</v>
          </cell>
          <cell r="K20">
            <v>1183</v>
          </cell>
          <cell r="L20">
            <v>65380</v>
          </cell>
          <cell r="M20">
            <v>5409</v>
          </cell>
          <cell r="N20">
            <v>27104</v>
          </cell>
          <cell r="O20">
            <v>4930.7024819999997</v>
          </cell>
          <cell r="P20">
            <v>41.953028000000003</v>
          </cell>
          <cell r="Q20">
            <v>4374.261485</v>
          </cell>
          <cell r="R20">
            <v>21672.958999999999</v>
          </cell>
          <cell r="S20">
            <v>6.14</v>
          </cell>
          <cell r="T20">
            <v>1.63</v>
          </cell>
          <cell r="U20">
            <v>1.87</v>
          </cell>
          <cell r="V20">
            <v>1.36</v>
          </cell>
          <cell r="W20">
            <v>160</v>
          </cell>
          <cell r="X20">
            <v>5.0107431693989071</v>
          </cell>
          <cell r="Y20">
            <v>140553</v>
          </cell>
          <cell r="Z20">
            <v>896</v>
          </cell>
          <cell r="AA20">
            <v>320</v>
          </cell>
        </row>
        <row r="21">
          <cell r="B21">
            <v>39142</v>
          </cell>
          <cell r="C21">
            <v>2102</v>
          </cell>
          <cell r="D21">
            <v>10262.48</v>
          </cell>
          <cell r="E21">
            <v>1827</v>
          </cell>
          <cell r="F21">
            <v>596</v>
          </cell>
          <cell r="G21">
            <v>1516</v>
          </cell>
          <cell r="H21">
            <v>1024</v>
          </cell>
          <cell r="I21">
            <v>426</v>
          </cell>
          <cell r="J21">
            <v>4274</v>
          </cell>
          <cell r="K21">
            <v>1279</v>
          </cell>
          <cell r="L21">
            <v>70442</v>
          </cell>
          <cell r="M21">
            <v>6231</v>
          </cell>
          <cell r="N21">
            <v>30422</v>
          </cell>
          <cell r="O21">
            <v>4936.3504540000004</v>
          </cell>
          <cell r="P21">
            <v>42.248230999999997</v>
          </cell>
          <cell r="Q21">
            <v>4370.867808</v>
          </cell>
          <cell r="R21">
            <v>24966.122900000002</v>
          </cell>
          <cell r="S21">
            <v>6.14</v>
          </cell>
          <cell r="T21">
            <v>1.63</v>
          </cell>
          <cell r="U21">
            <v>1.87</v>
          </cell>
          <cell r="V21">
            <v>1.36</v>
          </cell>
          <cell r="W21">
            <v>209</v>
          </cell>
          <cell r="X21">
            <v>4.8822454804947668</v>
          </cell>
          <cell r="Y21">
            <v>151845</v>
          </cell>
          <cell r="Z21">
            <v>992</v>
          </cell>
          <cell r="AA21">
            <v>399</v>
          </cell>
        </row>
        <row r="22">
          <cell r="B22">
            <v>39173</v>
          </cell>
          <cell r="C22">
            <v>1979</v>
          </cell>
          <cell r="D22">
            <v>9761.9</v>
          </cell>
          <cell r="E22">
            <v>1649</v>
          </cell>
          <cell r="F22">
            <v>523</v>
          </cell>
          <cell r="G22">
            <v>1415</v>
          </cell>
          <cell r="H22">
            <v>946</v>
          </cell>
          <cell r="I22">
            <v>358</v>
          </cell>
          <cell r="J22">
            <v>4264</v>
          </cell>
          <cell r="K22">
            <v>1152</v>
          </cell>
          <cell r="L22">
            <v>64471</v>
          </cell>
          <cell r="M22">
            <v>5829</v>
          </cell>
          <cell r="N22">
            <v>28752</v>
          </cell>
          <cell r="O22">
            <v>4929.223594</v>
          </cell>
          <cell r="P22">
            <v>42.215361000000001</v>
          </cell>
          <cell r="Q22">
            <v>4350.4287290000002</v>
          </cell>
          <cell r="R22">
            <v>23052.147300000001</v>
          </cell>
          <cell r="S22">
            <v>6.14</v>
          </cell>
          <cell r="T22">
            <v>1.63</v>
          </cell>
          <cell r="U22">
            <v>1.87</v>
          </cell>
          <cell r="V22">
            <v>1.36</v>
          </cell>
          <cell r="W22">
            <v>208</v>
          </cell>
          <cell r="X22">
            <v>4.9327438100050527</v>
          </cell>
          <cell r="Y22">
            <v>138735</v>
          </cell>
          <cell r="Z22">
            <v>960</v>
          </cell>
          <cell r="AA22">
            <v>420</v>
          </cell>
        </row>
        <row r="23">
          <cell r="B23">
            <v>39203</v>
          </cell>
          <cell r="C23">
            <v>1984</v>
          </cell>
          <cell r="D23">
            <v>9939.2199999999993</v>
          </cell>
          <cell r="E23">
            <v>1765</v>
          </cell>
          <cell r="F23">
            <v>579</v>
          </cell>
          <cell r="G23">
            <v>1458</v>
          </cell>
          <cell r="H23">
            <v>988</v>
          </cell>
          <cell r="I23">
            <v>414</v>
          </cell>
          <cell r="J23">
            <v>4436</v>
          </cell>
          <cell r="K23">
            <v>1359</v>
          </cell>
          <cell r="L23">
            <v>74235</v>
          </cell>
          <cell r="M23">
            <v>5868</v>
          </cell>
          <cell r="N23">
            <v>29397</v>
          </cell>
          <cell r="O23">
            <v>4919.0761309999998</v>
          </cell>
          <cell r="P23">
            <v>42.465463</v>
          </cell>
          <cell r="Q23">
            <v>4354.6370969999998</v>
          </cell>
          <cell r="R23">
            <v>24206.161999999997</v>
          </cell>
          <cell r="S23">
            <v>6.14</v>
          </cell>
          <cell r="T23">
            <v>1.63</v>
          </cell>
          <cell r="U23">
            <v>1.87</v>
          </cell>
          <cell r="V23">
            <v>1.36</v>
          </cell>
          <cell r="W23">
            <v>193</v>
          </cell>
          <cell r="X23">
            <v>5.0096875000000001</v>
          </cell>
          <cell r="Y23">
            <v>151609</v>
          </cell>
          <cell r="Z23">
            <v>992</v>
          </cell>
          <cell r="AA23">
            <v>377</v>
          </cell>
        </row>
        <row r="24">
          <cell r="B24">
            <v>39234</v>
          </cell>
          <cell r="C24">
            <v>2041</v>
          </cell>
          <cell r="D24">
            <v>9829.8799999999992</v>
          </cell>
          <cell r="E24">
            <v>1883</v>
          </cell>
          <cell r="F24">
            <v>590</v>
          </cell>
          <cell r="G24">
            <v>1408</v>
          </cell>
          <cell r="H24">
            <v>946</v>
          </cell>
          <cell r="I24">
            <v>418</v>
          </cell>
          <cell r="J24">
            <v>4451</v>
          </cell>
          <cell r="K24">
            <v>1089</v>
          </cell>
          <cell r="L24">
            <v>62447</v>
          </cell>
          <cell r="M24">
            <v>6051</v>
          </cell>
          <cell r="N24">
            <v>29143</v>
          </cell>
          <cell r="O24">
            <v>4958.8118560000003</v>
          </cell>
          <cell r="P24">
            <v>42.475684999999999</v>
          </cell>
          <cell r="Q24">
            <v>4368.1020760000001</v>
          </cell>
          <cell r="R24">
            <v>24487.628999999997</v>
          </cell>
          <cell r="S24">
            <v>6.14</v>
          </cell>
          <cell r="T24">
            <v>1.63</v>
          </cell>
          <cell r="U24">
            <v>1.87</v>
          </cell>
          <cell r="V24">
            <v>1.36</v>
          </cell>
          <cell r="W24">
            <v>188</v>
          </cell>
          <cell r="X24">
            <v>4.8162077413032822</v>
          </cell>
          <cell r="Y24">
            <v>148863</v>
          </cell>
          <cell r="Z24">
            <v>960</v>
          </cell>
          <cell r="AA24">
            <v>398</v>
          </cell>
        </row>
        <row r="25">
          <cell r="B25">
            <v>39264</v>
          </cell>
          <cell r="C25">
            <v>1987</v>
          </cell>
          <cell r="D25">
            <v>10030</v>
          </cell>
          <cell r="E25">
            <v>1780</v>
          </cell>
          <cell r="F25">
            <v>556</v>
          </cell>
          <cell r="G25">
            <v>1253</v>
          </cell>
          <cell r="H25">
            <v>848</v>
          </cell>
          <cell r="I25">
            <v>398</v>
          </cell>
          <cell r="J25">
            <v>4702</v>
          </cell>
          <cell r="K25">
            <v>1129</v>
          </cell>
          <cell r="L25">
            <v>64164</v>
          </cell>
          <cell r="M25">
            <v>5678</v>
          </cell>
          <cell r="N25">
            <v>28659</v>
          </cell>
          <cell r="O25">
            <v>4990.0413099999996</v>
          </cell>
          <cell r="P25">
            <v>42.082571000000002</v>
          </cell>
          <cell r="Q25">
            <v>4342.3725750000003</v>
          </cell>
          <cell r="R25">
            <v>22911.413799999998</v>
          </cell>
          <cell r="S25">
            <v>6.14</v>
          </cell>
          <cell r="T25">
            <v>1.63</v>
          </cell>
          <cell r="U25">
            <v>1.87</v>
          </cell>
          <cell r="V25">
            <v>1.36</v>
          </cell>
          <cell r="W25">
            <v>192</v>
          </cell>
          <cell r="X25">
            <v>5.0478107700050323</v>
          </cell>
          <cell r="Y25">
            <v>142052</v>
          </cell>
          <cell r="Z25">
            <v>992</v>
          </cell>
          <cell r="AA25">
            <v>382</v>
          </cell>
        </row>
        <row r="26">
          <cell r="B26">
            <v>39295</v>
          </cell>
          <cell r="C26">
            <v>2025</v>
          </cell>
          <cell r="D26">
            <v>10222.469999999999</v>
          </cell>
          <cell r="E26">
            <v>1821.38</v>
          </cell>
          <cell r="F26">
            <v>586</v>
          </cell>
          <cell r="G26">
            <v>1417.35</v>
          </cell>
          <cell r="H26">
            <v>946</v>
          </cell>
          <cell r="I26">
            <v>411</v>
          </cell>
          <cell r="J26">
            <v>4691</v>
          </cell>
          <cell r="K26">
            <v>1248</v>
          </cell>
          <cell r="L26">
            <v>69293</v>
          </cell>
          <cell r="M26">
            <v>5806</v>
          </cell>
          <cell r="N26">
            <v>29309</v>
          </cell>
          <cell r="O26">
            <v>4974.8644539999996</v>
          </cell>
          <cell r="P26">
            <v>42.803429999999999</v>
          </cell>
          <cell r="Q26">
            <v>4361.1212759999999</v>
          </cell>
          <cell r="R26">
            <v>23615.081300000002</v>
          </cell>
          <cell r="S26">
            <v>6.14</v>
          </cell>
          <cell r="T26">
            <v>1.63</v>
          </cell>
          <cell r="U26">
            <v>1.87</v>
          </cell>
          <cell r="V26">
            <v>1.36</v>
          </cell>
          <cell r="W26">
            <v>198</v>
          </cell>
          <cell r="X26">
            <v>5.0481333333333334</v>
          </cell>
          <cell r="Y26">
            <v>145943</v>
          </cell>
          <cell r="Z26">
            <v>992</v>
          </cell>
          <cell r="AA26">
            <v>408</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v>0</v>
          </cell>
          <cell r="S8">
            <v>0</v>
          </cell>
          <cell r="T8">
            <v>82899005</v>
          </cell>
          <cell r="U8">
            <v>0.467170171702258</v>
          </cell>
          <cell r="V8">
            <v>0</v>
          </cell>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v>0</v>
          </cell>
          <cell r="O9">
            <v>0</v>
          </cell>
          <cell r="P9">
            <v>573960.60052093468</v>
          </cell>
          <cell r="Q9">
            <v>3.369411961917341E-3</v>
          </cell>
          <cell r="R9">
            <v>0</v>
          </cell>
          <cell r="S9">
            <v>0</v>
          </cell>
          <cell r="T9">
            <v>597900</v>
          </cell>
          <cell r="U9">
            <v>3.3694137301259535E-3</v>
          </cell>
          <cell r="V9">
            <v>0</v>
          </cell>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v>0</v>
          </cell>
          <cell r="O11">
            <v>0</v>
          </cell>
          <cell r="P11">
            <v>5242980.2807834987</v>
          </cell>
          <cell r="Q11">
            <v>3.0778698848204854E-2</v>
          </cell>
          <cell r="R11">
            <v>0</v>
          </cell>
          <cell r="S11">
            <v>0</v>
          </cell>
          <cell r="T11">
            <v>5461658</v>
          </cell>
          <cell r="U11">
            <v>3.0778701211661239E-2</v>
          </cell>
          <cell r="V11">
            <v>0</v>
          </cell>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v>0</v>
          </cell>
          <cell r="O12">
            <v>0</v>
          </cell>
          <cell r="P12">
            <v>10164937.592238851</v>
          </cell>
          <cell r="Q12">
            <v>5.9672845634956798E-2</v>
          </cell>
          <cell r="R12">
            <v>0</v>
          </cell>
          <cell r="S12">
            <v>0</v>
          </cell>
          <cell r="T12">
            <v>10588903</v>
          </cell>
          <cell r="U12">
            <v>5.9672846889399396E-2</v>
          </cell>
          <cell r="V12">
            <v>0</v>
          </cell>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v>0</v>
          </cell>
          <cell r="O13">
            <v>0</v>
          </cell>
          <cell r="P13">
            <v>13339406.0978397</v>
          </cell>
          <cell r="Q13">
            <v>7.8308431676565649E-2</v>
          </cell>
          <cell r="R13">
            <v>0</v>
          </cell>
          <cell r="S13">
            <v>0</v>
          </cell>
          <cell r="T13">
            <v>13895774</v>
          </cell>
          <cell r="U13">
            <v>7.8308432357128685E-2</v>
          </cell>
          <cell r="V13">
            <v>0</v>
          </cell>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v>0</v>
          </cell>
          <cell r="O15">
            <v>0</v>
          </cell>
          <cell r="P15">
            <v>3896467.8688564622</v>
          </cell>
          <cell r="Q15">
            <v>2.2874053436134197E-2</v>
          </cell>
          <cell r="R15">
            <v>0</v>
          </cell>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v>0</v>
          </cell>
          <cell r="O16">
            <v>0</v>
          </cell>
          <cell r="P16">
            <v>2621794.7658934174</v>
          </cell>
          <cell r="Q16">
            <v>1.5391137715508308E-2</v>
          </cell>
          <cell r="R16">
            <v>0</v>
          </cell>
          <cell r="S16">
            <v>0</v>
          </cell>
          <cell r="T16">
            <v>2731146</v>
          </cell>
          <cell r="U16">
            <v>1.5391137031909311E-2</v>
          </cell>
          <cell r="V16">
            <v>0</v>
          </cell>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v>0</v>
          </cell>
          <cell r="O17">
            <v>0</v>
          </cell>
          <cell r="P17">
            <v>2849131.5468450431</v>
          </cell>
          <cell r="Q17">
            <v>1.6725708883680766E-2</v>
          </cell>
          <cell r="R17">
            <v>0</v>
          </cell>
          <cell r="S17">
            <v>0</v>
          </cell>
          <cell r="T17">
            <v>2967965</v>
          </cell>
          <cell r="U17">
            <v>1.672571002096216E-2</v>
          </cell>
          <cell r="V17">
            <v>0</v>
          </cell>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v>0</v>
          </cell>
          <cell r="O18">
            <v>0</v>
          </cell>
          <cell r="P18">
            <v>19671407.161958776</v>
          </cell>
          <cell r="Q18">
            <v>0.11548018198303632</v>
          </cell>
          <cell r="R18">
            <v>0</v>
          </cell>
          <cell r="S18">
            <v>0</v>
          </cell>
          <cell r="T18">
            <v>20491874</v>
          </cell>
          <cell r="U18">
            <v>0.11548018332766523</v>
          </cell>
          <cell r="V18">
            <v>0</v>
          </cell>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v>0</v>
          </cell>
          <cell r="O19">
            <v>0</v>
          </cell>
          <cell r="P19">
            <v>324798.47933366452</v>
          </cell>
          <cell r="Q19">
            <v>1.9067160367560716E-3</v>
          </cell>
          <cell r="R19">
            <v>0</v>
          </cell>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v>0</v>
          </cell>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v>0</v>
          </cell>
          <cell r="O21">
            <v>0</v>
          </cell>
          <cell r="P21">
            <v>5288166.3968642037</v>
          </cell>
          <cell r="Q21">
            <v>3.1043962073410085E-2</v>
          </cell>
          <cell r="R21">
            <v>0</v>
          </cell>
          <cell r="S21">
            <v>0</v>
          </cell>
          <cell r="T21">
            <v>5508728</v>
          </cell>
          <cell r="U21">
            <v>3.1043960124986256E-2</v>
          </cell>
          <cell r="V21">
            <v>0</v>
          </cell>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v>0</v>
          </cell>
          <cell r="O22">
            <v>0</v>
          </cell>
          <cell r="P22">
            <v>731458.13893365988</v>
          </cell>
          <cell r="Q22">
            <v>4.2939947458553408E-3</v>
          </cell>
          <cell r="R22">
            <v>0</v>
          </cell>
          <cell r="S22">
            <v>0</v>
          </cell>
          <cell r="T22">
            <v>761966</v>
          </cell>
          <cell r="U22">
            <v>4.2939934809987498E-3</v>
          </cell>
          <cell r="V22">
            <v>0</v>
          </cell>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v>0</v>
          </cell>
          <cell r="O23">
            <v>0</v>
          </cell>
          <cell r="P23">
            <v>3139199.6419633236</v>
          </cell>
          <cell r="Q23">
            <v>1.84285416366172E-2</v>
          </cell>
          <cell r="R23">
            <v>0</v>
          </cell>
          <cell r="S23">
            <v>0</v>
          </cell>
          <cell r="T23">
            <v>3270131</v>
          </cell>
          <cell r="U23">
            <v>1.8428540375832938E-2</v>
          </cell>
          <cell r="V23">
            <v>0</v>
          </cell>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v>0</v>
          </cell>
          <cell r="O25">
            <v>0</v>
          </cell>
          <cell r="P25">
            <v>14019720.999771154</v>
          </cell>
          <cell r="Q25">
            <v>8.2302192165278593E-2</v>
          </cell>
          <cell r="R25">
            <v>0</v>
          </cell>
          <cell r="S25">
            <v>0</v>
          </cell>
          <cell r="T25">
            <v>14604464</v>
          </cell>
          <cell r="U25">
            <v>8.2302193548637242E-2</v>
          </cell>
          <cell r="V25">
            <v>0</v>
          </cell>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v>0</v>
          </cell>
          <cell r="O26">
            <v>0</v>
          </cell>
          <cell r="P26">
            <v>389332.9303081705</v>
          </cell>
          <cell r="Q26">
            <v>2.285562861558879E-3</v>
          </cell>
          <cell r="R26">
            <v>0</v>
          </cell>
          <cell r="S26">
            <v>0</v>
          </cell>
          <cell r="T26">
            <v>405571</v>
          </cell>
          <cell r="U26">
            <v>2.2855602875747E-3</v>
          </cell>
          <cell r="V26">
            <v>0</v>
          </cell>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v>0</v>
          </cell>
          <cell r="O27">
            <v>0</v>
          </cell>
          <cell r="P27">
            <v>5579711.4641117826</v>
          </cell>
          <cell r="Q27">
            <v>3.2755465330132592E-2</v>
          </cell>
          <cell r="R27">
            <v>0</v>
          </cell>
          <cell r="S27">
            <v>0</v>
          </cell>
          <cell r="T27">
            <v>5812433</v>
          </cell>
          <cell r="U27">
            <v>3.2755463381229616E-2</v>
          </cell>
          <cell r="V27">
            <v>0</v>
          </cell>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v>0</v>
          </cell>
          <cell r="T30">
            <v>84503200</v>
          </cell>
          <cell r="U30">
            <v>0.29972022832368572</v>
          </cell>
          <cell r="V30">
            <v>0</v>
          </cell>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v>0</v>
          </cell>
          <cell r="T31">
            <v>14856126</v>
          </cell>
          <cell r="U31">
            <v>5.2692459891760829E-2</v>
          </cell>
          <cell r="V31">
            <v>0</v>
          </cell>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v>0</v>
          </cell>
          <cell r="O32">
            <v>0</v>
          </cell>
          <cell r="P32">
            <v>12660906.28980064</v>
          </cell>
          <cell r="Q32">
            <v>4.7203977085864303E-2</v>
          </cell>
          <cell r="R32">
            <v>0</v>
          </cell>
          <cell r="T32">
            <v>13308702</v>
          </cell>
          <cell r="U32">
            <v>4.7203978099431651E-2</v>
          </cell>
          <cell r="V32">
            <v>0</v>
          </cell>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v>0</v>
          </cell>
          <cell r="O33">
            <v>0</v>
          </cell>
          <cell r="P33">
            <v>31041044.070848215</v>
          </cell>
          <cell r="Q33">
            <v>0.11573110956693569</v>
          </cell>
          <cell r="R33">
            <v>0</v>
          </cell>
          <cell r="T33">
            <v>32629260</v>
          </cell>
          <cell r="U33">
            <v>0.11573111145179006</v>
          </cell>
          <cell r="V33">
            <v>0</v>
          </cell>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v>0</v>
          </cell>
          <cell r="O34">
            <v>0</v>
          </cell>
          <cell r="P34">
            <v>6724599.8381077256</v>
          </cell>
          <cell r="Q34">
            <v>2.5071495626293124E-2</v>
          </cell>
          <cell r="R34">
            <v>0</v>
          </cell>
          <cell r="T34">
            <v>7068664</v>
          </cell>
          <cell r="U34">
            <v>2.5071495375600186E-2</v>
          </cell>
          <cell r="V34">
            <v>0</v>
          </cell>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v>0</v>
          </cell>
          <cell r="O35">
            <v>0</v>
          </cell>
          <cell r="P35">
            <v>7123049.5369924465</v>
          </cell>
          <cell r="Q35">
            <v>2.6557045714534086E-2</v>
          </cell>
          <cell r="R35">
            <v>0</v>
          </cell>
          <cell r="T35">
            <v>7487501</v>
          </cell>
          <cell r="U35">
            <v>2.6557047653743587E-2</v>
          </cell>
          <cell r="V35">
            <v>0</v>
          </cell>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v>0</v>
          </cell>
          <cell r="O36">
            <v>0</v>
          </cell>
          <cell r="P36">
            <v>51342898.535321012</v>
          </cell>
          <cell r="Q36">
            <v>0.19142302695467711</v>
          </cell>
          <cell r="R36">
            <v>0</v>
          </cell>
          <cell r="T36">
            <v>53969859</v>
          </cell>
          <cell r="U36">
            <v>0.1914230285016085</v>
          </cell>
          <cell r="V36">
            <v>0</v>
          </cell>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v>0</v>
          </cell>
          <cell r="O37">
            <v>0</v>
          </cell>
          <cell r="P37">
            <v>9554023.1494955067</v>
          </cell>
          <cell r="Q37">
            <v>3.5620506107837582E-2</v>
          </cell>
          <cell r="R37">
            <v>0</v>
          </cell>
          <cell r="T37">
            <v>10042855</v>
          </cell>
          <cell r="U37">
            <v>3.5620506603556652E-2</v>
          </cell>
          <cell r="V37">
            <v>0</v>
          </cell>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v>0</v>
          </cell>
          <cell r="O38">
            <v>0</v>
          </cell>
          <cell r="P38">
            <v>5356943.1038129255</v>
          </cell>
          <cell r="Q38">
            <v>1.997242643888535E-2</v>
          </cell>
          <cell r="R38">
            <v>0</v>
          </cell>
          <cell r="T38">
            <v>5631031</v>
          </cell>
          <cell r="U38">
            <v>1.9972425861005883E-2</v>
          </cell>
          <cell r="V38">
            <v>0</v>
          </cell>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v>0</v>
          </cell>
          <cell r="O39">
            <v>0</v>
          </cell>
          <cell r="P39">
            <v>816497.18650235515</v>
          </cell>
          <cell r="Q39">
            <v>3.0441671077984676E-3</v>
          </cell>
          <cell r="R39">
            <v>0</v>
          </cell>
          <cell r="T39">
            <v>858273</v>
          </cell>
          <cell r="U39">
            <v>3.0441661324548028E-3</v>
          </cell>
          <cell r="V39">
            <v>0</v>
          </cell>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v>0</v>
          </cell>
          <cell r="O40">
            <v>0</v>
          </cell>
          <cell r="P40">
            <v>6034369.764622556</v>
          </cell>
          <cell r="Q40">
            <v>2.2498093388965499E-2</v>
          </cell>
          <cell r="R40">
            <v>0</v>
          </cell>
          <cell r="T40">
            <v>6343118</v>
          </cell>
          <cell r="U40">
            <v>2.2498092086975174E-2</v>
          </cell>
          <cell r="V40">
            <v>0</v>
          </cell>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v>0</v>
          </cell>
          <cell r="O42">
            <v>0</v>
          </cell>
          <cell r="P42">
            <v>31242891.180577166</v>
          </cell>
          <cell r="Q42">
            <v>0.11648366125039368</v>
          </cell>
          <cell r="R42">
            <v>0</v>
          </cell>
          <cell r="T42">
            <v>32841434</v>
          </cell>
          <cell r="U42">
            <v>0.11648366093777815</v>
          </cell>
          <cell r="V42">
            <v>0</v>
          </cell>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v>0</v>
          </cell>
          <cell r="O43">
            <v>0</v>
          </cell>
          <cell r="P43">
            <v>3240084.4435980353</v>
          </cell>
          <cell r="Q43">
            <v>1.2080088765452456E-2</v>
          </cell>
          <cell r="R43">
            <v>0</v>
          </cell>
          <cell r="T43">
            <v>3405863</v>
          </cell>
          <cell r="U43">
            <v>1.2080087333961237E-2</v>
          </cell>
          <cell r="V43">
            <v>0</v>
          </cell>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v>0</v>
          </cell>
          <cell r="O44">
            <v>0</v>
          </cell>
          <cell r="P44">
            <v>8549737.6191342287</v>
          </cell>
          <cell r="Q44">
            <v>3.1876202968888649E-2</v>
          </cell>
          <cell r="R44">
            <v>0</v>
          </cell>
          <cell r="T44">
            <v>8987185</v>
          </cell>
          <cell r="U44">
            <v>3.1876202796902404E-2</v>
          </cell>
          <cell r="V44">
            <v>0</v>
          </cell>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v>0</v>
          </cell>
          <cell r="T50">
            <v>14494</v>
          </cell>
          <cell r="U50">
            <v>0.47398541482716899</v>
          </cell>
          <cell r="V50">
            <v>0</v>
          </cell>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v>0</v>
          </cell>
          <cell r="T52">
            <v>0</v>
          </cell>
          <cell r="U52">
            <v>0</v>
          </cell>
          <cell r="V52">
            <v>0</v>
          </cell>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v>0</v>
          </cell>
          <cell r="T53">
            <v>2853</v>
          </cell>
          <cell r="U53">
            <v>9.3299323064848422E-2</v>
          </cell>
          <cell r="V53">
            <v>0</v>
          </cell>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v>0</v>
          </cell>
          <cell r="T54">
            <v>3403</v>
          </cell>
          <cell r="U54">
            <v>0.11128552274436705</v>
          </cell>
          <cell r="V54">
            <v>0</v>
          </cell>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v>0</v>
          </cell>
          <cell r="T55">
            <v>0</v>
          </cell>
          <cell r="U55">
            <v>0</v>
          </cell>
          <cell r="V55">
            <v>0</v>
          </cell>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v>0</v>
          </cell>
          <cell r="T56">
            <v>1984</v>
          </cell>
          <cell r="U56">
            <v>6.4881127571208994E-2</v>
          </cell>
          <cell r="V56">
            <v>0</v>
          </cell>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v>0</v>
          </cell>
          <cell r="T58">
            <v>2689</v>
          </cell>
          <cell r="U58">
            <v>8.7936165342228326E-2</v>
          </cell>
          <cell r="V58">
            <v>0</v>
          </cell>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v>0</v>
          </cell>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v>0</v>
          </cell>
          <cell r="T60">
            <v>866</v>
          </cell>
          <cell r="U60">
            <v>2.8320088949932959E-2</v>
          </cell>
          <cell r="V60">
            <v>0</v>
          </cell>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v>0</v>
          </cell>
          <cell r="T63">
            <v>1490</v>
          </cell>
          <cell r="U63">
            <v>4.8726250040877724E-2</v>
          </cell>
          <cell r="V63">
            <v>0</v>
          </cell>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v>0</v>
          </cell>
          <cell r="O64">
            <v>0</v>
          </cell>
          <cell r="P64">
            <v>28</v>
          </cell>
          <cell r="Q64">
            <v>9.1566107459367543E-4</v>
          </cell>
          <cell r="R64">
            <v>0</v>
          </cell>
          <cell r="T64">
            <v>28</v>
          </cell>
          <cell r="U64">
            <v>9.1566107459367543E-4</v>
          </cell>
          <cell r="V64">
            <v>0</v>
          </cell>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v>0</v>
          </cell>
          <cell r="P65">
            <v>804</v>
          </cell>
          <cell r="Q65">
            <v>2.6292553713332681E-2</v>
          </cell>
          <cell r="R65">
            <v>0</v>
          </cell>
          <cell r="T65">
            <v>804</v>
          </cell>
          <cell r="U65">
            <v>2.6292553713332681E-2</v>
          </cell>
          <cell r="V65">
            <v>0</v>
          </cell>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v>0</v>
          </cell>
          <cell r="P66">
            <v>30579</v>
          </cell>
          <cell r="Q66">
            <v>1</v>
          </cell>
          <cell r="R66">
            <v>0</v>
          </cell>
          <cell r="T66">
            <v>30579</v>
          </cell>
          <cell r="U66">
            <v>1</v>
          </cell>
          <cell r="V66">
            <v>0</v>
          </cell>
        </row>
        <row r="67">
          <cell r="A67">
            <v>0</v>
          </cell>
          <cell r="B67">
            <v>0</v>
          </cell>
          <cell r="D67">
            <v>0</v>
          </cell>
          <cell r="G67">
            <v>0</v>
          </cell>
          <cell r="J67">
            <v>0</v>
          </cell>
          <cell r="L67">
            <v>0</v>
          </cell>
          <cell r="M67">
            <v>0</v>
          </cell>
          <cell r="N67">
            <v>0</v>
          </cell>
          <cell r="P67">
            <v>0</v>
          </cell>
          <cell r="Q67">
            <v>0</v>
          </cell>
          <cell r="R67">
            <v>0</v>
          </cell>
          <cell r="T67">
            <v>0</v>
          </cell>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v>0</v>
          </cell>
          <cell r="T69">
            <v>2994</v>
          </cell>
          <cell r="U69">
            <v>0.47659980897803245</v>
          </cell>
          <cell r="V69">
            <v>0</v>
          </cell>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v>0</v>
          </cell>
          <cell r="T70">
            <v>0</v>
          </cell>
          <cell r="U70">
            <v>0</v>
          </cell>
          <cell r="V70">
            <v>0</v>
          </cell>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v>0</v>
          </cell>
          <cell r="T71">
            <v>156</v>
          </cell>
          <cell r="U71">
            <v>2.4832855778414518E-2</v>
          </cell>
          <cell r="V71">
            <v>0</v>
          </cell>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v>0</v>
          </cell>
          <cell r="T72">
            <v>1007</v>
          </cell>
          <cell r="U72">
            <v>0.16029926774912448</v>
          </cell>
          <cell r="V72">
            <v>0</v>
          </cell>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v>0</v>
          </cell>
          <cell r="T73">
            <v>0</v>
          </cell>
          <cell r="U73">
            <v>0</v>
          </cell>
          <cell r="V73">
            <v>0</v>
          </cell>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v>0</v>
          </cell>
          <cell r="T74">
            <v>223</v>
          </cell>
          <cell r="U74">
            <v>3.5498248965297678E-2</v>
          </cell>
          <cell r="V74">
            <v>0</v>
          </cell>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v>0</v>
          </cell>
          <cell r="T75">
            <v>853</v>
          </cell>
          <cell r="U75">
            <v>0.13578478191658708</v>
          </cell>
          <cell r="V75">
            <v>0</v>
          </cell>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v>0</v>
          </cell>
          <cell r="T76">
            <v>43</v>
          </cell>
          <cell r="U76">
            <v>6.8449538363578475E-3</v>
          </cell>
          <cell r="V76">
            <v>0</v>
          </cell>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v>0</v>
          </cell>
          <cell r="T77">
            <v>208</v>
          </cell>
          <cell r="U77">
            <v>3.3110474371219355E-2</v>
          </cell>
          <cell r="V77">
            <v>0</v>
          </cell>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v>0</v>
          </cell>
          <cell r="T80">
            <v>492</v>
          </cell>
          <cell r="U80">
            <v>7.8319006685768869E-2</v>
          </cell>
          <cell r="V80">
            <v>0</v>
          </cell>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v>0</v>
          </cell>
          <cell r="P81">
            <v>14</v>
          </cell>
          <cell r="Q81">
            <v>2.2285896211397642E-3</v>
          </cell>
          <cell r="R81">
            <v>0</v>
          </cell>
          <cell r="T81">
            <v>14</v>
          </cell>
          <cell r="U81">
            <v>2.2285896211397642E-3</v>
          </cell>
          <cell r="V81">
            <v>0</v>
          </cell>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v>0</v>
          </cell>
          <cell r="P82">
            <v>188</v>
          </cell>
          <cell r="Q82">
            <v>2.9926774912448266E-2</v>
          </cell>
          <cell r="R82">
            <v>0</v>
          </cell>
          <cell r="T82">
            <v>188</v>
          </cell>
          <cell r="U82">
            <v>2.9926774912448266E-2</v>
          </cell>
          <cell r="V82">
            <v>0</v>
          </cell>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v>0</v>
          </cell>
          <cell r="P83">
            <v>6282</v>
          </cell>
          <cell r="Q83">
            <v>1</v>
          </cell>
          <cell r="R83">
            <v>0</v>
          </cell>
          <cell r="T83">
            <v>6282</v>
          </cell>
          <cell r="U83">
            <v>1</v>
          </cell>
          <cell r="V83">
            <v>0</v>
          </cell>
        </row>
        <row r="84">
          <cell r="A84">
            <v>0</v>
          </cell>
          <cell r="B84">
            <v>0</v>
          </cell>
          <cell r="C84">
            <v>0</v>
          </cell>
          <cell r="D84">
            <v>0</v>
          </cell>
          <cell r="E84">
            <v>0</v>
          </cell>
          <cell r="F84">
            <v>0</v>
          </cell>
          <cell r="G84">
            <v>0</v>
          </cell>
          <cell r="H84">
            <v>0</v>
          </cell>
          <cell r="I84">
            <v>0</v>
          </cell>
          <cell r="J84">
            <v>0</v>
          </cell>
          <cell r="K84">
            <v>0</v>
          </cell>
          <cell r="L84">
            <v>0</v>
          </cell>
          <cell r="M84">
            <v>0</v>
          </cell>
          <cell r="N84">
            <v>0</v>
          </cell>
          <cell r="P84">
            <v>0</v>
          </cell>
          <cell r="Q84">
            <v>0</v>
          </cell>
          <cell r="R84">
            <v>0</v>
          </cell>
          <cell r="T84">
            <v>0</v>
          </cell>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refreshError="1"/>
      <sheetData sheetId="4"/>
      <sheetData sheetId="5"/>
      <sheetData sheetId="6"/>
      <sheetData sheetId="7" refreshError="1"/>
      <sheetData sheetId="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v>0</v>
          </cell>
        </row>
        <row r="3">
          <cell r="AG3">
            <v>0</v>
          </cell>
        </row>
        <row r="4">
          <cell r="AG4">
            <v>0</v>
          </cell>
        </row>
        <row r="5">
          <cell r="AG5">
            <v>0</v>
          </cell>
        </row>
        <row r="6">
          <cell r="AG6">
            <v>0</v>
          </cell>
        </row>
        <row r="7">
          <cell r="AG7">
            <v>0</v>
          </cell>
        </row>
        <row r="8">
          <cell r="AG8">
            <v>0</v>
          </cell>
        </row>
        <row r="9">
          <cell r="AG9">
            <v>0</v>
          </cell>
        </row>
        <row r="10">
          <cell r="AG10">
            <v>0</v>
          </cell>
        </row>
        <row r="11">
          <cell r="AG11">
            <v>0</v>
          </cell>
        </row>
        <row r="12">
          <cell r="AG12">
            <v>0</v>
          </cell>
        </row>
        <row r="13">
          <cell r="AG13">
            <v>0</v>
          </cell>
        </row>
        <row r="14">
          <cell r="AG14">
            <v>0</v>
          </cell>
        </row>
        <row r="15">
          <cell r="AG15">
            <v>0</v>
          </cell>
        </row>
        <row r="16">
          <cell r="AG16">
            <v>0</v>
          </cell>
        </row>
        <row r="17">
          <cell r="AG17">
            <v>0</v>
          </cell>
        </row>
        <row r="18">
          <cell r="AG18">
            <v>0</v>
          </cell>
        </row>
        <row r="19">
          <cell r="AG19">
            <v>0</v>
          </cell>
        </row>
        <row r="20">
          <cell r="AG20">
            <v>0</v>
          </cell>
        </row>
        <row r="21">
          <cell r="AG21">
            <v>0</v>
          </cell>
        </row>
        <row r="22">
          <cell r="AG22">
            <v>0</v>
          </cell>
        </row>
        <row r="23">
          <cell r="AG23">
            <v>0</v>
          </cell>
        </row>
        <row r="24">
          <cell r="AG24">
            <v>0</v>
          </cell>
        </row>
        <row r="25">
          <cell r="AG25">
            <v>0</v>
          </cell>
        </row>
        <row r="26">
          <cell r="AG26">
            <v>0</v>
          </cell>
        </row>
        <row r="27">
          <cell r="AG27">
            <v>0</v>
          </cell>
        </row>
        <row r="28">
          <cell r="AG28">
            <v>0</v>
          </cell>
        </row>
        <row r="29">
          <cell r="AG29">
            <v>0</v>
          </cell>
        </row>
        <row r="30">
          <cell r="AG30">
            <v>0</v>
          </cell>
        </row>
        <row r="31">
          <cell r="AG31">
            <v>0</v>
          </cell>
        </row>
        <row r="32">
          <cell r="AG32">
            <v>0</v>
          </cell>
        </row>
        <row r="33">
          <cell r="AG33">
            <v>0</v>
          </cell>
        </row>
        <row r="34">
          <cell r="AG34">
            <v>0</v>
          </cell>
        </row>
        <row r="35">
          <cell r="AG35">
            <v>0</v>
          </cell>
        </row>
        <row r="36">
          <cell r="AG36">
            <v>0</v>
          </cell>
        </row>
        <row r="37">
          <cell r="AG37">
            <v>0</v>
          </cell>
        </row>
        <row r="38">
          <cell r="AG38">
            <v>0</v>
          </cell>
        </row>
        <row r="39">
          <cell r="AG39">
            <v>0</v>
          </cell>
        </row>
        <row r="40">
          <cell r="AG40">
            <v>0</v>
          </cell>
        </row>
        <row r="41">
          <cell r="AG41">
            <v>0</v>
          </cell>
        </row>
        <row r="42">
          <cell r="AG42">
            <v>0</v>
          </cell>
        </row>
        <row r="43">
          <cell r="AG43">
            <v>0</v>
          </cell>
        </row>
        <row r="44">
          <cell r="AG44">
            <v>0</v>
          </cell>
        </row>
        <row r="45">
          <cell r="AG45">
            <v>0</v>
          </cell>
        </row>
        <row r="46">
          <cell r="AG46">
            <v>0</v>
          </cell>
        </row>
        <row r="47">
          <cell r="AG47">
            <v>0</v>
          </cell>
        </row>
        <row r="48">
          <cell r="AG48">
            <v>0</v>
          </cell>
        </row>
        <row r="49">
          <cell r="AG49">
            <v>0</v>
          </cell>
        </row>
        <row r="50">
          <cell r="AG50">
            <v>0</v>
          </cell>
        </row>
        <row r="51">
          <cell r="AG51">
            <v>0</v>
          </cell>
        </row>
        <row r="52">
          <cell r="AG52">
            <v>0</v>
          </cell>
        </row>
        <row r="53">
          <cell r="AG53">
            <v>0</v>
          </cell>
        </row>
        <row r="54">
          <cell r="AG54">
            <v>0</v>
          </cell>
        </row>
        <row r="55">
          <cell r="AG55">
            <v>0</v>
          </cell>
        </row>
        <row r="56">
          <cell r="AG56">
            <v>0</v>
          </cell>
        </row>
        <row r="57">
          <cell r="AG57">
            <v>0</v>
          </cell>
        </row>
        <row r="58">
          <cell r="AG58">
            <v>0</v>
          </cell>
        </row>
        <row r="59">
          <cell r="AG59">
            <v>0</v>
          </cell>
        </row>
        <row r="60">
          <cell r="AG60">
            <v>0</v>
          </cell>
        </row>
        <row r="61">
          <cell r="AG61">
            <v>0</v>
          </cell>
        </row>
        <row r="62">
          <cell r="AG62">
            <v>0</v>
          </cell>
        </row>
        <row r="63">
          <cell r="AG63">
            <v>0</v>
          </cell>
        </row>
        <row r="64">
          <cell r="AG64">
            <v>0</v>
          </cell>
        </row>
        <row r="65">
          <cell r="AG65">
            <v>0</v>
          </cell>
        </row>
        <row r="66">
          <cell r="AG66">
            <v>0</v>
          </cell>
        </row>
        <row r="67">
          <cell r="AG67">
            <v>0</v>
          </cell>
        </row>
        <row r="68">
          <cell r="AG68">
            <v>0</v>
          </cell>
        </row>
        <row r="69">
          <cell r="AG69">
            <v>0</v>
          </cell>
        </row>
        <row r="70">
          <cell r="AG70">
            <v>0</v>
          </cell>
        </row>
        <row r="71">
          <cell r="AG71">
            <v>0</v>
          </cell>
        </row>
        <row r="72">
          <cell r="AG72">
            <v>0</v>
          </cell>
        </row>
        <row r="73">
          <cell r="AG73">
            <v>0</v>
          </cell>
        </row>
        <row r="74">
          <cell r="AG74">
            <v>0</v>
          </cell>
        </row>
        <row r="75">
          <cell r="AG75">
            <v>0</v>
          </cell>
        </row>
        <row r="76">
          <cell r="AG76">
            <v>0</v>
          </cell>
        </row>
        <row r="77">
          <cell r="AG77">
            <v>0</v>
          </cell>
        </row>
        <row r="78">
          <cell r="AG78">
            <v>0</v>
          </cell>
        </row>
        <row r="79">
          <cell r="AG79">
            <v>0</v>
          </cell>
        </row>
        <row r="80">
          <cell r="AG80">
            <v>0</v>
          </cell>
        </row>
        <row r="81">
          <cell r="AG81">
            <v>0</v>
          </cell>
        </row>
        <row r="82">
          <cell r="AG82">
            <v>0</v>
          </cell>
        </row>
        <row r="83">
          <cell r="AG83">
            <v>0</v>
          </cell>
        </row>
        <row r="84">
          <cell r="AG84">
            <v>0</v>
          </cell>
        </row>
        <row r="85">
          <cell r="AG85">
            <v>0</v>
          </cell>
        </row>
        <row r="86">
          <cell r="AG86">
            <v>0</v>
          </cell>
        </row>
        <row r="87">
          <cell r="AG87">
            <v>0</v>
          </cell>
        </row>
        <row r="88">
          <cell r="AG88">
            <v>0</v>
          </cell>
        </row>
        <row r="89">
          <cell r="AG89">
            <v>0</v>
          </cell>
        </row>
        <row r="90">
          <cell r="AG90">
            <v>0</v>
          </cell>
        </row>
        <row r="91">
          <cell r="AG91">
            <v>0</v>
          </cell>
        </row>
        <row r="92">
          <cell r="AG92">
            <v>0</v>
          </cell>
        </row>
        <row r="93">
          <cell r="AG93">
            <v>0</v>
          </cell>
        </row>
        <row r="94">
          <cell r="AG94">
            <v>0</v>
          </cell>
        </row>
        <row r="95">
          <cell r="AG95">
            <v>0</v>
          </cell>
        </row>
        <row r="96">
          <cell r="AG96">
            <v>0</v>
          </cell>
        </row>
        <row r="97">
          <cell r="AG97">
            <v>0</v>
          </cell>
        </row>
        <row r="98">
          <cell r="AG98">
            <v>0</v>
          </cell>
        </row>
        <row r="99">
          <cell r="AG99">
            <v>0</v>
          </cell>
        </row>
        <row r="100">
          <cell r="AG100">
            <v>0</v>
          </cell>
        </row>
        <row r="101">
          <cell r="AG101">
            <v>0</v>
          </cell>
        </row>
        <row r="102">
          <cell r="AG102">
            <v>0</v>
          </cell>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refreshError="1"/>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F82F7A-2E25-4EC8-B0CF-681785417AD5}">
  <sheetPr>
    <tabColor theme="0" tint="-4.9989318521683403E-2"/>
  </sheetPr>
  <dimension ref="A1:C15"/>
  <sheetViews>
    <sheetView topLeftCell="A4" workbookViewId="0">
      <selection activeCell="B17" sqref="B17"/>
    </sheetView>
  </sheetViews>
  <sheetFormatPr defaultRowHeight="15" x14ac:dyDescent="0.25"/>
  <cols>
    <col min="1" max="1" width="16.28515625" customWidth="1"/>
    <col min="2" max="2" width="66.7109375" style="27" customWidth="1"/>
    <col min="3" max="3" width="17.42578125" customWidth="1"/>
  </cols>
  <sheetData>
    <row r="1" spans="1:3" ht="18.75" x14ac:dyDescent="0.3">
      <c r="A1" s="335" t="s">
        <v>0</v>
      </c>
      <c r="B1" s="335"/>
    </row>
    <row r="2" spans="1:3" x14ac:dyDescent="0.25">
      <c r="A2" s="336" t="s">
        <v>1</v>
      </c>
      <c r="B2" s="336"/>
    </row>
    <row r="3" spans="1:3" ht="166.9" customHeight="1" x14ac:dyDescent="0.25">
      <c r="A3" s="334" t="s">
        <v>214</v>
      </c>
      <c r="B3" s="334"/>
    </row>
    <row r="4" spans="1:3" x14ac:dyDescent="0.25">
      <c r="B4" s="45"/>
    </row>
    <row r="5" spans="1:3" ht="15.75" x14ac:dyDescent="0.25">
      <c r="A5" s="112" t="s">
        <v>2</v>
      </c>
      <c r="B5" s="26" t="s">
        <v>3</v>
      </c>
      <c r="C5" s="44"/>
    </row>
    <row r="6" spans="1:3" ht="15.75" x14ac:dyDescent="0.25">
      <c r="A6" s="112" t="s">
        <v>2</v>
      </c>
      <c r="B6" s="44" t="s">
        <v>4</v>
      </c>
      <c r="C6" s="44"/>
    </row>
    <row r="7" spans="1:3" ht="15.75" x14ac:dyDescent="0.25">
      <c r="A7" s="111" t="s">
        <v>5</v>
      </c>
      <c r="B7" s="44" t="s">
        <v>6</v>
      </c>
      <c r="C7" s="44"/>
    </row>
    <row r="8" spans="1:3" ht="15.75" x14ac:dyDescent="0.25">
      <c r="A8" s="112" t="s">
        <v>2</v>
      </c>
      <c r="B8" s="26" t="s">
        <v>7</v>
      </c>
      <c r="C8" s="44"/>
    </row>
    <row r="9" spans="1:3" ht="15.75" x14ac:dyDescent="0.25">
      <c r="A9" s="112" t="s">
        <v>2</v>
      </c>
      <c r="B9" s="26" t="s">
        <v>8</v>
      </c>
      <c r="C9" s="44"/>
    </row>
    <row r="10" spans="1:3" ht="15.75" x14ac:dyDescent="0.25">
      <c r="A10" s="112" t="s">
        <v>2</v>
      </c>
      <c r="B10" s="26" t="s">
        <v>9</v>
      </c>
      <c r="C10" s="44"/>
    </row>
    <row r="11" spans="1:3" ht="15.75" x14ac:dyDescent="0.25">
      <c r="A11" s="112" t="s">
        <v>2</v>
      </c>
      <c r="B11" s="26" t="s">
        <v>10</v>
      </c>
      <c r="C11" s="44"/>
    </row>
    <row r="12" spans="1:3" ht="15.75" x14ac:dyDescent="0.25">
      <c r="A12" s="112" t="s">
        <v>2</v>
      </c>
      <c r="B12" s="44" t="s">
        <v>11</v>
      </c>
      <c r="C12" s="44"/>
    </row>
    <row r="13" spans="1:3" x14ac:dyDescent="0.25">
      <c r="C13" s="28"/>
    </row>
    <row r="14" spans="1:3" x14ac:dyDescent="0.25">
      <c r="C14" s="28"/>
    </row>
    <row r="15" spans="1:3" x14ac:dyDescent="0.25">
      <c r="C15" s="28"/>
    </row>
  </sheetData>
  <mergeCells count="3">
    <mergeCell ref="A3:B3"/>
    <mergeCell ref="A1:B1"/>
    <mergeCell ref="A2:B2"/>
  </mergeCells>
  <pageMargins left="0.7" right="0.7" top="0.75" bottom="0.75" header="0.3" footer="0.3"/>
  <pageSetup orientation="portrait" horizontalDpi="1200" verticalDpi="1200" r:id="rId1"/>
  <headerFooter>
    <oddFooter>&amp;L&amp;D&amp;R&amp;F,&amp;A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4EF180-1378-404F-9C48-95730C787581}">
  <sheetPr>
    <tabColor theme="7"/>
    <pageSetUpPr fitToPage="1"/>
  </sheetPr>
  <dimension ref="A2:W115"/>
  <sheetViews>
    <sheetView showGridLines="0" tabSelected="1" topLeftCell="D1" zoomScale="118" zoomScaleNormal="118" zoomScaleSheetLayoutView="80" workbookViewId="0">
      <selection activeCell="J10" sqref="J10:J15"/>
    </sheetView>
  </sheetViews>
  <sheetFormatPr defaultRowHeight="15" x14ac:dyDescent="0.25"/>
  <cols>
    <col min="1" max="1" width="14.42578125" customWidth="1"/>
    <col min="2" max="2" width="58.140625" customWidth="1"/>
    <col min="3" max="8" width="18.7109375" customWidth="1"/>
    <col min="9" max="9" width="16.42578125" customWidth="1"/>
    <col min="10" max="10" width="25.28515625" customWidth="1"/>
    <col min="11" max="11" width="19.7109375" customWidth="1"/>
    <col min="12" max="12" width="16.42578125" customWidth="1"/>
    <col min="13" max="13" width="15.140625" customWidth="1"/>
    <col min="14" max="14" width="24.5703125" customWidth="1"/>
    <col min="16" max="16" width="36" customWidth="1"/>
    <col min="22" max="22" width="15.28515625" bestFit="1" customWidth="1"/>
    <col min="23" max="23" width="10.28515625" bestFit="1" customWidth="1"/>
  </cols>
  <sheetData>
    <row r="2" spans="1:15" x14ac:dyDescent="0.25">
      <c r="B2" s="338" t="s">
        <v>12</v>
      </c>
      <c r="C2" s="338"/>
      <c r="D2" s="338"/>
      <c r="E2" s="338"/>
      <c r="F2" s="338"/>
      <c r="G2" s="338"/>
      <c r="H2" s="338"/>
      <c r="I2" s="338"/>
      <c r="J2" s="338"/>
      <c r="K2" s="338"/>
      <c r="L2" s="338"/>
      <c r="M2" s="338"/>
      <c r="N2" s="338"/>
      <c r="O2" s="338"/>
    </row>
    <row r="3" spans="1:15" ht="21" x14ac:dyDescent="0.35">
      <c r="B3" s="339" t="s">
        <v>13</v>
      </c>
      <c r="C3" s="340"/>
      <c r="D3" s="340"/>
      <c r="E3" s="340"/>
      <c r="F3" s="340"/>
      <c r="G3" s="340"/>
      <c r="H3" s="340"/>
      <c r="I3" s="340"/>
      <c r="J3" s="340"/>
      <c r="K3" s="340"/>
      <c r="L3" s="340"/>
      <c r="M3" s="340"/>
      <c r="N3" s="340"/>
      <c r="O3" s="341"/>
    </row>
    <row r="4" spans="1:15" ht="21" x14ac:dyDescent="0.35">
      <c r="B4" s="345" t="s">
        <v>14</v>
      </c>
      <c r="C4" s="346"/>
      <c r="D4" s="346"/>
      <c r="E4" s="346"/>
      <c r="F4" s="346"/>
      <c r="G4" s="346"/>
      <c r="H4" s="346"/>
      <c r="I4" s="346"/>
      <c r="J4" s="346"/>
      <c r="K4" s="346"/>
      <c r="L4" s="346"/>
      <c r="M4" s="346"/>
      <c r="N4" s="346"/>
      <c r="O4" s="347"/>
    </row>
    <row r="6" spans="1:15" ht="18.75" x14ac:dyDescent="0.3">
      <c r="B6" s="342" t="s">
        <v>15</v>
      </c>
      <c r="C6" s="343"/>
      <c r="D6" s="343"/>
      <c r="E6" s="343"/>
      <c r="F6" s="343"/>
      <c r="G6" s="343"/>
      <c r="H6" s="343"/>
      <c r="I6" s="343"/>
      <c r="J6" s="343"/>
      <c r="K6" s="343"/>
      <c r="L6" s="343"/>
      <c r="M6" s="343"/>
      <c r="N6" s="343"/>
      <c r="O6" s="344"/>
    </row>
    <row r="7" spans="1:15" s="56" customFormat="1" ht="18.75" x14ac:dyDescent="0.3">
      <c r="B7" s="55"/>
      <c r="C7" s="55"/>
      <c r="D7" s="55"/>
      <c r="E7" s="55"/>
      <c r="F7" s="55"/>
      <c r="G7" s="55"/>
      <c r="H7" s="55"/>
      <c r="I7" s="55"/>
      <c r="J7" s="55"/>
      <c r="K7" s="55"/>
      <c r="L7" s="55"/>
      <c r="M7" s="55"/>
      <c r="N7" s="55"/>
      <c r="O7" s="55"/>
    </row>
    <row r="8" spans="1:15" ht="18.75" x14ac:dyDescent="0.3">
      <c r="B8" s="96" t="s">
        <v>16</v>
      </c>
      <c r="C8" s="4"/>
    </row>
    <row r="9" spans="1:15" ht="22.15" customHeight="1" x14ac:dyDescent="0.3">
      <c r="B9" s="4"/>
      <c r="C9" s="4"/>
      <c r="E9" s="83"/>
      <c r="F9" s="83"/>
      <c r="G9" s="83"/>
      <c r="H9" s="83"/>
      <c r="I9" s="83"/>
      <c r="K9" s="28"/>
    </row>
    <row r="10" spans="1:15" s="103" customFormat="1" ht="30" x14ac:dyDescent="0.25">
      <c r="B10" s="101" t="s">
        <v>17</v>
      </c>
      <c r="C10" s="101" t="s">
        <v>18</v>
      </c>
      <c r="D10" s="101" t="s">
        <v>19</v>
      </c>
      <c r="E10" s="101" t="s">
        <v>20</v>
      </c>
      <c r="F10" s="101" t="s">
        <v>21</v>
      </c>
      <c r="G10" s="101" t="s">
        <v>218</v>
      </c>
      <c r="H10" s="101" t="s">
        <v>239</v>
      </c>
      <c r="I10" s="102"/>
      <c r="J10" s="104"/>
    </row>
    <row r="11" spans="1:15" x14ac:dyDescent="0.25">
      <c r="B11" s="5" t="s">
        <v>22</v>
      </c>
      <c r="C11" s="88">
        <f>SUM(D11:H11)</f>
        <v>247487684</v>
      </c>
      <c r="D11" s="94">
        <f>79012357+13399750+3</f>
        <v>92412110</v>
      </c>
      <c r="E11" s="95">
        <f>4141706.69+4682362+14571344.49+569658-0.18</f>
        <v>23965071</v>
      </c>
      <c r="F11" s="95">
        <f>87309623+12346157+15929523+5785257+4033179+291018+3872490+1216599</f>
        <v>130783846</v>
      </c>
      <c r="G11" s="95">
        <f>208279-8081366+4829419</f>
        <v>-3043668</v>
      </c>
      <c r="H11" s="95">
        <v>3370325</v>
      </c>
      <c r="J11" s="331"/>
      <c r="K11" s="14"/>
      <c r="L11" s="14"/>
    </row>
    <row r="12" spans="1:15" ht="14.45" customHeight="1" x14ac:dyDescent="0.25">
      <c r="A12" s="348"/>
      <c r="B12" s="8" t="s">
        <v>57</v>
      </c>
      <c r="C12" s="88">
        <f>SUM(D12:H12)</f>
        <v>4534318</v>
      </c>
      <c r="D12" s="89"/>
      <c r="E12" s="90"/>
      <c r="F12" s="91">
        <v>4427806</v>
      </c>
      <c r="G12" s="91">
        <f>178498-159069+87083</f>
        <v>106512</v>
      </c>
      <c r="H12" s="91"/>
      <c r="J12" s="415"/>
      <c r="K12" s="14"/>
      <c r="L12" s="333"/>
      <c r="M12" s="23"/>
    </row>
    <row r="13" spans="1:15" x14ac:dyDescent="0.25">
      <c r="A13" s="348"/>
      <c r="B13" s="8" t="s">
        <v>58</v>
      </c>
      <c r="C13" s="88">
        <f>SUM(D13:H13)</f>
        <v>65192</v>
      </c>
      <c r="D13" s="89"/>
      <c r="E13" s="90"/>
      <c r="F13" s="91"/>
      <c r="G13" s="91"/>
      <c r="H13" s="92">
        <f>13033+52159</f>
        <v>65192</v>
      </c>
      <c r="J13" s="415"/>
      <c r="K13" s="14"/>
      <c r="L13" s="333"/>
      <c r="M13" s="23"/>
    </row>
    <row r="14" spans="1:15" x14ac:dyDescent="0.25">
      <c r="A14" s="348"/>
      <c r="B14" s="8" t="s">
        <v>59</v>
      </c>
      <c r="C14" s="88">
        <f>SUM(D14:H14)</f>
        <v>11631953</v>
      </c>
      <c r="D14" s="89">
        <f>10977026-4</f>
        <v>10977022</v>
      </c>
      <c r="E14" s="90">
        <f>4348216-2016514+124545</f>
        <v>2456247</v>
      </c>
      <c r="F14" s="91">
        <v>-1354380</v>
      </c>
      <c r="G14" s="91">
        <f>-40213-406723</f>
        <v>-446936</v>
      </c>
      <c r="H14" s="91"/>
      <c r="J14" s="415"/>
      <c r="K14" s="14"/>
      <c r="L14" s="333"/>
      <c r="M14" s="23"/>
    </row>
    <row r="15" spans="1:15" x14ac:dyDescent="0.25">
      <c r="A15" s="348"/>
      <c r="B15" s="8" t="s">
        <v>60</v>
      </c>
      <c r="C15" s="88">
        <f t="shared" ref="C15:C19" si="0">SUM(D15:H15)</f>
        <v>914588</v>
      </c>
      <c r="D15" s="89"/>
      <c r="E15" s="90">
        <v>914588</v>
      </c>
      <c r="F15" s="91"/>
      <c r="G15" s="91"/>
      <c r="H15" s="91"/>
      <c r="J15" s="416"/>
      <c r="K15" s="14"/>
      <c r="L15" s="333"/>
      <c r="M15" s="23"/>
    </row>
    <row r="16" spans="1:15" x14ac:dyDescent="0.25">
      <c r="A16" s="348"/>
      <c r="B16" s="10" t="s">
        <v>25</v>
      </c>
      <c r="C16" s="88">
        <f t="shared" si="0"/>
        <v>0</v>
      </c>
      <c r="D16" s="89"/>
      <c r="E16" s="90"/>
      <c r="F16" s="92"/>
      <c r="G16" s="92"/>
      <c r="H16" s="92"/>
      <c r="J16" s="332"/>
      <c r="K16" s="14"/>
      <c r="L16" s="333"/>
      <c r="M16" s="23"/>
    </row>
    <row r="17" spans="1:23" x14ac:dyDescent="0.25">
      <c r="A17" s="348"/>
      <c r="B17" s="10" t="s">
        <v>26</v>
      </c>
      <c r="C17" s="88">
        <f t="shared" si="0"/>
        <v>3083499</v>
      </c>
      <c r="D17" s="89">
        <v>209334</v>
      </c>
      <c r="E17" s="90">
        <f>2413056+1851853+92425</f>
        <v>4357334</v>
      </c>
      <c r="F17" s="91">
        <f>-9269050</f>
        <v>-9269050</v>
      </c>
      <c r="G17" s="91">
        <v>7785881</v>
      </c>
      <c r="H17" s="91"/>
      <c r="J17" s="332"/>
      <c r="K17" s="14"/>
      <c r="L17" s="333"/>
      <c r="M17" s="23"/>
    </row>
    <row r="18" spans="1:23" x14ac:dyDescent="0.25">
      <c r="A18" s="348"/>
      <c r="B18" s="10" t="s">
        <v>27</v>
      </c>
      <c r="C18" s="88">
        <f t="shared" si="0"/>
        <v>4795417</v>
      </c>
      <c r="D18" s="89">
        <v>6878556</v>
      </c>
      <c r="E18" s="90">
        <f>-3169408+2325222-181005</f>
        <v>-1025191</v>
      </c>
      <c r="F18" s="91">
        <v>561228</v>
      </c>
      <c r="G18" s="91">
        <v>-1619176</v>
      </c>
      <c r="H18" s="91"/>
      <c r="J18" s="332"/>
      <c r="K18" s="14"/>
      <c r="L18" s="333"/>
      <c r="M18" s="23"/>
    </row>
    <row r="19" spans="1:23" x14ac:dyDescent="0.25">
      <c r="A19" s="348"/>
      <c r="B19" s="10" t="s">
        <v>61</v>
      </c>
      <c r="C19" s="88">
        <f t="shared" si="0"/>
        <v>-2310540</v>
      </c>
      <c r="D19" s="89"/>
      <c r="E19" s="90"/>
      <c r="F19" s="91"/>
      <c r="G19" s="91">
        <v>-2310540</v>
      </c>
      <c r="H19" s="91"/>
      <c r="K19" s="14"/>
      <c r="L19" s="22"/>
      <c r="M19" s="23"/>
    </row>
    <row r="20" spans="1:23" x14ac:dyDescent="0.25">
      <c r="B20" s="87" t="s">
        <v>266</v>
      </c>
      <c r="C20" s="88">
        <f>SUM(D20:H20)</f>
        <v>159260</v>
      </c>
      <c r="D20" s="89"/>
      <c r="E20" s="90"/>
      <c r="F20" s="92"/>
      <c r="G20" s="92">
        <v>159260</v>
      </c>
      <c r="H20" s="92"/>
      <c r="O20" s="22"/>
      <c r="P20" s="23"/>
    </row>
    <row r="21" spans="1:23" x14ac:dyDescent="0.25">
      <c r="B21" s="87" t="s">
        <v>28</v>
      </c>
      <c r="C21" s="88">
        <f>SUM(D21:H21)</f>
        <v>0</v>
      </c>
      <c r="D21" s="89"/>
      <c r="E21" s="90"/>
      <c r="F21" s="92"/>
      <c r="G21" s="92"/>
      <c r="H21" s="92"/>
      <c r="O21" s="22"/>
      <c r="P21" s="23"/>
    </row>
    <row r="22" spans="1:23" x14ac:dyDescent="0.25">
      <c r="B22" s="87" t="s">
        <v>28</v>
      </c>
      <c r="C22" s="88">
        <f>SUM(D22:H22)</f>
        <v>0</v>
      </c>
      <c r="D22" s="89"/>
      <c r="E22" s="90"/>
      <c r="F22" s="92"/>
      <c r="G22" s="92"/>
      <c r="H22" s="92"/>
      <c r="O22" s="22"/>
      <c r="P22" s="23"/>
    </row>
    <row r="23" spans="1:23" x14ac:dyDescent="0.25">
      <c r="B23" s="11" t="s">
        <v>29</v>
      </c>
      <c r="C23" s="6">
        <f t="shared" ref="C23:H23" si="1">SUM(C11:C22)</f>
        <v>270361371</v>
      </c>
      <c r="D23" s="52">
        <f t="shared" si="1"/>
        <v>110477022</v>
      </c>
      <c r="E23" s="52">
        <f t="shared" si="1"/>
        <v>30668049</v>
      </c>
      <c r="F23" s="52">
        <f t="shared" si="1"/>
        <v>125149450</v>
      </c>
      <c r="G23" s="52">
        <f t="shared" si="1"/>
        <v>631333</v>
      </c>
      <c r="H23" s="52">
        <f t="shared" si="1"/>
        <v>3435517</v>
      </c>
      <c r="O23" s="22"/>
      <c r="P23" s="23"/>
    </row>
    <row r="24" spans="1:23" x14ac:dyDescent="0.25">
      <c r="C24" s="311"/>
      <c r="D24" s="314"/>
      <c r="E24" s="315"/>
      <c r="O24" s="22"/>
      <c r="P24" s="23"/>
    </row>
    <row r="25" spans="1:23" x14ac:dyDescent="0.25">
      <c r="B25" s="29" t="s">
        <v>30</v>
      </c>
      <c r="C25" s="64">
        <f t="shared" ref="C25:H25" si="2">+C23-C11</f>
        <v>22873687</v>
      </c>
      <c r="D25" s="19">
        <f t="shared" si="2"/>
        <v>18064912</v>
      </c>
      <c r="E25" s="19">
        <f t="shared" si="2"/>
        <v>6702978</v>
      </c>
      <c r="F25" s="19">
        <f t="shared" si="2"/>
        <v>-5634396</v>
      </c>
      <c r="G25" s="19">
        <f t="shared" si="2"/>
        <v>3675001</v>
      </c>
      <c r="H25" s="19">
        <f t="shared" si="2"/>
        <v>65192</v>
      </c>
      <c r="O25" s="22"/>
      <c r="P25" s="23"/>
    </row>
    <row r="26" spans="1:23" x14ac:dyDescent="0.25">
      <c r="B26" s="53" t="s">
        <v>31</v>
      </c>
      <c r="C26" s="54">
        <f>(C25)/C11</f>
        <v>9.2423536518285901E-2</v>
      </c>
      <c r="D26" s="54">
        <f t="shared" ref="D26:H26" si="3">(D25)/D11</f>
        <v>0.19548208562708935</v>
      </c>
      <c r="E26" s="54">
        <f t="shared" si="3"/>
        <v>0.27969781520780806</v>
      </c>
      <c r="F26" s="54">
        <f t="shared" si="3"/>
        <v>-4.3081742679443757E-2</v>
      </c>
      <c r="G26" s="54">
        <f t="shared" si="3"/>
        <v>-1.2074250542437612</v>
      </c>
      <c r="H26" s="54">
        <f t="shared" si="3"/>
        <v>1.9342941704435034E-2</v>
      </c>
      <c r="O26" s="22"/>
      <c r="P26" s="23"/>
    </row>
    <row r="27" spans="1:23" x14ac:dyDescent="0.25">
      <c r="B27" s="210"/>
      <c r="C27" s="59"/>
      <c r="D27" s="59"/>
      <c r="E27" s="59"/>
      <c r="F27" s="59"/>
      <c r="G27" s="59"/>
      <c r="H27" s="59"/>
      <c r="O27" s="22"/>
      <c r="P27" s="23"/>
    </row>
    <row r="28" spans="1:23" x14ac:dyDescent="0.25">
      <c r="B28" s="29" t="s">
        <v>32</v>
      </c>
      <c r="C28" s="64">
        <f>'5. Vaccine Clinics and Testing'!D23</f>
        <v>479303</v>
      </c>
      <c r="D28" s="59"/>
      <c r="E28" s="59"/>
      <c r="F28" s="59"/>
      <c r="G28" s="59"/>
      <c r="H28" s="59"/>
      <c r="O28" s="22"/>
      <c r="P28" s="23"/>
    </row>
    <row r="29" spans="1:23" ht="30" x14ac:dyDescent="0.25">
      <c r="B29" s="211" t="s">
        <v>33</v>
      </c>
      <c r="C29" s="212">
        <f>C23-C28</f>
        <v>269882068</v>
      </c>
      <c r="D29" s="15"/>
      <c r="E29" s="15"/>
      <c r="K29" s="23"/>
      <c r="L29" s="23"/>
      <c r="M29" s="14"/>
      <c r="N29" s="24"/>
      <c r="V29" s="22"/>
      <c r="W29" s="23"/>
    </row>
    <row r="30" spans="1:23" x14ac:dyDescent="0.25">
      <c r="B30" s="210"/>
      <c r="C30" s="59"/>
      <c r="D30" s="15"/>
      <c r="E30" s="15"/>
      <c r="K30" s="23"/>
      <c r="L30" s="23"/>
      <c r="M30" s="14"/>
      <c r="N30" s="24"/>
      <c r="V30" s="22"/>
      <c r="W30" s="23"/>
    </row>
    <row r="31" spans="1:23" x14ac:dyDescent="0.25">
      <c r="B31" s="29" t="s">
        <v>34</v>
      </c>
      <c r="C31" s="64">
        <f>C29-C11</f>
        <v>22394384</v>
      </c>
      <c r="D31" s="15"/>
      <c r="E31" s="15"/>
      <c r="O31" s="22"/>
      <c r="P31" s="23"/>
    </row>
    <row r="32" spans="1:23" x14ac:dyDescent="0.25">
      <c r="B32" s="53" t="s">
        <v>35</v>
      </c>
      <c r="C32" s="54">
        <f>(C31)/C11</f>
        <v>9.0486862368472448E-2</v>
      </c>
      <c r="D32" s="15"/>
      <c r="E32" s="15"/>
      <c r="O32" s="22"/>
      <c r="P32" s="23"/>
    </row>
    <row r="33" spans="2:23" x14ac:dyDescent="0.25">
      <c r="B33" s="210"/>
      <c r="C33" s="59"/>
      <c r="D33" s="59"/>
      <c r="E33" s="59"/>
      <c r="F33" s="59"/>
      <c r="G33" s="59"/>
      <c r="H33" s="59"/>
      <c r="O33" s="22"/>
      <c r="P33" s="23"/>
    </row>
    <row r="34" spans="2:23" ht="28.15" customHeight="1" x14ac:dyDescent="0.3">
      <c r="B34" s="96" t="s">
        <v>36</v>
      </c>
      <c r="C34" s="4"/>
      <c r="D34" s="15"/>
      <c r="E34" s="15"/>
      <c r="V34" s="22"/>
      <c r="W34" s="23"/>
    </row>
    <row r="35" spans="2:23" ht="18.75" x14ac:dyDescent="0.3">
      <c r="B35" s="96"/>
      <c r="C35" s="4"/>
      <c r="D35" s="15"/>
      <c r="E35" s="15"/>
      <c r="V35" s="22"/>
      <c r="W35" s="23"/>
    </row>
    <row r="36" spans="2:23" s="86" customFormat="1" x14ac:dyDescent="0.25">
      <c r="B36" s="98" t="s">
        <v>37</v>
      </c>
      <c r="C36" s="98" t="s">
        <v>38</v>
      </c>
      <c r="D36" s="98" t="s">
        <v>39</v>
      </c>
      <c r="E36" s="50"/>
      <c r="V36" s="99"/>
      <c r="W36" s="100"/>
    </row>
    <row r="37" spans="2:23" x14ac:dyDescent="0.25">
      <c r="B37" s="5" t="s">
        <v>40</v>
      </c>
      <c r="C37" s="88">
        <v>266770898</v>
      </c>
      <c r="D37" s="7"/>
      <c r="E37" s="59"/>
      <c r="V37" s="22"/>
      <c r="W37" s="23"/>
    </row>
    <row r="38" spans="2:23" x14ac:dyDescent="0.25">
      <c r="B38" s="8" t="s">
        <v>41</v>
      </c>
      <c r="C38" s="287">
        <v>1098637</v>
      </c>
      <c r="D38" s="279">
        <f>+C38/C$37</f>
        <v>4.1182790485639852E-3</v>
      </c>
      <c r="E38" s="51"/>
      <c r="V38" s="22"/>
    </row>
    <row r="39" spans="2:23" x14ac:dyDescent="0.25">
      <c r="B39" s="10" t="s">
        <v>42</v>
      </c>
      <c r="C39" s="270">
        <f>'4. Inflation'!D16</f>
        <v>9327993.8100000005</v>
      </c>
      <c r="D39" s="279">
        <f t="shared" ref="D39:D49" si="4">+C39/C$37</f>
        <v>3.496630959348497E-2</v>
      </c>
      <c r="E39" s="271" t="s">
        <v>240</v>
      </c>
      <c r="V39" s="22"/>
    </row>
    <row r="40" spans="2:23" x14ac:dyDescent="0.25">
      <c r="B40" s="10" t="s">
        <v>43</v>
      </c>
      <c r="C40" s="287">
        <f>959310-115000</f>
        <v>844310</v>
      </c>
      <c r="D40" s="279">
        <f t="shared" si="4"/>
        <v>3.1649254335081181E-3</v>
      </c>
      <c r="E40" s="51"/>
      <c r="V40" s="22"/>
    </row>
    <row r="41" spans="2:23" x14ac:dyDescent="0.25">
      <c r="B41" s="10" t="s">
        <v>44</v>
      </c>
      <c r="C41" s="287">
        <f>4043021-612000</f>
        <v>3431021</v>
      </c>
      <c r="D41" s="279">
        <f t="shared" si="4"/>
        <v>1.2861301685163574E-2</v>
      </c>
      <c r="E41" s="299"/>
      <c r="F41" s="286"/>
      <c r="G41" s="286"/>
      <c r="V41" s="22"/>
    </row>
    <row r="42" spans="2:23" x14ac:dyDescent="0.25">
      <c r="B42" s="10" t="s">
        <v>45</v>
      </c>
      <c r="C42" s="93">
        <f>4864681-333700-1042800</f>
        <v>3488181</v>
      </c>
      <c r="D42" s="279">
        <f t="shared" si="4"/>
        <v>1.307556793544999E-2</v>
      </c>
      <c r="E42" s="51"/>
      <c r="V42" s="22"/>
    </row>
    <row r="43" spans="2:23" x14ac:dyDescent="0.25">
      <c r="B43" s="10" t="s">
        <v>46</v>
      </c>
      <c r="C43" s="93">
        <v>-328628</v>
      </c>
      <c r="D43" s="279">
        <f t="shared" si="4"/>
        <v>-1.2318735006844712E-3</v>
      </c>
      <c r="E43" s="280"/>
      <c r="V43" s="22"/>
    </row>
    <row r="44" spans="2:23" x14ac:dyDescent="0.25">
      <c r="B44" s="10" t="s">
        <v>47</v>
      </c>
      <c r="C44" s="93">
        <v>1898338</v>
      </c>
      <c r="D44" s="279">
        <f t="shared" si="4"/>
        <v>7.1159860923060659E-3</v>
      </c>
      <c r="E44" s="51"/>
    </row>
    <row r="45" spans="2:23" x14ac:dyDescent="0.25">
      <c r="B45" s="10" t="s">
        <v>48</v>
      </c>
      <c r="C45" s="93">
        <v>1644884</v>
      </c>
      <c r="D45" s="279">
        <f t="shared" si="4"/>
        <v>6.16590494814768E-3</v>
      </c>
      <c r="E45" s="51"/>
    </row>
    <row r="46" spans="2:23" x14ac:dyDescent="0.25">
      <c r="B46" s="10" t="s">
        <v>49</v>
      </c>
      <c r="C46" s="287">
        <f>-808000-400000</f>
        <v>-1208000</v>
      </c>
      <c r="D46" s="279">
        <f>+C46/C$37</f>
        <v>-4.5282300620362271E-3</v>
      </c>
      <c r="E46" s="285"/>
      <c r="F46" s="286"/>
      <c r="G46" s="286"/>
    </row>
    <row r="47" spans="2:23" x14ac:dyDescent="0.25">
      <c r="B47" s="87" t="s">
        <v>251</v>
      </c>
      <c r="C47" s="300">
        <f>12712258-12668835</f>
        <v>43423</v>
      </c>
      <c r="D47" s="279">
        <f t="shared" ref="D47:D48" si="5">+C47/C$37</f>
        <v>1.6277262747003236E-4</v>
      </c>
      <c r="E47" s="51"/>
    </row>
    <row r="48" spans="2:23" x14ac:dyDescent="0.25">
      <c r="B48" s="87" t="s">
        <v>252</v>
      </c>
      <c r="C48" s="93">
        <f>1562040-1434557</f>
        <v>127483</v>
      </c>
      <c r="D48" s="279">
        <f t="shared" si="5"/>
        <v>4.7787446440278504E-4</v>
      </c>
      <c r="E48" s="51"/>
    </row>
    <row r="49" spans="2:23" x14ac:dyDescent="0.25">
      <c r="B49" s="87" t="s">
        <v>253</v>
      </c>
      <c r="C49" s="287">
        <f>1534099-666660</f>
        <v>867439</v>
      </c>
      <c r="D49" s="279">
        <f t="shared" si="4"/>
        <v>3.2516252953498697E-3</v>
      </c>
      <c r="E49" s="288"/>
    </row>
    <row r="50" spans="2:23" x14ac:dyDescent="0.25">
      <c r="B50" s="87" t="s">
        <v>254</v>
      </c>
      <c r="C50" s="93">
        <v>1171979</v>
      </c>
      <c r="D50" s="279">
        <f t="shared" ref="D50:D52" si="6">+C50/C$37</f>
        <v>4.3932040893006254E-3</v>
      </c>
      <c r="E50" s="51"/>
    </row>
    <row r="51" spans="2:23" x14ac:dyDescent="0.25">
      <c r="B51" s="87" t="s">
        <v>263</v>
      </c>
      <c r="C51" s="93">
        <v>1402820</v>
      </c>
      <c r="D51" s="279">
        <f t="shared" si="6"/>
        <v>5.2585196155841554E-3</v>
      </c>
      <c r="E51" s="51"/>
    </row>
    <row r="52" spans="2:23" x14ac:dyDescent="0.25">
      <c r="B52" s="87" t="s">
        <v>50</v>
      </c>
      <c r="C52" s="93">
        <v>404962.19</v>
      </c>
      <c r="D52" s="279">
        <f t="shared" si="6"/>
        <v>1.5180148698228696E-3</v>
      </c>
      <c r="E52" s="280"/>
    </row>
    <row r="53" spans="2:23" x14ac:dyDescent="0.25">
      <c r="B53" s="11" t="s">
        <v>51</v>
      </c>
      <c r="C53" s="12">
        <f>SUM(C37:C52)</f>
        <v>290985741</v>
      </c>
      <c r="D53" s="13">
        <f>SUM(D38:D52)</f>
        <v>9.0770182135834002E-2</v>
      </c>
      <c r="E53" s="77"/>
    </row>
    <row r="54" spans="2:23" x14ac:dyDescent="0.25">
      <c r="B54" s="84"/>
      <c r="C54" s="85"/>
      <c r="D54" s="77"/>
      <c r="E54" s="278">
        <f>290985741-C53</f>
        <v>0</v>
      </c>
    </row>
    <row r="55" spans="2:23" x14ac:dyDescent="0.25">
      <c r="B55" s="29" t="s">
        <v>30</v>
      </c>
      <c r="C55" s="64">
        <f>+C53-C37</f>
        <v>24214843</v>
      </c>
      <c r="D55" s="77"/>
      <c r="E55" s="77"/>
    </row>
    <row r="56" spans="2:23" x14ac:dyDescent="0.25">
      <c r="B56" s="53" t="s">
        <v>31</v>
      </c>
      <c r="C56" s="318">
        <f>(C55)/C37</f>
        <v>9.0770182135834016E-2</v>
      </c>
      <c r="D56" s="77"/>
      <c r="E56" s="77"/>
    </row>
    <row r="57" spans="2:23" x14ac:dyDescent="0.25">
      <c r="B57" s="210"/>
      <c r="C57" s="59"/>
      <c r="D57" s="59"/>
      <c r="E57" s="59"/>
      <c r="F57" s="59"/>
      <c r="G57" s="59"/>
      <c r="H57" s="59"/>
      <c r="O57" s="22"/>
      <c r="P57" s="23"/>
    </row>
    <row r="58" spans="2:23" x14ac:dyDescent="0.25">
      <c r="B58" s="29" t="s">
        <v>32</v>
      </c>
      <c r="C58" s="64">
        <f>'5. Vaccine Clinics and Testing'!D36</f>
        <v>359130</v>
      </c>
      <c r="D58" s="59"/>
      <c r="E58" s="59"/>
      <c r="F58" s="59"/>
      <c r="G58" s="59"/>
      <c r="H58" s="59"/>
      <c r="O58" s="22"/>
      <c r="P58" s="23"/>
    </row>
    <row r="59" spans="2:23" ht="30" x14ac:dyDescent="0.25">
      <c r="B59" s="211" t="s">
        <v>33</v>
      </c>
      <c r="C59" s="212">
        <f>C53-C58</f>
        <v>290626611</v>
      </c>
      <c r="D59" s="15"/>
      <c r="E59" s="15"/>
      <c r="K59" s="23"/>
      <c r="L59" s="23"/>
      <c r="M59" s="14"/>
      <c r="N59" s="24"/>
      <c r="V59" s="22"/>
      <c r="W59" s="23"/>
    </row>
    <row r="60" spans="2:23" x14ac:dyDescent="0.25">
      <c r="B60" s="210"/>
      <c r="C60" s="59"/>
      <c r="D60" s="15"/>
      <c r="E60" s="15"/>
      <c r="K60" s="23"/>
      <c r="L60" s="23"/>
      <c r="M60" s="14"/>
      <c r="N60" s="24"/>
      <c r="V60" s="22"/>
      <c r="W60" s="23"/>
    </row>
    <row r="61" spans="2:23" x14ac:dyDescent="0.25">
      <c r="B61" s="29" t="s">
        <v>34</v>
      </c>
      <c r="C61" s="64">
        <f>C59-C37</f>
        <v>23855713</v>
      </c>
      <c r="D61" s="15"/>
      <c r="E61" s="15"/>
      <c r="O61" s="22"/>
      <c r="P61" s="23"/>
    </row>
    <row r="62" spans="2:23" x14ac:dyDescent="0.25">
      <c r="B62" s="53" t="s">
        <v>35</v>
      </c>
      <c r="C62" s="318">
        <f>(C61)/C37</f>
        <v>8.9423970826083138E-2</v>
      </c>
      <c r="D62" s="15"/>
      <c r="E62" s="15"/>
      <c r="O62" s="22"/>
      <c r="P62" s="23"/>
    </row>
    <row r="63" spans="2:23" x14ac:dyDescent="0.25">
      <c r="B63" s="210"/>
      <c r="C63" s="59"/>
      <c r="D63" s="59"/>
      <c r="E63" s="59"/>
      <c r="F63" s="59"/>
      <c r="G63" s="59"/>
      <c r="H63" s="59"/>
      <c r="O63" s="22"/>
      <c r="P63" s="23"/>
    </row>
    <row r="65" spans="1:23" ht="18.75" x14ac:dyDescent="0.3">
      <c r="B65" s="342" t="s">
        <v>52</v>
      </c>
      <c r="C65" s="343"/>
      <c r="D65" s="343"/>
      <c r="E65" s="343"/>
      <c r="F65" s="343"/>
      <c r="G65" s="343"/>
      <c r="H65" s="343"/>
      <c r="I65" s="343"/>
      <c r="J65" s="343"/>
      <c r="K65" s="343"/>
      <c r="L65" s="343"/>
      <c r="M65" s="343"/>
      <c r="N65" s="343"/>
      <c r="O65" s="344"/>
      <c r="V65" s="22"/>
      <c r="W65" s="23"/>
    </row>
    <row r="66" spans="1:23" x14ac:dyDescent="0.25">
      <c r="B66" s="17"/>
    </row>
    <row r="67" spans="1:23" ht="18.75" x14ac:dyDescent="0.3">
      <c r="B67" s="96" t="s">
        <v>53</v>
      </c>
      <c r="C67" s="4"/>
    </row>
    <row r="68" spans="1:23" ht="18.75" x14ac:dyDescent="0.3">
      <c r="B68" s="96"/>
      <c r="C68" s="4"/>
    </row>
    <row r="69" spans="1:23" ht="18.75" x14ac:dyDescent="0.3">
      <c r="B69" s="96" t="s">
        <v>54</v>
      </c>
      <c r="C69" s="235" t="s">
        <v>55</v>
      </c>
    </row>
    <row r="70" spans="1:23" s="86" customFormat="1" ht="30" x14ac:dyDescent="0.25">
      <c r="B70" s="97" t="s">
        <v>17</v>
      </c>
      <c r="C70" s="97" t="s">
        <v>18</v>
      </c>
      <c r="D70" s="97" t="s">
        <v>19</v>
      </c>
      <c r="E70" s="97" t="s">
        <v>20</v>
      </c>
      <c r="F70" s="97" t="s">
        <v>21</v>
      </c>
      <c r="G70" s="97" t="s">
        <v>218</v>
      </c>
      <c r="H70" s="97" t="s">
        <v>239</v>
      </c>
      <c r="J70" s="50"/>
    </row>
    <row r="71" spans="1:23" x14ac:dyDescent="0.25">
      <c r="B71" s="5" t="s">
        <v>56</v>
      </c>
      <c r="C71" s="88">
        <f>SUM(D71:H71)</f>
        <v>266868817</v>
      </c>
      <c r="D71" s="94">
        <v>109878171</v>
      </c>
      <c r="E71" s="95">
        <v>32045937</v>
      </c>
      <c r="F71" s="95">
        <v>107587600</v>
      </c>
      <c r="G71" s="95">
        <v>13973751</v>
      </c>
      <c r="H71" s="95">
        <v>3383358</v>
      </c>
      <c r="J71" s="331"/>
      <c r="K71" s="14"/>
    </row>
    <row r="72" spans="1:23" ht="14.45" customHeight="1" x14ac:dyDescent="0.25">
      <c r="A72" s="337"/>
      <c r="B72" s="8" t="s">
        <v>57</v>
      </c>
      <c r="C72" s="88">
        <f>SUM(D72:H72)</f>
        <v>4534318</v>
      </c>
      <c r="D72" s="89"/>
      <c r="E72" s="90"/>
      <c r="F72" s="91">
        <f>4005386</f>
        <v>4005386</v>
      </c>
      <c r="G72" s="91">
        <f>600918-159069+87083</f>
        <v>528932</v>
      </c>
      <c r="H72" s="91"/>
      <c r="J72" s="415"/>
      <c r="K72" s="14"/>
      <c r="L72" s="22"/>
      <c r="M72" s="23"/>
    </row>
    <row r="73" spans="1:23" x14ac:dyDescent="0.25">
      <c r="A73" s="337"/>
      <c r="B73" s="8" t="s">
        <v>58</v>
      </c>
      <c r="C73" s="88">
        <f>SUM(D73:H73)</f>
        <v>52159</v>
      </c>
      <c r="D73" s="89"/>
      <c r="E73" s="90"/>
      <c r="F73" s="91"/>
      <c r="G73" s="91"/>
      <c r="H73" s="91">
        <v>52159</v>
      </c>
      <c r="J73" s="415"/>
      <c r="K73" s="14"/>
      <c r="L73" s="22"/>
      <c r="M73" s="23"/>
    </row>
    <row r="74" spans="1:23" x14ac:dyDescent="0.25">
      <c r="A74" s="337"/>
      <c r="B74" s="8" t="s">
        <v>59</v>
      </c>
      <c r="C74" s="88">
        <f>SUM(D74:H74)</f>
        <v>-431353</v>
      </c>
      <c r="D74" s="89">
        <f>-141096-1</f>
        <v>-141097</v>
      </c>
      <c r="E74" s="90">
        <v>339101</v>
      </c>
      <c r="F74" s="91">
        <v>-553927</v>
      </c>
      <c r="G74" s="91">
        <v>-75430</v>
      </c>
      <c r="H74" s="91"/>
      <c r="J74" s="415"/>
      <c r="K74" s="14"/>
      <c r="L74" s="22"/>
      <c r="M74" s="23"/>
    </row>
    <row r="75" spans="1:23" x14ac:dyDescent="0.25">
      <c r="A75" s="337"/>
      <c r="B75" s="8" t="s">
        <v>60</v>
      </c>
      <c r="C75" s="88">
        <f t="shared" ref="C75:C82" si="7">SUM(D75:H75)</f>
        <v>0</v>
      </c>
      <c r="D75" s="89"/>
      <c r="E75" s="90"/>
      <c r="F75" s="91"/>
      <c r="G75" s="91"/>
      <c r="H75" s="91"/>
      <c r="J75" s="416"/>
      <c r="K75" s="14"/>
      <c r="L75" s="22"/>
      <c r="M75" s="23"/>
    </row>
    <row r="76" spans="1:23" x14ac:dyDescent="0.25">
      <c r="B76" s="10" t="s">
        <v>25</v>
      </c>
      <c r="C76" s="88">
        <f t="shared" si="7"/>
        <v>0</v>
      </c>
      <c r="D76" s="89"/>
      <c r="E76" s="90"/>
      <c r="F76" s="92"/>
      <c r="G76" s="92"/>
      <c r="H76" s="92"/>
      <c r="J76" s="416"/>
      <c r="K76" s="14"/>
      <c r="L76" s="22"/>
      <c r="M76" s="23"/>
    </row>
    <row r="77" spans="1:23" x14ac:dyDescent="0.25">
      <c r="B77" s="10" t="s">
        <v>26</v>
      </c>
      <c r="C77" s="88">
        <f t="shared" si="7"/>
        <v>0</v>
      </c>
      <c r="D77" s="89"/>
      <c r="E77" s="90"/>
      <c r="F77" s="91"/>
      <c r="G77" s="91"/>
      <c r="H77" s="91"/>
      <c r="J77" s="332"/>
      <c r="K77" s="14"/>
      <c r="L77" s="22"/>
      <c r="M77" s="23"/>
    </row>
    <row r="78" spans="1:23" x14ac:dyDescent="0.25">
      <c r="B78" s="10" t="s">
        <v>27</v>
      </c>
      <c r="C78" s="88">
        <f t="shared" si="7"/>
        <v>-194910</v>
      </c>
      <c r="D78" s="89">
        <v>739949</v>
      </c>
      <c r="E78" s="90">
        <v>-1843177</v>
      </c>
      <c r="F78" s="91">
        <v>-227207</v>
      </c>
      <c r="G78" s="91">
        <v>1135525</v>
      </c>
      <c r="H78" s="91"/>
      <c r="L78" s="22"/>
      <c r="M78" s="23"/>
    </row>
    <row r="79" spans="1:23" x14ac:dyDescent="0.25">
      <c r="B79" s="10" t="s">
        <v>61</v>
      </c>
      <c r="C79" s="88">
        <f t="shared" si="7"/>
        <v>-593846</v>
      </c>
      <c r="D79" s="89"/>
      <c r="E79" s="90"/>
      <c r="F79" s="91"/>
      <c r="G79" s="91">
        <v>-593846</v>
      </c>
      <c r="H79" s="91"/>
      <c r="L79" s="22"/>
      <c r="M79" s="23"/>
    </row>
    <row r="80" spans="1:23" x14ac:dyDescent="0.25">
      <c r="B80" s="87" t="s">
        <v>28</v>
      </c>
      <c r="C80" s="88">
        <f t="shared" si="7"/>
        <v>126186</v>
      </c>
      <c r="D80" s="89"/>
      <c r="E80" s="90">
        <v>126186</v>
      </c>
      <c r="F80" s="92"/>
      <c r="G80" s="92"/>
      <c r="H80" s="92"/>
      <c r="L80" s="22"/>
      <c r="M80" s="23"/>
    </row>
    <row r="81" spans="2:23" x14ac:dyDescent="0.25">
      <c r="B81" s="87" t="s">
        <v>28</v>
      </c>
      <c r="C81" s="88">
        <f t="shared" si="7"/>
        <v>0</v>
      </c>
      <c r="D81" s="89"/>
      <c r="E81" s="90"/>
      <c r="F81" s="92"/>
      <c r="G81" s="92"/>
      <c r="H81" s="92"/>
      <c r="J81" s="14"/>
      <c r="L81" s="22"/>
      <c r="M81" s="23"/>
    </row>
    <row r="82" spans="2:23" x14ac:dyDescent="0.25">
      <c r="B82" s="87" t="s">
        <v>28</v>
      </c>
      <c r="C82" s="88">
        <f t="shared" si="7"/>
        <v>0</v>
      </c>
      <c r="D82" s="89"/>
      <c r="E82" s="90"/>
      <c r="F82" s="92"/>
      <c r="G82" s="92"/>
      <c r="H82" s="92"/>
      <c r="L82" s="22"/>
      <c r="M82" s="23"/>
    </row>
    <row r="83" spans="2:23" x14ac:dyDescent="0.25">
      <c r="B83" s="11" t="s">
        <v>29</v>
      </c>
      <c r="C83" s="6">
        <f t="shared" ref="C83:H83" si="8">SUM(C71:C82)</f>
        <v>270361371</v>
      </c>
      <c r="D83" s="52">
        <f t="shared" si="8"/>
        <v>110477023</v>
      </c>
      <c r="E83" s="52">
        <f t="shared" si="8"/>
        <v>30668047</v>
      </c>
      <c r="F83" s="52">
        <f t="shared" si="8"/>
        <v>110811852</v>
      </c>
      <c r="G83" s="52">
        <f t="shared" si="8"/>
        <v>14968932</v>
      </c>
      <c r="H83" s="52">
        <f t="shared" si="8"/>
        <v>3435517</v>
      </c>
      <c r="L83" s="22"/>
      <c r="M83" s="23"/>
    </row>
    <row r="84" spans="2:23" x14ac:dyDescent="0.25">
      <c r="C84" s="312"/>
      <c r="D84" s="15"/>
      <c r="L84" s="22"/>
      <c r="M84" s="23"/>
    </row>
    <row r="85" spans="2:23" x14ac:dyDescent="0.25">
      <c r="B85" s="29" t="s">
        <v>62</v>
      </c>
      <c r="C85" s="64">
        <f>+C83-C71</f>
        <v>3492554</v>
      </c>
      <c r="D85" s="64">
        <f t="shared" ref="D85:E85" si="9">+D83-D71</f>
        <v>598852</v>
      </c>
      <c r="E85" s="64">
        <f t="shared" si="9"/>
        <v>-1377890</v>
      </c>
      <c r="F85" s="19">
        <f>+F83-F71</f>
        <v>3224252</v>
      </c>
      <c r="G85" s="19">
        <f>+G83-G71</f>
        <v>995181</v>
      </c>
      <c r="H85" s="19">
        <f>+H83-H71</f>
        <v>52159</v>
      </c>
      <c r="L85" s="22"/>
      <c r="M85" s="23"/>
    </row>
    <row r="86" spans="2:23" x14ac:dyDescent="0.25">
      <c r="B86" s="53" t="s">
        <v>63</v>
      </c>
      <c r="C86" s="318">
        <f>(C85)/C71</f>
        <v>1.3087156600990217E-2</v>
      </c>
      <c r="D86" s="318">
        <f t="shared" ref="D86:H86" si="10">(D85)/D71</f>
        <v>5.4501453250436795E-3</v>
      </c>
      <c r="E86" s="318">
        <f t="shared" si="10"/>
        <v>-4.2997338476949511E-2</v>
      </c>
      <c r="F86" s="318">
        <f t="shared" si="10"/>
        <v>2.9968620919139381E-2</v>
      </c>
      <c r="G86" s="318">
        <f t="shared" si="10"/>
        <v>7.1217885591349089E-2</v>
      </c>
      <c r="H86" s="318">
        <f t="shared" si="10"/>
        <v>1.5416340806973426E-2</v>
      </c>
      <c r="K86" s="23"/>
      <c r="L86" s="22"/>
      <c r="M86" s="23"/>
    </row>
    <row r="87" spans="2:23" x14ac:dyDescent="0.25">
      <c r="B87" s="210"/>
      <c r="C87" s="59"/>
      <c r="D87" s="15"/>
      <c r="E87" s="15"/>
      <c r="L87" s="23"/>
      <c r="M87" s="14"/>
      <c r="N87" s="24"/>
      <c r="V87" s="22"/>
      <c r="W87" s="23"/>
    </row>
    <row r="88" spans="2:23" x14ac:dyDescent="0.25">
      <c r="B88" s="29" t="s">
        <v>64</v>
      </c>
      <c r="C88" s="64">
        <f>(C83-'5. Vaccine Clinics and Testing'!D23)-('1. Reconciliation'!C71-'5. Vaccine Clinics and Testing'!C23)</f>
        <v>5257099</v>
      </c>
      <c r="D88" s="15"/>
      <c r="E88" s="15"/>
      <c r="O88" s="22"/>
      <c r="P88" s="23"/>
    </row>
    <row r="89" spans="2:23" x14ac:dyDescent="0.25">
      <c r="B89" s="53" t="s">
        <v>65</v>
      </c>
      <c r="C89" s="318">
        <f>(C88)/(C71-'5. Vaccine Clinics and Testing'!C23)</f>
        <v>1.9866224339548245E-2</v>
      </c>
      <c r="D89" s="15"/>
      <c r="E89" s="15"/>
      <c r="O89" s="22"/>
      <c r="P89" s="23"/>
    </row>
    <row r="90" spans="2:23" x14ac:dyDescent="0.25">
      <c r="B90" s="210"/>
      <c r="C90" s="59"/>
      <c r="D90" s="59"/>
      <c r="E90" s="59"/>
      <c r="F90" s="59"/>
      <c r="G90" s="59"/>
      <c r="H90" s="59"/>
      <c r="O90" s="22"/>
      <c r="P90" s="23"/>
    </row>
    <row r="91" spans="2:23" ht="19.899999999999999" customHeight="1" x14ac:dyDescent="0.3">
      <c r="B91" s="96" t="s">
        <v>66</v>
      </c>
      <c r="C91" s="4"/>
      <c r="D91" s="15"/>
      <c r="E91" s="15"/>
      <c r="V91" s="22"/>
      <c r="W91" s="23"/>
    </row>
    <row r="92" spans="2:23" ht="18.75" x14ac:dyDescent="0.3">
      <c r="B92" s="96"/>
      <c r="C92" s="4"/>
      <c r="D92" s="15"/>
      <c r="E92" s="15"/>
      <c r="V92" s="22"/>
      <c r="W92" s="23"/>
    </row>
    <row r="93" spans="2:23" x14ac:dyDescent="0.25">
      <c r="B93" s="98" t="s">
        <v>37</v>
      </c>
      <c r="C93" s="98" t="s">
        <v>38</v>
      </c>
      <c r="D93" s="98" t="s">
        <v>39</v>
      </c>
      <c r="E93" s="60"/>
      <c r="V93" s="22"/>
      <c r="W93" s="23"/>
    </row>
    <row r="94" spans="2:23" x14ac:dyDescent="0.25">
      <c r="B94" s="5" t="s">
        <v>56</v>
      </c>
      <c r="C94" s="88">
        <v>293735546</v>
      </c>
      <c r="D94" s="7"/>
      <c r="E94" s="59"/>
      <c r="V94" s="22"/>
      <c r="W94" s="23"/>
    </row>
    <row r="95" spans="2:23" x14ac:dyDescent="0.25">
      <c r="B95" s="8" t="s">
        <v>41</v>
      </c>
      <c r="C95" s="93"/>
      <c r="D95" s="9">
        <f>+C95/C$37</f>
        <v>0</v>
      </c>
      <c r="E95" s="61"/>
      <c r="V95" s="22"/>
    </row>
    <row r="96" spans="2:23" x14ac:dyDescent="0.25">
      <c r="B96" s="10" t="s">
        <v>42</v>
      </c>
      <c r="C96" s="93">
        <v>5534674</v>
      </c>
      <c r="D96" s="9">
        <f t="shared" ref="D96:D108" si="11">+C96/C$37</f>
        <v>2.0746918203948916E-2</v>
      </c>
      <c r="E96" s="61"/>
      <c r="V96" s="22"/>
    </row>
    <row r="97" spans="2:22" x14ac:dyDescent="0.25">
      <c r="B97" s="10" t="s">
        <v>43</v>
      </c>
      <c r="C97" s="93">
        <v>-2441949</v>
      </c>
      <c r="D97" s="9">
        <f t="shared" si="11"/>
        <v>-9.1537308541053825E-3</v>
      </c>
      <c r="E97" s="61"/>
      <c r="V97" s="22"/>
    </row>
    <row r="98" spans="2:22" x14ac:dyDescent="0.25">
      <c r="B98" s="10" t="s">
        <v>44</v>
      </c>
      <c r="C98" s="93">
        <v>1456678</v>
      </c>
      <c r="D98" s="9">
        <f t="shared" si="11"/>
        <v>5.4604082038963633E-3</v>
      </c>
      <c r="E98" s="61"/>
      <c r="V98" s="22"/>
    </row>
    <row r="99" spans="2:22" x14ac:dyDescent="0.25">
      <c r="B99" s="10" t="s">
        <v>45</v>
      </c>
      <c r="C99" s="93">
        <v>-2437810</v>
      </c>
      <c r="D99" s="9">
        <f t="shared" si="11"/>
        <v>-9.1382156684871978E-3</v>
      </c>
      <c r="E99" s="61"/>
      <c r="V99" s="22"/>
    </row>
    <row r="100" spans="2:22" x14ac:dyDescent="0.25">
      <c r="B100" s="10" t="s">
        <v>46</v>
      </c>
      <c r="C100" s="93"/>
      <c r="D100" s="9">
        <f t="shared" si="11"/>
        <v>0</v>
      </c>
      <c r="E100" s="61"/>
      <c r="V100" s="22"/>
    </row>
    <row r="101" spans="2:22" x14ac:dyDescent="0.25">
      <c r="B101" s="10" t="s">
        <v>48</v>
      </c>
      <c r="C101" s="93">
        <v>647539</v>
      </c>
      <c r="D101" s="9">
        <f t="shared" ref="D101:D106" si="12">+C101/C$37</f>
        <v>2.4273224885272156E-3</v>
      </c>
      <c r="E101" s="61"/>
    </row>
    <row r="102" spans="2:22" x14ac:dyDescent="0.25">
      <c r="B102" s="10" t="s">
        <v>49</v>
      </c>
      <c r="C102" s="93">
        <v>-1208000</v>
      </c>
      <c r="D102" s="9">
        <f t="shared" si="12"/>
        <v>-4.5282300620362271E-3</v>
      </c>
      <c r="E102" s="61"/>
    </row>
    <row r="103" spans="2:22" x14ac:dyDescent="0.25">
      <c r="B103" s="87" t="s">
        <v>274</v>
      </c>
      <c r="C103" s="93">
        <v>-2974046</v>
      </c>
      <c r="D103" s="9">
        <f t="shared" si="12"/>
        <v>-1.1148314985992213E-2</v>
      </c>
      <c r="E103" s="61"/>
    </row>
    <row r="104" spans="2:22" x14ac:dyDescent="0.25">
      <c r="B104" s="87" t="s">
        <v>275</v>
      </c>
      <c r="C104" s="93">
        <v>-250745</v>
      </c>
      <c r="D104" s="9">
        <f t="shared" si="12"/>
        <v>-9.3992636333218021E-4</v>
      </c>
      <c r="E104" s="61"/>
    </row>
    <row r="105" spans="2:22" x14ac:dyDescent="0.25">
      <c r="B105" s="87" t="s">
        <v>276</v>
      </c>
      <c r="C105" s="93">
        <v>-1076146</v>
      </c>
      <c r="D105" s="9">
        <f t="shared" si="12"/>
        <v>-4.0339707519371172E-3</v>
      </c>
      <c r="E105" s="61"/>
    </row>
    <row r="106" spans="2:22" x14ac:dyDescent="0.25">
      <c r="B106" s="87" t="s">
        <v>28</v>
      </c>
      <c r="C106" s="93"/>
      <c r="D106" s="9">
        <f t="shared" si="12"/>
        <v>0</v>
      </c>
      <c r="E106" s="61"/>
    </row>
    <row r="107" spans="2:22" x14ac:dyDescent="0.25">
      <c r="B107" s="87" t="s">
        <v>28</v>
      </c>
      <c r="C107" s="93"/>
      <c r="D107" s="9">
        <f t="shared" ref="D107" si="13">+C107/C$37</f>
        <v>0</v>
      </c>
      <c r="E107" s="61"/>
    </row>
    <row r="108" spans="2:22" x14ac:dyDescent="0.25">
      <c r="B108" s="87" t="s">
        <v>50</v>
      </c>
      <c r="C108" s="93"/>
      <c r="D108" s="9">
        <f t="shared" si="11"/>
        <v>0</v>
      </c>
      <c r="E108" s="61"/>
    </row>
    <row r="109" spans="2:22" x14ac:dyDescent="0.25">
      <c r="B109" s="11" t="s">
        <v>29</v>
      </c>
      <c r="C109" s="12">
        <f>SUM(C94:C108)</f>
        <v>290985741</v>
      </c>
      <c r="D109" s="13">
        <f>SUM(D95:D108)</f>
        <v>-1.0307739789517819E-2</v>
      </c>
      <c r="E109" s="302">
        <f>290985741-C109</f>
        <v>0</v>
      </c>
    </row>
    <row r="110" spans="2:22" x14ac:dyDescent="0.25">
      <c r="E110" s="56"/>
    </row>
    <row r="111" spans="2:22" x14ac:dyDescent="0.25">
      <c r="B111" s="29" t="s">
        <v>62</v>
      </c>
      <c r="C111" s="64">
        <f>+C109-C94</f>
        <v>-2749805</v>
      </c>
      <c r="E111" s="56"/>
    </row>
    <row r="112" spans="2:22" x14ac:dyDescent="0.25">
      <c r="B112" s="53" t="s">
        <v>63</v>
      </c>
      <c r="C112" s="319">
        <f>(C111)/C94</f>
        <v>-9.3614989314231654E-3</v>
      </c>
      <c r="E112" s="56"/>
    </row>
    <row r="113" spans="2:23" x14ac:dyDescent="0.25">
      <c r="B113" s="210"/>
      <c r="C113" s="59"/>
      <c r="D113" s="59"/>
      <c r="E113" s="59"/>
      <c r="F113" s="59"/>
      <c r="G113" s="59"/>
      <c r="H113" s="59"/>
      <c r="O113" s="22"/>
      <c r="P113" s="23"/>
    </row>
    <row r="114" spans="2:23" x14ac:dyDescent="0.25">
      <c r="B114" s="29" t="s">
        <v>64</v>
      </c>
      <c r="C114" s="64">
        <f>(C109-'5. Vaccine Clinics and Testing'!D42)-('1. Reconciliation'!C94-'1. Reconciliation'!C41)</f>
        <v>561043</v>
      </c>
      <c r="D114" s="59"/>
      <c r="E114" s="59"/>
      <c r="F114" s="59"/>
      <c r="G114" s="59"/>
      <c r="H114" s="59"/>
      <c r="K114" s="23"/>
      <c r="O114" s="22"/>
      <c r="P114" s="23"/>
    </row>
    <row r="115" spans="2:23" x14ac:dyDescent="0.25">
      <c r="B115" s="53" t="s">
        <v>65</v>
      </c>
      <c r="C115" s="319">
        <f>(C114/(C94-'5. Vaccine Clinics and Testing'!C36))</f>
        <v>1.9263027839599288E-3</v>
      </c>
      <c r="D115" s="15"/>
      <c r="E115" s="15"/>
      <c r="L115" s="23"/>
      <c r="M115" s="14"/>
      <c r="N115" s="24"/>
      <c r="V115" s="22"/>
      <c r="W115" s="23"/>
    </row>
  </sheetData>
  <mergeCells count="7">
    <mergeCell ref="A72:A75"/>
    <mergeCell ref="B2:O2"/>
    <mergeCell ref="B3:O3"/>
    <mergeCell ref="B6:O6"/>
    <mergeCell ref="B4:O4"/>
    <mergeCell ref="B65:O65"/>
    <mergeCell ref="A12:A19"/>
  </mergeCells>
  <pageMargins left="0.7" right="0.7" top="0.5" bottom="0.5" header="0.3" footer="0.3"/>
  <pageSetup scale="30" orientation="landscape" r:id="rId1"/>
  <headerFooter>
    <oddFooter>&amp;L&amp;D&amp;R&amp;F,&amp;A</oddFooter>
  </headerFooter>
  <rowBreaks count="1" manualBreakCount="1">
    <brk id="64" min="1"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967D58-C467-4A18-BF72-48A69D1CD3C0}">
  <sheetPr>
    <tabColor theme="7"/>
    <pageSetUpPr fitToPage="1"/>
  </sheetPr>
  <dimension ref="B2:K67"/>
  <sheetViews>
    <sheetView showGridLines="0" topLeftCell="A19" zoomScale="90" zoomScaleNormal="90" workbookViewId="0">
      <selection activeCell="S25" sqref="S25"/>
    </sheetView>
  </sheetViews>
  <sheetFormatPr defaultColWidth="8.85546875" defaultRowHeight="15" x14ac:dyDescent="0.25"/>
  <cols>
    <col min="1" max="1" width="6.5703125" style="1" customWidth="1"/>
    <col min="2" max="2" width="34.85546875" style="1" customWidth="1"/>
    <col min="3" max="3" width="19.42578125" style="1" customWidth="1"/>
    <col min="4" max="7" width="17.7109375" style="1" customWidth="1"/>
    <col min="8" max="8" width="17.7109375" style="62" customWidth="1"/>
    <col min="9" max="11" width="17.7109375" style="1" customWidth="1"/>
    <col min="12" max="16384" width="8.85546875" style="1"/>
  </cols>
  <sheetData>
    <row r="2" spans="2:9" x14ac:dyDescent="0.25">
      <c r="B2" s="338" t="s">
        <v>67</v>
      </c>
      <c r="C2" s="338"/>
      <c r="D2" s="338"/>
      <c r="E2" s="338"/>
      <c r="F2" s="338"/>
      <c r="G2" s="338"/>
      <c r="H2" s="338"/>
      <c r="I2" s="338"/>
    </row>
    <row r="3" spans="2:9" ht="18.75" x14ac:dyDescent="0.3">
      <c r="B3" s="350" t="s">
        <v>13</v>
      </c>
      <c r="C3" s="351"/>
      <c r="D3" s="351"/>
      <c r="E3" s="351"/>
      <c r="F3" s="351"/>
      <c r="G3" s="351"/>
      <c r="H3" s="351"/>
      <c r="I3" s="352"/>
    </row>
    <row r="4" spans="2:9" ht="18.75" x14ac:dyDescent="0.3">
      <c r="B4" s="353" t="s">
        <v>68</v>
      </c>
      <c r="C4" s="354"/>
      <c r="D4" s="354"/>
      <c r="E4" s="354"/>
      <c r="F4" s="354"/>
      <c r="G4" s="354"/>
      <c r="H4" s="354"/>
      <c r="I4" s="355"/>
    </row>
    <row r="5" spans="2:9" ht="34.9" customHeight="1" x14ac:dyDescent="0.25">
      <c r="B5" s="349" t="s">
        <v>69</v>
      </c>
      <c r="C5" s="349"/>
      <c r="D5" s="349"/>
      <c r="E5" s="349"/>
      <c r="F5" s="349"/>
      <c r="G5" s="349"/>
      <c r="H5" s="215"/>
    </row>
    <row r="6" spans="2:9" x14ac:dyDescent="0.25">
      <c r="B6" s="216"/>
      <c r="C6" s="216"/>
      <c r="D6" s="216"/>
      <c r="E6" s="216"/>
      <c r="F6" s="216"/>
      <c r="G6" s="216"/>
      <c r="H6" s="215"/>
    </row>
    <row r="7" spans="2:9" ht="29.45" customHeight="1" x14ac:dyDescent="0.25">
      <c r="B7" s="357" t="s">
        <v>70</v>
      </c>
      <c r="C7" s="358"/>
      <c r="D7" s="359"/>
      <c r="H7" s="1"/>
    </row>
    <row r="8" spans="2:9" ht="15" customHeight="1" x14ac:dyDescent="0.25">
      <c r="B8" s="360" t="s">
        <v>71</v>
      </c>
      <c r="C8" s="361"/>
      <c r="D8" s="362"/>
      <c r="H8" s="1"/>
    </row>
    <row r="9" spans="2:9" ht="42.75" customHeight="1" x14ac:dyDescent="0.25">
      <c r="B9" s="3" t="s">
        <v>72</v>
      </c>
      <c r="C9" s="47" t="s">
        <v>73</v>
      </c>
      <c r="D9" s="47" t="s">
        <v>74</v>
      </c>
      <c r="H9" s="1"/>
    </row>
    <row r="10" spans="2:9" x14ac:dyDescent="0.25">
      <c r="B10" s="3"/>
      <c r="C10" s="3"/>
      <c r="D10" s="47"/>
      <c r="H10" s="1"/>
    </row>
    <row r="11" spans="2:9" x14ac:dyDescent="0.25">
      <c r="B11" s="3" t="s">
        <v>75</v>
      </c>
      <c r="C11" s="236">
        <v>7795122</v>
      </c>
      <c r="D11" s="221">
        <v>4.0300000000000002E-2</v>
      </c>
      <c r="H11" s="1"/>
    </row>
    <row r="12" spans="2:9" x14ac:dyDescent="0.25">
      <c r="B12" s="3" t="s">
        <v>76</v>
      </c>
      <c r="C12" s="236">
        <v>14850812</v>
      </c>
      <c r="D12" s="221">
        <v>4.24E-2</v>
      </c>
      <c r="H12" s="1"/>
    </row>
    <row r="13" spans="2:9" x14ac:dyDescent="0.25">
      <c r="B13" s="3" t="s">
        <v>77</v>
      </c>
      <c r="C13" s="236">
        <v>-202956</v>
      </c>
      <c r="D13" s="221">
        <v>-2.7000000000000001E-3</v>
      </c>
      <c r="H13" s="1"/>
    </row>
    <row r="14" spans="2:9" x14ac:dyDescent="0.25">
      <c r="B14" s="3" t="s">
        <v>28</v>
      </c>
      <c r="C14" s="236">
        <v>0</v>
      </c>
      <c r="D14" s="221">
        <v>0</v>
      </c>
      <c r="H14" s="1"/>
    </row>
    <row r="15" spans="2:9" ht="30" x14ac:dyDescent="0.25">
      <c r="B15" s="58" t="s">
        <v>78</v>
      </c>
      <c r="C15" s="237">
        <f>SUM(C11:C14)</f>
        <v>22442978</v>
      </c>
      <c r="D15" s="323">
        <v>3.6400000000000002E-2</v>
      </c>
      <c r="H15" s="1"/>
    </row>
    <row r="16" spans="2:9" s="62" customFormat="1" x14ac:dyDescent="0.25">
      <c r="B16" s="217"/>
      <c r="C16" s="63"/>
      <c r="D16" s="63"/>
      <c r="E16" s="63"/>
      <c r="F16" s="63"/>
      <c r="G16" s="63"/>
      <c r="H16" s="63"/>
    </row>
    <row r="17" spans="2:11" ht="45" customHeight="1" x14ac:dyDescent="0.25">
      <c r="B17" s="357" t="s">
        <v>246</v>
      </c>
      <c r="C17" s="358"/>
      <c r="D17" s="358"/>
      <c r="E17" s="358"/>
      <c r="F17" s="358"/>
      <c r="G17" s="358"/>
      <c r="H17" s="358"/>
      <c r="I17" s="358"/>
      <c r="J17" s="359"/>
    </row>
    <row r="18" spans="2:11" ht="15" customHeight="1" x14ac:dyDescent="0.25">
      <c r="B18" s="360" t="s">
        <v>227</v>
      </c>
      <c r="C18" s="361"/>
      <c r="D18" s="361"/>
      <c r="E18" s="361"/>
      <c r="F18" s="361"/>
      <c r="G18" s="361"/>
      <c r="H18" s="361"/>
      <c r="I18" s="361"/>
      <c r="J18" s="362"/>
    </row>
    <row r="19" spans="2:11" ht="42.75" customHeight="1" x14ac:dyDescent="0.25">
      <c r="B19" s="3" t="s">
        <v>72</v>
      </c>
      <c r="C19" s="47" t="s">
        <v>221</v>
      </c>
      <c r="D19" s="47" t="s">
        <v>79</v>
      </c>
      <c r="E19" s="47" t="s">
        <v>222</v>
      </c>
      <c r="F19" s="368" t="s">
        <v>223</v>
      </c>
      <c r="G19" s="369"/>
      <c r="H19" s="218" t="s">
        <v>224</v>
      </c>
      <c r="I19" s="218" t="s">
        <v>225</v>
      </c>
      <c r="J19" s="218" t="s">
        <v>226</v>
      </c>
    </row>
    <row r="20" spans="2:11" x14ac:dyDescent="0.25">
      <c r="B20" s="3"/>
      <c r="C20" s="47"/>
      <c r="D20" s="219"/>
      <c r="E20" s="47"/>
      <c r="F20" s="47" t="s">
        <v>80</v>
      </c>
      <c r="G20" s="47" t="s">
        <v>81</v>
      </c>
      <c r="H20" s="47"/>
      <c r="I20" s="47"/>
      <c r="J20" s="47"/>
    </row>
    <row r="21" spans="2:11" x14ac:dyDescent="0.25">
      <c r="B21" s="3" t="s">
        <v>75</v>
      </c>
      <c r="C21" s="220">
        <v>185725550</v>
      </c>
      <c r="D21" s="221">
        <f>(E21/C21)-1</f>
        <v>8.3079721664574446E-2</v>
      </c>
      <c r="E21" s="81">
        <v>201155577</v>
      </c>
      <c r="F21" s="81">
        <v>-1775978</v>
      </c>
      <c r="G21" s="81">
        <v>0</v>
      </c>
      <c r="H21" s="81">
        <v>-360888</v>
      </c>
      <c r="I21" s="81">
        <v>4970263</v>
      </c>
      <c r="J21" s="81">
        <v>12596631</v>
      </c>
    </row>
    <row r="22" spans="2:11" x14ac:dyDescent="0.25">
      <c r="B22" s="3" t="s">
        <v>76</v>
      </c>
      <c r="C22" s="220">
        <v>323352939</v>
      </c>
      <c r="D22" s="221">
        <f t="shared" ref="D22:D25" si="0">(E22/C22)-1</f>
        <v>0.12856792682499796</v>
      </c>
      <c r="E22" s="81">
        <v>364925756</v>
      </c>
      <c r="F22" s="81">
        <v>6591666</v>
      </c>
      <c r="G22" s="81">
        <v>0</v>
      </c>
      <c r="H22" s="81">
        <v>-1587307</v>
      </c>
      <c r="I22" s="81">
        <v>4123814</v>
      </c>
      <c r="J22" s="81">
        <v>32444645</v>
      </c>
      <c r="K22" s="114"/>
    </row>
    <row r="23" spans="2:11" x14ac:dyDescent="0.25">
      <c r="B23" s="3" t="s">
        <v>77</v>
      </c>
      <c r="C23" s="220">
        <v>69210608</v>
      </c>
      <c r="D23" s="221">
        <f t="shared" si="0"/>
        <v>6.5693571135800433E-2</v>
      </c>
      <c r="E23" s="81">
        <v>73757300</v>
      </c>
      <c r="F23" s="81">
        <v>-360172</v>
      </c>
      <c r="G23" s="81">
        <v>0</v>
      </c>
      <c r="H23" s="81">
        <v>-204545</v>
      </c>
      <c r="I23" s="81">
        <v>1379491</v>
      </c>
      <c r="J23" s="81">
        <v>3731918</v>
      </c>
    </row>
    <row r="24" spans="2:11" x14ac:dyDescent="0.25">
      <c r="B24" s="3" t="s">
        <v>28</v>
      </c>
      <c r="C24" s="220">
        <v>0</v>
      </c>
      <c r="D24" s="221"/>
      <c r="E24" s="81">
        <f t="shared" ref="E24" si="1">SUM(F24:J24)</f>
        <v>0</v>
      </c>
      <c r="F24" s="81"/>
      <c r="G24" s="81"/>
      <c r="H24" s="81"/>
      <c r="I24" s="81"/>
      <c r="J24" s="81"/>
    </row>
    <row r="25" spans="2:11" ht="30" x14ac:dyDescent="0.25">
      <c r="B25" s="58" t="s">
        <v>236</v>
      </c>
      <c r="C25" s="222">
        <f>SUM(C21:C24)</f>
        <v>578289097</v>
      </c>
      <c r="D25" s="289">
        <f t="shared" si="0"/>
        <v>0.10643385171759512</v>
      </c>
      <c r="E25" s="222">
        <f t="shared" ref="E25:J25" si="2">SUM(E21:E24)</f>
        <v>639838633</v>
      </c>
      <c r="F25" s="82">
        <f t="shared" si="2"/>
        <v>4455516</v>
      </c>
      <c r="G25" s="82">
        <f t="shared" si="2"/>
        <v>0</v>
      </c>
      <c r="H25" s="82">
        <f t="shared" si="2"/>
        <v>-2152740</v>
      </c>
      <c r="I25" s="82">
        <f t="shared" si="2"/>
        <v>10473568</v>
      </c>
      <c r="J25" s="82">
        <f t="shared" si="2"/>
        <v>48773194</v>
      </c>
    </row>
    <row r="26" spans="2:11" s="62" customFormat="1" x14ac:dyDescent="0.25">
      <c r="B26" s="217"/>
      <c r="C26" s="63" t="s">
        <v>243</v>
      </c>
      <c r="D26" s="63"/>
      <c r="E26" s="63" t="s">
        <v>243</v>
      </c>
      <c r="F26" s="63"/>
      <c r="G26" s="63"/>
      <c r="H26" s="63"/>
    </row>
    <row r="27" spans="2:11" s="62" customFormat="1" x14ac:dyDescent="0.25">
      <c r="B27" s="217"/>
      <c r="C27" s="63"/>
      <c r="D27" s="63"/>
      <c r="E27" s="63"/>
      <c r="F27" s="63"/>
      <c r="G27" s="63"/>
      <c r="H27" s="63"/>
    </row>
    <row r="28" spans="2:11" s="62" customFormat="1" ht="23.45" customHeight="1" x14ac:dyDescent="0.25">
      <c r="B28" s="357" t="s">
        <v>82</v>
      </c>
      <c r="C28" s="358"/>
      <c r="D28" s="358"/>
      <c r="E28" s="358"/>
      <c r="F28" s="358"/>
      <c r="G28" s="358"/>
      <c r="H28" s="358"/>
      <c r="I28" s="358"/>
      <c r="J28" s="359"/>
    </row>
    <row r="29" spans="2:11" x14ac:dyDescent="0.25">
      <c r="B29" s="360" t="s">
        <v>219</v>
      </c>
      <c r="C29" s="361"/>
      <c r="D29" s="361"/>
      <c r="E29" s="361"/>
      <c r="F29" s="361"/>
      <c r="G29" s="361"/>
      <c r="H29" s="361"/>
      <c r="I29" s="361"/>
      <c r="J29" s="362"/>
    </row>
    <row r="30" spans="2:11" ht="42.75" customHeight="1" x14ac:dyDescent="0.25">
      <c r="B30" s="3" t="s">
        <v>83</v>
      </c>
      <c r="C30" s="3" t="s">
        <v>84</v>
      </c>
      <c r="D30" s="47" t="s">
        <v>85</v>
      </c>
      <c r="E30" s="47" t="s">
        <v>86</v>
      </c>
      <c r="F30" s="363" t="s">
        <v>228</v>
      </c>
      <c r="G30" s="364"/>
      <c r="H30" s="47" t="s">
        <v>229</v>
      </c>
      <c r="I30" s="47" t="s">
        <v>230</v>
      </c>
      <c r="J30" s="47" t="s">
        <v>231</v>
      </c>
    </row>
    <row r="31" spans="2:11" ht="15.75" customHeight="1" x14ac:dyDescent="0.25">
      <c r="B31" s="3"/>
      <c r="C31" s="3"/>
      <c r="D31" s="3"/>
      <c r="E31" s="47"/>
      <c r="F31" s="47" t="s">
        <v>80</v>
      </c>
      <c r="G31" s="47" t="s">
        <v>81</v>
      </c>
      <c r="H31" s="47"/>
      <c r="I31" s="47"/>
      <c r="J31" s="47"/>
    </row>
    <row r="32" spans="2:11" x14ac:dyDescent="0.25">
      <c r="B32" s="3" t="s">
        <v>75</v>
      </c>
      <c r="C32" s="220">
        <v>0</v>
      </c>
      <c r="D32" s="220">
        <v>0</v>
      </c>
      <c r="E32" s="223">
        <v>0</v>
      </c>
      <c r="F32" s="223">
        <v>0</v>
      </c>
      <c r="G32" s="223">
        <v>0</v>
      </c>
      <c r="H32" s="223">
        <v>0</v>
      </c>
      <c r="I32" s="223">
        <v>0</v>
      </c>
      <c r="J32" s="223">
        <v>0</v>
      </c>
    </row>
    <row r="33" spans="2:10" x14ac:dyDescent="0.25">
      <c r="B33" s="3" t="s">
        <v>76</v>
      </c>
      <c r="C33" s="220">
        <v>0</v>
      </c>
      <c r="D33" s="220">
        <v>0</v>
      </c>
      <c r="E33" s="223">
        <v>0</v>
      </c>
      <c r="F33" s="223">
        <v>0</v>
      </c>
      <c r="G33" s="223">
        <v>0</v>
      </c>
      <c r="H33" s="223">
        <v>0</v>
      </c>
      <c r="I33" s="223">
        <v>0</v>
      </c>
      <c r="J33" s="223">
        <v>0</v>
      </c>
    </row>
    <row r="34" spans="2:10" x14ac:dyDescent="0.25">
      <c r="B34" s="3" t="s">
        <v>77</v>
      </c>
      <c r="C34" s="220">
        <v>0</v>
      </c>
      <c r="D34" s="220">
        <v>0</v>
      </c>
      <c r="E34" s="223">
        <v>0</v>
      </c>
      <c r="F34" s="223">
        <v>0</v>
      </c>
      <c r="G34" s="223">
        <v>0</v>
      </c>
      <c r="H34" s="223">
        <v>0</v>
      </c>
      <c r="I34" s="223">
        <v>0</v>
      </c>
      <c r="J34" s="223">
        <v>0</v>
      </c>
    </row>
    <row r="35" spans="2:10" x14ac:dyDescent="0.25">
      <c r="B35" s="3" t="s">
        <v>264</v>
      </c>
      <c r="C35" s="220">
        <v>248286904</v>
      </c>
      <c r="D35" s="220">
        <f>E35-C35</f>
        <v>23288275</v>
      </c>
      <c r="E35" s="322">
        <v>271575179</v>
      </c>
      <c r="F35" s="223">
        <f>'1. Reconciliation'!F25</f>
        <v>-5634396</v>
      </c>
      <c r="G35" s="223">
        <v>0</v>
      </c>
      <c r="H35" s="322">
        <f>'1. Reconciliation'!G25</f>
        <v>3675001</v>
      </c>
      <c r="I35" s="322">
        <f>'1. Reconciliation'!E25+'1. Reconciliation'!H25</f>
        <v>6768170</v>
      </c>
      <c r="J35" s="223">
        <f>+'1. Reconciliation'!D25</f>
        <v>18064912</v>
      </c>
    </row>
    <row r="36" spans="2:10" x14ac:dyDescent="0.25">
      <c r="B36" s="3"/>
      <c r="C36" s="3"/>
      <c r="D36" s="3"/>
      <c r="E36" s="223"/>
      <c r="F36" s="223"/>
      <c r="G36" s="223"/>
      <c r="H36" s="223"/>
      <c r="I36" s="223"/>
      <c r="J36" s="223"/>
    </row>
    <row r="37" spans="2:10" x14ac:dyDescent="0.25">
      <c r="B37" s="3"/>
      <c r="C37" s="3"/>
      <c r="D37" s="3"/>
      <c r="E37" s="223"/>
      <c r="F37" s="223"/>
      <c r="G37" s="223"/>
      <c r="H37" s="223"/>
      <c r="I37" s="223"/>
      <c r="J37" s="223"/>
    </row>
    <row r="38" spans="2:10" x14ac:dyDescent="0.25">
      <c r="B38" s="3"/>
      <c r="C38" s="3"/>
      <c r="D38" s="3"/>
      <c r="E38" s="223"/>
      <c r="F38" s="223"/>
      <c r="G38" s="223"/>
      <c r="H38" s="223"/>
      <c r="I38" s="223"/>
      <c r="J38" s="223"/>
    </row>
    <row r="39" spans="2:10" x14ac:dyDescent="0.25">
      <c r="B39" s="58" t="s">
        <v>235</v>
      </c>
      <c r="C39" s="224">
        <f>SUM(C32:C38)</f>
        <v>248286904</v>
      </c>
      <c r="D39" s="224">
        <f>SUM(D32:D38)</f>
        <v>23288275</v>
      </c>
      <c r="E39" s="224">
        <f t="shared" ref="E39:J39" si="3">SUM(E32:E38)</f>
        <v>271575179</v>
      </c>
      <c r="F39" s="224">
        <f t="shared" si="3"/>
        <v>-5634396</v>
      </c>
      <c r="G39" s="224">
        <f t="shared" si="3"/>
        <v>0</v>
      </c>
      <c r="H39" s="224">
        <f t="shared" si="3"/>
        <v>3675001</v>
      </c>
      <c r="I39" s="224">
        <f t="shared" si="3"/>
        <v>6768170</v>
      </c>
      <c r="J39" s="224">
        <f t="shared" si="3"/>
        <v>18064912</v>
      </c>
    </row>
    <row r="40" spans="2:10" s="62" customFormat="1" x14ac:dyDescent="0.25">
      <c r="C40" s="63"/>
      <c r="D40" s="63"/>
      <c r="E40" s="63"/>
      <c r="F40" s="225"/>
      <c r="G40" s="225"/>
      <c r="H40" s="225"/>
    </row>
    <row r="41" spans="2:10" s="62" customFormat="1" x14ac:dyDescent="0.25">
      <c r="C41" s="63"/>
      <c r="D41" s="63"/>
      <c r="E41" s="63"/>
      <c r="F41" s="225"/>
      <c r="G41" s="225"/>
      <c r="H41" s="225"/>
    </row>
    <row r="42" spans="2:10" s="62" customFormat="1" x14ac:dyDescent="0.25">
      <c r="B42" s="360" t="s">
        <v>220</v>
      </c>
      <c r="C42" s="361"/>
      <c r="D42" s="361"/>
      <c r="E42" s="361"/>
      <c r="F42" s="361"/>
      <c r="G42" s="361"/>
      <c r="H42" s="362"/>
    </row>
    <row r="43" spans="2:10" s="62" customFormat="1" ht="42.6" customHeight="1" x14ac:dyDescent="0.25">
      <c r="B43" s="3" t="s">
        <v>83</v>
      </c>
      <c r="C43" s="3" t="s">
        <v>87</v>
      </c>
      <c r="D43" s="47" t="s">
        <v>85</v>
      </c>
      <c r="E43" s="47" t="s">
        <v>88</v>
      </c>
      <c r="F43" s="255" t="s">
        <v>241</v>
      </c>
      <c r="G43" s="47" t="s">
        <v>232</v>
      </c>
      <c r="H43" s="47" t="s">
        <v>233</v>
      </c>
    </row>
    <row r="44" spans="2:10" s="62" customFormat="1" x14ac:dyDescent="0.25">
      <c r="B44" s="3" t="s">
        <v>75</v>
      </c>
      <c r="C44" s="320">
        <v>0</v>
      </c>
      <c r="D44" s="320">
        <v>0</v>
      </c>
      <c r="E44" s="321">
        <f>SUM(F44:H44)</f>
        <v>0</v>
      </c>
      <c r="F44" s="321">
        <v>0</v>
      </c>
      <c r="G44" s="321">
        <v>0</v>
      </c>
      <c r="H44" s="321">
        <v>0</v>
      </c>
    </row>
    <row r="45" spans="2:10" s="62" customFormat="1" x14ac:dyDescent="0.25">
      <c r="B45" s="3" t="s">
        <v>76</v>
      </c>
      <c r="C45" s="320">
        <v>0</v>
      </c>
      <c r="D45" s="320">
        <v>0</v>
      </c>
      <c r="E45" s="321">
        <f t="shared" ref="E45:E48" si="4">SUM(F45:H45)</f>
        <v>0</v>
      </c>
      <c r="F45" s="321">
        <v>0</v>
      </c>
      <c r="G45" s="321">
        <v>0</v>
      </c>
      <c r="H45" s="321">
        <v>0</v>
      </c>
    </row>
    <row r="46" spans="2:10" s="62" customFormat="1" x14ac:dyDescent="0.25">
      <c r="B46" s="3" t="s">
        <v>77</v>
      </c>
      <c r="C46" s="320">
        <v>14824780</v>
      </c>
      <c r="D46" s="320">
        <f>E46-C46</f>
        <v>34874765</v>
      </c>
      <c r="E46" s="321">
        <f t="shared" si="4"/>
        <v>49699545</v>
      </c>
      <c r="F46" s="321">
        <v>0</v>
      </c>
      <c r="G46" s="321">
        <v>18499545</v>
      </c>
      <c r="H46" s="321">
        <v>31200000</v>
      </c>
    </row>
    <row r="47" spans="2:10" s="62" customFormat="1" x14ac:dyDescent="0.25">
      <c r="B47" s="3" t="s">
        <v>89</v>
      </c>
      <c r="C47" s="320">
        <v>-15124000</v>
      </c>
      <c r="D47" s="320">
        <f t="shared" ref="D47:D48" si="5">E47-C47</f>
        <v>-34851869</v>
      </c>
      <c r="E47" s="321">
        <f t="shared" si="4"/>
        <v>-49975869</v>
      </c>
      <c r="F47" s="321">
        <v>0</v>
      </c>
      <c r="G47" s="321">
        <v>-18775869</v>
      </c>
      <c r="H47" s="321">
        <v>-31200000</v>
      </c>
    </row>
    <row r="48" spans="2:10" s="62" customFormat="1" x14ac:dyDescent="0.25">
      <c r="B48" s="3" t="s">
        <v>90</v>
      </c>
      <c r="C48" s="320">
        <v>-500000</v>
      </c>
      <c r="D48" s="320">
        <f t="shared" si="5"/>
        <v>-437484</v>
      </c>
      <c r="E48" s="321">
        <f t="shared" si="4"/>
        <v>-937484</v>
      </c>
      <c r="F48" s="321">
        <v>0</v>
      </c>
      <c r="G48" s="321">
        <v>-937484</v>
      </c>
      <c r="H48" s="321">
        <v>0</v>
      </c>
    </row>
    <row r="49" spans="2:10" s="62" customFormat="1" x14ac:dyDescent="0.25">
      <c r="B49" s="58" t="s">
        <v>234</v>
      </c>
      <c r="C49" s="224">
        <f>SUM(C44:C48)</f>
        <v>-799220</v>
      </c>
      <c r="D49" s="224">
        <f>SUM(D44:D48)</f>
        <v>-414588</v>
      </c>
      <c r="E49" s="224">
        <f>SUM(E44:E48)</f>
        <v>-1213808</v>
      </c>
      <c r="F49" s="224">
        <f t="shared" ref="F49:H49" si="6">SUM(F44:F48)</f>
        <v>0</v>
      </c>
      <c r="G49" s="224">
        <f t="shared" si="6"/>
        <v>-1213808</v>
      </c>
      <c r="H49" s="224">
        <f t="shared" si="6"/>
        <v>0</v>
      </c>
    </row>
    <row r="50" spans="2:10" s="62" customFormat="1" x14ac:dyDescent="0.25">
      <c r="C50" s="63"/>
      <c r="D50" s="63"/>
      <c r="E50" s="63"/>
      <c r="F50" s="62" t="s">
        <v>242</v>
      </c>
      <c r="G50" s="225"/>
      <c r="H50" s="225"/>
    </row>
    <row r="51" spans="2:10" s="62" customFormat="1" ht="15.75" thickBot="1" x14ac:dyDescent="0.3">
      <c r="B51" s="215"/>
      <c r="C51" s="225"/>
      <c r="D51" s="225"/>
      <c r="E51" s="225"/>
      <c r="F51" s="225"/>
      <c r="G51" s="225"/>
      <c r="H51" s="225"/>
    </row>
    <row r="52" spans="2:10" s="62" customFormat="1" ht="30" x14ac:dyDescent="0.25">
      <c r="B52" s="226"/>
      <c r="C52" s="227" t="s">
        <v>91</v>
      </c>
      <c r="D52" s="227" t="s">
        <v>85</v>
      </c>
      <c r="E52" s="227" t="s">
        <v>79</v>
      </c>
      <c r="F52" s="228" t="s">
        <v>92</v>
      </c>
      <c r="G52" s="225"/>
      <c r="H52" s="225"/>
      <c r="I52" s="225"/>
    </row>
    <row r="53" spans="2:10" s="62" customFormat="1" x14ac:dyDescent="0.25">
      <c r="B53" s="239" t="s">
        <v>93</v>
      </c>
      <c r="C53" s="238">
        <f>C39+C49</f>
        <v>247487684</v>
      </c>
      <c r="D53" s="238">
        <f>D39+D49</f>
        <v>22873687</v>
      </c>
      <c r="E53" s="313">
        <f>D53/C53</f>
        <v>9.2423536518285901E-2</v>
      </c>
      <c r="F53" s="240">
        <f>E39+E49</f>
        <v>270361371</v>
      </c>
      <c r="G53" s="225"/>
      <c r="H53" s="225"/>
      <c r="I53" s="225"/>
    </row>
    <row r="54" spans="2:10" s="62" customFormat="1" x14ac:dyDescent="0.25">
      <c r="B54" s="239" t="s">
        <v>94</v>
      </c>
      <c r="C54" s="241">
        <f>'1. Reconciliation'!C11</f>
        <v>247487684</v>
      </c>
      <c r="D54" s="241">
        <f>'1. Reconciliation'!C25</f>
        <v>22873687</v>
      </c>
      <c r="E54" s="242">
        <f>'1. Reconciliation'!C26</f>
        <v>9.2423536518285901E-2</v>
      </c>
      <c r="F54" s="243">
        <f>'1. Reconciliation'!C23</f>
        <v>270361371</v>
      </c>
      <c r="G54" s="225"/>
      <c r="H54" s="225"/>
      <c r="I54" s="225"/>
    </row>
    <row r="55" spans="2:10" s="62" customFormat="1" ht="18" customHeight="1" thickBot="1" x14ac:dyDescent="0.3">
      <c r="B55" s="244" t="s">
        <v>95</v>
      </c>
      <c r="C55" s="245">
        <f>C53-C54</f>
        <v>0</v>
      </c>
      <c r="D55" s="245">
        <f t="shared" ref="D55:F55" si="7">D53-D54</f>
        <v>0</v>
      </c>
      <c r="E55" s="245">
        <f t="shared" si="7"/>
        <v>0</v>
      </c>
      <c r="F55" s="246">
        <f t="shared" si="7"/>
        <v>0</v>
      </c>
      <c r="G55" s="225"/>
      <c r="H55" s="225"/>
      <c r="I55" s="225"/>
    </row>
    <row r="56" spans="2:10" s="62" customFormat="1" x14ac:dyDescent="0.25">
      <c r="G56" s="225"/>
      <c r="H56" s="225"/>
      <c r="I56" s="225"/>
      <c r="J56" s="1"/>
    </row>
    <row r="57" spans="2:10" x14ac:dyDescent="0.25">
      <c r="B57" s="229"/>
      <c r="C57" s="230"/>
      <c r="D57" s="231"/>
      <c r="E57" s="232"/>
      <c r="F57" s="232"/>
      <c r="G57" s="232"/>
      <c r="H57" s="233"/>
    </row>
    <row r="58" spans="2:10" x14ac:dyDescent="0.25">
      <c r="B58" s="365" t="s">
        <v>96</v>
      </c>
      <c r="C58" s="366"/>
      <c r="D58" s="366"/>
      <c r="E58" s="366"/>
      <c r="F58" s="366"/>
      <c r="G58" s="367"/>
      <c r="H58" s="233"/>
    </row>
    <row r="59" spans="2:10" x14ac:dyDescent="0.25">
      <c r="B59" s="360" t="s">
        <v>97</v>
      </c>
      <c r="C59" s="361"/>
      <c r="D59" s="361"/>
      <c r="E59" s="361"/>
      <c r="F59" s="361"/>
      <c r="G59" s="362"/>
      <c r="H59" s="234"/>
    </row>
    <row r="60" spans="2:10" x14ac:dyDescent="0.25">
      <c r="B60" s="356" t="s">
        <v>265</v>
      </c>
      <c r="C60" s="356"/>
      <c r="D60" s="356"/>
      <c r="E60" s="356"/>
      <c r="F60" s="356"/>
      <c r="G60" s="356"/>
    </row>
    <row r="61" spans="2:10" x14ac:dyDescent="0.25">
      <c r="B61" s="356"/>
      <c r="C61" s="356"/>
      <c r="D61" s="356"/>
      <c r="E61" s="356"/>
      <c r="F61" s="356"/>
      <c r="G61" s="356"/>
    </row>
    <row r="62" spans="2:10" x14ac:dyDescent="0.25">
      <c r="B62" s="356"/>
      <c r="C62" s="356"/>
      <c r="D62" s="356"/>
      <c r="E62" s="356"/>
      <c r="F62" s="356"/>
      <c r="G62" s="356"/>
    </row>
    <row r="63" spans="2:10" x14ac:dyDescent="0.25">
      <c r="B63" s="356"/>
      <c r="C63" s="356"/>
      <c r="D63" s="356"/>
      <c r="E63" s="356"/>
      <c r="F63" s="356"/>
      <c r="G63" s="356"/>
    </row>
    <row r="64" spans="2:10" x14ac:dyDescent="0.25">
      <c r="B64" s="356"/>
      <c r="C64" s="356"/>
      <c r="D64" s="356"/>
      <c r="E64" s="356"/>
      <c r="F64" s="356"/>
      <c r="G64" s="356"/>
    </row>
    <row r="67" spans="3:3" x14ac:dyDescent="0.25">
      <c r="C67" s="20"/>
    </row>
  </sheetData>
  <mergeCells count="16">
    <mergeCell ref="B5:G5"/>
    <mergeCell ref="B2:I2"/>
    <mergeCell ref="B3:I3"/>
    <mergeCell ref="B4:I4"/>
    <mergeCell ref="B60:G64"/>
    <mergeCell ref="B7:D7"/>
    <mergeCell ref="B29:J29"/>
    <mergeCell ref="F30:G30"/>
    <mergeCell ref="B42:H42"/>
    <mergeCell ref="B58:G58"/>
    <mergeCell ref="B59:G59"/>
    <mergeCell ref="B17:J17"/>
    <mergeCell ref="F19:G19"/>
    <mergeCell ref="B28:J28"/>
    <mergeCell ref="B18:J18"/>
    <mergeCell ref="B8:D8"/>
  </mergeCells>
  <pageMargins left="0.7" right="0.7" top="0.5" bottom="0.75" header="0.3" footer="0.3"/>
  <pageSetup scale="81" fitToHeight="2" orientation="landscape" r:id="rId1"/>
  <headerFooter>
    <oddFooter>&amp;L&amp;D&amp;R&amp;F,&amp;A,</oddFooter>
  </headerFooter>
  <ignoredErrors>
    <ignoredError sqref="E53:E55" evalError="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E8377F-67C6-4814-9847-6B64740DD444}">
  <sheetPr>
    <tabColor theme="4"/>
    <pageSetUpPr fitToPage="1"/>
  </sheetPr>
  <dimension ref="B1:F20"/>
  <sheetViews>
    <sheetView showGridLines="0" zoomScale="90" zoomScaleNormal="90" workbookViewId="0">
      <selection activeCell="D40" sqref="D40"/>
    </sheetView>
  </sheetViews>
  <sheetFormatPr defaultColWidth="8.85546875" defaultRowHeight="15" x14ac:dyDescent="0.25"/>
  <cols>
    <col min="1" max="1" width="19.85546875" style="1" customWidth="1"/>
    <col min="2" max="2" width="41.7109375" style="1" customWidth="1"/>
    <col min="3" max="3" width="24.7109375" style="1" customWidth="1"/>
    <col min="4" max="4" width="24" style="1" customWidth="1"/>
    <col min="5" max="5" width="11.140625" style="1" bestFit="1" customWidth="1"/>
    <col min="6" max="6" width="11" style="1" bestFit="1" customWidth="1"/>
    <col min="7" max="16384" width="8.85546875" style="1"/>
  </cols>
  <sheetData>
    <row r="1" spans="2:6" x14ac:dyDescent="0.25">
      <c r="B1" s="370" t="s">
        <v>98</v>
      </c>
      <c r="C1" s="370"/>
      <c r="D1" s="370"/>
    </row>
    <row r="2" spans="2:6" ht="21" x14ac:dyDescent="0.35">
      <c r="B2" s="371" t="s">
        <v>5</v>
      </c>
      <c r="C2" s="372"/>
      <c r="D2" s="373"/>
    </row>
    <row r="3" spans="2:6" ht="18.75" x14ac:dyDescent="0.3">
      <c r="B3" s="375" t="s">
        <v>99</v>
      </c>
      <c r="C3" s="376"/>
      <c r="D3" s="377"/>
    </row>
    <row r="4" spans="2:6" ht="65.25" customHeight="1" x14ac:dyDescent="0.25">
      <c r="B4" s="374" t="s">
        <v>237</v>
      </c>
      <c r="C4" s="374"/>
      <c r="D4" s="374"/>
    </row>
    <row r="5" spans="2:6" x14ac:dyDescent="0.25">
      <c r="B5" s="21"/>
      <c r="C5" s="2"/>
      <c r="D5" s="2"/>
    </row>
    <row r="6" spans="2:6" x14ac:dyDescent="0.25">
      <c r="B6" s="379" t="s">
        <v>100</v>
      </c>
      <c r="C6" s="378" t="s">
        <v>101</v>
      </c>
      <c r="D6" s="378" t="s">
        <v>102</v>
      </c>
    </row>
    <row r="7" spans="2:6" x14ac:dyDescent="0.25">
      <c r="B7" s="379"/>
      <c r="C7" s="378"/>
      <c r="D7" s="378"/>
    </row>
    <row r="8" spans="2:6" x14ac:dyDescent="0.25">
      <c r="B8" s="79" t="s">
        <v>22</v>
      </c>
      <c r="C8" s="274"/>
      <c r="D8" s="272">
        <v>578289089</v>
      </c>
    </row>
    <row r="9" spans="2:6" x14ac:dyDescent="0.25">
      <c r="B9" s="113" t="s">
        <v>255</v>
      </c>
      <c r="C9" s="275">
        <v>5.0000000000000001E-3</v>
      </c>
      <c r="D9" s="273">
        <v>1333012</v>
      </c>
    </row>
    <row r="10" spans="2:6" x14ac:dyDescent="0.25">
      <c r="B10" s="3" t="s">
        <v>256</v>
      </c>
      <c r="C10" s="275">
        <v>8.5999999999999993E-2</v>
      </c>
      <c r="D10" s="273">
        <f>30037425+1804000</f>
        <v>31841425</v>
      </c>
    </row>
    <row r="11" spans="2:6" x14ac:dyDescent="0.25">
      <c r="B11" s="3" t="s">
        <v>247</v>
      </c>
      <c r="C11" s="275">
        <v>3.0000000000000001E-3</v>
      </c>
      <c r="D11" s="273">
        <v>2038020</v>
      </c>
    </row>
    <row r="12" spans="2:6" x14ac:dyDescent="0.25">
      <c r="B12" s="3" t="s">
        <v>248</v>
      </c>
      <c r="C12" s="275">
        <v>-3.0000000000000001E-3</v>
      </c>
      <c r="D12" s="273">
        <v>-2028979</v>
      </c>
    </row>
    <row r="13" spans="2:6" x14ac:dyDescent="0.25">
      <c r="B13" s="3" t="s">
        <v>249</v>
      </c>
      <c r="C13" s="275">
        <v>8.9999999999999993E-3</v>
      </c>
      <c r="D13" s="273">
        <v>5648120</v>
      </c>
    </row>
    <row r="14" spans="2:6" x14ac:dyDescent="0.25">
      <c r="B14" s="3" t="s">
        <v>250</v>
      </c>
      <c r="C14" s="282">
        <v>5.0000000000000001E-4</v>
      </c>
      <c r="D14" s="273">
        <v>274968</v>
      </c>
    </row>
    <row r="15" spans="2:6" x14ac:dyDescent="0.25">
      <c r="B15" s="3" t="s">
        <v>262</v>
      </c>
      <c r="C15" s="275">
        <v>3.6400000000000002E-2</v>
      </c>
      <c r="D15" s="273">
        <v>22442978</v>
      </c>
    </row>
    <row r="16" spans="2:6" x14ac:dyDescent="0.25">
      <c r="B16" s="79" t="s">
        <v>29</v>
      </c>
      <c r="C16" s="274"/>
      <c r="D16" s="272">
        <f>SUM(D8:D15)</f>
        <v>639838633</v>
      </c>
      <c r="F16" s="281"/>
    </row>
    <row r="17" spans="2:4" x14ac:dyDescent="0.25">
      <c r="B17" s="76"/>
      <c r="C17" s="43"/>
      <c r="D17" s="43"/>
    </row>
    <row r="18" spans="2:4" x14ac:dyDescent="0.25">
      <c r="B18" s="29" t="s">
        <v>103</v>
      </c>
      <c r="C18" s="105"/>
      <c r="D18" s="80">
        <f>SUM(D9:D15)</f>
        <v>61549544</v>
      </c>
    </row>
    <row r="19" spans="2:4" x14ac:dyDescent="0.25">
      <c r="B19" s="29" t="s">
        <v>104</v>
      </c>
      <c r="C19" s="276">
        <f>D18/D8</f>
        <v>0.10643386702390299</v>
      </c>
      <c r="D19" s="106"/>
    </row>
    <row r="20" spans="2:4" x14ac:dyDescent="0.25">
      <c r="B20" s="76" t="s">
        <v>105</v>
      </c>
    </row>
  </sheetData>
  <mergeCells count="7">
    <mergeCell ref="B1:D1"/>
    <mergeCell ref="B2:D2"/>
    <mergeCell ref="B4:D4"/>
    <mergeCell ref="B3:D3"/>
    <mergeCell ref="C6:C7"/>
    <mergeCell ref="B6:B7"/>
    <mergeCell ref="D6:D7"/>
  </mergeCells>
  <pageMargins left="0.7" right="0.7" top="0.75" bottom="0.75" header="0.3" footer="0.3"/>
  <pageSetup orientation="landscape" r:id="rId1"/>
  <headerFooter>
    <oddFooter>&amp;L&amp;D&amp;R&amp;F,&amp;A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D0016-BEB2-4D6F-9A07-9EEF1E62C0DE}">
  <sheetPr>
    <tabColor rgb="FFFFC000"/>
    <pageSetUpPr fitToPage="1"/>
  </sheetPr>
  <dimension ref="B1:H19"/>
  <sheetViews>
    <sheetView showGridLines="0" zoomScale="90" zoomScaleNormal="90" workbookViewId="0">
      <selection activeCell="D8" sqref="D8:D9"/>
    </sheetView>
  </sheetViews>
  <sheetFormatPr defaultRowHeight="15" x14ac:dyDescent="0.25"/>
  <cols>
    <col min="2" max="2" width="37.5703125" customWidth="1"/>
    <col min="3" max="3" width="18.85546875" customWidth="1"/>
    <col min="4" max="4" width="18.140625" customWidth="1"/>
    <col min="5" max="5" width="25.140625" customWidth="1"/>
    <col min="6" max="6" width="23.85546875" customWidth="1"/>
    <col min="7" max="7" width="45.5703125" customWidth="1"/>
    <col min="9" max="9" width="11.140625" bestFit="1" customWidth="1"/>
  </cols>
  <sheetData>
    <row r="1" spans="2:8" x14ac:dyDescent="0.25">
      <c r="B1" s="338" t="s">
        <v>106</v>
      </c>
      <c r="C1" s="338"/>
      <c r="D1" s="338"/>
      <c r="E1" s="338"/>
      <c r="F1" s="338"/>
      <c r="G1" s="338"/>
    </row>
    <row r="2" spans="2:8" ht="18.75" x14ac:dyDescent="0.3">
      <c r="B2" s="381" t="s">
        <v>13</v>
      </c>
      <c r="C2" s="382"/>
      <c r="D2" s="382"/>
      <c r="E2" s="382"/>
      <c r="F2" s="382"/>
      <c r="G2" s="383"/>
    </row>
    <row r="3" spans="2:8" ht="18.75" x14ac:dyDescent="0.3">
      <c r="B3" s="375" t="s">
        <v>107</v>
      </c>
      <c r="C3" s="376"/>
      <c r="D3" s="376"/>
      <c r="E3" s="376"/>
      <c r="F3" s="376"/>
      <c r="G3" s="377"/>
    </row>
    <row r="4" spans="2:8" ht="63" customHeight="1" x14ac:dyDescent="0.25">
      <c r="B4" s="384" t="s">
        <v>215</v>
      </c>
      <c r="C4" s="384"/>
      <c r="D4" s="384"/>
      <c r="E4" s="384"/>
      <c r="F4" s="384"/>
      <c r="G4" s="384"/>
    </row>
    <row r="5" spans="2:8" ht="17.45" customHeight="1" x14ac:dyDescent="0.25">
      <c r="B5" s="46" t="s">
        <v>108</v>
      </c>
      <c r="C5" s="385" t="s">
        <v>109</v>
      </c>
      <c r="D5" s="386"/>
      <c r="E5" s="386"/>
      <c r="F5" s="387"/>
      <c r="G5" s="57" t="s">
        <v>110</v>
      </c>
    </row>
    <row r="6" spans="2:8" ht="31.5" customHeight="1" x14ac:dyDescent="0.25">
      <c r="B6" s="16"/>
      <c r="C6" s="48" t="s">
        <v>111</v>
      </c>
      <c r="D6" s="49" t="s">
        <v>112</v>
      </c>
      <c r="E6" s="247" t="s">
        <v>113</v>
      </c>
      <c r="F6" s="247" t="s">
        <v>244</v>
      </c>
      <c r="G6" s="16"/>
    </row>
    <row r="7" spans="2:8" ht="31.5" customHeight="1" x14ac:dyDescent="0.25">
      <c r="B7" s="248" t="s">
        <v>114</v>
      </c>
      <c r="C7" s="249">
        <v>0.02</v>
      </c>
      <c r="D7" s="250">
        <v>500000</v>
      </c>
      <c r="E7" s="251">
        <v>0.6</v>
      </c>
      <c r="F7" s="252">
        <f>C7*E7</f>
        <v>1.2E-2</v>
      </c>
      <c r="G7" s="248" t="s">
        <v>115</v>
      </c>
    </row>
    <row r="8" spans="2:8" ht="27" customHeight="1" x14ac:dyDescent="0.25">
      <c r="B8" s="16" t="s">
        <v>116</v>
      </c>
      <c r="C8" s="9">
        <v>1.9E-2</v>
      </c>
      <c r="D8" s="49">
        <v>666660</v>
      </c>
      <c r="E8" s="279">
        <f>D8/$D$16</f>
        <v>7.1468743824134248E-2</v>
      </c>
      <c r="F8" s="279">
        <f>C8*E8</f>
        <v>1.3579061326585507E-3</v>
      </c>
      <c r="G8" s="16"/>
    </row>
    <row r="9" spans="2:8" ht="27" customHeight="1" x14ac:dyDescent="0.25">
      <c r="B9" s="16" t="s">
        <v>117</v>
      </c>
      <c r="C9" s="277">
        <v>0.06</v>
      </c>
      <c r="D9" s="284">
        <f>1275000+2028609+408446+115000</f>
        <v>3827055</v>
      </c>
      <c r="E9" s="279">
        <f t="shared" ref="E9:E14" si="0">D9/$D$16</f>
        <v>0.41027632285703669</v>
      </c>
      <c r="F9" s="279">
        <f t="shared" ref="F9:F15" si="1">C9*E9</f>
        <v>2.4616579371422202E-2</v>
      </c>
      <c r="G9" s="283" t="s">
        <v>278</v>
      </c>
      <c r="H9" s="298"/>
    </row>
    <row r="10" spans="2:8" ht="27" customHeight="1" x14ac:dyDescent="0.25">
      <c r="B10" s="16" t="s">
        <v>47</v>
      </c>
      <c r="C10" s="48">
        <v>5.8999999999999997E-2</v>
      </c>
      <c r="D10" s="49">
        <f>776157.87+349440.94</f>
        <v>1125598.81</v>
      </c>
      <c r="E10" s="279">
        <f t="shared" si="0"/>
        <v>0.12066890619002243</v>
      </c>
      <c r="F10" s="279">
        <f t="shared" si="1"/>
        <v>7.1194654652113236E-3</v>
      </c>
      <c r="G10" s="283" t="s">
        <v>259</v>
      </c>
    </row>
    <row r="11" spans="2:8" ht="27" customHeight="1" x14ac:dyDescent="0.25">
      <c r="B11" s="16" t="s">
        <v>118</v>
      </c>
      <c r="C11" s="48">
        <v>7.7799999999999994E-2</v>
      </c>
      <c r="D11" s="49">
        <f>1829042-1171979</f>
        <v>657063</v>
      </c>
      <c r="E11" s="279">
        <f t="shared" si="0"/>
        <v>7.0439905234028016E-2</v>
      </c>
      <c r="F11" s="279">
        <f t="shared" si="1"/>
        <v>5.4802246272073795E-3</v>
      </c>
      <c r="G11" s="16" t="s">
        <v>258</v>
      </c>
    </row>
    <row r="12" spans="2:8" ht="27" customHeight="1" x14ac:dyDescent="0.25">
      <c r="B12" s="16" t="s">
        <v>257</v>
      </c>
      <c r="C12" s="48">
        <v>1</v>
      </c>
      <c r="D12" s="49">
        <v>1042800</v>
      </c>
      <c r="E12" s="279">
        <f t="shared" si="0"/>
        <v>0.11179252701498094</v>
      </c>
      <c r="F12" s="279">
        <f t="shared" si="1"/>
        <v>0.11179252701498094</v>
      </c>
      <c r="G12" s="283" t="s">
        <v>260</v>
      </c>
    </row>
    <row r="13" spans="2:8" ht="27" customHeight="1" x14ac:dyDescent="0.25">
      <c r="B13" s="30" t="s">
        <v>261</v>
      </c>
      <c r="C13" s="9">
        <v>3.5000000000000003E-2</v>
      </c>
      <c r="D13" s="284">
        <v>612000</v>
      </c>
      <c r="E13" s="279">
        <f t="shared" si="0"/>
        <v>6.5608962920184435E-2</v>
      </c>
      <c r="F13" s="279">
        <f t="shared" si="1"/>
        <v>2.2963137022064557E-3</v>
      </c>
      <c r="G13" s="16"/>
    </row>
    <row r="14" spans="2:8" ht="27" customHeight="1" x14ac:dyDescent="0.25">
      <c r="B14" s="30" t="s">
        <v>277</v>
      </c>
      <c r="C14" s="9">
        <v>0.19900000000000001</v>
      </c>
      <c r="D14" s="301">
        <v>1396817</v>
      </c>
      <c r="E14" s="279">
        <f t="shared" si="0"/>
        <v>0.14974463195961318</v>
      </c>
      <c r="F14" s="279">
        <f t="shared" si="1"/>
        <v>2.9799181759963024E-2</v>
      </c>
      <c r="G14" s="16"/>
    </row>
    <row r="15" spans="2:8" ht="27" customHeight="1" x14ac:dyDescent="0.25">
      <c r="B15" s="30" t="s">
        <v>119</v>
      </c>
      <c r="C15" s="48"/>
      <c r="D15" s="49"/>
      <c r="E15" s="48"/>
      <c r="F15" s="279">
        <f t="shared" si="1"/>
        <v>0</v>
      </c>
      <c r="G15" s="16"/>
    </row>
    <row r="16" spans="2:8" x14ac:dyDescent="0.25">
      <c r="B16" s="11" t="s">
        <v>18</v>
      </c>
      <c r="C16" s="324"/>
      <c r="D16" s="78">
        <f>SUM(D8:D15)</f>
        <v>9327993.8100000005</v>
      </c>
      <c r="E16" s="324">
        <f>SUM(E8:E14)</f>
        <v>0.99999999999999989</v>
      </c>
      <c r="F16" s="78"/>
      <c r="G16" s="11"/>
    </row>
    <row r="17" spans="2:6" x14ac:dyDescent="0.25">
      <c r="B17" s="18"/>
      <c r="E17" t="s">
        <v>120</v>
      </c>
    </row>
    <row r="19" spans="2:6" x14ac:dyDescent="0.25">
      <c r="B19" s="380" t="s">
        <v>121</v>
      </c>
      <c r="C19" s="380"/>
      <c r="D19" s="380"/>
      <c r="E19" s="380"/>
      <c r="F19" s="256"/>
    </row>
  </sheetData>
  <mergeCells count="6">
    <mergeCell ref="B19:E19"/>
    <mergeCell ref="B1:G1"/>
    <mergeCell ref="B2:G2"/>
    <mergeCell ref="B4:G4"/>
    <mergeCell ref="C5:F5"/>
    <mergeCell ref="B3:G3"/>
  </mergeCells>
  <pageMargins left="0.2" right="0.2" top="0.75" bottom="0.75" header="0.3" footer="0.3"/>
  <pageSetup orientation="landscape" r:id="rId1"/>
  <headerFooter>
    <oddFooter>&amp;L&amp;D&amp;R&amp;F,&amp;A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E7DD81-7C75-4881-A377-7DA128E786DE}">
  <sheetPr>
    <tabColor rgb="FFFFC000"/>
    <pageSetUpPr fitToPage="1"/>
  </sheetPr>
  <dimension ref="A1:F80"/>
  <sheetViews>
    <sheetView showGridLines="0" topLeftCell="A12" zoomScale="73" zoomScaleNormal="73" zoomScaleSheetLayoutView="30" workbookViewId="0">
      <selection activeCell="K51" sqref="K51"/>
    </sheetView>
  </sheetViews>
  <sheetFormatPr defaultColWidth="9.140625" defaultRowHeight="15" outlineLevelRow="1" x14ac:dyDescent="0.25"/>
  <cols>
    <col min="1" max="1" width="1.5703125" style="199" customWidth="1"/>
    <col min="2" max="2" width="113.5703125" style="200" customWidth="1"/>
    <col min="3" max="3" width="59.85546875" style="200" customWidth="1"/>
    <col min="4" max="4" width="59.85546875" style="22" customWidth="1"/>
    <col min="5" max="5" width="2.85546875" style="22" customWidth="1"/>
    <col min="6" max="16384" width="9.140625" style="22"/>
  </cols>
  <sheetData>
    <row r="1" spans="1:6" s="116" customFormat="1" x14ac:dyDescent="0.25">
      <c r="A1" s="115"/>
    </row>
    <row r="2" spans="1:6" s="1" customFormat="1" ht="31.5" x14ac:dyDescent="0.5">
      <c r="B2" s="396" t="s">
        <v>122</v>
      </c>
      <c r="C2" s="396"/>
      <c r="D2" s="396"/>
      <c r="E2" s="214"/>
      <c r="F2" s="214"/>
    </row>
    <row r="3" spans="1:6" s="1" customFormat="1" ht="31.5" x14ac:dyDescent="0.5">
      <c r="B3" s="393" t="s">
        <v>2</v>
      </c>
      <c r="C3" s="394"/>
      <c r="D3" s="395"/>
      <c r="E3" s="118"/>
      <c r="F3" s="118"/>
    </row>
    <row r="4" spans="1:6" s="1" customFormat="1" ht="31.5" x14ac:dyDescent="0.5">
      <c r="B4" s="397" t="s">
        <v>123</v>
      </c>
      <c r="C4" s="398"/>
      <c r="D4" s="399"/>
    </row>
    <row r="5" spans="1:6" s="62" customFormat="1" ht="18.75" x14ac:dyDescent="0.3">
      <c r="B5" s="213"/>
      <c r="C5" s="213"/>
      <c r="D5" s="213"/>
      <c r="E5" s="213"/>
      <c r="F5" s="213"/>
    </row>
    <row r="6" spans="1:6" s="62" customFormat="1" ht="18.75" x14ac:dyDescent="0.3">
      <c r="B6" s="213"/>
      <c r="C6" s="213"/>
      <c r="D6" s="213"/>
      <c r="E6" s="213"/>
      <c r="F6" s="213"/>
    </row>
    <row r="7" spans="1:6" s="118" customFormat="1" ht="31.5" x14ac:dyDescent="0.5">
      <c r="A7" s="117"/>
      <c r="B7" s="388" t="s">
        <v>124</v>
      </c>
      <c r="C7" s="389"/>
      <c r="D7" s="390"/>
    </row>
    <row r="8" spans="1:6" s="122" customFormat="1" ht="31.5" x14ac:dyDescent="0.5">
      <c r="A8" s="119"/>
      <c r="B8" s="120"/>
      <c r="C8" s="206"/>
      <c r="D8" s="121"/>
    </row>
    <row r="9" spans="1:6" s="118" customFormat="1" ht="48" customHeight="1" x14ac:dyDescent="0.5">
      <c r="A9" s="117"/>
      <c r="B9" s="123" t="s">
        <v>125</v>
      </c>
      <c r="C9" s="207"/>
      <c r="D9" s="209"/>
    </row>
    <row r="10" spans="1:6" s="125" customFormat="1" ht="15.75" customHeight="1" x14ac:dyDescent="0.4">
      <c r="A10" s="124"/>
      <c r="B10" s="391"/>
      <c r="C10" s="392"/>
      <c r="D10" s="392"/>
    </row>
    <row r="11" spans="1:6" s="125" customFormat="1" ht="24.75" customHeight="1" x14ac:dyDescent="0.4">
      <c r="A11" s="124"/>
      <c r="B11" s="257"/>
      <c r="C11" s="258"/>
      <c r="D11" s="258"/>
    </row>
    <row r="12" spans="1:6" s="129" customFormat="1" ht="11.25" customHeight="1" x14ac:dyDescent="0.4">
      <c r="A12" s="126"/>
      <c r="B12" s="127"/>
      <c r="C12" s="208"/>
      <c r="D12" s="128"/>
    </row>
    <row r="13" spans="1:6" s="134" customFormat="1" ht="104.25" customHeight="1" x14ac:dyDescent="0.25">
      <c r="A13" s="130"/>
      <c r="B13" s="131" t="s">
        <v>126</v>
      </c>
      <c r="C13" s="132" t="s">
        <v>127</v>
      </c>
      <c r="D13" s="132" t="s">
        <v>128</v>
      </c>
      <c r="E13" s="133"/>
    </row>
    <row r="14" spans="1:6" s="122" customFormat="1" ht="31.5" x14ac:dyDescent="0.5">
      <c r="A14" s="135"/>
      <c r="B14" s="136" t="s">
        <v>129</v>
      </c>
      <c r="C14" s="137"/>
      <c r="D14" s="138"/>
    </row>
    <row r="15" spans="1:6" s="118" customFormat="1" ht="30" hidden="1" customHeight="1" x14ac:dyDescent="0.5">
      <c r="A15" s="139"/>
      <c r="B15" s="140" t="s">
        <v>130</v>
      </c>
      <c r="C15" s="141"/>
      <c r="D15" s="142"/>
      <c r="E15" s="143"/>
    </row>
    <row r="16" spans="1:6" s="122" customFormat="1" ht="30" hidden="1" customHeight="1" x14ac:dyDescent="0.5">
      <c r="A16" s="135"/>
      <c r="B16" s="144" t="s">
        <v>131</v>
      </c>
      <c r="C16" s="145"/>
      <c r="D16" s="146"/>
      <c r="E16" s="147"/>
    </row>
    <row r="17" spans="1:6" s="122" customFormat="1" ht="30" hidden="1" customHeight="1" x14ac:dyDescent="0.5">
      <c r="A17" s="135"/>
      <c r="B17" s="148" t="s">
        <v>132</v>
      </c>
      <c r="C17" s="145"/>
      <c r="D17" s="146"/>
      <c r="E17" s="147"/>
    </row>
    <row r="18" spans="1:6" s="122" customFormat="1" ht="30" hidden="1" customHeight="1" x14ac:dyDescent="0.5">
      <c r="A18" s="135"/>
      <c r="B18" s="144" t="s">
        <v>133</v>
      </c>
      <c r="C18" s="145"/>
      <c r="D18" s="146"/>
      <c r="E18" s="147"/>
    </row>
    <row r="19" spans="1:6" s="122" customFormat="1" ht="30" hidden="1" customHeight="1" x14ac:dyDescent="0.5">
      <c r="A19" s="135"/>
      <c r="B19" s="144" t="s">
        <v>134</v>
      </c>
      <c r="C19" s="145"/>
      <c r="D19" s="146"/>
      <c r="E19" s="147"/>
    </row>
    <row r="20" spans="1:6" s="122" customFormat="1" ht="30" hidden="1" customHeight="1" x14ac:dyDescent="0.5">
      <c r="A20" s="135"/>
      <c r="B20" s="144" t="s">
        <v>135</v>
      </c>
      <c r="C20" s="145"/>
      <c r="D20" s="146"/>
      <c r="E20" s="147"/>
    </row>
    <row r="21" spans="1:6" s="118" customFormat="1" ht="30" customHeight="1" x14ac:dyDescent="0.5">
      <c r="A21" s="139"/>
      <c r="B21" s="149" t="s">
        <v>136</v>
      </c>
      <c r="C21" s="150">
        <f>59615+2184233</f>
        <v>2243848</v>
      </c>
      <c r="D21" s="150">
        <v>479303</v>
      </c>
      <c r="E21" s="143"/>
    </row>
    <row r="22" spans="1:6" s="122" customFormat="1" ht="30" customHeight="1" x14ac:dyDescent="0.5">
      <c r="A22" s="135"/>
      <c r="B22" s="151" t="s">
        <v>137</v>
      </c>
      <c r="C22" s="150">
        <v>0</v>
      </c>
      <c r="D22" s="152">
        <v>0</v>
      </c>
      <c r="E22" s="143"/>
    </row>
    <row r="23" spans="1:6" s="118" customFormat="1" ht="30" customHeight="1" x14ac:dyDescent="0.5">
      <c r="A23" s="139"/>
      <c r="B23" s="136" t="s">
        <v>138</v>
      </c>
      <c r="C23" s="153">
        <f>SUM(C21:C22)</f>
        <v>2243848</v>
      </c>
      <c r="D23" s="153">
        <f>SUM(D21:D22)</f>
        <v>479303</v>
      </c>
      <c r="E23" s="143"/>
    </row>
    <row r="24" spans="1:6" s="159" customFormat="1" ht="15" customHeight="1" x14ac:dyDescent="0.5">
      <c r="A24" s="154"/>
      <c r="B24" s="155"/>
      <c r="C24" s="156"/>
      <c r="D24" s="157"/>
      <c r="E24" s="158"/>
    </row>
    <row r="25" spans="1:6" s="159" customFormat="1" ht="30" customHeight="1" x14ac:dyDescent="0.5">
      <c r="A25" s="154"/>
      <c r="B25" s="160" t="s">
        <v>139</v>
      </c>
      <c r="C25" s="156">
        <v>882149</v>
      </c>
      <c r="D25" s="157">
        <v>0</v>
      </c>
      <c r="E25" s="158"/>
      <c r="F25" s="294"/>
    </row>
    <row r="26" spans="1:6" s="159" customFormat="1" ht="30" customHeight="1" x14ac:dyDescent="0.5">
      <c r="A26" s="154"/>
      <c r="B26" s="161" t="s">
        <v>81</v>
      </c>
      <c r="C26" s="156"/>
      <c r="D26" s="157"/>
      <c r="E26" s="158"/>
    </row>
    <row r="27" spans="1:6" s="118" customFormat="1" ht="30" customHeight="1" x14ac:dyDescent="0.5">
      <c r="A27" s="139"/>
      <c r="B27" s="162" t="s">
        <v>140</v>
      </c>
      <c r="C27" s="141">
        <f>SUM(C24:C26)</f>
        <v>882149</v>
      </c>
      <c r="D27" s="141">
        <f>SUM(D24:D26)</f>
        <v>0</v>
      </c>
      <c r="E27" s="143"/>
    </row>
    <row r="28" spans="1:6" s="122" customFormat="1" ht="30" customHeight="1" x14ac:dyDescent="0.5">
      <c r="A28" s="135"/>
      <c r="B28" s="163" t="s">
        <v>141</v>
      </c>
      <c r="C28" s="164">
        <f>C23+C27</f>
        <v>3125997</v>
      </c>
      <c r="D28" s="164">
        <f>D23+D27</f>
        <v>479303</v>
      </c>
      <c r="E28" s="143"/>
    </row>
    <row r="29" spans="1:6" s="159" customFormat="1" ht="27" hidden="1" customHeight="1" x14ac:dyDescent="0.5">
      <c r="A29" s="154"/>
      <c r="B29" s="165" t="s">
        <v>37</v>
      </c>
      <c r="C29" s="166"/>
      <c r="D29" s="167"/>
      <c r="E29" s="168"/>
    </row>
    <row r="30" spans="1:6" s="122" customFormat="1" ht="30" hidden="1" customHeight="1" x14ac:dyDescent="0.5">
      <c r="A30" s="135"/>
      <c r="B30" s="169" t="s">
        <v>142</v>
      </c>
      <c r="C30" s="156"/>
      <c r="D30" s="146"/>
    </row>
    <row r="31" spans="1:6" s="122" customFormat="1" ht="30" hidden="1" customHeight="1" x14ac:dyDescent="0.5">
      <c r="A31" s="135"/>
      <c r="B31" s="170" t="s">
        <v>143</v>
      </c>
      <c r="C31" s="156"/>
      <c r="D31" s="146"/>
    </row>
    <row r="32" spans="1:6" s="122" customFormat="1" ht="30" hidden="1" customHeight="1" x14ac:dyDescent="0.5">
      <c r="A32" s="135"/>
      <c r="B32" s="170" t="s">
        <v>48</v>
      </c>
      <c r="C32" s="156"/>
      <c r="D32" s="146"/>
    </row>
    <row r="33" spans="1:5" s="122" customFormat="1" ht="30" hidden="1" customHeight="1" x14ac:dyDescent="0.5">
      <c r="A33" s="135"/>
      <c r="B33" s="170" t="s">
        <v>144</v>
      </c>
      <c r="C33" s="156"/>
      <c r="D33" s="146"/>
    </row>
    <row r="34" spans="1:5" s="122" customFormat="1" ht="30" hidden="1" customHeight="1" x14ac:dyDescent="0.5">
      <c r="A34" s="135"/>
      <c r="B34" s="170" t="s">
        <v>145</v>
      </c>
      <c r="C34" s="156"/>
      <c r="D34" s="146"/>
    </row>
    <row r="35" spans="1:5" s="122" customFormat="1" ht="30" hidden="1" customHeight="1" x14ac:dyDescent="0.5">
      <c r="A35" s="135"/>
      <c r="B35" s="171" t="s">
        <v>146</v>
      </c>
      <c r="C35" s="156"/>
      <c r="D35" s="146"/>
    </row>
    <row r="36" spans="1:5" s="122" customFormat="1" ht="30" customHeight="1" x14ac:dyDescent="0.5">
      <c r="A36" s="135"/>
      <c r="B36" s="172" t="s">
        <v>147</v>
      </c>
      <c r="C36" s="150">
        <f>882149+1599600</f>
        <v>2481749</v>
      </c>
      <c r="D36" s="150">
        <v>359130</v>
      </c>
      <c r="E36" s="143"/>
    </row>
    <row r="37" spans="1:5" s="122" customFormat="1" ht="7.9" customHeight="1" x14ac:dyDescent="0.5">
      <c r="A37" s="135"/>
      <c r="B37" s="173"/>
      <c r="C37" s="174"/>
      <c r="D37" s="175"/>
    </row>
    <row r="38" spans="1:5" s="122" customFormat="1" ht="30" customHeight="1" x14ac:dyDescent="0.5">
      <c r="A38" s="135"/>
      <c r="B38" s="163" t="s">
        <v>148</v>
      </c>
      <c r="C38" s="164">
        <f>C28-C36</f>
        <v>644248</v>
      </c>
      <c r="D38" s="164">
        <f>D28-D36</f>
        <v>120173</v>
      </c>
      <c r="E38" s="143"/>
    </row>
    <row r="39" spans="1:5" s="179" customFormat="1" ht="30" customHeight="1" x14ac:dyDescent="0.5">
      <c r="A39" s="176"/>
      <c r="B39" s="177"/>
      <c r="C39" s="178"/>
      <c r="D39" s="175"/>
      <c r="E39" s="143"/>
    </row>
    <row r="40" spans="1:5" s="118" customFormat="1" ht="30" customHeight="1" x14ac:dyDescent="0.5">
      <c r="A40" s="139"/>
      <c r="B40" s="180" t="s">
        <v>149</v>
      </c>
      <c r="C40" s="181">
        <v>0</v>
      </c>
      <c r="D40" s="146">
        <v>0</v>
      </c>
      <c r="E40" s="143"/>
    </row>
    <row r="41" spans="1:5" s="179" customFormat="1" ht="30" customHeight="1" x14ac:dyDescent="0.5">
      <c r="A41" s="176"/>
      <c r="B41" s="177"/>
      <c r="C41" s="178"/>
      <c r="D41" s="175"/>
      <c r="E41" s="143"/>
    </row>
    <row r="42" spans="1:5" s="122" customFormat="1" ht="30" customHeight="1" thickBot="1" x14ac:dyDescent="0.55000000000000004">
      <c r="A42" s="135"/>
      <c r="B42" s="182" t="s">
        <v>150</v>
      </c>
      <c r="C42" s="183">
        <f>C38+C40</f>
        <v>644248</v>
      </c>
      <c r="D42" s="183">
        <f>D38+D40</f>
        <v>120173</v>
      </c>
      <c r="E42" s="143"/>
    </row>
    <row r="43" spans="1:5" s="122" customFormat="1" ht="30" customHeight="1" thickTop="1" x14ac:dyDescent="0.5">
      <c r="A43" s="135"/>
      <c r="B43" s="184"/>
      <c r="C43" s="185"/>
      <c r="D43" s="186"/>
      <c r="E43" s="143"/>
    </row>
    <row r="44" spans="1:5" s="122" customFormat="1" ht="30" customHeight="1" outlineLevel="1" x14ac:dyDescent="0.5">
      <c r="A44" s="135"/>
      <c r="B44" s="187" t="s">
        <v>151</v>
      </c>
      <c r="C44" s="188"/>
      <c r="D44" s="189"/>
      <c r="E44" s="143"/>
    </row>
    <row r="45" spans="1:5" s="118" customFormat="1" ht="30" customHeight="1" outlineLevel="1" x14ac:dyDescent="0.5">
      <c r="A45" s="139"/>
      <c r="B45" s="190" t="s">
        <v>152</v>
      </c>
      <c r="C45" s="191">
        <f t="shared" ref="C45" si="0">C38/C28</f>
        <v>0.20609360789533707</v>
      </c>
      <c r="D45" s="192">
        <f t="shared" ref="D45" si="1">D38/D28</f>
        <v>0.25072448951915594</v>
      </c>
      <c r="E45" s="143"/>
    </row>
    <row r="46" spans="1:5" s="197" customFormat="1" ht="30" customHeight="1" outlineLevel="1" thickBot="1" x14ac:dyDescent="0.55000000000000004">
      <c r="A46" s="193"/>
      <c r="B46" s="194" t="s">
        <v>153</v>
      </c>
      <c r="C46" s="195">
        <f t="shared" ref="C46" si="2">C42/(C28+C40)</f>
        <v>0.20609360789533707</v>
      </c>
      <c r="D46" s="196">
        <f t="shared" ref="D46" si="3">D42/(D28+D40)</f>
        <v>0.25072448951915594</v>
      </c>
    </row>
    <row r="47" spans="1:5" s="122" customFormat="1" ht="30" customHeight="1" x14ac:dyDescent="0.5">
      <c r="A47" s="119"/>
      <c r="B47" s="198"/>
      <c r="C47" s="198"/>
    </row>
    <row r="48" spans="1:5" s="122" customFormat="1" ht="30" customHeight="1" x14ac:dyDescent="0.5">
      <c r="A48" s="119"/>
      <c r="B48" s="198"/>
      <c r="C48" s="198"/>
    </row>
    <row r="49" spans="2:5" ht="30" customHeight="1" x14ac:dyDescent="0.25"/>
    <row r="50" spans="2:5" ht="30" customHeight="1" x14ac:dyDescent="0.25"/>
    <row r="51" spans="2:5" ht="30" customHeight="1" x14ac:dyDescent="0.25"/>
    <row r="52" spans="2:5" ht="30" customHeight="1" x14ac:dyDescent="0.25"/>
    <row r="53" spans="2:5" ht="30" customHeight="1" x14ac:dyDescent="0.25"/>
    <row r="54" spans="2:5" s="199" customFormat="1" ht="30" customHeight="1" x14ac:dyDescent="0.25">
      <c r="B54" s="200"/>
      <c r="C54" s="200"/>
      <c r="D54" s="22"/>
      <c r="E54" s="22"/>
    </row>
    <row r="55" spans="2:5" s="199" customFormat="1" ht="30" customHeight="1" x14ac:dyDescent="0.25">
      <c r="B55" s="200"/>
      <c r="C55" s="200"/>
      <c r="D55" s="22"/>
      <c r="E55" s="22"/>
    </row>
    <row r="56" spans="2:5" s="199" customFormat="1" ht="30" customHeight="1" x14ac:dyDescent="0.25">
      <c r="B56" s="200"/>
      <c r="C56" s="200"/>
      <c r="D56" s="22"/>
      <c r="E56" s="22"/>
    </row>
    <row r="57" spans="2:5" s="199" customFormat="1" ht="30" customHeight="1" x14ac:dyDescent="0.25">
      <c r="B57" s="200"/>
      <c r="C57" s="200"/>
      <c r="D57" s="22"/>
      <c r="E57" s="22"/>
    </row>
    <row r="58" spans="2:5" s="199" customFormat="1" ht="30" customHeight="1" x14ac:dyDescent="0.25">
      <c r="B58" s="200"/>
      <c r="C58" s="200"/>
      <c r="D58" s="22"/>
      <c r="E58" s="22"/>
    </row>
    <row r="59" spans="2:5" s="199" customFormat="1" ht="30" customHeight="1" x14ac:dyDescent="0.25">
      <c r="B59" s="200"/>
      <c r="C59" s="200"/>
      <c r="D59" s="22"/>
      <c r="E59" s="22"/>
    </row>
    <row r="60" spans="2:5" s="199" customFormat="1" ht="30" customHeight="1" x14ac:dyDescent="0.25">
      <c r="B60" s="200"/>
      <c r="C60" s="200"/>
      <c r="D60" s="22"/>
      <c r="E60" s="22"/>
    </row>
    <row r="61" spans="2:5" s="199" customFormat="1" ht="30" customHeight="1" x14ac:dyDescent="0.25">
      <c r="B61" s="200"/>
      <c r="C61" s="200"/>
      <c r="D61" s="22"/>
      <c r="E61" s="22"/>
    </row>
    <row r="62" spans="2:5" s="199" customFormat="1" ht="30" customHeight="1" x14ac:dyDescent="0.25">
      <c r="B62" s="200"/>
      <c r="C62" s="200"/>
      <c r="D62" s="22"/>
      <c r="E62" s="22"/>
    </row>
    <row r="63" spans="2:5" s="199" customFormat="1" ht="30" customHeight="1" x14ac:dyDescent="0.25">
      <c r="B63" s="200"/>
      <c r="C63" s="200"/>
      <c r="D63" s="22"/>
      <c r="E63" s="22"/>
    </row>
    <row r="64" spans="2:5" s="199" customFormat="1" ht="30" customHeight="1" x14ac:dyDescent="0.25">
      <c r="B64" s="200"/>
      <c r="C64" s="200"/>
      <c r="D64" s="22"/>
      <c r="E64" s="22"/>
    </row>
    <row r="65" spans="1:5" s="199" customFormat="1" ht="30" customHeight="1" x14ac:dyDescent="0.25">
      <c r="B65" s="200"/>
      <c r="C65" s="200"/>
      <c r="D65" s="22"/>
      <c r="E65" s="22"/>
    </row>
    <row r="66" spans="1:5" s="199" customFormat="1" ht="30" customHeight="1" x14ac:dyDescent="0.25">
      <c r="B66" s="200"/>
      <c r="C66" s="200"/>
      <c r="D66" s="22"/>
      <c r="E66" s="22"/>
    </row>
    <row r="67" spans="1:5" s="199" customFormat="1" ht="30" customHeight="1" x14ac:dyDescent="0.25">
      <c r="B67" s="200"/>
      <c r="C67" s="200"/>
      <c r="D67" s="22"/>
      <c r="E67" s="22"/>
    </row>
    <row r="68" spans="1:5" s="199" customFormat="1" ht="30" customHeight="1" x14ac:dyDescent="0.25">
      <c r="B68" s="200"/>
      <c r="C68" s="200"/>
      <c r="D68" s="22"/>
      <c r="E68" s="22"/>
    </row>
    <row r="69" spans="1:5" s="199" customFormat="1" ht="30" customHeight="1" x14ac:dyDescent="0.25">
      <c r="B69" s="200"/>
      <c r="C69" s="200"/>
      <c r="D69" s="22"/>
      <c r="E69" s="22"/>
    </row>
    <row r="70" spans="1:5" ht="30" customHeight="1" x14ac:dyDescent="0.25"/>
    <row r="71" spans="1:5" ht="30" customHeight="1" x14ac:dyDescent="0.25"/>
    <row r="72" spans="1:5" ht="30" customHeight="1" x14ac:dyDescent="0.25"/>
    <row r="73" spans="1:5" ht="30" customHeight="1" x14ac:dyDescent="0.25"/>
    <row r="79" spans="1:5" s="204" customFormat="1" x14ac:dyDescent="0.25">
      <c r="A79" s="201"/>
      <c r="B79" s="202" t="s">
        <v>154</v>
      </c>
      <c r="C79" s="202"/>
      <c r="D79" s="203"/>
    </row>
    <row r="80" spans="1:5" x14ac:dyDescent="0.25">
      <c r="B80" s="205"/>
      <c r="C80" s="205"/>
      <c r="D80" s="204"/>
    </row>
  </sheetData>
  <mergeCells count="5">
    <mergeCell ref="B7:D7"/>
    <mergeCell ref="B10:D10"/>
    <mergeCell ref="B3:D3"/>
    <mergeCell ref="B2:D2"/>
    <mergeCell ref="B4:D4"/>
  </mergeCells>
  <pageMargins left="0.45" right="0.45" top="0.25" bottom="0.5" header="0.3" footer="0.3"/>
  <pageSetup scale="55" orientation="landscape" r:id="rId1"/>
  <headerFooter>
    <oddFooter>&amp;L&amp;16&amp;D, Page &amp;P&amp;C&amp;16Green Mountain Care Board&amp;R&amp;16&amp;F, &amp;A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F7D515-C1D8-433F-8100-DAF2FC206E24}">
  <sheetPr>
    <tabColor theme="7"/>
  </sheetPr>
  <dimension ref="B1:F16"/>
  <sheetViews>
    <sheetView showGridLines="0" workbookViewId="0">
      <selection activeCell="M25" sqref="M25"/>
    </sheetView>
  </sheetViews>
  <sheetFormatPr defaultColWidth="8.85546875" defaultRowHeight="15" x14ac:dyDescent="0.25"/>
  <cols>
    <col min="1" max="1" width="8.85546875" style="1"/>
    <col min="2" max="2" width="32.28515625" style="40" customWidth="1"/>
    <col min="3" max="4" width="22.28515625" style="40" customWidth="1"/>
    <col min="5" max="5" width="17.5703125" style="40" customWidth="1"/>
    <col min="6" max="6" width="19.5703125" style="40" customWidth="1"/>
    <col min="7" max="16384" width="8.85546875" style="1"/>
  </cols>
  <sheetData>
    <row r="1" spans="2:6" s="109" customFormat="1" x14ac:dyDescent="0.25">
      <c r="B1" s="110"/>
      <c r="C1" s="110"/>
      <c r="D1" s="110"/>
      <c r="E1" s="110"/>
      <c r="F1" s="110"/>
    </row>
    <row r="2" spans="2:6" ht="15.75" x14ac:dyDescent="0.25">
      <c r="B2" s="401" t="s">
        <v>155</v>
      </c>
      <c r="C2" s="401"/>
      <c r="D2" s="401"/>
      <c r="E2" s="401"/>
      <c r="F2" s="401"/>
    </row>
    <row r="3" spans="2:6" ht="18.75" x14ac:dyDescent="0.3">
      <c r="B3" s="402" t="s">
        <v>2</v>
      </c>
      <c r="C3" s="403"/>
      <c r="D3" s="403"/>
      <c r="E3" s="403"/>
      <c r="F3" s="404"/>
    </row>
    <row r="4" spans="2:6" ht="18.75" x14ac:dyDescent="0.3">
      <c r="B4" s="375" t="s">
        <v>156</v>
      </c>
      <c r="C4" s="376"/>
      <c r="D4" s="376"/>
      <c r="E4" s="376"/>
      <c r="F4" s="377"/>
    </row>
    <row r="5" spans="2:6" ht="15.75" x14ac:dyDescent="0.25">
      <c r="B5" s="31"/>
      <c r="C5" s="31"/>
      <c r="D5" s="31"/>
      <c r="E5" s="31"/>
      <c r="F5" s="31"/>
    </row>
    <row r="6" spans="2:6" ht="28.5" customHeight="1" x14ac:dyDescent="0.25">
      <c r="B6" s="400" t="s">
        <v>157</v>
      </c>
      <c r="C6" s="400"/>
      <c r="D6" s="400"/>
      <c r="E6" s="400"/>
      <c r="F6" s="400"/>
    </row>
    <row r="7" spans="2:6" ht="15.75" x14ac:dyDescent="0.25">
      <c r="B7" s="31"/>
      <c r="C7" s="31"/>
      <c r="D7" s="31"/>
      <c r="E7" s="31"/>
      <c r="F7" s="31"/>
    </row>
    <row r="8" spans="2:6" ht="48" customHeight="1" x14ac:dyDescent="0.25">
      <c r="B8" s="32" t="s">
        <v>158</v>
      </c>
      <c r="C8" s="33" t="s">
        <v>159</v>
      </c>
      <c r="D8" s="33" t="s">
        <v>160</v>
      </c>
      <c r="E8" s="33" t="s">
        <v>161</v>
      </c>
      <c r="F8" s="34" t="s">
        <v>162</v>
      </c>
    </row>
    <row r="9" spans="2:6" ht="25.5" customHeight="1" x14ac:dyDescent="0.25">
      <c r="B9" s="35"/>
      <c r="C9" s="36" t="s">
        <v>163</v>
      </c>
      <c r="D9" s="36" t="s">
        <v>164</v>
      </c>
      <c r="E9" s="36" t="s">
        <v>164</v>
      </c>
      <c r="F9" s="37" t="s">
        <v>165</v>
      </c>
    </row>
    <row r="10" spans="2:6" ht="24" customHeight="1" x14ac:dyDescent="0.25">
      <c r="B10" s="38" t="s">
        <v>166</v>
      </c>
      <c r="C10" s="297" t="s">
        <v>270</v>
      </c>
      <c r="D10" s="303">
        <f>7644+2100</f>
        <v>9744</v>
      </c>
      <c r="E10" s="295">
        <v>18499545</v>
      </c>
      <c r="F10" s="296">
        <v>-276324</v>
      </c>
    </row>
    <row r="11" spans="2:6" ht="15.75" x14ac:dyDescent="0.25">
      <c r="B11" s="38" t="s">
        <v>167</v>
      </c>
      <c r="C11" s="297" t="s">
        <v>270</v>
      </c>
      <c r="D11" s="303">
        <v>7335</v>
      </c>
      <c r="E11" s="295">
        <v>31200000</v>
      </c>
      <c r="F11" s="296">
        <v>0</v>
      </c>
    </row>
    <row r="12" spans="2:6" ht="15.75" x14ac:dyDescent="0.25">
      <c r="B12" s="38" t="s">
        <v>238</v>
      </c>
      <c r="C12" s="297" t="s">
        <v>270</v>
      </c>
      <c r="D12" s="303">
        <v>896</v>
      </c>
      <c r="E12" s="295">
        <v>0</v>
      </c>
      <c r="F12" s="296">
        <v>0</v>
      </c>
    </row>
    <row r="13" spans="2:6" ht="15.75" x14ac:dyDescent="0.25">
      <c r="B13" s="38" t="s">
        <v>168</v>
      </c>
      <c r="C13" s="297" t="s">
        <v>270</v>
      </c>
      <c r="D13" s="303">
        <v>1860</v>
      </c>
      <c r="E13" s="295">
        <v>0</v>
      </c>
      <c r="F13" s="296">
        <v>0</v>
      </c>
    </row>
    <row r="14" spans="2:6" ht="15.75" x14ac:dyDescent="0.25">
      <c r="B14" s="38" t="s">
        <v>169</v>
      </c>
      <c r="C14" s="39"/>
      <c r="D14" s="304">
        <f>SUM(D10:D13)</f>
        <v>19835</v>
      </c>
      <c r="E14" s="295">
        <f t="shared" ref="E14:F14" si="0">SUM(E10:E13)</f>
        <v>49699545</v>
      </c>
      <c r="F14" s="295">
        <f t="shared" si="0"/>
        <v>-276324</v>
      </c>
    </row>
    <row r="15" spans="2:6" ht="15.75" x14ac:dyDescent="0.25">
      <c r="B15" s="31"/>
    </row>
    <row r="16" spans="2:6" ht="15.75" x14ac:dyDescent="0.25">
      <c r="B16" s="41"/>
      <c r="E16" s="42"/>
    </row>
  </sheetData>
  <mergeCells count="4">
    <mergeCell ref="B6:F6"/>
    <mergeCell ref="B2:F2"/>
    <mergeCell ref="B3:F3"/>
    <mergeCell ref="B4:F4"/>
  </mergeCells>
  <pageMargins left="0.7" right="0.7" top="0.75" bottom="0.75" header="0.3" footer="0.3"/>
  <pageSetup orientation="landscape" r:id="rId1"/>
  <headerFooter>
    <oddFooter>&amp;L&amp;D&amp;R&amp;F,&amp;A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1D5F5A-5A4C-4FE5-8562-109CA7C69874}">
  <sheetPr>
    <tabColor theme="7"/>
    <pageSetUpPr fitToPage="1"/>
  </sheetPr>
  <dimension ref="B2:K36"/>
  <sheetViews>
    <sheetView showGridLines="0" topLeftCell="A4" zoomScaleNormal="100" zoomScaleSheetLayoutView="55" workbookViewId="0">
      <selection activeCell="E26" sqref="E26"/>
    </sheetView>
  </sheetViews>
  <sheetFormatPr defaultColWidth="9.140625" defaultRowHeight="15" customHeight="1" x14ac:dyDescent="0.25"/>
  <cols>
    <col min="1" max="1" width="3.5703125" style="107" customWidth="1"/>
    <col min="2" max="2" width="39.7109375" style="107" customWidth="1"/>
    <col min="3" max="3" width="24" style="107" customWidth="1"/>
    <col min="4" max="11" width="22.7109375" style="107" customWidth="1"/>
    <col min="12" max="16384" width="9.140625" style="107"/>
  </cols>
  <sheetData>
    <row r="2" spans="2:11" s="1" customFormat="1" ht="15.75" x14ac:dyDescent="0.25">
      <c r="B2" s="401" t="s">
        <v>170</v>
      </c>
      <c r="C2" s="401"/>
      <c r="D2" s="401"/>
      <c r="E2" s="401"/>
      <c r="F2" s="401"/>
      <c r="G2" s="401"/>
      <c r="H2" s="401"/>
      <c r="I2" s="401"/>
      <c r="J2" s="401"/>
      <c r="K2" s="401"/>
    </row>
    <row r="3" spans="2:11" s="1" customFormat="1" ht="18.75" x14ac:dyDescent="0.3">
      <c r="B3" s="402" t="s">
        <v>171</v>
      </c>
      <c r="C3" s="403"/>
      <c r="D3" s="403"/>
      <c r="E3" s="403"/>
      <c r="F3" s="403"/>
      <c r="G3" s="403"/>
      <c r="H3" s="403"/>
      <c r="I3" s="403"/>
      <c r="J3" s="403"/>
      <c r="K3" s="404"/>
    </row>
    <row r="4" spans="2:11" s="1" customFormat="1" ht="18.75" x14ac:dyDescent="0.3">
      <c r="B4" s="375" t="s">
        <v>172</v>
      </c>
      <c r="C4" s="376"/>
      <c r="D4" s="376"/>
      <c r="E4" s="376"/>
      <c r="F4" s="376"/>
      <c r="G4" s="376"/>
      <c r="H4" s="376"/>
      <c r="I4" s="376"/>
      <c r="J4" s="376"/>
      <c r="K4" s="377"/>
    </row>
    <row r="5" spans="2:11" s="109" customFormat="1" ht="18.75" x14ac:dyDescent="0.3">
      <c r="B5" s="254"/>
      <c r="C5" s="254"/>
      <c r="D5" s="254"/>
      <c r="E5" s="254"/>
      <c r="F5" s="254"/>
      <c r="G5" s="254"/>
      <c r="H5" s="254"/>
      <c r="I5" s="254"/>
      <c r="J5" s="254"/>
      <c r="K5" s="254"/>
    </row>
    <row r="6" spans="2:11" s="109" customFormat="1" ht="18.75" customHeight="1" x14ac:dyDescent="0.25">
      <c r="B6" s="407" t="s">
        <v>245</v>
      </c>
      <c r="C6" s="407"/>
      <c r="D6" s="407"/>
      <c r="E6" s="407"/>
      <c r="F6" s="407"/>
      <c r="G6" s="407"/>
      <c r="H6" s="407"/>
      <c r="I6" s="407"/>
      <c r="J6" s="407"/>
      <c r="K6" s="407"/>
    </row>
    <row r="7" spans="2:11" s="109" customFormat="1" ht="18.75" customHeight="1" x14ac:dyDescent="0.25">
      <c r="B7" s="407"/>
      <c r="C7" s="407"/>
      <c r="D7" s="407"/>
      <c r="E7" s="407"/>
      <c r="F7" s="407"/>
      <c r="G7" s="407"/>
      <c r="H7" s="407"/>
      <c r="I7" s="407"/>
      <c r="J7" s="407"/>
      <c r="K7" s="407"/>
    </row>
    <row r="8" spans="2:11" s="109" customFormat="1" ht="18.75" x14ac:dyDescent="0.3">
      <c r="B8" s="108"/>
      <c r="C8" s="108"/>
      <c r="D8" s="108"/>
      <c r="E8" s="108"/>
      <c r="F8" s="108"/>
      <c r="G8" s="108"/>
      <c r="H8" s="108"/>
    </row>
    <row r="9" spans="2:11" s="259" customFormat="1" x14ac:dyDescent="0.25">
      <c r="B9" s="260"/>
      <c r="D9" s="260"/>
      <c r="E9" s="260"/>
      <c r="F9" s="260"/>
      <c r="G9" s="260"/>
      <c r="H9" s="260"/>
      <c r="I9" s="261"/>
      <c r="J9" s="261"/>
      <c r="K9" s="261"/>
    </row>
    <row r="10" spans="2:11" s="253" customFormat="1" ht="15" customHeight="1" x14ac:dyDescent="0.25">
      <c r="B10" s="405" t="s">
        <v>173</v>
      </c>
      <c r="C10" s="269" t="s">
        <v>174</v>
      </c>
      <c r="D10" s="264" t="s">
        <v>174</v>
      </c>
      <c r="E10" s="265" t="s">
        <v>175</v>
      </c>
      <c r="F10" s="265" t="s">
        <v>176</v>
      </c>
      <c r="G10" s="307" t="s">
        <v>174</v>
      </c>
      <c r="H10" s="265" t="s">
        <v>175</v>
      </c>
      <c r="I10" s="266" t="s">
        <v>176</v>
      </c>
      <c r="J10" s="265" t="s">
        <v>175</v>
      </c>
      <c r="K10" s="266" t="s">
        <v>176</v>
      </c>
    </row>
    <row r="11" spans="2:11" s="253" customFormat="1" ht="15" customHeight="1" x14ac:dyDescent="0.25">
      <c r="B11" s="406"/>
      <c r="C11" s="268" t="s">
        <v>216</v>
      </c>
      <c r="D11" s="408" t="s">
        <v>177</v>
      </c>
      <c r="E11" s="409"/>
      <c r="F11" s="409"/>
      <c r="G11" s="410" t="s">
        <v>178</v>
      </c>
      <c r="H11" s="409"/>
      <c r="I11" s="411"/>
      <c r="J11" s="409" t="s">
        <v>179</v>
      </c>
      <c r="K11" s="411"/>
    </row>
    <row r="12" spans="2:11" ht="15" customHeight="1" x14ac:dyDescent="0.25">
      <c r="B12" s="317" t="s">
        <v>281</v>
      </c>
      <c r="C12" s="267">
        <f t="shared" ref="C12:C27" si="0">+D12+G12</f>
        <v>19662164</v>
      </c>
      <c r="D12" s="267">
        <v>19662164</v>
      </c>
      <c r="E12" s="267">
        <v>5357449</v>
      </c>
      <c r="F12" s="306">
        <f>13547104+757610</f>
        <v>14304714</v>
      </c>
      <c r="G12" s="308">
        <v>0</v>
      </c>
      <c r="H12" s="267">
        <f>11084928+1583154</f>
        <v>12668082</v>
      </c>
      <c r="I12" s="267">
        <f>(F12-H12)</f>
        <v>1636632</v>
      </c>
      <c r="J12" s="267"/>
      <c r="K12" s="267"/>
    </row>
    <row r="13" spans="2:11" ht="15" customHeight="1" x14ac:dyDescent="0.25">
      <c r="B13" s="262" t="s">
        <v>180</v>
      </c>
      <c r="C13" s="267">
        <f t="shared" si="0"/>
        <v>25000000</v>
      </c>
      <c r="D13" s="267">
        <v>25000000</v>
      </c>
      <c r="E13" s="267">
        <v>0</v>
      </c>
      <c r="F13" s="306">
        <v>25000000</v>
      </c>
      <c r="G13" s="308">
        <v>0</v>
      </c>
      <c r="H13" s="267">
        <v>0</v>
      </c>
      <c r="I13" s="267">
        <v>18286943</v>
      </c>
      <c r="J13" s="267">
        <v>0</v>
      </c>
      <c r="K13" s="267">
        <v>0</v>
      </c>
    </row>
    <row r="14" spans="2:11" ht="15" customHeight="1" x14ac:dyDescent="0.25">
      <c r="B14" s="262" t="s">
        <v>279</v>
      </c>
      <c r="C14" s="267">
        <f>+D14+G14</f>
        <v>0</v>
      </c>
      <c r="D14" s="267">
        <v>0</v>
      </c>
      <c r="E14" s="267">
        <v>757610</v>
      </c>
      <c r="F14" s="306">
        <f>-E14</f>
        <v>-757610</v>
      </c>
      <c r="G14" s="308">
        <v>0</v>
      </c>
      <c r="H14" s="267">
        <v>0</v>
      </c>
      <c r="I14" s="267">
        <f>-E14</f>
        <v>-757610</v>
      </c>
      <c r="J14" s="267">
        <v>0</v>
      </c>
      <c r="K14" s="267">
        <v>0</v>
      </c>
    </row>
    <row r="15" spans="2:11" ht="15" customHeight="1" x14ac:dyDescent="0.25">
      <c r="B15" s="262" t="s">
        <v>181</v>
      </c>
      <c r="C15" s="267">
        <f t="shared" si="0"/>
        <v>0</v>
      </c>
      <c r="D15" s="267">
        <v>0</v>
      </c>
      <c r="E15" s="267">
        <v>0</v>
      </c>
      <c r="F15" s="306">
        <v>0</v>
      </c>
      <c r="G15" s="308">
        <v>0</v>
      </c>
      <c r="H15" s="267">
        <v>0</v>
      </c>
      <c r="I15" s="267">
        <v>0</v>
      </c>
      <c r="J15" s="267">
        <v>0</v>
      </c>
      <c r="K15" s="267">
        <v>0</v>
      </c>
    </row>
    <row r="16" spans="2:11" ht="15" customHeight="1" x14ac:dyDescent="0.25">
      <c r="B16" s="262" t="s">
        <v>182</v>
      </c>
      <c r="C16" s="267">
        <f t="shared" si="0"/>
        <v>13091075</v>
      </c>
      <c r="D16" s="267">
        <v>13091075</v>
      </c>
      <c r="E16" s="267">
        <v>13091075</v>
      </c>
      <c r="F16" s="306">
        <v>0</v>
      </c>
      <c r="G16" s="308">
        <v>0</v>
      </c>
      <c r="H16" s="267">
        <v>0</v>
      </c>
      <c r="I16" s="267">
        <v>0</v>
      </c>
      <c r="J16" s="267">
        <v>0</v>
      </c>
      <c r="K16" s="267">
        <v>0</v>
      </c>
    </row>
    <row r="17" spans="2:11" ht="15" customHeight="1" x14ac:dyDescent="0.25">
      <c r="B17" s="262" t="s">
        <v>183</v>
      </c>
      <c r="C17" s="267">
        <f t="shared" si="0"/>
        <v>0</v>
      </c>
      <c r="D17" s="267">
        <v>0</v>
      </c>
      <c r="E17" s="267">
        <v>0</v>
      </c>
      <c r="F17" s="306">
        <v>0</v>
      </c>
      <c r="G17" s="308">
        <v>0</v>
      </c>
      <c r="H17" s="267">
        <v>0</v>
      </c>
      <c r="I17" s="267">
        <v>0</v>
      </c>
      <c r="J17" s="267">
        <v>0</v>
      </c>
      <c r="K17" s="267">
        <v>0</v>
      </c>
    </row>
    <row r="18" spans="2:11" ht="15" customHeight="1" x14ac:dyDescent="0.25">
      <c r="B18" s="262" t="s">
        <v>184</v>
      </c>
      <c r="C18" s="267">
        <f t="shared" si="0"/>
        <v>821600</v>
      </c>
      <c r="D18" s="267">
        <v>821600</v>
      </c>
      <c r="E18" s="267">
        <v>821600</v>
      </c>
      <c r="F18" s="306">
        <v>0</v>
      </c>
      <c r="G18" s="308">
        <v>0</v>
      </c>
      <c r="H18" s="267">
        <v>0</v>
      </c>
      <c r="I18" s="267">
        <v>0</v>
      </c>
      <c r="J18" s="267">
        <v>0</v>
      </c>
      <c r="K18" s="267">
        <v>0</v>
      </c>
    </row>
    <row r="19" spans="2:11" ht="15" customHeight="1" x14ac:dyDescent="0.25">
      <c r="B19" s="262" t="s">
        <v>185</v>
      </c>
      <c r="C19" s="267">
        <f t="shared" si="0"/>
        <v>611994</v>
      </c>
      <c r="D19" s="267">
        <v>516631</v>
      </c>
      <c r="E19" s="267">
        <v>516631</v>
      </c>
      <c r="F19" s="306">
        <v>0</v>
      </c>
      <c r="G19" s="309">
        <v>95363</v>
      </c>
      <c r="H19" s="305">
        <v>95363</v>
      </c>
      <c r="I19" s="267">
        <v>0</v>
      </c>
      <c r="J19" s="267">
        <v>0</v>
      </c>
      <c r="K19" s="267">
        <v>0</v>
      </c>
    </row>
    <row r="20" spans="2:11" ht="15" customHeight="1" x14ac:dyDescent="0.25">
      <c r="B20" s="262" t="s">
        <v>186</v>
      </c>
      <c r="C20" s="267">
        <f t="shared" si="0"/>
        <v>527960</v>
      </c>
      <c r="D20" s="267">
        <v>527960</v>
      </c>
      <c r="E20" s="267">
        <v>527960</v>
      </c>
      <c r="F20" s="306">
        <v>0</v>
      </c>
      <c r="G20" s="308">
        <v>0</v>
      </c>
      <c r="H20" s="267">
        <v>0</v>
      </c>
      <c r="I20" s="267">
        <v>0</v>
      </c>
      <c r="J20" s="267">
        <v>0</v>
      </c>
      <c r="K20" s="267">
        <v>0</v>
      </c>
    </row>
    <row r="21" spans="2:11" ht="15" customHeight="1" x14ac:dyDescent="0.25">
      <c r="B21" s="262" t="s">
        <v>217</v>
      </c>
      <c r="C21" s="267">
        <f t="shared" si="0"/>
        <v>0</v>
      </c>
      <c r="D21" s="267">
        <v>0</v>
      </c>
      <c r="E21" s="267">
        <v>0</v>
      </c>
      <c r="F21" s="306">
        <v>0</v>
      </c>
      <c r="G21" s="308">
        <v>0</v>
      </c>
      <c r="H21" s="267">
        <v>0</v>
      </c>
      <c r="I21" s="267">
        <v>0</v>
      </c>
      <c r="J21" s="267">
        <v>0</v>
      </c>
      <c r="K21" s="267">
        <v>0</v>
      </c>
    </row>
    <row r="22" spans="2:11" ht="15" customHeight="1" x14ac:dyDescent="0.25">
      <c r="B22" s="262" t="s">
        <v>267</v>
      </c>
      <c r="C22" s="267">
        <f t="shared" si="0"/>
        <v>13636</v>
      </c>
      <c r="D22" s="267">
        <v>13636</v>
      </c>
      <c r="E22" s="267">
        <v>13636</v>
      </c>
      <c r="F22" s="306">
        <v>0</v>
      </c>
      <c r="G22" s="308">
        <v>0</v>
      </c>
      <c r="H22" s="267">
        <v>0</v>
      </c>
      <c r="I22" s="267">
        <v>0</v>
      </c>
      <c r="J22" s="267">
        <v>0</v>
      </c>
      <c r="K22" s="267">
        <v>0</v>
      </c>
    </row>
    <row r="23" spans="2:11" ht="15" customHeight="1" x14ac:dyDescent="0.25">
      <c r="B23" s="262" t="s">
        <v>268</v>
      </c>
      <c r="C23" s="267">
        <f t="shared" si="0"/>
        <v>61434.559999999998</v>
      </c>
      <c r="D23" s="267">
        <v>18442.560000000001</v>
      </c>
      <c r="E23" s="267">
        <v>18442.560000000001</v>
      </c>
      <c r="F23" s="306">
        <v>0</v>
      </c>
      <c r="G23" s="308">
        <v>42992</v>
      </c>
      <c r="H23" s="267">
        <v>42992</v>
      </c>
      <c r="I23" s="267">
        <v>0</v>
      </c>
      <c r="J23" s="267">
        <v>0</v>
      </c>
      <c r="K23" s="267">
        <v>0</v>
      </c>
    </row>
    <row r="24" spans="2:11" ht="15" customHeight="1" x14ac:dyDescent="0.25">
      <c r="B24" s="262" t="s">
        <v>269</v>
      </c>
      <c r="C24" s="267">
        <f t="shared" si="0"/>
        <v>112993.43</v>
      </c>
      <c r="D24" s="267">
        <v>112993.43</v>
      </c>
      <c r="E24" s="267">
        <v>112993</v>
      </c>
      <c r="F24" s="306">
        <v>0</v>
      </c>
      <c r="G24" s="308">
        <v>0</v>
      </c>
      <c r="H24" s="267">
        <v>0</v>
      </c>
      <c r="I24" s="267">
        <v>0</v>
      </c>
      <c r="J24" s="267">
        <v>0</v>
      </c>
      <c r="K24" s="267">
        <v>0</v>
      </c>
    </row>
    <row r="25" spans="2:11" ht="15" customHeight="1" x14ac:dyDescent="0.25">
      <c r="B25" s="262" t="s">
        <v>271</v>
      </c>
      <c r="C25" s="267">
        <f t="shared" si="0"/>
        <v>185390.99</v>
      </c>
      <c r="D25" s="267">
        <v>0</v>
      </c>
      <c r="E25" s="267">
        <v>0</v>
      </c>
      <c r="F25" s="306">
        <v>0</v>
      </c>
      <c r="G25" s="308">
        <v>185390.99</v>
      </c>
      <c r="H25" s="267">
        <v>857149</v>
      </c>
      <c r="I25" s="267">
        <f>G25-H25</f>
        <v>-671758.01</v>
      </c>
      <c r="J25" s="267">
        <v>0</v>
      </c>
      <c r="K25" s="267">
        <v>0</v>
      </c>
    </row>
    <row r="26" spans="2:11" ht="15" customHeight="1" x14ac:dyDescent="0.25">
      <c r="B26" s="262" t="s">
        <v>272</v>
      </c>
      <c r="C26" s="267">
        <f t="shared" si="0"/>
        <v>120633.1</v>
      </c>
      <c r="D26" s="267">
        <v>0</v>
      </c>
      <c r="E26" s="267">
        <v>0</v>
      </c>
      <c r="F26" s="306">
        <v>0</v>
      </c>
      <c r="G26" s="308">
        <v>120633.1</v>
      </c>
      <c r="H26" s="267">
        <v>137633</v>
      </c>
      <c r="I26" s="267">
        <f>G26-H26</f>
        <v>-16999.899999999994</v>
      </c>
      <c r="J26" s="267">
        <v>0</v>
      </c>
      <c r="K26" s="267">
        <v>0</v>
      </c>
    </row>
    <row r="27" spans="2:11" ht="15" customHeight="1" x14ac:dyDescent="0.25">
      <c r="B27" s="262" t="s">
        <v>273</v>
      </c>
      <c r="C27" s="267">
        <f t="shared" si="0"/>
        <v>2640</v>
      </c>
      <c r="D27" s="267"/>
      <c r="E27" s="267"/>
      <c r="F27" s="306"/>
      <c r="G27" s="308">
        <v>2640</v>
      </c>
      <c r="H27" s="267">
        <v>2640</v>
      </c>
      <c r="I27" s="267">
        <v>0</v>
      </c>
      <c r="J27" s="267">
        <v>0</v>
      </c>
      <c r="K27" s="267">
        <v>0</v>
      </c>
    </row>
    <row r="28" spans="2:11" ht="15" customHeight="1" thickBot="1" x14ac:dyDescent="0.3">
      <c r="B28" s="263" t="s">
        <v>187</v>
      </c>
      <c r="C28" s="290">
        <f t="shared" ref="C28:K28" si="1">SUM(C12:C27)</f>
        <v>60211521.080000006</v>
      </c>
      <c r="D28" s="291">
        <f t="shared" si="1"/>
        <v>59764501.990000002</v>
      </c>
      <c r="E28" s="292">
        <f t="shared" si="1"/>
        <v>21217396.559999999</v>
      </c>
      <c r="F28" s="292">
        <f t="shared" si="1"/>
        <v>38547104</v>
      </c>
      <c r="G28" s="310">
        <f t="shared" si="1"/>
        <v>447019.08999999997</v>
      </c>
      <c r="H28" s="292">
        <f t="shared" si="1"/>
        <v>13803859</v>
      </c>
      <c r="I28" s="293">
        <f t="shared" si="1"/>
        <v>18477207.09</v>
      </c>
      <c r="J28" s="292">
        <f t="shared" si="1"/>
        <v>0</v>
      </c>
      <c r="K28" s="293">
        <f t="shared" si="1"/>
        <v>0</v>
      </c>
    </row>
    <row r="29" spans="2:11" ht="15" customHeight="1" thickTop="1" x14ac:dyDescent="0.25"/>
    <row r="30" spans="2:11" ht="15" customHeight="1" x14ac:dyDescent="0.25">
      <c r="C30" s="316"/>
    </row>
    <row r="31" spans="2:11" s="4" customFormat="1" ht="15" customHeight="1" x14ac:dyDescent="0.3">
      <c r="B31" s="4" t="s">
        <v>280</v>
      </c>
    </row>
    <row r="32" spans="2:11" s="4" customFormat="1" ht="15" customHeight="1" x14ac:dyDescent="0.3">
      <c r="B32" s="4" t="s">
        <v>282</v>
      </c>
    </row>
    <row r="33" spans="7:8" s="4" customFormat="1" ht="15" customHeight="1" x14ac:dyDescent="0.3"/>
    <row r="34" spans="7:8" s="4" customFormat="1" ht="15" customHeight="1" x14ac:dyDescent="0.3">
      <c r="G34" s="329" t="s">
        <v>284</v>
      </c>
      <c r="H34" s="328">
        <v>12220705</v>
      </c>
    </row>
    <row r="35" spans="7:8" ht="15" customHeight="1" x14ac:dyDescent="0.25">
      <c r="G35" s="330" t="s">
        <v>283</v>
      </c>
      <c r="H35" s="325">
        <f>1583154</f>
        <v>1583154</v>
      </c>
    </row>
    <row r="36" spans="7:8" ht="15" customHeight="1" x14ac:dyDescent="0.25">
      <c r="G36" s="326"/>
      <c r="H36" s="327">
        <f>SUM(H34:H35)</f>
        <v>13803859</v>
      </c>
    </row>
  </sheetData>
  <mergeCells count="8">
    <mergeCell ref="B4:K4"/>
    <mergeCell ref="B3:K3"/>
    <mergeCell ref="B2:K2"/>
    <mergeCell ref="B10:B11"/>
    <mergeCell ref="B6:K7"/>
    <mergeCell ref="D11:F11"/>
    <mergeCell ref="G11:I11"/>
    <mergeCell ref="J11:K11"/>
  </mergeCells>
  <pageMargins left="0.2" right="0.2" top="0.75" bottom="0.75" header="0.3" footer="0.3"/>
  <pageSetup scale="54"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5EC541-D0DE-4B01-BED1-316BF72F2C4F}">
  <sheetPr>
    <tabColor theme="7"/>
  </sheetPr>
  <dimension ref="A2:B15"/>
  <sheetViews>
    <sheetView zoomScale="110" zoomScaleNormal="110" workbookViewId="0">
      <selection sqref="A1:B16"/>
    </sheetView>
  </sheetViews>
  <sheetFormatPr defaultRowHeight="15" x14ac:dyDescent="0.25"/>
  <cols>
    <col min="1" max="1" width="42.7109375" style="65" customWidth="1"/>
    <col min="2" max="2" width="13.85546875" style="65" customWidth="1"/>
  </cols>
  <sheetData>
    <row r="2" spans="1:2" x14ac:dyDescent="0.25">
      <c r="A2" s="412" t="s">
        <v>188</v>
      </c>
      <c r="B2" s="412"/>
    </row>
    <row r="3" spans="1:2" ht="15.75" x14ac:dyDescent="0.25">
      <c r="A3" s="413" t="s">
        <v>189</v>
      </c>
      <c r="B3" s="413"/>
    </row>
    <row r="4" spans="1:2" ht="24.6" customHeight="1" x14ac:dyDescent="0.25">
      <c r="A4" s="414" t="s">
        <v>190</v>
      </c>
      <c r="B4" s="414"/>
    </row>
    <row r="5" spans="1:2" x14ac:dyDescent="0.25">
      <c r="A5" s="66" t="s">
        <v>191</v>
      </c>
      <c r="B5" s="67">
        <f>'1. Reconciliation'!C23</f>
        <v>270361371</v>
      </c>
    </row>
    <row r="6" spans="1:2" x14ac:dyDescent="0.25">
      <c r="A6" s="66" t="s">
        <v>192</v>
      </c>
      <c r="B6" s="68">
        <f>'1. Reconciliation'!C26</f>
        <v>9.2423536518285901E-2</v>
      </c>
    </row>
    <row r="7" spans="1:2" x14ac:dyDescent="0.25">
      <c r="A7" s="66" t="s">
        <v>193</v>
      </c>
      <c r="B7" s="68">
        <f>'1. Reconciliation'!C86</f>
        <v>1.3087156600990217E-2</v>
      </c>
    </row>
    <row r="8" spans="1:2" x14ac:dyDescent="0.25">
      <c r="A8" s="69"/>
      <c r="B8" s="70"/>
    </row>
    <row r="9" spans="1:2" x14ac:dyDescent="0.25">
      <c r="A9" s="71" t="s">
        <v>194</v>
      </c>
      <c r="B9" s="72"/>
    </row>
    <row r="10" spans="1:2" ht="39.6" customHeight="1" x14ac:dyDescent="0.25">
      <c r="A10" s="66" t="s">
        <v>23</v>
      </c>
      <c r="B10" s="73">
        <f>'1. Reconciliation'!C12</f>
        <v>4534318</v>
      </c>
    </row>
    <row r="11" spans="1:2" x14ac:dyDescent="0.25">
      <c r="A11" s="66" t="s">
        <v>24</v>
      </c>
      <c r="B11" s="73">
        <f>'1. Reconciliation'!C14</f>
        <v>11631953</v>
      </c>
    </row>
    <row r="12" spans="1:2" x14ac:dyDescent="0.25">
      <c r="A12" s="66" t="s">
        <v>25</v>
      </c>
      <c r="B12" s="73">
        <f>'1. Reconciliation'!C16</f>
        <v>0</v>
      </c>
    </row>
    <row r="13" spans="1:2" x14ac:dyDescent="0.25">
      <c r="A13" s="66" t="s">
        <v>26</v>
      </c>
      <c r="B13" s="73">
        <f>'1. Reconciliation'!C17</f>
        <v>3083499</v>
      </c>
    </row>
    <row r="14" spans="1:2" ht="44.45" customHeight="1" x14ac:dyDescent="0.25">
      <c r="A14" s="66" t="s">
        <v>27</v>
      </c>
      <c r="B14" s="73">
        <f>'1. Reconciliation'!C18</f>
        <v>4795417</v>
      </c>
    </row>
    <row r="15" spans="1:2" x14ac:dyDescent="0.25">
      <c r="A15" s="74" t="s">
        <v>195</v>
      </c>
      <c r="B15" s="75">
        <f>SUM(B10:B14)</f>
        <v>24045187</v>
      </c>
    </row>
  </sheetData>
  <mergeCells count="3">
    <mergeCell ref="A2:B2"/>
    <mergeCell ref="A3:B3"/>
    <mergeCell ref="A4:B4"/>
  </mergeCells>
  <printOptions horizontalCentered="1"/>
  <pageMargins left="0.7" right="0.7" top="0.75" bottom="0.75" header="0.3" footer="0.3"/>
  <pageSetup orientation="portrait"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C1493C-6629-4D23-9F49-D2BA8BBE2DC4}">
  <sheetPr>
    <tabColor rgb="FF00B050"/>
  </sheetPr>
  <dimension ref="B1:E17"/>
  <sheetViews>
    <sheetView zoomScale="130" zoomScaleNormal="130" workbookViewId="0">
      <selection activeCell="H15" sqref="H15"/>
    </sheetView>
  </sheetViews>
  <sheetFormatPr defaultRowHeight="15" x14ac:dyDescent="0.25"/>
  <sheetData>
    <row r="1" spans="2:5" x14ac:dyDescent="0.25">
      <c r="B1" t="s">
        <v>196</v>
      </c>
    </row>
    <row r="3" spans="2:5" x14ac:dyDescent="0.25">
      <c r="B3" t="s">
        <v>197</v>
      </c>
      <c r="C3" t="s">
        <v>198</v>
      </c>
      <c r="D3" t="s">
        <v>167</v>
      </c>
      <c r="E3" t="s">
        <v>166</v>
      </c>
    </row>
    <row r="4" spans="2:5" x14ac:dyDescent="0.25">
      <c r="B4" s="16" t="s">
        <v>199</v>
      </c>
      <c r="C4" s="25">
        <v>180</v>
      </c>
      <c r="D4" s="25">
        <v>100</v>
      </c>
      <c r="E4" s="16" t="s">
        <v>200</v>
      </c>
    </row>
    <row r="5" spans="2:5" x14ac:dyDescent="0.25">
      <c r="B5" s="16" t="s">
        <v>201</v>
      </c>
      <c r="C5" s="25">
        <v>163</v>
      </c>
      <c r="D5" s="25">
        <v>100</v>
      </c>
      <c r="E5" s="25">
        <v>85</v>
      </c>
    </row>
    <row r="6" spans="2:5" x14ac:dyDescent="0.25">
      <c r="B6" s="16" t="s">
        <v>202</v>
      </c>
      <c r="C6" s="25">
        <v>186</v>
      </c>
      <c r="D6" s="25">
        <v>100</v>
      </c>
      <c r="E6" s="25">
        <v>58</v>
      </c>
    </row>
    <row r="7" spans="2:5" x14ac:dyDescent="0.25">
      <c r="B7" s="16" t="s">
        <v>203</v>
      </c>
      <c r="C7" s="25">
        <v>92</v>
      </c>
      <c r="D7" s="25">
        <v>100</v>
      </c>
      <c r="E7" s="25">
        <v>52</v>
      </c>
    </row>
    <row r="8" spans="2:5" x14ac:dyDescent="0.25">
      <c r="B8" s="16" t="s">
        <v>204</v>
      </c>
      <c r="C8" s="25">
        <v>166</v>
      </c>
      <c r="D8" s="25">
        <v>100</v>
      </c>
      <c r="E8" s="25">
        <v>76</v>
      </c>
    </row>
    <row r="9" spans="2:5" x14ac:dyDescent="0.25">
      <c r="B9" s="16" t="s">
        <v>205</v>
      </c>
      <c r="C9" s="25">
        <v>130</v>
      </c>
      <c r="D9" s="25">
        <v>100</v>
      </c>
      <c r="E9" s="25">
        <v>75</v>
      </c>
    </row>
    <row r="10" spans="2:5" x14ac:dyDescent="0.25">
      <c r="B10" s="16" t="s">
        <v>206</v>
      </c>
      <c r="C10" s="25">
        <v>160</v>
      </c>
      <c r="D10" s="25">
        <v>100</v>
      </c>
      <c r="E10" s="25">
        <v>79</v>
      </c>
    </row>
    <row r="11" spans="2:5" x14ac:dyDescent="0.25">
      <c r="B11" s="16" t="s">
        <v>207</v>
      </c>
      <c r="C11" s="25">
        <v>120</v>
      </c>
      <c r="D11" s="25">
        <v>100</v>
      </c>
      <c r="E11" s="25">
        <v>81</v>
      </c>
    </row>
    <row r="12" spans="2:5" x14ac:dyDescent="0.25">
      <c r="B12" s="16" t="s">
        <v>208</v>
      </c>
      <c r="C12" s="25">
        <v>160</v>
      </c>
      <c r="D12" s="25">
        <v>100</v>
      </c>
      <c r="E12" s="25">
        <v>72</v>
      </c>
    </row>
    <row r="13" spans="2:5" x14ac:dyDescent="0.25">
      <c r="B13" s="16" t="s">
        <v>209</v>
      </c>
      <c r="C13" s="25">
        <v>150</v>
      </c>
      <c r="D13" s="25">
        <v>100</v>
      </c>
      <c r="E13" s="16">
        <v>55</v>
      </c>
    </row>
    <row r="14" spans="2:5" x14ac:dyDescent="0.25">
      <c r="B14" s="16" t="s">
        <v>210</v>
      </c>
      <c r="C14" s="25">
        <v>264</v>
      </c>
      <c r="D14" s="25">
        <v>100</v>
      </c>
      <c r="E14" s="25">
        <v>44</v>
      </c>
    </row>
    <row r="15" spans="2:5" x14ac:dyDescent="0.25">
      <c r="B15" s="16" t="s">
        <v>211</v>
      </c>
      <c r="C15" s="25">
        <v>178</v>
      </c>
      <c r="D15" s="25">
        <v>100</v>
      </c>
      <c r="E15" s="25">
        <v>108</v>
      </c>
    </row>
    <row r="16" spans="2:5" x14ac:dyDescent="0.25">
      <c r="B16" s="16" t="s">
        <v>212</v>
      </c>
      <c r="C16" s="25">
        <v>185</v>
      </c>
      <c r="D16" s="25">
        <v>100</v>
      </c>
      <c r="E16" s="25">
        <v>89</v>
      </c>
    </row>
    <row r="17" spans="2:5" x14ac:dyDescent="0.25">
      <c r="B17" s="16" t="s">
        <v>213</v>
      </c>
      <c r="C17" s="25">
        <v>228</v>
      </c>
      <c r="D17" s="25">
        <v>100</v>
      </c>
      <c r="E17" s="25">
        <v>76</v>
      </c>
    </row>
  </sheetData>
  <sortState xmlns:xlrd2="http://schemas.microsoft.com/office/spreadsheetml/2017/richdata2" ref="B4:E17">
    <sortCondition ref="B4:B17"/>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0" ma:contentTypeDescription="Create a new document." ma:contentTypeScope="" ma:versionID="1278417fdb9f8493a22335f0e63ebd5c">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495da0a1964501ca35e461a3d0667575"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0FDD72E-62BB-4083-B4E4-70A11D422880}">
  <ds:schemaRefs>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documentManagement/types"/>
    <ds:schemaRef ds:uri="18dbc17e-cec9-4211-a89f-0bf74a616302"/>
    <ds:schemaRef ds:uri="2819d22d-c924-42b3-954a-d3b43813cc67"/>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A7D8BEBE-0F29-4D55-84E7-679A65C3BCB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C35E319-B666-43F5-B785-F40D79B223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8</vt:i4>
      </vt:variant>
    </vt:vector>
  </HeadingPairs>
  <TitlesOfParts>
    <vt:vector size="18" baseType="lpstr">
      <vt:lpstr>Overview</vt:lpstr>
      <vt:lpstr>1. Reconciliation</vt:lpstr>
      <vt:lpstr>2. Charge and NPR Detail</vt:lpstr>
      <vt:lpstr>3. Utilization</vt:lpstr>
      <vt:lpstr>4. Inflation</vt:lpstr>
      <vt:lpstr>5. Vaccine Clinics and Testing</vt:lpstr>
      <vt:lpstr>6. Value Based Care Participati</vt:lpstr>
      <vt:lpstr>7. COVID-19 Advances, Relief Fu</vt:lpstr>
      <vt:lpstr>Edit of Request Summary</vt:lpstr>
      <vt:lpstr>Non-Financial- Reimb. Ratio</vt:lpstr>
      <vt:lpstr>'1. Reconciliation'!Print_Area</vt:lpstr>
      <vt:lpstr>'2. Charge and NPR Detail'!Print_Area</vt:lpstr>
      <vt:lpstr>'3. Utilization'!Print_Area</vt:lpstr>
      <vt:lpstr>'4. Inflation'!Print_Area</vt:lpstr>
      <vt:lpstr>'5. Vaccine Clinics and Testing'!Print_Area</vt:lpstr>
      <vt:lpstr>'6. Value Based Care Participati'!Print_Area</vt:lpstr>
      <vt:lpstr>Overview!Print_Area</vt:lpstr>
      <vt:lpstr>'1. Reconciliation'!Print_Titles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Kessler, Agatha</dc:creator>
  <cp:keywords/>
  <dc:description/>
  <cp:lastModifiedBy>Perry, Lori</cp:lastModifiedBy>
  <cp:revision/>
  <cp:lastPrinted>2021-06-29T16:28:08Z</cp:lastPrinted>
  <dcterms:created xsi:type="dcterms:W3CDTF">2020-01-09T18:52:12Z</dcterms:created>
  <dcterms:modified xsi:type="dcterms:W3CDTF">2021-07-13T18:01:41Z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y fmtid="{D5CDD505-2E9C-101B-9397-08002B2CF9AE}" pid="3" name="SV_QUERY_LIST_4F35BF76-6C0D-4D9B-82B2-816C12CF3733">
    <vt:lpwstr>empty_477D106A-C0D6-4607-AEBD-E2C9D60EA279</vt:lpwstr>
  </property>
  <property fmtid="{D5CDD505-2E9C-101B-9397-08002B2CF9AE}" pid="4" name="SV_HIDDEN_GRID_QUERY_LIST_4F35BF76-6C0D-4D9B-82B2-816C12CF3733">
    <vt:lpwstr>empty_477D106A-C0D6-4607-AEBD-E2C9D60EA279</vt:lpwstr>
  </property>
</Properties>
</file>