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OA\GMCB\GMCB - Shared\HCA-Special\HOME\HOSP\B2020\Charge Request - Appendix VIII\"/>
    </mc:Choice>
  </mc:AlternateContent>
  <xr:revisionPtr revIDLastSave="0" documentId="8_{7E499155-0134-471F-B624-C80211867604}" xr6:coauthVersionLast="43" xr6:coauthVersionMax="43" xr10:uidLastSave="{00000000-0000-0000-0000-000000000000}"/>
  <bookViews>
    <workbookView xWindow="28680" yWindow="-120" windowWidth="29040" windowHeight="15840" xr2:uid="{48A8240F-1095-410E-BB19-606FDE31397E}"/>
  </bookViews>
  <sheets>
    <sheet name="Sheet1" sheetId="1" r:id="rId1"/>
    <sheet name="NPR Change" sheetId="6" r:id="rId2"/>
    <sheet name="2020 Model" sheetId="2" r:id="rId3"/>
    <sheet name="2020 Model (wo Increase)" sheetId="3" r:id="rId4"/>
  </sheets>
  <externalReferences>
    <externalReference r:id="rId5"/>
    <externalReference r:id="rId6"/>
    <externalReference r:id="rId7"/>
    <externalReference r:id="rId8"/>
  </externalReferences>
  <definedNames>
    <definedName name="\P" localSheetId="2">#REF!</definedName>
    <definedName name="\P" localSheetId="3">#REF!</definedName>
    <definedName name="\P" localSheetId="1">#REF!</definedName>
    <definedName name="\P">#REF!</definedName>
    <definedName name="_1__123Graph_ECHART_11" localSheetId="2" hidden="1">'[1]WORK CAP'!#REF!</definedName>
    <definedName name="_1__123Graph_ECHART_11" localSheetId="3" hidden="1">'[1]WORK CAP'!#REF!</definedName>
    <definedName name="_1__123Graph_ECHART_11" localSheetId="1" hidden="1">'[1]WORK CAP'!#REF!</definedName>
    <definedName name="_1__123Graph_ECHART_11" hidden="1">'[1]WORK CAP'!#REF!</definedName>
    <definedName name="_1998PT1" localSheetId="2">#REF!</definedName>
    <definedName name="_1998PT1" localSheetId="3">#REF!</definedName>
    <definedName name="_1998PT1" localSheetId="1">#REF!</definedName>
    <definedName name="_1998PT1">#REF!</definedName>
    <definedName name="_1998PT2" localSheetId="2">#REF!</definedName>
    <definedName name="_1998PT2" localSheetId="3">#REF!</definedName>
    <definedName name="_1998PT2" localSheetId="1">#REF!</definedName>
    <definedName name="_1998PT2">#REF!</definedName>
    <definedName name="_2__123Graph_ECHART_6" localSheetId="2" hidden="1">'[1]WORK CAP'!#REF!</definedName>
    <definedName name="_2__123Graph_ECHART_6" localSheetId="3" hidden="1">'[1]WORK CAP'!#REF!</definedName>
    <definedName name="_2__123Graph_ECHART_6" localSheetId="1" hidden="1">'[1]WORK CAP'!#REF!</definedName>
    <definedName name="_2__123Graph_ECHART_6" hidden="1">'[1]WORK CAP'!#REF!</definedName>
    <definedName name="ADC_Table">'[2]Stats Spread'!$B$19:$Z$23</definedName>
    <definedName name="ALL" localSheetId="2">#REF!</definedName>
    <definedName name="ALL" localSheetId="3">#REF!</definedName>
    <definedName name="ALL" localSheetId="1">#REF!</definedName>
    <definedName name="ALL">#REF!</definedName>
    <definedName name="B" localSheetId="2">#REF!</definedName>
    <definedName name="B" localSheetId="3">#REF!</definedName>
    <definedName name="B" localSheetId="1">#REF!</definedName>
    <definedName name="B">#REF!</definedName>
    <definedName name="CT_SCANS_Bud">'[2]Stats Spread'!$B$73:$Z$73</definedName>
    <definedName name="Curr_Bud_Spread">'[3]P&amp;L Budget Spread'!$B$9:$N$62</definedName>
    <definedName name="Discharge_Table">'[2]Stats Spread'!$B$28:$Z$32</definedName>
    <definedName name="ER_VISITS_Bud">'[2]Stats Spread'!$B$55:$Z$55</definedName>
    <definedName name="FINAL" localSheetId="2">#REF!</definedName>
    <definedName name="FINAL" localSheetId="3">#REF!</definedName>
    <definedName name="FINAL" localSheetId="1">#REF!</definedName>
    <definedName name="FINAL">#REF!</definedName>
    <definedName name="HEADER1" localSheetId="2">#REF!</definedName>
    <definedName name="HEADER1" localSheetId="3">#REF!</definedName>
    <definedName name="HEADER1" localSheetId="1">#REF!</definedName>
    <definedName name="HEADER1">#REF!</definedName>
    <definedName name="HEADER2" localSheetId="2">#REF!</definedName>
    <definedName name="HEADER2" localSheetId="3">#REF!</definedName>
    <definedName name="HEADER2" localSheetId="1">#REF!</definedName>
    <definedName name="HEADER2">#REF!</definedName>
    <definedName name="indemdata" localSheetId="2">#REF!</definedName>
    <definedName name="indemdata" localSheetId="3">#REF!</definedName>
    <definedName name="indemdata" localSheetId="1">#REF!</definedName>
    <definedName name="indemdata">#REF!</definedName>
    <definedName name="IP_Surg_Bud">'[2]Stats Spread'!$B$57:$Z$57</definedName>
    <definedName name="LAB_TESTS_Bud">'[2]Stats Spread'!$B$61:$Z$61</definedName>
    <definedName name="LOS_Acute">'[2]Stats Spread'!$C$37</definedName>
    <definedName name="LOS_Rehab">'[2]Stats Spread'!$C$39</definedName>
    <definedName name="LOS_TCU">'[2]Stats Spread'!$C$38</definedName>
    <definedName name="LOS_Total" localSheetId="2">'[2]Stats Spread'!#REF!</definedName>
    <definedName name="LOS_Total" localSheetId="3">'[2]Stats Spread'!#REF!</definedName>
    <definedName name="LOS_Total" localSheetId="1">'[2]Stats Spread'!#REF!</definedName>
    <definedName name="LOS_Total">'[2]Stats Spread'!#REF!</definedName>
    <definedName name="Nbr_Mths">'[2]P&amp;L'!$I$92</definedName>
    <definedName name="OP_Surg_Bud">'[2]Stats Spread'!$B$59:$Z$59</definedName>
    <definedName name="PD_Table">'[2]Stats Spread'!$B$12:$Z$16</definedName>
    <definedName name="Pr_year_mthly">'[3]Prior Yr Data'!$B$10:$O$64</definedName>
    <definedName name="PRICE" localSheetId="2">#REF!</definedName>
    <definedName name="PRICE" localSheetId="3">#REF!</definedName>
    <definedName name="PRICE" localSheetId="1">#REF!</definedName>
    <definedName name="PRICE">#REF!</definedName>
    <definedName name="_xlnm.Print_Area" localSheetId="0">Sheet1!$B$2:$H$19</definedName>
    <definedName name="tvhpdata" localSheetId="2">#REF!</definedName>
    <definedName name="tvhpdata" localSheetId="3">#REF!</definedName>
    <definedName name="tvhpdata" localSheetId="1">#REF!</definedName>
    <definedName name="tvhpdata">#REF!</definedName>
    <definedName name="ULTRASOUND_Bud">'[2]Stats Spread'!$B$75:$Z$75</definedName>
    <definedName name="URG_CARE_Vis_Bud">'[2]Stats Spread'!$B$77:$Z$77</definedName>
    <definedName name="vhpdata" localSheetId="2">#REF!</definedName>
    <definedName name="vhpdata" localSheetId="3">#REF!</definedName>
    <definedName name="vhpdata" localSheetId="1">#REF!</definedName>
    <definedName name="vhpdata">#REF!</definedName>
    <definedName name="Xray_Tests_Bud">'[2]Stats Spread'!$B$63:$Z$63</definedName>
    <definedName name="YTD_Bud_Spread">'[3]P&amp;L Budget Spread'!$Q$9:$AC$62</definedName>
    <definedName name="YTD_Pr_Yr_Spread">'[3]Prior Yr Data'!$Q$10:$AC$66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9" i="6" l="1"/>
  <c r="I84" i="6"/>
  <c r="I60" i="6"/>
  <c r="I47" i="6"/>
  <c r="S119" i="6"/>
  <c r="S118" i="6"/>
  <c r="S117" i="6"/>
  <c r="S116" i="6"/>
  <c r="S115" i="6"/>
  <c r="S114" i="6"/>
  <c r="S113" i="6"/>
  <c r="S112" i="6"/>
  <c r="S111" i="6"/>
  <c r="S110" i="6"/>
  <c r="S109" i="6"/>
  <c r="S108" i="6"/>
  <c r="S107" i="6"/>
  <c r="S106" i="6"/>
  <c r="S105" i="6"/>
  <c r="S104" i="6"/>
  <c r="S103" i="6"/>
  <c r="S102" i="6"/>
  <c r="S101" i="6"/>
  <c r="S100" i="6"/>
  <c r="S99" i="6"/>
  <c r="S98" i="6"/>
  <c r="S97" i="6"/>
  <c r="S96" i="6"/>
  <c r="S95" i="6"/>
  <c r="S94" i="6"/>
  <c r="S93" i="6"/>
  <c r="S92" i="6"/>
  <c r="S91" i="6"/>
  <c r="T119" i="6" s="1"/>
  <c r="U119" i="6" s="1"/>
  <c r="S90" i="6"/>
  <c r="S89" i="6"/>
  <c r="S88" i="6"/>
  <c r="S87" i="6"/>
  <c r="S86" i="6"/>
  <c r="S83" i="6"/>
  <c r="S82" i="6"/>
  <c r="S81" i="6"/>
  <c r="S80" i="6"/>
  <c r="S79" i="6"/>
  <c r="S78" i="6"/>
  <c r="S77" i="6"/>
  <c r="T84" i="6" s="1"/>
  <c r="U84" i="6" s="1"/>
  <c r="D17" i="1" s="1"/>
  <c r="S76" i="6"/>
  <c r="S75" i="6"/>
  <c r="S74" i="6"/>
  <c r="S59" i="6"/>
  <c r="S58" i="6"/>
  <c r="S57" i="6"/>
  <c r="S56" i="6"/>
  <c r="S55" i="6"/>
  <c r="S54" i="6"/>
  <c r="S53" i="6"/>
  <c r="S52" i="6"/>
  <c r="S51" i="6"/>
  <c r="S50" i="6"/>
  <c r="S49" i="6"/>
  <c r="T60" i="6" s="1"/>
  <c r="U60" i="6" s="1"/>
  <c r="D16" i="1" s="1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T47" i="6" s="1"/>
  <c r="U47" i="6" s="1"/>
  <c r="D11" i="1" s="1"/>
  <c r="S10" i="6"/>
  <c r="S11" i="6"/>
  <c r="S12" i="6"/>
  <c r="S13" i="6"/>
  <c r="S14" i="6"/>
  <c r="S15" i="6"/>
  <c r="S16" i="6"/>
  <c r="S17" i="6"/>
  <c r="S18" i="6"/>
  <c r="S19" i="6"/>
  <c r="S8" i="6"/>
  <c r="S9" i="6"/>
  <c r="S7" i="6"/>
  <c r="S120" i="6" s="1"/>
  <c r="U120" i="6" s="1"/>
  <c r="D18" i="1" s="1"/>
  <c r="I22" i="6"/>
  <c r="BE167" i="3"/>
  <c r="BE159" i="3"/>
  <c r="BF159" i="3" s="1"/>
  <c r="BG159" i="3" s="1"/>
  <c r="BH159" i="3" s="1"/>
  <c r="BI159" i="3" s="1"/>
  <c r="BF145" i="3"/>
  <c r="AY143" i="3"/>
  <c r="AW143" i="3" s="1"/>
  <c r="AV138" i="3"/>
  <c r="AW132" i="3"/>
  <c r="AW131" i="3"/>
  <c r="P121" i="3"/>
  <c r="F119" i="3"/>
  <c r="H119" i="3" s="1"/>
  <c r="J119" i="3" s="1"/>
  <c r="M119" i="3" s="1"/>
  <c r="P119" i="3" s="1"/>
  <c r="B119" i="3"/>
  <c r="A119" i="3"/>
  <c r="BK119" i="3" s="1"/>
  <c r="AI118" i="3"/>
  <c r="AH118" i="3"/>
  <c r="AG118" i="3"/>
  <c r="AF118" i="3"/>
  <c r="F118" i="3"/>
  <c r="H118" i="3" s="1"/>
  <c r="J118" i="3" s="1"/>
  <c r="M118" i="3" s="1"/>
  <c r="P118" i="3" s="1"/>
  <c r="B118" i="3"/>
  <c r="A118" i="3"/>
  <c r="BK118" i="3" s="1"/>
  <c r="AI117" i="3"/>
  <c r="AH117" i="3"/>
  <c r="AG117" i="3"/>
  <c r="AF117" i="3"/>
  <c r="F117" i="3"/>
  <c r="H117" i="3" s="1"/>
  <c r="J117" i="3" s="1"/>
  <c r="M117" i="3" s="1"/>
  <c r="P117" i="3" s="1"/>
  <c r="B117" i="3"/>
  <c r="A117" i="3"/>
  <c r="BK117" i="3" s="1"/>
  <c r="BK116" i="3"/>
  <c r="AI116" i="3"/>
  <c r="AH116" i="3"/>
  <c r="AG116" i="3"/>
  <c r="AF116" i="3"/>
  <c r="F116" i="3"/>
  <c r="H116" i="3" s="1"/>
  <c r="J116" i="3" s="1"/>
  <c r="M116" i="3" s="1"/>
  <c r="P116" i="3" s="1"/>
  <c r="B116" i="3"/>
  <c r="A116" i="3"/>
  <c r="BK115" i="3"/>
  <c r="AI115" i="3"/>
  <c r="AH115" i="3"/>
  <c r="AG115" i="3"/>
  <c r="AF115" i="3"/>
  <c r="V115" i="3"/>
  <c r="U115" i="3"/>
  <c r="T115" i="3"/>
  <c r="S115" i="3"/>
  <c r="R115" i="3"/>
  <c r="O115" i="3"/>
  <c r="I115" i="3"/>
  <c r="F115" i="3"/>
  <c r="H115" i="3" s="1"/>
  <c r="J115" i="3" s="1"/>
  <c r="M115" i="3" s="1"/>
  <c r="B115" i="3"/>
  <c r="A115" i="3"/>
  <c r="AI114" i="3"/>
  <c r="AH114" i="3"/>
  <c r="AG114" i="3"/>
  <c r="AF114" i="3"/>
  <c r="V114" i="3"/>
  <c r="U114" i="3"/>
  <c r="T114" i="3"/>
  <c r="S114" i="3"/>
  <c r="R114" i="3"/>
  <c r="O114" i="3"/>
  <c r="I114" i="3"/>
  <c r="F114" i="3"/>
  <c r="H114" i="3" s="1"/>
  <c r="J114" i="3" s="1"/>
  <c r="M114" i="3" s="1"/>
  <c r="B114" i="3"/>
  <c r="A114" i="3"/>
  <c r="BK114" i="3" s="1"/>
  <c r="AI113" i="3"/>
  <c r="AH113" i="3"/>
  <c r="AG113" i="3"/>
  <c r="AF113" i="3"/>
  <c r="J113" i="3"/>
  <c r="M113" i="3" s="1"/>
  <c r="P113" i="3" s="1"/>
  <c r="F113" i="3"/>
  <c r="B113" i="3"/>
  <c r="A113" i="3"/>
  <c r="AI112" i="3"/>
  <c r="AH112" i="3"/>
  <c r="AG112" i="3"/>
  <c r="AF112" i="3"/>
  <c r="O112" i="3"/>
  <c r="I112" i="3"/>
  <c r="F112" i="3"/>
  <c r="H112" i="3" s="1"/>
  <c r="B112" i="3"/>
  <c r="A112" i="3"/>
  <c r="BK112" i="3" s="1"/>
  <c r="AI111" i="3"/>
  <c r="AH111" i="3"/>
  <c r="AG111" i="3"/>
  <c r="AF111" i="3"/>
  <c r="V111" i="3"/>
  <c r="U111" i="3"/>
  <c r="T111" i="3"/>
  <c r="S111" i="3"/>
  <c r="R111" i="3"/>
  <c r="O111" i="3"/>
  <c r="I111" i="3"/>
  <c r="J111" i="3" s="1"/>
  <c r="M111" i="3" s="1"/>
  <c r="F111" i="3"/>
  <c r="H111" i="3" s="1"/>
  <c r="B111" i="3"/>
  <c r="A111" i="3"/>
  <c r="BK111" i="3" s="1"/>
  <c r="AI110" i="3"/>
  <c r="AH110" i="3"/>
  <c r="AG110" i="3"/>
  <c r="AF110" i="3"/>
  <c r="F110" i="3"/>
  <c r="H110" i="3" s="1"/>
  <c r="J110" i="3" s="1"/>
  <c r="M110" i="3" s="1"/>
  <c r="P110" i="3" s="1"/>
  <c r="B110" i="3"/>
  <c r="A110" i="3"/>
  <c r="BK110" i="3" s="1"/>
  <c r="AI109" i="3"/>
  <c r="AH109" i="3"/>
  <c r="AG109" i="3"/>
  <c r="AF109" i="3"/>
  <c r="V109" i="3"/>
  <c r="U109" i="3"/>
  <c r="T109" i="3"/>
  <c r="S109" i="3"/>
  <c r="R109" i="3"/>
  <c r="P109" i="3"/>
  <c r="M109" i="3"/>
  <c r="H109" i="3"/>
  <c r="F109" i="3"/>
  <c r="B109" i="3"/>
  <c r="A109" i="3"/>
  <c r="BK109" i="3" s="1"/>
  <c r="AI108" i="3"/>
  <c r="AH108" i="3"/>
  <c r="AG108" i="3"/>
  <c r="AF108" i="3"/>
  <c r="U108" i="3"/>
  <c r="T108" i="3"/>
  <c r="S108" i="3"/>
  <c r="R108" i="3"/>
  <c r="O108" i="3"/>
  <c r="I108" i="3"/>
  <c r="F108" i="3"/>
  <c r="H108" i="3" s="1"/>
  <c r="J108" i="3" s="1"/>
  <c r="M108" i="3" s="1"/>
  <c r="B108" i="3"/>
  <c r="A108" i="3"/>
  <c r="AI107" i="3"/>
  <c r="AH107" i="3"/>
  <c r="AG107" i="3"/>
  <c r="AF107" i="3"/>
  <c r="V107" i="3"/>
  <c r="U107" i="3"/>
  <c r="T107" i="3"/>
  <c r="S107" i="3"/>
  <c r="R107" i="3"/>
  <c r="O107" i="3"/>
  <c r="I107" i="3"/>
  <c r="F107" i="3"/>
  <c r="H107" i="3" s="1"/>
  <c r="B107" i="3"/>
  <c r="A107" i="3"/>
  <c r="AI106" i="3"/>
  <c r="AH106" i="3"/>
  <c r="AG106" i="3"/>
  <c r="AF106" i="3"/>
  <c r="V106" i="3"/>
  <c r="U106" i="3"/>
  <c r="T106" i="3"/>
  <c r="S106" i="3"/>
  <c r="R106" i="3"/>
  <c r="O106" i="3"/>
  <c r="I106" i="3"/>
  <c r="F106" i="3"/>
  <c r="H106" i="3" s="1"/>
  <c r="J106" i="3" s="1"/>
  <c r="M106" i="3" s="1"/>
  <c r="B106" i="3"/>
  <c r="A106" i="3"/>
  <c r="AI105" i="3"/>
  <c r="AH105" i="3"/>
  <c r="AG105" i="3"/>
  <c r="AF105" i="3"/>
  <c r="W105" i="3"/>
  <c r="O105" i="3"/>
  <c r="I105" i="3"/>
  <c r="F105" i="3"/>
  <c r="H105" i="3" s="1"/>
  <c r="J105" i="3" s="1"/>
  <c r="M105" i="3" s="1"/>
  <c r="B105" i="3"/>
  <c r="A105" i="3"/>
  <c r="BK105" i="3" s="1"/>
  <c r="AI104" i="3"/>
  <c r="AH104" i="3"/>
  <c r="AG104" i="3"/>
  <c r="AF104" i="3"/>
  <c r="V104" i="3"/>
  <c r="U104" i="3"/>
  <c r="T104" i="3"/>
  <c r="S104" i="3"/>
  <c r="W104" i="3" s="1"/>
  <c r="R104" i="3"/>
  <c r="O104" i="3"/>
  <c r="I104" i="3"/>
  <c r="F104" i="3"/>
  <c r="H104" i="3" s="1"/>
  <c r="J104" i="3" s="1"/>
  <c r="M104" i="3" s="1"/>
  <c r="B104" i="3"/>
  <c r="A104" i="3"/>
  <c r="BK104" i="3" s="1"/>
  <c r="AI103" i="3"/>
  <c r="AH103" i="3"/>
  <c r="AG103" i="3"/>
  <c r="AF103" i="3"/>
  <c r="W103" i="3"/>
  <c r="F103" i="3"/>
  <c r="H103" i="3" s="1"/>
  <c r="J103" i="3" s="1"/>
  <c r="M103" i="3" s="1"/>
  <c r="P103" i="3" s="1"/>
  <c r="B103" i="3"/>
  <c r="A103" i="3"/>
  <c r="AI102" i="3"/>
  <c r="AH102" i="3"/>
  <c r="AG102" i="3"/>
  <c r="AF102" i="3"/>
  <c r="V102" i="3"/>
  <c r="U102" i="3"/>
  <c r="T102" i="3"/>
  <c r="S102" i="3"/>
  <c r="R102" i="3"/>
  <c r="O102" i="3"/>
  <c r="I102" i="3"/>
  <c r="F102" i="3"/>
  <c r="H102" i="3" s="1"/>
  <c r="J102" i="3" s="1"/>
  <c r="M102" i="3" s="1"/>
  <c r="B102" i="3"/>
  <c r="A102" i="3"/>
  <c r="BK102" i="3" s="1"/>
  <c r="AI101" i="3"/>
  <c r="AH101" i="3"/>
  <c r="AG101" i="3"/>
  <c r="AF101" i="3"/>
  <c r="V101" i="3"/>
  <c r="U101" i="3"/>
  <c r="T101" i="3"/>
  <c r="S101" i="3"/>
  <c r="R101" i="3"/>
  <c r="O101" i="3"/>
  <c r="I101" i="3"/>
  <c r="F101" i="3"/>
  <c r="H101" i="3" s="1"/>
  <c r="J101" i="3" s="1"/>
  <c r="M101" i="3" s="1"/>
  <c r="P101" i="3" s="1"/>
  <c r="B101" i="3"/>
  <c r="A101" i="3"/>
  <c r="AI100" i="3"/>
  <c r="AH100" i="3"/>
  <c r="AG100" i="3"/>
  <c r="AF100" i="3"/>
  <c r="V100" i="3"/>
  <c r="U100" i="3"/>
  <c r="T100" i="3"/>
  <c r="S100" i="3"/>
  <c r="R100" i="3"/>
  <c r="O100" i="3"/>
  <c r="I100" i="3"/>
  <c r="F100" i="3"/>
  <c r="H100" i="3" s="1"/>
  <c r="B100" i="3"/>
  <c r="A100" i="3"/>
  <c r="BK100" i="3" s="1"/>
  <c r="F99" i="3"/>
  <c r="H99" i="3" s="1"/>
  <c r="J99" i="3" s="1"/>
  <c r="M99" i="3" s="1"/>
  <c r="P99" i="3" s="1"/>
  <c r="B99" i="3"/>
  <c r="BK99" i="3" s="1"/>
  <c r="A99" i="3"/>
  <c r="F98" i="3"/>
  <c r="H98" i="3" s="1"/>
  <c r="J98" i="3" s="1"/>
  <c r="M98" i="3" s="1"/>
  <c r="P98" i="3" s="1"/>
  <c r="B98" i="3"/>
  <c r="A98" i="3"/>
  <c r="BK98" i="3" s="1"/>
  <c r="F97" i="3"/>
  <c r="H97" i="3" s="1"/>
  <c r="J97" i="3" s="1"/>
  <c r="M97" i="3" s="1"/>
  <c r="P97" i="3" s="1"/>
  <c r="Z97" i="3" s="1"/>
  <c r="BE97" i="3" s="1"/>
  <c r="B97" i="3"/>
  <c r="A97" i="3"/>
  <c r="BK97" i="3" s="1"/>
  <c r="F96" i="3"/>
  <c r="H96" i="3" s="1"/>
  <c r="J96" i="3" s="1"/>
  <c r="M96" i="3" s="1"/>
  <c r="P96" i="3" s="1"/>
  <c r="B96" i="3"/>
  <c r="A96" i="3"/>
  <c r="F95" i="3"/>
  <c r="H95" i="3" s="1"/>
  <c r="J95" i="3" s="1"/>
  <c r="M95" i="3" s="1"/>
  <c r="P95" i="3" s="1"/>
  <c r="B95" i="3"/>
  <c r="A95" i="3"/>
  <c r="F94" i="3"/>
  <c r="H94" i="3" s="1"/>
  <c r="J94" i="3" s="1"/>
  <c r="M94" i="3" s="1"/>
  <c r="P94" i="3" s="1"/>
  <c r="BL94" i="3" s="1"/>
  <c r="B94" i="3"/>
  <c r="A94" i="3"/>
  <c r="F93" i="3"/>
  <c r="H93" i="3" s="1"/>
  <c r="J93" i="3" s="1"/>
  <c r="M93" i="3" s="1"/>
  <c r="P93" i="3" s="1"/>
  <c r="B93" i="3"/>
  <c r="A93" i="3"/>
  <c r="F92" i="3"/>
  <c r="H92" i="3" s="1"/>
  <c r="J92" i="3" s="1"/>
  <c r="M92" i="3" s="1"/>
  <c r="P92" i="3" s="1"/>
  <c r="B92" i="3"/>
  <c r="A92" i="3"/>
  <c r="BK92" i="3" s="1"/>
  <c r="AI91" i="3"/>
  <c r="AH91" i="3"/>
  <c r="AG91" i="3"/>
  <c r="AF91" i="3"/>
  <c r="V91" i="3"/>
  <c r="U91" i="3"/>
  <c r="T91" i="3"/>
  <c r="S91" i="3"/>
  <c r="R91" i="3"/>
  <c r="O91" i="3"/>
  <c r="I91" i="3"/>
  <c r="F91" i="3"/>
  <c r="H91" i="3" s="1"/>
  <c r="J91" i="3" s="1"/>
  <c r="M91" i="3" s="1"/>
  <c r="B91" i="3"/>
  <c r="A91" i="3"/>
  <c r="BK91" i="3" s="1"/>
  <c r="BH90" i="3"/>
  <c r="BG90" i="3"/>
  <c r="BF90" i="3"/>
  <c r="BE90" i="3"/>
  <c r="BD90" i="3"/>
  <c r="F90" i="3"/>
  <c r="H90" i="3" s="1"/>
  <c r="J90" i="3" s="1"/>
  <c r="M90" i="3" s="1"/>
  <c r="P90" i="3" s="1"/>
  <c r="BL90" i="3" s="1"/>
  <c r="B90" i="3"/>
  <c r="A90" i="3"/>
  <c r="AI89" i="3"/>
  <c r="AH89" i="3"/>
  <c r="AG89" i="3"/>
  <c r="AF89" i="3"/>
  <c r="V89" i="3"/>
  <c r="U89" i="3"/>
  <c r="T89" i="3"/>
  <c r="S89" i="3"/>
  <c r="R89" i="3"/>
  <c r="O89" i="3"/>
  <c r="I89" i="3"/>
  <c r="F89" i="3"/>
  <c r="H89" i="3" s="1"/>
  <c r="B89" i="3"/>
  <c r="A89" i="3"/>
  <c r="AI88" i="3"/>
  <c r="AH88" i="3"/>
  <c r="AG88" i="3"/>
  <c r="AF88" i="3"/>
  <c r="V88" i="3"/>
  <c r="U88" i="3"/>
  <c r="T88" i="3"/>
  <c r="S88" i="3"/>
  <c r="R88" i="3"/>
  <c r="O88" i="3"/>
  <c r="I88" i="3"/>
  <c r="F88" i="3"/>
  <c r="H88" i="3" s="1"/>
  <c r="J88" i="3" s="1"/>
  <c r="B88" i="3"/>
  <c r="BK88" i="3" s="1"/>
  <c r="A88" i="3"/>
  <c r="BK87" i="3"/>
  <c r="F87" i="3"/>
  <c r="H87" i="3" s="1"/>
  <c r="J87" i="3" s="1"/>
  <c r="M87" i="3" s="1"/>
  <c r="P87" i="3" s="1"/>
  <c r="AC87" i="3" s="1"/>
  <c r="BH87" i="3" s="1"/>
  <c r="B87" i="3"/>
  <c r="A87" i="3"/>
  <c r="AI86" i="3"/>
  <c r="AH86" i="3"/>
  <c r="AG86" i="3"/>
  <c r="AF86" i="3"/>
  <c r="V86" i="3"/>
  <c r="U86" i="3"/>
  <c r="T86" i="3"/>
  <c r="S86" i="3"/>
  <c r="R86" i="3"/>
  <c r="O86" i="3"/>
  <c r="I86" i="3"/>
  <c r="H86" i="3"/>
  <c r="J86" i="3" s="1"/>
  <c r="M86" i="3" s="1"/>
  <c r="F86" i="3"/>
  <c r="B86" i="3"/>
  <c r="A86" i="3"/>
  <c r="BG85" i="3"/>
  <c r="AB85" i="3"/>
  <c r="AA85" i="3"/>
  <c r="BF85" i="3" s="1"/>
  <c r="Y85" i="3"/>
  <c r="F85" i="3"/>
  <c r="H85" i="3" s="1"/>
  <c r="J85" i="3" s="1"/>
  <c r="M85" i="3" s="1"/>
  <c r="Z85" i="3" s="1"/>
  <c r="BE85" i="3" s="1"/>
  <c r="B85" i="3"/>
  <c r="A85" i="3"/>
  <c r="AI84" i="3"/>
  <c r="AH84" i="3"/>
  <c r="AG84" i="3"/>
  <c r="AF84" i="3"/>
  <c r="AB84" i="3"/>
  <c r="BG84" i="3" s="1"/>
  <c r="AA84" i="3"/>
  <c r="BF84" i="3" s="1"/>
  <c r="Y84" i="3"/>
  <c r="BD84" i="3" s="1"/>
  <c r="F84" i="3"/>
  <c r="H84" i="3" s="1"/>
  <c r="J84" i="3" s="1"/>
  <c r="B84" i="3"/>
  <c r="A84" i="3"/>
  <c r="AI83" i="3"/>
  <c r="AH83" i="3"/>
  <c r="AG83" i="3"/>
  <c r="AF83" i="3"/>
  <c r="V83" i="3"/>
  <c r="U83" i="3"/>
  <c r="T83" i="3"/>
  <c r="S83" i="3"/>
  <c r="R83" i="3"/>
  <c r="O83" i="3"/>
  <c r="I83" i="3"/>
  <c r="F83" i="3"/>
  <c r="H83" i="3" s="1"/>
  <c r="J83" i="3" s="1"/>
  <c r="M83" i="3" s="1"/>
  <c r="B83" i="3"/>
  <c r="A83" i="3"/>
  <c r="AI82" i="3"/>
  <c r="AH82" i="3"/>
  <c r="AG82" i="3"/>
  <c r="AF82" i="3"/>
  <c r="V82" i="3"/>
  <c r="U82" i="3"/>
  <c r="T82" i="3"/>
  <c r="S82" i="3"/>
  <c r="R82" i="3"/>
  <c r="O82" i="3"/>
  <c r="J82" i="3"/>
  <c r="M82" i="3" s="1"/>
  <c r="I82" i="3"/>
  <c r="H82" i="3"/>
  <c r="F82" i="3"/>
  <c r="B82" i="3"/>
  <c r="A82" i="3"/>
  <c r="AI81" i="3"/>
  <c r="AH81" i="3"/>
  <c r="AG81" i="3"/>
  <c r="AF81" i="3"/>
  <c r="V81" i="3"/>
  <c r="U81" i="3"/>
  <c r="T81" i="3"/>
  <c r="S81" i="3"/>
  <c r="R81" i="3"/>
  <c r="O81" i="3"/>
  <c r="I81" i="3"/>
  <c r="F81" i="3"/>
  <c r="H81" i="3" s="1"/>
  <c r="J81" i="3" s="1"/>
  <c r="M81" i="3" s="1"/>
  <c r="B81" i="3"/>
  <c r="A81" i="3"/>
  <c r="BK81" i="3" s="1"/>
  <c r="AI80" i="3"/>
  <c r="AH80" i="3"/>
  <c r="AG80" i="3"/>
  <c r="AF80" i="3"/>
  <c r="V80" i="3"/>
  <c r="U80" i="3"/>
  <c r="T80" i="3"/>
  <c r="S80" i="3"/>
  <c r="R80" i="3"/>
  <c r="O80" i="3"/>
  <c r="I80" i="3"/>
  <c r="F80" i="3"/>
  <c r="H80" i="3" s="1"/>
  <c r="J80" i="3" s="1"/>
  <c r="M80" i="3" s="1"/>
  <c r="P80" i="3" s="1"/>
  <c r="AB80" i="3" s="1"/>
  <c r="B80" i="3"/>
  <c r="A80" i="3"/>
  <c r="BK80" i="3" s="1"/>
  <c r="AI79" i="3"/>
  <c r="AH79" i="3"/>
  <c r="AG79" i="3"/>
  <c r="AF79" i="3"/>
  <c r="V79" i="3"/>
  <c r="U79" i="3"/>
  <c r="T79" i="3"/>
  <c r="S79" i="3"/>
  <c r="R79" i="3"/>
  <c r="O79" i="3"/>
  <c r="I79" i="3"/>
  <c r="F79" i="3"/>
  <c r="H79" i="3" s="1"/>
  <c r="J79" i="3" s="1"/>
  <c r="M79" i="3" s="1"/>
  <c r="B79" i="3"/>
  <c r="A79" i="3"/>
  <c r="AI78" i="3"/>
  <c r="AH78" i="3"/>
  <c r="AG78" i="3"/>
  <c r="AF78" i="3"/>
  <c r="V78" i="3"/>
  <c r="U78" i="3"/>
  <c r="T78" i="3"/>
  <c r="S78" i="3"/>
  <c r="R78" i="3"/>
  <c r="O78" i="3"/>
  <c r="I78" i="3"/>
  <c r="F78" i="3"/>
  <c r="H78" i="3" s="1"/>
  <c r="J78" i="3" s="1"/>
  <c r="M78" i="3" s="1"/>
  <c r="B78" i="3"/>
  <c r="A78" i="3"/>
  <c r="BK78" i="3" s="1"/>
  <c r="AI77" i="3"/>
  <c r="AH77" i="3"/>
  <c r="AG77" i="3"/>
  <c r="AF77" i="3"/>
  <c r="V77" i="3"/>
  <c r="U77" i="3"/>
  <c r="T77" i="3"/>
  <c r="S77" i="3"/>
  <c r="R77" i="3"/>
  <c r="O77" i="3"/>
  <c r="I77" i="3"/>
  <c r="H77" i="3"/>
  <c r="J77" i="3" s="1"/>
  <c r="M77" i="3" s="1"/>
  <c r="F77" i="3"/>
  <c r="B77" i="3"/>
  <c r="A77" i="3"/>
  <c r="BK76" i="3"/>
  <c r="AY76" i="3"/>
  <c r="AI76" i="3"/>
  <c r="AH76" i="3"/>
  <c r="AG76" i="3"/>
  <c r="AF76" i="3"/>
  <c r="V76" i="3"/>
  <c r="U76" i="3"/>
  <c r="T76" i="3"/>
  <c r="S76" i="3"/>
  <c r="R76" i="3"/>
  <c r="W76" i="3" s="1"/>
  <c r="O76" i="3"/>
  <c r="I76" i="3"/>
  <c r="F76" i="3"/>
  <c r="H76" i="3" s="1"/>
  <c r="B76" i="3"/>
  <c r="A76" i="3"/>
  <c r="AI75" i="3"/>
  <c r="AH75" i="3"/>
  <c r="AG75" i="3"/>
  <c r="AF75" i="3"/>
  <c r="V75" i="3"/>
  <c r="U75" i="3"/>
  <c r="T75" i="3"/>
  <c r="S75" i="3"/>
  <c r="R75" i="3"/>
  <c r="O75" i="3"/>
  <c r="I75" i="3"/>
  <c r="H75" i="3"/>
  <c r="F75" i="3"/>
  <c r="B75" i="3"/>
  <c r="A75" i="3"/>
  <c r="BF74" i="3"/>
  <c r="AI74" i="3"/>
  <c r="AH74" i="3"/>
  <c r="AG74" i="3"/>
  <c r="AF74" i="3"/>
  <c r="AB74" i="3"/>
  <c r="BG74" i="3" s="1"/>
  <c r="AA74" i="3"/>
  <c r="Y74" i="3"/>
  <c r="BD74" i="3" s="1"/>
  <c r="F74" i="3"/>
  <c r="H74" i="3" s="1"/>
  <c r="J74" i="3" s="1"/>
  <c r="M74" i="3" s="1"/>
  <c r="B74" i="3"/>
  <c r="A74" i="3"/>
  <c r="BK74" i="3" s="1"/>
  <c r="AB73" i="3"/>
  <c r="BG73" i="3" s="1"/>
  <c r="AA73" i="3"/>
  <c r="BF73" i="3" s="1"/>
  <c r="Y73" i="3"/>
  <c r="BD73" i="3" s="1"/>
  <c r="H73" i="3"/>
  <c r="J73" i="3" s="1"/>
  <c r="M73" i="3" s="1"/>
  <c r="F73" i="3"/>
  <c r="B73" i="3"/>
  <c r="A73" i="3"/>
  <c r="BG72" i="3"/>
  <c r="BD72" i="3"/>
  <c r="AB72" i="3"/>
  <c r="AA72" i="3"/>
  <c r="BF72" i="3" s="1"/>
  <c r="Y72" i="3"/>
  <c r="F72" i="3"/>
  <c r="H72" i="3" s="1"/>
  <c r="J72" i="3" s="1"/>
  <c r="M72" i="3" s="1"/>
  <c r="Z72" i="3" s="1"/>
  <c r="B72" i="3"/>
  <c r="A72" i="3"/>
  <c r="BK72" i="3" s="1"/>
  <c r="BG71" i="3"/>
  <c r="BF71" i="3"/>
  <c r="BD71" i="3"/>
  <c r="AB71" i="3"/>
  <c r="AA71" i="3"/>
  <c r="Y71" i="3"/>
  <c r="F71" i="3"/>
  <c r="H71" i="3" s="1"/>
  <c r="J71" i="3" s="1"/>
  <c r="M71" i="3" s="1"/>
  <c r="Z71" i="3" s="1"/>
  <c r="BE71" i="3" s="1"/>
  <c r="B71" i="3"/>
  <c r="A71" i="3"/>
  <c r="BK71" i="3" s="1"/>
  <c r="V70" i="3"/>
  <c r="U70" i="3"/>
  <c r="T70" i="3"/>
  <c r="S70" i="3"/>
  <c r="R70" i="3"/>
  <c r="O70" i="3"/>
  <c r="I70" i="3"/>
  <c r="F70" i="3"/>
  <c r="H70" i="3" s="1"/>
  <c r="B70" i="3"/>
  <c r="BK70" i="3" s="1"/>
  <c r="A70" i="3"/>
  <c r="BH69" i="3"/>
  <c r="BI69" i="3" s="1"/>
  <c r="BG69" i="3"/>
  <c r="BF69" i="3"/>
  <c r="BE69" i="3"/>
  <c r="BD69" i="3"/>
  <c r="AD69" i="3"/>
  <c r="F69" i="3"/>
  <c r="H69" i="3" s="1"/>
  <c r="J69" i="3" s="1"/>
  <c r="M69" i="3" s="1"/>
  <c r="P69" i="3" s="1"/>
  <c r="B69" i="3"/>
  <c r="A69" i="3"/>
  <c r="BK69" i="3" s="1"/>
  <c r="BH68" i="3"/>
  <c r="BG68" i="3"/>
  <c r="BF68" i="3"/>
  <c r="BE68" i="3"/>
  <c r="BD68" i="3"/>
  <c r="AD68" i="3"/>
  <c r="F68" i="3"/>
  <c r="H68" i="3" s="1"/>
  <c r="J68" i="3" s="1"/>
  <c r="M68" i="3" s="1"/>
  <c r="P68" i="3" s="1"/>
  <c r="BL68" i="3" s="1"/>
  <c r="B68" i="3"/>
  <c r="A68" i="3"/>
  <c r="BH67" i="3"/>
  <c r="BG67" i="3"/>
  <c r="BF67" i="3"/>
  <c r="BE67" i="3"/>
  <c r="BD67" i="3"/>
  <c r="AD67" i="3"/>
  <c r="F67" i="3"/>
  <c r="H67" i="3" s="1"/>
  <c r="J67" i="3" s="1"/>
  <c r="M67" i="3" s="1"/>
  <c r="P67" i="3" s="1"/>
  <c r="B67" i="3"/>
  <c r="A67" i="3"/>
  <c r="BK67" i="3" s="1"/>
  <c r="BH66" i="3"/>
  <c r="BG66" i="3"/>
  <c r="BF66" i="3"/>
  <c r="BE66" i="3"/>
  <c r="BD66" i="3"/>
  <c r="AD66" i="3"/>
  <c r="F66" i="3"/>
  <c r="H66" i="3" s="1"/>
  <c r="J66" i="3" s="1"/>
  <c r="M66" i="3" s="1"/>
  <c r="P66" i="3" s="1"/>
  <c r="B66" i="3"/>
  <c r="A66" i="3"/>
  <c r="BI65" i="3"/>
  <c r="BH65" i="3"/>
  <c r="BG65" i="3"/>
  <c r="BF65" i="3"/>
  <c r="BE65" i="3"/>
  <c r="BD65" i="3"/>
  <c r="AD65" i="3"/>
  <c r="J65" i="3"/>
  <c r="M65" i="3" s="1"/>
  <c r="P65" i="3" s="1"/>
  <c r="F65" i="3"/>
  <c r="H65" i="3" s="1"/>
  <c r="B65" i="3"/>
  <c r="A65" i="3"/>
  <c r="BH64" i="3"/>
  <c r="BG64" i="3"/>
  <c r="BF64" i="3"/>
  <c r="BE64" i="3"/>
  <c r="BD64" i="3"/>
  <c r="AD64" i="3"/>
  <c r="F64" i="3"/>
  <c r="H64" i="3" s="1"/>
  <c r="J64" i="3" s="1"/>
  <c r="M64" i="3" s="1"/>
  <c r="P64" i="3" s="1"/>
  <c r="BL64" i="3" s="1"/>
  <c r="B64" i="3"/>
  <c r="A64" i="3"/>
  <c r="BK64" i="3" s="1"/>
  <c r="BH63" i="3"/>
  <c r="BG63" i="3"/>
  <c r="BF63" i="3"/>
  <c r="BE63" i="3"/>
  <c r="BD63" i="3"/>
  <c r="AD63" i="3"/>
  <c r="F63" i="3"/>
  <c r="H63" i="3" s="1"/>
  <c r="J63" i="3" s="1"/>
  <c r="M63" i="3" s="1"/>
  <c r="P63" i="3" s="1"/>
  <c r="B63" i="3"/>
  <c r="A63" i="3"/>
  <c r="BK63" i="3" s="1"/>
  <c r="BH62" i="3"/>
  <c r="BG62" i="3"/>
  <c r="BF62" i="3"/>
  <c r="BE62" i="3"/>
  <c r="BD62" i="3"/>
  <c r="AD62" i="3"/>
  <c r="J62" i="3"/>
  <c r="M62" i="3" s="1"/>
  <c r="P62" i="3" s="1"/>
  <c r="AE62" i="3" s="1"/>
  <c r="F62" i="3"/>
  <c r="H62" i="3" s="1"/>
  <c r="B62" i="3"/>
  <c r="A62" i="3"/>
  <c r="BH61" i="3"/>
  <c r="BG61" i="3"/>
  <c r="BF61" i="3"/>
  <c r="BE61" i="3"/>
  <c r="BD61" i="3"/>
  <c r="BI61" i="3" s="1"/>
  <c r="AD61" i="3"/>
  <c r="F61" i="3"/>
  <c r="H61" i="3" s="1"/>
  <c r="J61" i="3" s="1"/>
  <c r="M61" i="3" s="1"/>
  <c r="P61" i="3" s="1"/>
  <c r="B61" i="3"/>
  <c r="A61" i="3"/>
  <c r="BH60" i="3"/>
  <c r="BG60" i="3"/>
  <c r="BF60" i="3"/>
  <c r="BE60" i="3"/>
  <c r="BD60" i="3"/>
  <c r="BI60" i="3" s="1"/>
  <c r="AD60" i="3"/>
  <c r="F60" i="3"/>
  <c r="H60" i="3" s="1"/>
  <c r="J60" i="3" s="1"/>
  <c r="M60" i="3" s="1"/>
  <c r="P60" i="3" s="1"/>
  <c r="B60" i="3"/>
  <c r="A60" i="3"/>
  <c r="BK60" i="3" s="1"/>
  <c r="AI59" i="3"/>
  <c r="AH59" i="3"/>
  <c r="AG59" i="3"/>
  <c r="AF59" i="3"/>
  <c r="V59" i="3"/>
  <c r="U59" i="3"/>
  <c r="T59" i="3"/>
  <c r="S59" i="3"/>
  <c r="R59" i="3"/>
  <c r="O59" i="3"/>
  <c r="I59" i="3"/>
  <c r="H59" i="3"/>
  <c r="J59" i="3" s="1"/>
  <c r="M59" i="3" s="1"/>
  <c r="P59" i="3" s="1"/>
  <c r="F59" i="3"/>
  <c r="B59" i="3"/>
  <c r="A59" i="3"/>
  <c r="AI58" i="3"/>
  <c r="AH58" i="3"/>
  <c r="AG58" i="3"/>
  <c r="AF58" i="3"/>
  <c r="V58" i="3"/>
  <c r="U58" i="3"/>
  <c r="T58" i="3"/>
  <c r="S58" i="3"/>
  <c r="R58" i="3"/>
  <c r="O58" i="3"/>
  <c r="I58" i="3"/>
  <c r="F58" i="3"/>
  <c r="H58" i="3" s="1"/>
  <c r="J58" i="3" s="1"/>
  <c r="M58" i="3" s="1"/>
  <c r="B58" i="3"/>
  <c r="A58" i="3"/>
  <c r="BK58" i="3" s="1"/>
  <c r="AI57" i="3"/>
  <c r="AH57" i="3"/>
  <c r="AG57" i="3"/>
  <c r="AF57" i="3"/>
  <c r="V57" i="3"/>
  <c r="U57" i="3"/>
  <c r="T57" i="3"/>
  <c r="S57" i="3"/>
  <c r="R57" i="3"/>
  <c r="O57" i="3"/>
  <c r="I57" i="3"/>
  <c r="F57" i="3"/>
  <c r="H57" i="3" s="1"/>
  <c r="J57" i="3" s="1"/>
  <c r="M57" i="3" s="1"/>
  <c r="P57" i="3" s="1"/>
  <c r="B57" i="3"/>
  <c r="A57" i="3"/>
  <c r="AI56" i="3"/>
  <c r="AH56" i="3"/>
  <c r="AG56" i="3"/>
  <c r="AF56" i="3"/>
  <c r="V56" i="3"/>
  <c r="U56" i="3"/>
  <c r="T56" i="3"/>
  <c r="S56" i="3"/>
  <c r="R56" i="3"/>
  <c r="O56" i="3"/>
  <c r="I56" i="3"/>
  <c r="H56" i="3"/>
  <c r="F56" i="3"/>
  <c r="B56" i="3"/>
  <c r="BK56" i="3" s="1"/>
  <c r="A56" i="3"/>
  <c r="AI55" i="3"/>
  <c r="AH55" i="3"/>
  <c r="AG55" i="3"/>
  <c r="AF55" i="3"/>
  <c r="V55" i="3"/>
  <c r="U55" i="3"/>
  <c r="T55" i="3"/>
  <c r="S55" i="3"/>
  <c r="W55" i="3" s="1"/>
  <c r="R55" i="3"/>
  <c r="O55" i="3"/>
  <c r="I55" i="3"/>
  <c r="F55" i="3"/>
  <c r="H55" i="3" s="1"/>
  <c r="J55" i="3" s="1"/>
  <c r="M55" i="3" s="1"/>
  <c r="P55" i="3" s="1"/>
  <c r="B55" i="3"/>
  <c r="A55" i="3"/>
  <c r="BK55" i="3" s="1"/>
  <c r="AI54" i="3"/>
  <c r="AH54" i="3"/>
  <c r="AG54" i="3"/>
  <c r="AF54" i="3"/>
  <c r="V54" i="3"/>
  <c r="U54" i="3"/>
  <c r="T54" i="3"/>
  <c r="S54" i="3"/>
  <c r="R54" i="3"/>
  <c r="O54" i="3"/>
  <c r="I54" i="3"/>
  <c r="F54" i="3"/>
  <c r="H54" i="3" s="1"/>
  <c r="J54" i="3" s="1"/>
  <c r="B54" i="3"/>
  <c r="A54" i="3"/>
  <c r="BK54" i="3" s="1"/>
  <c r="AI53" i="3"/>
  <c r="AH53" i="3"/>
  <c r="AG53" i="3"/>
  <c r="AF53" i="3"/>
  <c r="V53" i="3"/>
  <c r="U53" i="3"/>
  <c r="T53" i="3"/>
  <c r="S53" i="3"/>
  <c r="R53" i="3"/>
  <c r="O53" i="3"/>
  <c r="I53" i="3"/>
  <c r="H53" i="3"/>
  <c r="F53" i="3"/>
  <c r="B53" i="3"/>
  <c r="BK53" i="3" s="1"/>
  <c r="A53" i="3"/>
  <c r="AI52" i="3"/>
  <c r="AH52" i="3"/>
  <c r="AG52" i="3"/>
  <c r="AF52" i="3"/>
  <c r="V52" i="3"/>
  <c r="U52" i="3"/>
  <c r="T52" i="3"/>
  <c r="S52" i="3"/>
  <c r="R52" i="3"/>
  <c r="H52" i="3"/>
  <c r="J52" i="3" s="1"/>
  <c r="M52" i="3" s="1"/>
  <c r="P52" i="3" s="1"/>
  <c r="AA52" i="3" s="1"/>
  <c r="F52" i="3"/>
  <c r="B52" i="3"/>
  <c r="A52" i="3"/>
  <c r="BH51" i="3"/>
  <c r="BG51" i="3"/>
  <c r="BF51" i="3"/>
  <c r="BE51" i="3"/>
  <c r="BD51" i="3"/>
  <c r="AI51" i="3"/>
  <c r="AH51" i="3"/>
  <c r="AG51" i="3"/>
  <c r="AF51" i="3"/>
  <c r="AD51" i="3"/>
  <c r="F51" i="3"/>
  <c r="H51" i="3" s="1"/>
  <c r="J51" i="3" s="1"/>
  <c r="M51" i="3" s="1"/>
  <c r="P51" i="3" s="1"/>
  <c r="B51" i="3"/>
  <c r="A51" i="3"/>
  <c r="BH50" i="3"/>
  <c r="BG50" i="3"/>
  <c r="BF50" i="3"/>
  <c r="BE50" i="3"/>
  <c r="BD50" i="3"/>
  <c r="AD50" i="3"/>
  <c r="H50" i="3"/>
  <c r="J50" i="3" s="1"/>
  <c r="M50" i="3" s="1"/>
  <c r="P50" i="3" s="1"/>
  <c r="F50" i="3"/>
  <c r="B50" i="3"/>
  <c r="BK50" i="3" s="1"/>
  <c r="A50" i="3"/>
  <c r="AI49" i="3"/>
  <c r="AH49" i="3"/>
  <c r="AG49" i="3"/>
  <c r="AF49" i="3"/>
  <c r="V49" i="3"/>
  <c r="U49" i="3"/>
  <c r="T49" i="3"/>
  <c r="S49" i="3"/>
  <c r="R49" i="3"/>
  <c r="O49" i="3"/>
  <c r="I49" i="3"/>
  <c r="F49" i="3"/>
  <c r="H49" i="3" s="1"/>
  <c r="J49" i="3" s="1"/>
  <c r="B49" i="3"/>
  <c r="A49" i="3"/>
  <c r="BH48" i="3"/>
  <c r="BG48" i="3"/>
  <c r="BF48" i="3"/>
  <c r="BE48" i="3"/>
  <c r="BD48" i="3"/>
  <c r="BI48" i="3" s="1"/>
  <c r="AD48" i="3"/>
  <c r="J48" i="3"/>
  <c r="F48" i="3"/>
  <c r="B48" i="3"/>
  <c r="A48" i="3"/>
  <c r="BK48" i="3" s="1"/>
  <c r="BH47" i="3"/>
  <c r="BG47" i="3"/>
  <c r="BF47" i="3"/>
  <c r="BE47" i="3"/>
  <c r="BD47" i="3"/>
  <c r="AD47" i="3"/>
  <c r="F47" i="3"/>
  <c r="H47" i="3" s="1"/>
  <c r="J47" i="3" s="1"/>
  <c r="M47" i="3" s="1"/>
  <c r="P47" i="3" s="1"/>
  <c r="B47" i="3"/>
  <c r="A47" i="3"/>
  <c r="BH46" i="3"/>
  <c r="BG46" i="3"/>
  <c r="BF46" i="3"/>
  <c r="BE46" i="3"/>
  <c r="BD46" i="3"/>
  <c r="AD46" i="3"/>
  <c r="F46" i="3"/>
  <c r="H46" i="3" s="1"/>
  <c r="J46" i="3" s="1"/>
  <c r="M46" i="3" s="1"/>
  <c r="P46" i="3" s="1"/>
  <c r="B46" i="3"/>
  <c r="A46" i="3"/>
  <c r="BK46" i="3" s="1"/>
  <c r="BH45" i="3"/>
  <c r="BG45" i="3"/>
  <c r="BF45" i="3"/>
  <c r="BE45" i="3"/>
  <c r="BD45" i="3"/>
  <c r="AD45" i="3"/>
  <c r="F45" i="3"/>
  <c r="H45" i="3" s="1"/>
  <c r="J45" i="3" s="1"/>
  <c r="M45" i="3" s="1"/>
  <c r="P45" i="3" s="1"/>
  <c r="B45" i="3"/>
  <c r="A45" i="3"/>
  <c r="BH44" i="3"/>
  <c r="BG44" i="3"/>
  <c r="BF44" i="3"/>
  <c r="BE44" i="3"/>
  <c r="BD44" i="3"/>
  <c r="AD44" i="3"/>
  <c r="H44" i="3"/>
  <c r="J44" i="3" s="1"/>
  <c r="M44" i="3" s="1"/>
  <c r="P44" i="3" s="1"/>
  <c r="F44" i="3"/>
  <c r="B44" i="3"/>
  <c r="A44" i="3"/>
  <c r="BH43" i="3"/>
  <c r="BG43" i="3"/>
  <c r="BF43" i="3"/>
  <c r="BE43" i="3"/>
  <c r="BD43" i="3"/>
  <c r="AD43" i="3"/>
  <c r="F43" i="3"/>
  <c r="H43" i="3" s="1"/>
  <c r="J43" i="3" s="1"/>
  <c r="M43" i="3" s="1"/>
  <c r="P43" i="3" s="1"/>
  <c r="BL43" i="3" s="1"/>
  <c r="B43" i="3"/>
  <c r="A43" i="3"/>
  <c r="BH42" i="3"/>
  <c r="BG42" i="3"/>
  <c r="BF42" i="3"/>
  <c r="BE42" i="3"/>
  <c r="BD42" i="3"/>
  <c r="AD42" i="3"/>
  <c r="F42" i="3"/>
  <c r="H42" i="3" s="1"/>
  <c r="J42" i="3" s="1"/>
  <c r="M42" i="3" s="1"/>
  <c r="P42" i="3" s="1"/>
  <c r="B42" i="3"/>
  <c r="A42" i="3"/>
  <c r="BK42" i="3" s="1"/>
  <c r="BH41" i="3"/>
  <c r="BG41" i="3"/>
  <c r="BF41" i="3"/>
  <c r="BE41" i="3"/>
  <c r="BD41" i="3"/>
  <c r="AD41" i="3"/>
  <c r="F41" i="3"/>
  <c r="H41" i="3" s="1"/>
  <c r="J41" i="3" s="1"/>
  <c r="M41" i="3" s="1"/>
  <c r="P41" i="3" s="1"/>
  <c r="B41" i="3"/>
  <c r="A41" i="3"/>
  <c r="BI40" i="3"/>
  <c r="BH40" i="3"/>
  <c r="BG40" i="3"/>
  <c r="BF40" i="3"/>
  <c r="BE40" i="3"/>
  <c r="BD40" i="3"/>
  <c r="AD40" i="3"/>
  <c r="H40" i="3"/>
  <c r="J40" i="3" s="1"/>
  <c r="M40" i="3" s="1"/>
  <c r="P40" i="3" s="1"/>
  <c r="F40" i="3"/>
  <c r="B40" i="3"/>
  <c r="A40" i="3"/>
  <c r="BH39" i="3"/>
  <c r="BG39" i="3"/>
  <c r="BF39" i="3"/>
  <c r="BE39" i="3"/>
  <c r="BD39" i="3"/>
  <c r="AD39" i="3"/>
  <c r="F39" i="3"/>
  <c r="H39" i="3" s="1"/>
  <c r="J39" i="3" s="1"/>
  <c r="M39" i="3" s="1"/>
  <c r="P39" i="3" s="1"/>
  <c r="B39" i="3"/>
  <c r="A39" i="3"/>
  <c r="BH38" i="3"/>
  <c r="BG38" i="3"/>
  <c r="BF38" i="3"/>
  <c r="BE38" i="3"/>
  <c r="BD38" i="3"/>
  <c r="AD38" i="3"/>
  <c r="F38" i="3"/>
  <c r="H38" i="3" s="1"/>
  <c r="J38" i="3" s="1"/>
  <c r="M38" i="3" s="1"/>
  <c r="P38" i="3" s="1"/>
  <c r="B38" i="3"/>
  <c r="A38" i="3"/>
  <c r="BK38" i="3" s="1"/>
  <c r="BH37" i="3"/>
  <c r="BG37" i="3"/>
  <c r="BF37" i="3"/>
  <c r="BE37" i="3"/>
  <c r="BD37" i="3"/>
  <c r="AD37" i="3"/>
  <c r="J37" i="3"/>
  <c r="M37" i="3" s="1"/>
  <c r="P37" i="3" s="1"/>
  <c r="F37" i="3"/>
  <c r="H37" i="3" s="1"/>
  <c r="B37" i="3"/>
  <c r="A37" i="3"/>
  <c r="BK37" i="3" s="1"/>
  <c r="AI36" i="3"/>
  <c r="AH36" i="3"/>
  <c r="AG36" i="3"/>
  <c r="AF36" i="3"/>
  <c r="V36" i="3"/>
  <c r="U36" i="3"/>
  <c r="T36" i="3"/>
  <c r="S36" i="3"/>
  <c r="R36" i="3"/>
  <c r="O36" i="3"/>
  <c r="I36" i="3"/>
  <c r="J36" i="3" s="1"/>
  <c r="M36" i="3" s="1"/>
  <c r="P36" i="3" s="1"/>
  <c r="F36" i="3"/>
  <c r="H36" i="3" s="1"/>
  <c r="B36" i="3"/>
  <c r="A36" i="3"/>
  <c r="AI35" i="3"/>
  <c r="AH35" i="3"/>
  <c r="AG35" i="3"/>
  <c r="AF35" i="3"/>
  <c r="V35" i="3"/>
  <c r="U35" i="3"/>
  <c r="T35" i="3"/>
  <c r="S35" i="3"/>
  <c r="R35" i="3"/>
  <c r="O35" i="3"/>
  <c r="I35" i="3"/>
  <c r="F35" i="3"/>
  <c r="H35" i="3" s="1"/>
  <c r="J35" i="3" s="1"/>
  <c r="M35" i="3" s="1"/>
  <c r="B35" i="3"/>
  <c r="A35" i="3"/>
  <c r="BK35" i="3" s="1"/>
  <c r="AI34" i="3"/>
  <c r="AH34" i="3"/>
  <c r="AG34" i="3"/>
  <c r="AF34" i="3"/>
  <c r="V34" i="3"/>
  <c r="U34" i="3"/>
  <c r="T34" i="3"/>
  <c r="S34" i="3"/>
  <c r="R34" i="3"/>
  <c r="O34" i="3"/>
  <c r="I34" i="3"/>
  <c r="F34" i="3"/>
  <c r="H34" i="3" s="1"/>
  <c r="J34" i="3" s="1"/>
  <c r="M34" i="3" s="1"/>
  <c r="B34" i="3"/>
  <c r="A34" i="3"/>
  <c r="BK34" i="3" s="1"/>
  <c r="AI33" i="3"/>
  <c r="AH33" i="3"/>
  <c r="AG33" i="3"/>
  <c r="AF33" i="3"/>
  <c r="V33" i="3"/>
  <c r="U33" i="3"/>
  <c r="T33" i="3"/>
  <c r="S33" i="3"/>
  <c r="R33" i="3"/>
  <c r="O33" i="3"/>
  <c r="I33" i="3"/>
  <c r="F33" i="3"/>
  <c r="H33" i="3" s="1"/>
  <c r="J33" i="3" s="1"/>
  <c r="M33" i="3" s="1"/>
  <c r="B33" i="3"/>
  <c r="BK33" i="3" s="1"/>
  <c r="A33" i="3"/>
  <c r="AI32" i="3"/>
  <c r="AH32" i="3"/>
  <c r="AG32" i="3"/>
  <c r="AF32" i="3"/>
  <c r="V32" i="3"/>
  <c r="U32" i="3"/>
  <c r="T32" i="3"/>
  <c r="S32" i="3"/>
  <c r="R32" i="3"/>
  <c r="O32" i="3"/>
  <c r="I32" i="3"/>
  <c r="F32" i="3"/>
  <c r="H32" i="3" s="1"/>
  <c r="J32" i="3" s="1"/>
  <c r="M32" i="3" s="1"/>
  <c r="P32" i="3" s="1"/>
  <c r="Z32" i="3" s="1"/>
  <c r="B32" i="3"/>
  <c r="A32" i="3"/>
  <c r="AI31" i="3"/>
  <c r="AH31" i="3"/>
  <c r="AG31" i="3"/>
  <c r="AF31" i="3"/>
  <c r="V31" i="3"/>
  <c r="U31" i="3"/>
  <c r="T31" i="3"/>
  <c r="S31" i="3"/>
  <c r="R31" i="3"/>
  <c r="O31" i="3"/>
  <c r="I31" i="3"/>
  <c r="F31" i="3"/>
  <c r="H31" i="3" s="1"/>
  <c r="B31" i="3"/>
  <c r="A31" i="3"/>
  <c r="BK31" i="3" s="1"/>
  <c r="AI30" i="3"/>
  <c r="AH30" i="3"/>
  <c r="AG30" i="3"/>
  <c r="AF30" i="3"/>
  <c r="V30" i="3"/>
  <c r="U30" i="3"/>
  <c r="T30" i="3"/>
  <c r="S30" i="3"/>
  <c r="R30" i="3"/>
  <c r="O30" i="3"/>
  <c r="I30" i="3"/>
  <c r="F30" i="3"/>
  <c r="H30" i="3" s="1"/>
  <c r="J30" i="3" s="1"/>
  <c r="M30" i="3" s="1"/>
  <c r="P30" i="3" s="1"/>
  <c r="B30" i="3"/>
  <c r="A30" i="3"/>
  <c r="AI29" i="3"/>
  <c r="AH29" i="3"/>
  <c r="AG29" i="3"/>
  <c r="AF29" i="3"/>
  <c r="V29" i="3"/>
  <c r="U29" i="3"/>
  <c r="T29" i="3"/>
  <c r="S29" i="3"/>
  <c r="R29" i="3"/>
  <c r="O29" i="3"/>
  <c r="I29" i="3"/>
  <c r="H29" i="3"/>
  <c r="J29" i="3" s="1"/>
  <c r="M29" i="3" s="1"/>
  <c r="P29" i="3" s="1"/>
  <c r="F29" i="3"/>
  <c r="B29" i="3"/>
  <c r="A29" i="3"/>
  <c r="BK29" i="3" s="1"/>
  <c r="AI28" i="3"/>
  <c r="AH28" i="3"/>
  <c r="AG28" i="3"/>
  <c r="AF28" i="3"/>
  <c r="V28" i="3"/>
  <c r="U28" i="3"/>
  <c r="T28" i="3"/>
  <c r="S28" i="3"/>
  <c r="R28" i="3"/>
  <c r="O28" i="3"/>
  <c r="I28" i="3"/>
  <c r="H28" i="3"/>
  <c r="F28" i="3"/>
  <c r="B28" i="3"/>
  <c r="A28" i="3"/>
  <c r="AI27" i="3"/>
  <c r="AH27" i="3"/>
  <c r="AG27" i="3"/>
  <c r="AF27" i="3"/>
  <c r="V27" i="3"/>
  <c r="U27" i="3"/>
  <c r="T27" i="3"/>
  <c r="S27" i="3"/>
  <c r="R27" i="3"/>
  <c r="O27" i="3"/>
  <c r="I27" i="3"/>
  <c r="H27" i="3"/>
  <c r="F27" i="3"/>
  <c r="B27" i="3"/>
  <c r="BK27" i="3" s="1"/>
  <c r="A27" i="3"/>
  <c r="AI26" i="3"/>
  <c r="AH26" i="3"/>
  <c r="AG26" i="3"/>
  <c r="AF26" i="3"/>
  <c r="V26" i="3"/>
  <c r="U26" i="3"/>
  <c r="T26" i="3"/>
  <c r="S26" i="3"/>
  <c r="R26" i="3"/>
  <c r="O26" i="3"/>
  <c r="I26" i="3"/>
  <c r="F26" i="3"/>
  <c r="H26" i="3" s="1"/>
  <c r="J26" i="3" s="1"/>
  <c r="M26" i="3" s="1"/>
  <c r="P26" i="3" s="1"/>
  <c r="B26" i="3"/>
  <c r="A26" i="3"/>
  <c r="AI25" i="3"/>
  <c r="AH25" i="3"/>
  <c r="AG25" i="3"/>
  <c r="AF25" i="3"/>
  <c r="V25" i="3"/>
  <c r="U25" i="3"/>
  <c r="T25" i="3"/>
  <c r="S25" i="3"/>
  <c r="R25" i="3"/>
  <c r="O25" i="3"/>
  <c r="I25" i="3"/>
  <c r="G25" i="3"/>
  <c r="F25" i="3"/>
  <c r="B25" i="3"/>
  <c r="A25" i="3"/>
  <c r="BH24" i="3"/>
  <c r="BG24" i="3"/>
  <c r="BF24" i="3"/>
  <c r="BE24" i="3"/>
  <c r="BD24" i="3"/>
  <c r="AD24" i="3"/>
  <c r="H24" i="3"/>
  <c r="J24" i="3" s="1"/>
  <c r="M24" i="3" s="1"/>
  <c r="P24" i="3" s="1"/>
  <c r="F24" i="3"/>
  <c r="B24" i="3"/>
  <c r="A24" i="3"/>
  <c r="BK24" i="3" s="1"/>
  <c r="BH23" i="3"/>
  <c r="BG23" i="3"/>
  <c r="BF23" i="3"/>
  <c r="BE23" i="3"/>
  <c r="BD23" i="3"/>
  <c r="AD23" i="3"/>
  <c r="H23" i="3"/>
  <c r="J23" i="3" s="1"/>
  <c r="M23" i="3" s="1"/>
  <c r="P23" i="3" s="1"/>
  <c r="F23" i="3"/>
  <c r="B23" i="3"/>
  <c r="A23" i="3"/>
  <c r="BH22" i="3"/>
  <c r="BG22" i="3"/>
  <c r="BF22" i="3"/>
  <c r="BE22" i="3"/>
  <c r="BD22" i="3"/>
  <c r="AD22" i="3"/>
  <c r="P22" i="3"/>
  <c r="AE22" i="3" s="1"/>
  <c r="H22" i="3"/>
  <c r="J22" i="3" s="1"/>
  <c r="F22" i="3"/>
  <c r="B22" i="3"/>
  <c r="A22" i="3"/>
  <c r="BK22" i="3" s="1"/>
  <c r="BH21" i="3"/>
  <c r="BG21" i="3"/>
  <c r="BF21" i="3"/>
  <c r="BE21" i="3"/>
  <c r="BD21" i="3"/>
  <c r="AD21" i="3"/>
  <c r="M21" i="3"/>
  <c r="P21" i="3" s="1"/>
  <c r="F21" i="3"/>
  <c r="H21" i="3" s="1"/>
  <c r="J21" i="3" s="1"/>
  <c r="B21" i="3"/>
  <c r="BK21" i="3" s="1"/>
  <c r="A21" i="3"/>
  <c r="BH20" i="3"/>
  <c r="BG20" i="3"/>
  <c r="BF20" i="3"/>
  <c r="BE20" i="3"/>
  <c r="BD20" i="3"/>
  <c r="AD20" i="3"/>
  <c r="H20" i="3"/>
  <c r="J20" i="3" s="1"/>
  <c r="M20" i="3" s="1"/>
  <c r="P20" i="3" s="1"/>
  <c r="F20" i="3"/>
  <c r="B20" i="3"/>
  <c r="A20" i="3"/>
  <c r="AI19" i="3"/>
  <c r="AH19" i="3"/>
  <c r="AG19" i="3"/>
  <c r="AF19" i="3"/>
  <c r="V19" i="3"/>
  <c r="U19" i="3"/>
  <c r="T19" i="3"/>
  <c r="S19" i="3"/>
  <c r="R19" i="3"/>
  <c r="O19" i="3"/>
  <c r="I19" i="3"/>
  <c r="F19" i="3"/>
  <c r="H19" i="3" s="1"/>
  <c r="B19" i="3"/>
  <c r="BK19" i="3" s="1"/>
  <c r="A19" i="3"/>
  <c r="AI18" i="3"/>
  <c r="AH18" i="3"/>
  <c r="AG18" i="3"/>
  <c r="AF18" i="3"/>
  <c r="V18" i="3"/>
  <c r="U18" i="3"/>
  <c r="T18" i="3"/>
  <c r="S18" i="3"/>
  <c r="R18" i="3"/>
  <c r="W18" i="3" s="1"/>
  <c r="O18" i="3"/>
  <c r="I18" i="3"/>
  <c r="H18" i="3"/>
  <c r="F18" i="3"/>
  <c r="B18" i="3"/>
  <c r="A18" i="3"/>
  <c r="BK18" i="3" s="1"/>
  <c r="AI17" i="3"/>
  <c r="AH17" i="3"/>
  <c r="AG17" i="3"/>
  <c r="AF17" i="3"/>
  <c r="V17" i="3"/>
  <c r="U17" i="3"/>
  <c r="T17" i="3"/>
  <c r="S17" i="3"/>
  <c r="W17" i="3" s="1"/>
  <c r="R17" i="3"/>
  <c r="O17" i="3"/>
  <c r="I17" i="3"/>
  <c r="F17" i="3"/>
  <c r="H17" i="3" s="1"/>
  <c r="B17" i="3"/>
  <c r="BK17" i="3" s="1"/>
  <c r="A17" i="3"/>
  <c r="AX16" i="3"/>
  <c r="BH16" i="3" s="1"/>
  <c r="AI16" i="3"/>
  <c r="AH16" i="3"/>
  <c r="AG16" i="3"/>
  <c r="AF16" i="3"/>
  <c r="V16" i="3"/>
  <c r="U16" i="3"/>
  <c r="T16" i="3"/>
  <c r="S16" i="3"/>
  <c r="R16" i="3"/>
  <c r="O16" i="3"/>
  <c r="I16" i="3"/>
  <c r="H16" i="3"/>
  <c r="F16" i="3"/>
  <c r="B16" i="3"/>
  <c r="BK16" i="3" s="1"/>
  <c r="A16" i="3"/>
  <c r="AI15" i="3"/>
  <c r="AH15" i="3"/>
  <c r="AG15" i="3"/>
  <c r="AF15" i="3"/>
  <c r="V15" i="3"/>
  <c r="U15" i="3"/>
  <c r="T15" i="3"/>
  <c r="S15" i="3"/>
  <c r="R15" i="3"/>
  <c r="O15" i="3"/>
  <c r="I15" i="3"/>
  <c r="F15" i="3"/>
  <c r="H15" i="3" s="1"/>
  <c r="B15" i="3"/>
  <c r="A15" i="3"/>
  <c r="AI14" i="3"/>
  <c r="AH14" i="3"/>
  <c r="AG14" i="3"/>
  <c r="AF14" i="3"/>
  <c r="V14" i="3"/>
  <c r="U14" i="3"/>
  <c r="T14" i="3"/>
  <c r="S14" i="3"/>
  <c r="R14" i="3"/>
  <c r="O14" i="3"/>
  <c r="I14" i="3"/>
  <c r="J14" i="3" s="1"/>
  <c r="M14" i="3" s="1"/>
  <c r="P14" i="3" s="1"/>
  <c r="F14" i="3"/>
  <c r="H14" i="3" s="1"/>
  <c r="B14" i="3"/>
  <c r="A14" i="3"/>
  <c r="BK14" i="3" s="1"/>
  <c r="AI13" i="3"/>
  <c r="AH13" i="3"/>
  <c r="AG13" i="3"/>
  <c r="AF13" i="3"/>
  <c r="V13" i="3"/>
  <c r="U13" i="3"/>
  <c r="T13" i="3"/>
  <c r="S13" i="3"/>
  <c r="R13" i="3"/>
  <c r="O13" i="3"/>
  <c r="I13" i="3"/>
  <c r="F13" i="3"/>
  <c r="H13" i="3" s="1"/>
  <c r="J13" i="3" s="1"/>
  <c r="M13" i="3" s="1"/>
  <c r="P13" i="3" s="1"/>
  <c r="B13" i="3"/>
  <c r="A13" i="3"/>
  <c r="AI12" i="3"/>
  <c r="AH12" i="3"/>
  <c r="AG12" i="3"/>
  <c r="AF12" i="3"/>
  <c r="V12" i="3"/>
  <c r="U12" i="3"/>
  <c r="T12" i="3"/>
  <c r="W12" i="3" s="1"/>
  <c r="S12" i="3"/>
  <c r="R12" i="3"/>
  <c r="O12" i="3"/>
  <c r="I12" i="3"/>
  <c r="F12" i="3"/>
  <c r="H12" i="3" s="1"/>
  <c r="J12" i="3" s="1"/>
  <c r="M12" i="3" s="1"/>
  <c r="B12" i="3"/>
  <c r="A12" i="3"/>
  <c r="BK12" i="3" s="1"/>
  <c r="AI11" i="3"/>
  <c r="AH11" i="3"/>
  <c r="AG11" i="3"/>
  <c r="AF11" i="3"/>
  <c r="V11" i="3"/>
  <c r="U11" i="3"/>
  <c r="T11" i="3"/>
  <c r="S11" i="3"/>
  <c r="R11" i="3"/>
  <c r="W11" i="3" s="1"/>
  <c r="O11" i="3"/>
  <c r="I11" i="3"/>
  <c r="G11" i="3"/>
  <c r="F11" i="3"/>
  <c r="B11" i="3"/>
  <c r="A11" i="3"/>
  <c r="AI10" i="3"/>
  <c r="AH10" i="3"/>
  <c r="AG10" i="3"/>
  <c r="AF10" i="3"/>
  <c r="V10" i="3"/>
  <c r="U10" i="3"/>
  <c r="T10" i="3"/>
  <c r="S10" i="3"/>
  <c r="R10" i="3"/>
  <c r="O10" i="3"/>
  <c r="I10" i="3"/>
  <c r="F10" i="3"/>
  <c r="H10" i="3" s="1"/>
  <c r="B10" i="3"/>
  <c r="BK10" i="3" s="1"/>
  <c r="A10" i="3"/>
  <c r="BH9" i="3"/>
  <c r="BG9" i="3"/>
  <c r="BF9" i="3"/>
  <c r="BE9" i="3"/>
  <c r="BI9" i="3" s="1"/>
  <c r="BD9" i="3"/>
  <c r="AI9" i="3"/>
  <c r="AH9" i="3"/>
  <c r="AG9" i="3"/>
  <c r="AF9" i="3"/>
  <c r="AD9" i="3"/>
  <c r="F9" i="3"/>
  <c r="H9" i="3" s="1"/>
  <c r="J9" i="3" s="1"/>
  <c r="M9" i="3" s="1"/>
  <c r="P9" i="3" s="1"/>
  <c r="B9" i="3"/>
  <c r="A9" i="3"/>
  <c r="BK9" i="3" s="1"/>
  <c r="BH8" i="3"/>
  <c r="BG8" i="3"/>
  <c r="BF8" i="3"/>
  <c r="BE8" i="3"/>
  <c r="BD8" i="3"/>
  <c r="BI8" i="3" s="1"/>
  <c r="AI8" i="3"/>
  <c r="AH8" i="3"/>
  <c r="AG8" i="3"/>
  <c r="AF8" i="3"/>
  <c r="AD8" i="3"/>
  <c r="F8" i="3"/>
  <c r="H8" i="3" s="1"/>
  <c r="J8" i="3" s="1"/>
  <c r="M8" i="3" s="1"/>
  <c r="P8" i="3" s="1"/>
  <c r="B8" i="3"/>
  <c r="A8" i="3"/>
  <c r="AI7" i="3"/>
  <c r="AH7" i="3"/>
  <c r="AG7" i="3"/>
  <c r="AF7" i="3"/>
  <c r="V7" i="3"/>
  <c r="U7" i="3"/>
  <c r="T7" i="3"/>
  <c r="S7" i="3"/>
  <c r="R7" i="3"/>
  <c r="O7" i="3"/>
  <c r="I7" i="3"/>
  <c r="F7" i="3"/>
  <c r="H7" i="3" s="1"/>
  <c r="B7" i="3"/>
  <c r="A7" i="3"/>
  <c r="BK7" i="3" s="1"/>
  <c r="BE167" i="2"/>
  <c r="BF159" i="2"/>
  <c r="BG159" i="2" s="1"/>
  <c r="BH159" i="2" s="1"/>
  <c r="BI159" i="2" s="1"/>
  <c r="BE159" i="2"/>
  <c r="BF145" i="2"/>
  <c r="AY143" i="2"/>
  <c r="AW143" i="2" s="1"/>
  <c r="AV138" i="2"/>
  <c r="AW132" i="2"/>
  <c r="AW131" i="2"/>
  <c r="L119" i="2" s="1"/>
  <c r="P121" i="2"/>
  <c r="F119" i="2"/>
  <c r="H119" i="2" s="1"/>
  <c r="J119" i="2" s="1"/>
  <c r="M119" i="2" s="1"/>
  <c r="P119" i="2" s="1"/>
  <c r="B119" i="2"/>
  <c r="A119" i="2"/>
  <c r="BK119" i="2" s="1"/>
  <c r="AI118" i="2"/>
  <c r="AH118" i="2"/>
  <c r="AG118" i="2"/>
  <c r="AF118" i="2"/>
  <c r="F118" i="2"/>
  <c r="H118" i="2" s="1"/>
  <c r="J118" i="2" s="1"/>
  <c r="B118" i="2"/>
  <c r="A118" i="2"/>
  <c r="BK118" i="2" s="1"/>
  <c r="AI117" i="2"/>
  <c r="AH117" i="2"/>
  <c r="AG117" i="2"/>
  <c r="AF117" i="2"/>
  <c r="F117" i="2"/>
  <c r="H117" i="2" s="1"/>
  <c r="J117" i="2" s="1"/>
  <c r="B117" i="2"/>
  <c r="A117" i="2"/>
  <c r="AI116" i="2"/>
  <c r="AH116" i="2"/>
  <c r="AG116" i="2"/>
  <c r="AF116" i="2"/>
  <c r="F116" i="2"/>
  <c r="H116" i="2" s="1"/>
  <c r="J116" i="2" s="1"/>
  <c r="B116" i="2"/>
  <c r="A116" i="2"/>
  <c r="AI115" i="2"/>
  <c r="AH115" i="2"/>
  <c r="AG115" i="2"/>
  <c r="AF115" i="2"/>
  <c r="V115" i="2"/>
  <c r="U115" i="2"/>
  <c r="T115" i="2"/>
  <c r="S115" i="2"/>
  <c r="R115" i="2"/>
  <c r="O115" i="2"/>
  <c r="L115" i="2"/>
  <c r="I115" i="2"/>
  <c r="H115" i="2"/>
  <c r="F115" i="2"/>
  <c r="B115" i="2"/>
  <c r="A115" i="2"/>
  <c r="AI114" i="2"/>
  <c r="AH114" i="2"/>
  <c r="AG114" i="2"/>
  <c r="AF114" i="2"/>
  <c r="V114" i="2"/>
  <c r="U114" i="2"/>
  <c r="T114" i="2"/>
  <c r="S114" i="2"/>
  <c r="W114" i="2" s="1"/>
  <c r="R114" i="2"/>
  <c r="O114" i="2"/>
  <c r="L114" i="2"/>
  <c r="I114" i="2"/>
  <c r="F114" i="2"/>
  <c r="H114" i="2" s="1"/>
  <c r="B114" i="2"/>
  <c r="A114" i="2"/>
  <c r="AI113" i="2"/>
  <c r="AH113" i="2"/>
  <c r="AG113" i="2"/>
  <c r="AF113" i="2"/>
  <c r="J113" i="2"/>
  <c r="F113" i="2"/>
  <c r="B113" i="2"/>
  <c r="A113" i="2"/>
  <c r="AI112" i="2"/>
  <c r="AH112" i="2"/>
  <c r="AG112" i="2"/>
  <c r="AF112" i="2"/>
  <c r="O112" i="2"/>
  <c r="I112" i="2"/>
  <c r="F112" i="2"/>
  <c r="H112" i="2" s="1"/>
  <c r="J112" i="2" s="1"/>
  <c r="B112" i="2"/>
  <c r="A112" i="2"/>
  <c r="AI111" i="2"/>
  <c r="AH111" i="2"/>
  <c r="AG111" i="2"/>
  <c r="AF111" i="2"/>
  <c r="V111" i="2"/>
  <c r="U111" i="2"/>
  <c r="T111" i="2"/>
  <c r="S111" i="2"/>
  <c r="R111" i="2"/>
  <c r="O111" i="2"/>
  <c r="L111" i="2"/>
  <c r="I111" i="2"/>
  <c r="F111" i="2"/>
  <c r="H111" i="2" s="1"/>
  <c r="B111" i="2"/>
  <c r="A111" i="2"/>
  <c r="AI110" i="2"/>
  <c r="AH110" i="2"/>
  <c r="AG110" i="2"/>
  <c r="AF110" i="2"/>
  <c r="L110" i="2"/>
  <c r="F110" i="2"/>
  <c r="H110" i="2" s="1"/>
  <c r="J110" i="2" s="1"/>
  <c r="B110" i="2"/>
  <c r="A110" i="2"/>
  <c r="BK110" i="2" s="1"/>
  <c r="AI109" i="2"/>
  <c r="AH109" i="2"/>
  <c r="AG109" i="2"/>
  <c r="AF109" i="2"/>
  <c r="V109" i="2"/>
  <c r="U109" i="2"/>
  <c r="T109" i="2"/>
  <c r="S109" i="2"/>
  <c r="R109" i="2"/>
  <c r="M109" i="2"/>
  <c r="P109" i="2" s="1"/>
  <c r="AA109" i="2" s="1"/>
  <c r="L109" i="2"/>
  <c r="F109" i="2"/>
  <c r="H109" i="2" s="1"/>
  <c r="B109" i="2"/>
  <c r="BK109" i="2" s="1"/>
  <c r="A109" i="2"/>
  <c r="AI108" i="2"/>
  <c r="AH108" i="2"/>
  <c r="AG108" i="2"/>
  <c r="AF108" i="2"/>
  <c r="U108" i="2"/>
  <c r="T108" i="2"/>
  <c r="S108" i="2"/>
  <c r="R108" i="2"/>
  <c r="O108" i="2"/>
  <c r="L108" i="2"/>
  <c r="I108" i="2"/>
  <c r="F108" i="2"/>
  <c r="H108" i="2" s="1"/>
  <c r="B108" i="2"/>
  <c r="A108" i="2"/>
  <c r="AI107" i="2"/>
  <c r="AH107" i="2"/>
  <c r="AG107" i="2"/>
  <c r="AF107" i="2"/>
  <c r="V107" i="2"/>
  <c r="U107" i="2"/>
  <c r="W107" i="2" s="1"/>
  <c r="T107" i="2"/>
  <c r="S107" i="2"/>
  <c r="R107" i="2"/>
  <c r="O107" i="2"/>
  <c r="L107" i="2"/>
  <c r="I107" i="2"/>
  <c r="F107" i="2"/>
  <c r="H107" i="2" s="1"/>
  <c r="J107" i="2" s="1"/>
  <c r="M107" i="2" s="1"/>
  <c r="B107" i="2"/>
  <c r="A107" i="2"/>
  <c r="BK107" i="2" s="1"/>
  <c r="AI106" i="2"/>
  <c r="AH106" i="2"/>
  <c r="AG106" i="2"/>
  <c r="AF106" i="2"/>
  <c r="V106" i="2"/>
  <c r="U106" i="2"/>
  <c r="T106" i="2"/>
  <c r="S106" i="2"/>
  <c r="R106" i="2"/>
  <c r="O106" i="2"/>
  <c r="L106" i="2"/>
  <c r="I106" i="2"/>
  <c r="F106" i="2"/>
  <c r="H106" i="2" s="1"/>
  <c r="B106" i="2"/>
  <c r="A106" i="2"/>
  <c r="AI105" i="2"/>
  <c r="AH105" i="2"/>
  <c r="AG105" i="2"/>
  <c r="AF105" i="2"/>
  <c r="W105" i="2"/>
  <c r="O105" i="2"/>
  <c r="L105" i="2"/>
  <c r="I105" i="2"/>
  <c r="F105" i="2"/>
  <c r="H105" i="2" s="1"/>
  <c r="J105" i="2" s="1"/>
  <c r="M105" i="2" s="1"/>
  <c r="B105" i="2"/>
  <c r="A105" i="2"/>
  <c r="BK105" i="2" s="1"/>
  <c r="AI104" i="2"/>
  <c r="AH104" i="2"/>
  <c r="AG104" i="2"/>
  <c r="AF104" i="2"/>
  <c r="V104" i="2"/>
  <c r="U104" i="2"/>
  <c r="T104" i="2"/>
  <c r="S104" i="2"/>
  <c r="R104" i="2"/>
  <c r="O104" i="2"/>
  <c r="L104" i="2"/>
  <c r="I104" i="2"/>
  <c r="H104" i="2"/>
  <c r="J104" i="2" s="1"/>
  <c r="M104" i="2" s="1"/>
  <c r="F104" i="2"/>
  <c r="B104" i="2"/>
  <c r="A104" i="2"/>
  <c r="BK103" i="2"/>
  <c r="AI103" i="2"/>
  <c r="AH103" i="2"/>
  <c r="AG103" i="2"/>
  <c r="AF103" i="2"/>
  <c r="W103" i="2"/>
  <c r="L103" i="2"/>
  <c r="F103" i="2"/>
  <c r="H103" i="2" s="1"/>
  <c r="J103" i="2" s="1"/>
  <c r="M103" i="2" s="1"/>
  <c r="P103" i="2" s="1"/>
  <c r="B103" i="2"/>
  <c r="A103" i="2"/>
  <c r="AI102" i="2"/>
  <c r="AH102" i="2"/>
  <c r="AG102" i="2"/>
  <c r="AF102" i="2"/>
  <c r="V102" i="2"/>
  <c r="U102" i="2"/>
  <c r="T102" i="2"/>
  <c r="S102" i="2"/>
  <c r="R102" i="2"/>
  <c r="O102" i="2"/>
  <c r="L102" i="2"/>
  <c r="I102" i="2"/>
  <c r="F102" i="2"/>
  <c r="H102" i="2" s="1"/>
  <c r="J102" i="2" s="1"/>
  <c r="M102" i="2" s="1"/>
  <c r="P102" i="2" s="1"/>
  <c r="B102" i="2"/>
  <c r="A102" i="2"/>
  <c r="BK102" i="2" s="1"/>
  <c r="AI101" i="2"/>
  <c r="AH101" i="2"/>
  <c r="AG101" i="2"/>
  <c r="AF101" i="2"/>
  <c r="V101" i="2"/>
  <c r="U101" i="2"/>
  <c r="T101" i="2"/>
  <c r="S101" i="2"/>
  <c r="R101" i="2"/>
  <c r="O101" i="2"/>
  <c r="L101" i="2"/>
  <c r="I101" i="2"/>
  <c r="F101" i="2"/>
  <c r="H101" i="2" s="1"/>
  <c r="B101" i="2"/>
  <c r="A101" i="2"/>
  <c r="AI100" i="2"/>
  <c r="AH100" i="2"/>
  <c r="AG100" i="2"/>
  <c r="AF100" i="2"/>
  <c r="V100" i="2"/>
  <c r="U100" i="2"/>
  <c r="T100" i="2"/>
  <c r="S100" i="2"/>
  <c r="R100" i="2"/>
  <c r="O100" i="2"/>
  <c r="L100" i="2"/>
  <c r="I100" i="2"/>
  <c r="H100" i="2"/>
  <c r="J100" i="2" s="1"/>
  <c r="M100" i="2" s="1"/>
  <c r="F100" i="2"/>
  <c r="B100" i="2"/>
  <c r="A100" i="2"/>
  <c r="L99" i="2"/>
  <c r="F99" i="2"/>
  <c r="H99" i="2" s="1"/>
  <c r="J99" i="2" s="1"/>
  <c r="M99" i="2" s="1"/>
  <c r="P99" i="2" s="1"/>
  <c r="AC99" i="2" s="1"/>
  <c r="BH99" i="2" s="1"/>
  <c r="B99" i="2"/>
  <c r="A99" i="2"/>
  <c r="L98" i="2"/>
  <c r="F98" i="2"/>
  <c r="H98" i="2" s="1"/>
  <c r="J98" i="2" s="1"/>
  <c r="M98" i="2" s="1"/>
  <c r="P98" i="2" s="1"/>
  <c r="B98" i="2"/>
  <c r="A98" i="2"/>
  <c r="BK98" i="2" s="1"/>
  <c r="L97" i="2"/>
  <c r="F97" i="2"/>
  <c r="H97" i="2" s="1"/>
  <c r="J97" i="2" s="1"/>
  <c r="M97" i="2" s="1"/>
  <c r="P97" i="2" s="1"/>
  <c r="B97" i="2"/>
  <c r="A97" i="2"/>
  <c r="L96" i="2"/>
  <c r="F96" i="2"/>
  <c r="H96" i="2" s="1"/>
  <c r="J96" i="2" s="1"/>
  <c r="M96" i="2" s="1"/>
  <c r="P96" i="2" s="1"/>
  <c r="B96" i="2"/>
  <c r="A96" i="2"/>
  <c r="BK96" i="2" s="1"/>
  <c r="L95" i="2"/>
  <c r="F95" i="2"/>
  <c r="H95" i="2" s="1"/>
  <c r="J95" i="2" s="1"/>
  <c r="M95" i="2" s="1"/>
  <c r="P95" i="2" s="1"/>
  <c r="B95" i="2"/>
  <c r="A95" i="2"/>
  <c r="BK95" i="2" s="1"/>
  <c r="BK94" i="2"/>
  <c r="L94" i="2"/>
  <c r="F94" i="2"/>
  <c r="H94" i="2" s="1"/>
  <c r="J94" i="2" s="1"/>
  <c r="M94" i="2" s="1"/>
  <c r="P94" i="2" s="1"/>
  <c r="AB94" i="2" s="1"/>
  <c r="BG94" i="2" s="1"/>
  <c r="B94" i="2"/>
  <c r="A94" i="2"/>
  <c r="L93" i="2"/>
  <c r="H93" i="2"/>
  <c r="J93" i="2" s="1"/>
  <c r="M93" i="2" s="1"/>
  <c r="P93" i="2" s="1"/>
  <c r="F93" i="2"/>
  <c r="B93" i="2"/>
  <c r="BK93" i="2" s="1"/>
  <c r="A93" i="2"/>
  <c r="L92" i="2"/>
  <c r="H92" i="2"/>
  <c r="J92" i="2" s="1"/>
  <c r="F92" i="2"/>
  <c r="B92" i="2"/>
  <c r="A92" i="2"/>
  <c r="BK92" i="2" s="1"/>
  <c r="AI91" i="2"/>
  <c r="AH91" i="2"/>
  <c r="AG91" i="2"/>
  <c r="AF91" i="2"/>
  <c r="V91" i="2"/>
  <c r="U91" i="2"/>
  <c r="T91" i="2"/>
  <c r="S91" i="2"/>
  <c r="R91" i="2"/>
  <c r="O91" i="2"/>
  <c r="L91" i="2"/>
  <c r="I91" i="2"/>
  <c r="F91" i="2"/>
  <c r="H91" i="2" s="1"/>
  <c r="B91" i="2"/>
  <c r="A91" i="2"/>
  <c r="BK91" i="2" s="1"/>
  <c r="BH90" i="2"/>
  <c r="BG90" i="2"/>
  <c r="BI90" i="2" s="1"/>
  <c r="BF90" i="2"/>
  <c r="BE90" i="2"/>
  <c r="BD90" i="2"/>
  <c r="L90" i="2"/>
  <c r="F90" i="2"/>
  <c r="H90" i="2" s="1"/>
  <c r="J90" i="2" s="1"/>
  <c r="B90" i="2"/>
  <c r="A90" i="2"/>
  <c r="AI89" i="2"/>
  <c r="AH89" i="2"/>
  <c r="AG89" i="2"/>
  <c r="AF89" i="2"/>
  <c r="V89" i="2"/>
  <c r="U89" i="2"/>
  <c r="T89" i="2"/>
  <c r="W89" i="2" s="1"/>
  <c r="S89" i="2"/>
  <c r="R89" i="2"/>
  <c r="O89" i="2"/>
  <c r="L89" i="2"/>
  <c r="I89" i="2"/>
  <c r="F89" i="2"/>
  <c r="H89" i="2" s="1"/>
  <c r="B89" i="2"/>
  <c r="A89" i="2"/>
  <c r="AI88" i="2"/>
  <c r="AH88" i="2"/>
  <c r="AG88" i="2"/>
  <c r="AF88" i="2"/>
  <c r="V88" i="2"/>
  <c r="U88" i="2"/>
  <c r="T88" i="2"/>
  <c r="S88" i="2"/>
  <c r="R88" i="2"/>
  <c r="O88" i="2"/>
  <c r="L88" i="2"/>
  <c r="I88" i="2"/>
  <c r="H88" i="2"/>
  <c r="F88" i="2"/>
  <c r="B88" i="2"/>
  <c r="A88" i="2"/>
  <c r="L87" i="2"/>
  <c r="F87" i="2"/>
  <c r="H87" i="2" s="1"/>
  <c r="J87" i="2" s="1"/>
  <c r="M87" i="2" s="1"/>
  <c r="P87" i="2" s="1"/>
  <c r="Z87" i="2" s="1"/>
  <c r="BE87" i="2" s="1"/>
  <c r="B87" i="2"/>
  <c r="A87" i="2"/>
  <c r="BK87" i="2" s="1"/>
  <c r="AI86" i="2"/>
  <c r="AH86" i="2"/>
  <c r="AG86" i="2"/>
  <c r="AF86" i="2"/>
  <c r="V86" i="2"/>
  <c r="U86" i="2"/>
  <c r="T86" i="2"/>
  <c r="S86" i="2"/>
  <c r="R86" i="2"/>
  <c r="O86" i="2"/>
  <c r="L86" i="2"/>
  <c r="I86" i="2"/>
  <c r="F86" i="2"/>
  <c r="H86" i="2" s="1"/>
  <c r="J86" i="2" s="1"/>
  <c r="M86" i="2" s="1"/>
  <c r="B86" i="2"/>
  <c r="A86" i="2"/>
  <c r="BF85" i="2"/>
  <c r="AB85" i="2"/>
  <c r="BG85" i="2" s="1"/>
  <c r="AA85" i="2"/>
  <c r="L85" i="2"/>
  <c r="Y85" i="2" s="1"/>
  <c r="BD85" i="2" s="1"/>
  <c r="H85" i="2"/>
  <c r="J85" i="2" s="1"/>
  <c r="M85" i="2" s="1"/>
  <c r="F85" i="2"/>
  <c r="B85" i="2"/>
  <c r="A85" i="2"/>
  <c r="AI84" i="2"/>
  <c r="AH84" i="2"/>
  <c r="AG84" i="2"/>
  <c r="AF84" i="2"/>
  <c r="AB84" i="2"/>
  <c r="BG84" i="2" s="1"/>
  <c r="AA84" i="2"/>
  <c r="BF84" i="2" s="1"/>
  <c r="Y84" i="2"/>
  <c r="BD84" i="2" s="1"/>
  <c r="L84" i="2"/>
  <c r="H84" i="2"/>
  <c r="J84" i="2" s="1"/>
  <c r="M84" i="2" s="1"/>
  <c r="F84" i="2"/>
  <c r="B84" i="2"/>
  <c r="A84" i="2"/>
  <c r="BK83" i="2"/>
  <c r="AI83" i="2"/>
  <c r="AH83" i="2"/>
  <c r="AG83" i="2"/>
  <c r="AF83" i="2"/>
  <c r="V83" i="2"/>
  <c r="U83" i="2"/>
  <c r="T83" i="2"/>
  <c r="S83" i="2"/>
  <c r="R83" i="2"/>
  <c r="O83" i="2"/>
  <c r="L83" i="2"/>
  <c r="I83" i="2"/>
  <c r="H83" i="2"/>
  <c r="F83" i="2"/>
  <c r="B83" i="2"/>
  <c r="A83" i="2"/>
  <c r="AI82" i="2"/>
  <c r="AH82" i="2"/>
  <c r="AG82" i="2"/>
  <c r="AF82" i="2"/>
  <c r="V82" i="2"/>
  <c r="U82" i="2"/>
  <c r="T82" i="2"/>
  <c r="S82" i="2"/>
  <c r="R82" i="2"/>
  <c r="O82" i="2"/>
  <c r="L82" i="2"/>
  <c r="I82" i="2"/>
  <c r="F82" i="2"/>
  <c r="H82" i="2" s="1"/>
  <c r="J82" i="2" s="1"/>
  <c r="B82" i="2"/>
  <c r="A82" i="2"/>
  <c r="BK82" i="2" s="1"/>
  <c r="AI81" i="2"/>
  <c r="AH81" i="2"/>
  <c r="AG81" i="2"/>
  <c r="AF81" i="2"/>
  <c r="V81" i="2"/>
  <c r="U81" i="2"/>
  <c r="T81" i="2"/>
  <c r="S81" i="2"/>
  <c r="R81" i="2"/>
  <c r="O81" i="2"/>
  <c r="L81" i="2"/>
  <c r="I81" i="2"/>
  <c r="F81" i="2"/>
  <c r="H81" i="2" s="1"/>
  <c r="B81" i="2"/>
  <c r="A81" i="2"/>
  <c r="AI80" i="2"/>
  <c r="AH80" i="2"/>
  <c r="AG80" i="2"/>
  <c r="AF80" i="2"/>
  <c r="V80" i="2"/>
  <c r="U80" i="2"/>
  <c r="T80" i="2"/>
  <c r="S80" i="2"/>
  <c r="R80" i="2"/>
  <c r="O80" i="2"/>
  <c r="L80" i="2"/>
  <c r="I80" i="2"/>
  <c r="H80" i="2"/>
  <c r="J80" i="2" s="1"/>
  <c r="M80" i="2" s="1"/>
  <c r="F80" i="2"/>
  <c r="B80" i="2"/>
  <c r="A80" i="2"/>
  <c r="AI79" i="2"/>
  <c r="AH79" i="2"/>
  <c r="AG79" i="2"/>
  <c r="AF79" i="2"/>
  <c r="V79" i="2"/>
  <c r="U79" i="2"/>
  <c r="T79" i="2"/>
  <c r="S79" i="2"/>
  <c r="R79" i="2"/>
  <c r="O79" i="2"/>
  <c r="I79" i="2"/>
  <c r="F79" i="2"/>
  <c r="H79" i="2" s="1"/>
  <c r="B79" i="2"/>
  <c r="A79" i="2"/>
  <c r="AI78" i="2"/>
  <c r="AH78" i="2"/>
  <c r="AG78" i="2"/>
  <c r="AF78" i="2"/>
  <c r="V78" i="2"/>
  <c r="U78" i="2"/>
  <c r="T78" i="2"/>
  <c r="S78" i="2"/>
  <c r="R78" i="2"/>
  <c r="O78" i="2"/>
  <c r="L78" i="2"/>
  <c r="I78" i="2"/>
  <c r="F78" i="2"/>
  <c r="H78" i="2" s="1"/>
  <c r="B78" i="2"/>
  <c r="A78" i="2"/>
  <c r="AI77" i="2"/>
  <c r="AH77" i="2"/>
  <c r="AG77" i="2"/>
  <c r="AF77" i="2"/>
  <c r="V77" i="2"/>
  <c r="U77" i="2"/>
  <c r="T77" i="2"/>
  <c r="S77" i="2"/>
  <c r="R77" i="2"/>
  <c r="O77" i="2"/>
  <c r="L77" i="2"/>
  <c r="I77" i="2"/>
  <c r="H77" i="2"/>
  <c r="J77" i="2" s="1"/>
  <c r="M77" i="2" s="1"/>
  <c r="F77" i="2"/>
  <c r="B77" i="2"/>
  <c r="A77" i="2"/>
  <c r="AY76" i="2"/>
  <c r="AI76" i="2"/>
  <c r="AH76" i="2"/>
  <c r="AG76" i="2"/>
  <c r="AF76" i="2"/>
  <c r="V76" i="2"/>
  <c r="U76" i="2"/>
  <c r="T76" i="2"/>
  <c r="S76" i="2"/>
  <c r="W76" i="2" s="1"/>
  <c r="R76" i="2"/>
  <c r="O76" i="2"/>
  <c r="L76" i="2"/>
  <c r="I76" i="2"/>
  <c r="F76" i="2"/>
  <c r="H76" i="2" s="1"/>
  <c r="J76" i="2" s="1"/>
  <c r="B76" i="2"/>
  <c r="BK76" i="2" s="1"/>
  <c r="A76" i="2"/>
  <c r="AI75" i="2"/>
  <c r="AH75" i="2"/>
  <c r="AG75" i="2"/>
  <c r="AF75" i="2"/>
  <c r="V75" i="2"/>
  <c r="U75" i="2"/>
  <c r="T75" i="2"/>
  <c r="S75" i="2"/>
  <c r="R75" i="2"/>
  <c r="O75" i="2"/>
  <c r="L75" i="2"/>
  <c r="I75" i="2"/>
  <c r="F75" i="2"/>
  <c r="H75" i="2" s="1"/>
  <c r="J75" i="2" s="1"/>
  <c r="M75" i="2" s="1"/>
  <c r="B75" i="2"/>
  <c r="A75" i="2"/>
  <c r="BK75" i="2" s="1"/>
  <c r="AI74" i="2"/>
  <c r="AH74" i="2"/>
  <c r="AG74" i="2"/>
  <c r="AF74" i="2"/>
  <c r="AB74" i="2"/>
  <c r="BG74" i="2" s="1"/>
  <c r="AA74" i="2"/>
  <c r="BF74" i="2" s="1"/>
  <c r="Y74" i="2"/>
  <c r="BD74" i="2" s="1"/>
  <c r="F74" i="2"/>
  <c r="H74" i="2" s="1"/>
  <c r="J74" i="2" s="1"/>
  <c r="M74" i="2" s="1"/>
  <c r="Z74" i="2" s="1"/>
  <c r="BE74" i="2" s="1"/>
  <c r="B74" i="2"/>
  <c r="A74" i="2"/>
  <c r="BK74" i="2" s="1"/>
  <c r="AB73" i="2"/>
  <c r="BG73" i="2" s="1"/>
  <c r="AA73" i="2"/>
  <c r="BF73" i="2" s="1"/>
  <c r="Y73" i="2"/>
  <c r="BD73" i="2" s="1"/>
  <c r="F73" i="2"/>
  <c r="H73" i="2" s="1"/>
  <c r="J73" i="2" s="1"/>
  <c r="M73" i="2" s="1"/>
  <c r="B73" i="2"/>
  <c r="A73" i="2"/>
  <c r="BK73" i="2" s="1"/>
  <c r="AB72" i="2"/>
  <c r="BG72" i="2" s="1"/>
  <c r="AA72" i="2"/>
  <c r="BF72" i="2" s="1"/>
  <c r="Y72" i="2"/>
  <c r="BD72" i="2" s="1"/>
  <c r="F72" i="2"/>
  <c r="H72" i="2" s="1"/>
  <c r="J72" i="2" s="1"/>
  <c r="M72" i="2" s="1"/>
  <c r="B72" i="2"/>
  <c r="A72" i="2"/>
  <c r="BG71" i="2"/>
  <c r="BF71" i="2"/>
  <c r="BD71" i="2"/>
  <c r="AB71" i="2"/>
  <c r="AA71" i="2"/>
  <c r="Y71" i="2"/>
  <c r="F71" i="2"/>
  <c r="H71" i="2" s="1"/>
  <c r="J71" i="2" s="1"/>
  <c r="M71" i="2" s="1"/>
  <c r="B71" i="2"/>
  <c r="A71" i="2"/>
  <c r="V70" i="2"/>
  <c r="U70" i="2"/>
  <c r="W70" i="2" s="1"/>
  <c r="T70" i="2"/>
  <c r="S70" i="2"/>
  <c r="R70" i="2"/>
  <c r="O70" i="2"/>
  <c r="I70" i="2"/>
  <c r="F70" i="2"/>
  <c r="H70" i="2" s="1"/>
  <c r="B70" i="2"/>
  <c r="BK70" i="2" s="1"/>
  <c r="A70" i="2"/>
  <c r="BH69" i="2"/>
  <c r="BG69" i="2"/>
  <c r="BF69" i="2"/>
  <c r="BE69" i="2"/>
  <c r="BD69" i="2"/>
  <c r="AD69" i="2"/>
  <c r="L69" i="2"/>
  <c r="F69" i="2"/>
  <c r="H69" i="2" s="1"/>
  <c r="J69" i="2" s="1"/>
  <c r="M69" i="2" s="1"/>
  <c r="P69" i="2" s="1"/>
  <c r="B69" i="2"/>
  <c r="A69" i="2"/>
  <c r="BK69" i="2" s="1"/>
  <c r="BH68" i="2"/>
  <c r="BG68" i="2"/>
  <c r="BF68" i="2"/>
  <c r="BE68" i="2"/>
  <c r="BD68" i="2"/>
  <c r="AD68" i="2"/>
  <c r="L68" i="2"/>
  <c r="F68" i="2"/>
  <c r="H68" i="2" s="1"/>
  <c r="J68" i="2" s="1"/>
  <c r="M68" i="2" s="1"/>
  <c r="P68" i="2" s="1"/>
  <c r="B68" i="2"/>
  <c r="A68" i="2"/>
  <c r="BK68" i="2" s="1"/>
  <c r="BH67" i="2"/>
  <c r="BG67" i="2"/>
  <c r="BF67" i="2"/>
  <c r="BE67" i="2"/>
  <c r="BD67" i="2"/>
  <c r="AD67" i="2"/>
  <c r="L67" i="2"/>
  <c r="F67" i="2"/>
  <c r="H67" i="2" s="1"/>
  <c r="J67" i="2" s="1"/>
  <c r="M67" i="2" s="1"/>
  <c r="P67" i="2" s="1"/>
  <c r="B67" i="2"/>
  <c r="A67" i="2"/>
  <c r="BK67" i="2" s="1"/>
  <c r="BH66" i="2"/>
  <c r="BG66" i="2"/>
  <c r="BF66" i="2"/>
  <c r="BE66" i="2"/>
  <c r="BD66" i="2"/>
  <c r="AD66" i="2"/>
  <c r="L66" i="2"/>
  <c r="F66" i="2"/>
  <c r="H66" i="2" s="1"/>
  <c r="J66" i="2" s="1"/>
  <c r="M66" i="2" s="1"/>
  <c r="P66" i="2" s="1"/>
  <c r="B66" i="2"/>
  <c r="A66" i="2"/>
  <c r="BK66" i="2" s="1"/>
  <c r="BH65" i="2"/>
  <c r="BG65" i="2"/>
  <c r="BF65" i="2"/>
  <c r="BE65" i="2"/>
  <c r="BI65" i="2" s="1"/>
  <c r="BD65" i="2"/>
  <c r="AD65" i="2"/>
  <c r="L65" i="2"/>
  <c r="F65" i="2"/>
  <c r="H65" i="2" s="1"/>
  <c r="J65" i="2" s="1"/>
  <c r="M65" i="2" s="1"/>
  <c r="P65" i="2" s="1"/>
  <c r="B65" i="2"/>
  <c r="A65" i="2"/>
  <c r="BK65" i="2" s="1"/>
  <c r="BH64" i="2"/>
  <c r="BG64" i="2"/>
  <c r="BF64" i="2"/>
  <c r="BE64" i="2"/>
  <c r="BD64" i="2"/>
  <c r="AD64" i="2"/>
  <c r="L64" i="2"/>
  <c r="F64" i="2"/>
  <c r="H64" i="2" s="1"/>
  <c r="J64" i="2" s="1"/>
  <c r="M64" i="2" s="1"/>
  <c r="P64" i="2" s="1"/>
  <c r="B64" i="2"/>
  <c r="A64" i="2"/>
  <c r="BK64" i="2" s="1"/>
  <c r="BH63" i="2"/>
  <c r="BG63" i="2"/>
  <c r="BF63" i="2"/>
  <c r="BE63" i="2"/>
  <c r="BD63" i="2"/>
  <c r="AD63" i="2"/>
  <c r="L63" i="2"/>
  <c r="F63" i="2"/>
  <c r="H63" i="2" s="1"/>
  <c r="J63" i="2" s="1"/>
  <c r="M63" i="2" s="1"/>
  <c r="P63" i="2" s="1"/>
  <c r="B63" i="2"/>
  <c r="A63" i="2"/>
  <c r="BK63" i="2" s="1"/>
  <c r="BH62" i="2"/>
  <c r="BG62" i="2"/>
  <c r="BF62" i="2"/>
  <c r="BE62" i="2"/>
  <c r="BD62" i="2"/>
  <c r="AD62" i="2"/>
  <c r="L62" i="2"/>
  <c r="F62" i="2"/>
  <c r="H62" i="2" s="1"/>
  <c r="J62" i="2" s="1"/>
  <c r="M62" i="2" s="1"/>
  <c r="P62" i="2" s="1"/>
  <c r="BL62" i="2" s="1"/>
  <c r="B62" i="2"/>
  <c r="A62" i="2"/>
  <c r="BH61" i="2"/>
  <c r="BG61" i="2"/>
  <c r="BF61" i="2"/>
  <c r="BE61" i="2"/>
  <c r="BD61" i="2"/>
  <c r="BI61" i="2" s="1"/>
  <c r="AD61" i="2"/>
  <c r="L61" i="2"/>
  <c r="J61" i="2"/>
  <c r="M61" i="2" s="1"/>
  <c r="P61" i="2" s="1"/>
  <c r="F61" i="2"/>
  <c r="H61" i="2" s="1"/>
  <c r="B61" i="2"/>
  <c r="A61" i="2"/>
  <c r="BK61" i="2" s="1"/>
  <c r="BH60" i="2"/>
  <c r="BG60" i="2"/>
  <c r="BF60" i="2"/>
  <c r="BE60" i="2"/>
  <c r="BD60" i="2"/>
  <c r="AD60" i="2"/>
  <c r="L60" i="2"/>
  <c r="F60" i="2"/>
  <c r="H60" i="2" s="1"/>
  <c r="J60" i="2" s="1"/>
  <c r="B60" i="2"/>
  <c r="A60" i="2"/>
  <c r="AI59" i="2"/>
  <c r="AH59" i="2"/>
  <c r="AG59" i="2"/>
  <c r="AF59" i="2"/>
  <c r="V59" i="2"/>
  <c r="U59" i="2"/>
  <c r="T59" i="2"/>
  <c r="S59" i="2"/>
  <c r="R59" i="2"/>
  <c r="O59" i="2"/>
  <c r="L59" i="2"/>
  <c r="I59" i="2"/>
  <c r="F59" i="2"/>
  <c r="H59" i="2" s="1"/>
  <c r="J59" i="2" s="1"/>
  <c r="M59" i="2" s="1"/>
  <c r="B59" i="2"/>
  <c r="A59" i="2"/>
  <c r="BK59" i="2" s="1"/>
  <c r="AI58" i="2"/>
  <c r="AH58" i="2"/>
  <c r="AG58" i="2"/>
  <c r="AF58" i="2"/>
  <c r="V58" i="2"/>
  <c r="U58" i="2"/>
  <c r="W58" i="2" s="1"/>
  <c r="T58" i="2"/>
  <c r="S58" i="2"/>
  <c r="R58" i="2"/>
  <c r="O58" i="2"/>
  <c r="L58" i="2"/>
  <c r="I58" i="2"/>
  <c r="F58" i="2"/>
  <c r="H58" i="2" s="1"/>
  <c r="J58" i="2" s="1"/>
  <c r="M58" i="2" s="1"/>
  <c r="B58" i="2"/>
  <c r="A58" i="2"/>
  <c r="BK58" i="2" s="1"/>
  <c r="AI57" i="2"/>
  <c r="AH57" i="2"/>
  <c r="AG57" i="2"/>
  <c r="AF57" i="2"/>
  <c r="V57" i="2"/>
  <c r="U57" i="2"/>
  <c r="T57" i="2"/>
  <c r="S57" i="2"/>
  <c r="R57" i="2"/>
  <c r="O57" i="2"/>
  <c r="L57" i="2"/>
  <c r="I57" i="2"/>
  <c r="F57" i="2"/>
  <c r="H57" i="2" s="1"/>
  <c r="J57" i="2" s="1"/>
  <c r="M57" i="2" s="1"/>
  <c r="B57" i="2"/>
  <c r="A57" i="2"/>
  <c r="BK57" i="2" s="1"/>
  <c r="AI56" i="2"/>
  <c r="AH56" i="2"/>
  <c r="AG56" i="2"/>
  <c r="AF56" i="2"/>
  <c r="V56" i="2"/>
  <c r="U56" i="2"/>
  <c r="T56" i="2"/>
  <c r="S56" i="2"/>
  <c r="R56" i="2"/>
  <c r="O56" i="2"/>
  <c r="L56" i="2"/>
  <c r="I56" i="2"/>
  <c r="F56" i="2"/>
  <c r="H56" i="2" s="1"/>
  <c r="J56" i="2" s="1"/>
  <c r="M56" i="2" s="1"/>
  <c r="B56" i="2"/>
  <c r="A56" i="2"/>
  <c r="BK56" i="2" s="1"/>
  <c r="AI55" i="2"/>
  <c r="AH55" i="2"/>
  <c r="AG55" i="2"/>
  <c r="AF55" i="2"/>
  <c r="V55" i="2"/>
  <c r="U55" i="2"/>
  <c r="T55" i="2"/>
  <c r="S55" i="2"/>
  <c r="R55" i="2"/>
  <c r="O55" i="2"/>
  <c r="I55" i="2"/>
  <c r="F55" i="2"/>
  <c r="H55" i="2" s="1"/>
  <c r="J55" i="2" s="1"/>
  <c r="M55" i="2" s="1"/>
  <c r="B55" i="2"/>
  <c r="A55" i="2"/>
  <c r="BK55" i="2" s="1"/>
  <c r="AI54" i="2"/>
  <c r="AH54" i="2"/>
  <c r="AG54" i="2"/>
  <c r="AF54" i="2"/>
  <c r="V54" i="2"/>
  <c r="U54" i="2"/>
  <c r="T54" i="2"/>
  <c r="S54" i="2"/>
  <c r="R54" i="2"/>
  <c r="O54" i="2"/>
  <c r="L54" i="2"/>
  <c r="I54" i="2"/>
  <c r="F54" i="2"/>
  <c r="H54" i="2" s="1"/>
  <c r="B54" i="2"/>
  <c r="A54" i="2"/>
  <c r="BK54" i="2" s="1"/>
  <c r="AI53" i="2"/>
  <c r="AH53" i="2"/>
  <c r="AG53" i="2"/>
  <c r="AF53" i="2"/>
  <c r="V53" i="2"/>
  <c r="U53" i="2"/>
  <c r="T53" i="2"/>
  <c r="S53" i="2"/>
  <c r="R53" i="2"/>
  <c r="O53" i="2"/>
  <c r="L53" i="2"/>
  <c r="I53" i="2"/>
  <c r="F53" i="2"/>
  <c r="H53" i="2" s="1"/>
  <c r="J53" i="2" s="1"/>
  <c r="M53" i="2" s="1"/>
  <c r="B53" i="2"/>
  <c r="A53" i="2"/>
  <c r="BK53" i="2" s="1"/>
  <c r="AI52" i="2"/>
  <c r="AH52" i="2"/>
  <c r="AG52" i="2"/>
  <c r="AF52" i="2"/>
  <c r="V52" i="2"/>
  <c r="U52" i="2"/>
  <c r="T52" i="2"/>
  <c r="S52" i="2"/>
  <c r="R52" i="2"/>
  <c r="L52" i="2"/>
  <c r="F52" i="2"/>
  <c r="H52" i="2" s="1"/>
  <c r="J52" i="2" s="1"/>
  <c r="B52" i="2"/>
  <c r="A52" i="2"/>
  <c r="BH51" i="2"/>
  <c r="BG51" i="2"/>
  <c r="BF51" i="2"/>
  <c r="BE51" i="2"/>
  <c r="BD51" i="2"/>
  <c r="AI51" i="2"/>
  <c r="AH51" i="2"/>
  <c r="AG51" i="2"/>
  <c r="AF51" i="2"/>
  <c r="AD51" i="2"/>
  <c r="L51" i="2"/>
  <c r="F51" i="2"/>
  <c r="H51" i="2" s="1"/>
  <c r="J51" i="2" s="1"/>
  <c r="B51" i="2"/>
  <c r="A51" i="2"/>
  <c r="BI50" i="2"/>
  <c r="BH50" i="2"/>
  <c r="BG50" i="2"/>
  <c r="BF50" i="2"/>
  <c r="BE50" i="2"/>
  <c r="BD50" i="2"/>
  <c r="AD50" i="2"/>
  <c r="L50" i="2"/>
  <c r="F50" i="2"/>
  <c r="H50" i="2" s="1"/>
  <c r="J50" i="2" s="1"/>
  <c r="M50" i="2" s="1"/>
  <c r="P50" i="2" s="1"/>
  <c r="B50" i="2"/>
  <c r="A50" i="2"/>
  <c r="BK50" i="2" s="1"/>
  <c r="AI49" i="2"/>
  <c r="AH49" i="2"/>
  <c r="AG49" i="2"/>
  <c r="AF49" i="2"/>
  <c r="V49" i="2"/>
  <c r="U49" i="2"/>
  <c r="T49" i="2"/>
  <c r="S49" i="2"/>
  <c r="R49" i="2"/>
  <c r="W49" i="2" s="1"/>
  <c r="O49" i="2"/>
  <c r="L49" i="2"/>
  <c r="I49" i="2"/>
  <c r="F49" i="2"/>
  <c r="H49" i="2" s="1"/>
  <c r="J49" i="2" s="1"/>
  <c r="M49" i="2" s="1"/>
  <c r="B49" i="2"/>
  <c r="A49" i="2"/>
  <c r="BH48" i="2"/>
  <c r="BG48" i="2"/>
  <c r="BF48" i="2"/>
  <c r="BE48" i="2"/>
  <c r="BD48" i="2"/>
  <c r="BI48" i="2" s="1"/>
  <c r="AD48" i="2"/>
  <c r="L48" i="2"/>
  <c r="J48" i="2"/>
  <c r="M48" i="2" s="1"/>
  <c r="P48" i="2" s="1"/>
  <c r="F48" i="2"/>
  <c r="B48" i="2"/>
  <c r="A48" i="2"/>
  <c r="BK48" i="2" s="1"/>
  <c r="BH47" i="2"/>
  <c r="BG47" i="2"/>
  <c r="BF47" i="2"/>
  <c r="BE47" i="2"/>
  <c r="BD47" i="2"/>
  <c r="AD47" i="2"/>
  <c r="L47" i="2"/>
  <c r="F47" i="2"/>
  <c r="H47" i="2" s="1"/>
  <c r="J47" i="2" s="1"/>
  <c r="B47" i="2"/>
  <c r="A47" i="2"/>
  <c r="BK47" i="2" s="1"/>
  <c r="BH46" i="2"/>
  <c r="BG46" i="2"/>
  <c r="BF46" i="2"/>
  <c r="BE46" i="2"/>
  <c r="BD46" i="2"/>
  <c r="BI46" i="2" s="1"/>
  <c r="AD46" i="2"/>
  <c r="L46" i="2"/>
  <c r="J46" i="2"/>
  <c r="M46" i="2" s="1"/>
  <c r="P46" i="2" s="1"/>
  <c r="F46" i="2"/>
  <c r="H46" i="2" s="1"/>
  <c r="B46" i="2"/>
  <c r="A46" i="2"/>
  <c r="BK46" i="2" s="1"/>
  <c r="BH45" i="2"/>
  <c r="BG45" i="2"/>
  <c r="BF45" i="2"/>
  <c r="BE45" i="2"/>
  <c r="BD45" i="2"/>
  <c r="BI45" i="2" s="1"/>
  <c r="AD45" i="2"/>
  <c r="L45" i="2"/>
  <c r="J45" i="2"/>
  <c r="M45" i="2" s="1"/>
  <c r="P45" i="2" s="1"/>
  <c r="AE45" i="2" s="1"/>
  <c r="F45" i="2"/>
  <c r="H45" i="2" s="1"/>
  <c r="B45" i="2"/>
  <c r="A45" i="2"/>
  <c r="BH44" i="2"/>
  <c r="BG44" i="2"/>
  <c r="BF44" i="2"/>
  <c r="BE44" i="2"/>
  <c r="BI44" i="2" s="1"/>
  <c r="BD44" i="2"/>
  <c r="AD44" i="2"/>
  <c r="L44" i="2"/>
  <c r="H44" i="2"/>
  <c r="J44" i="2" s="1"/>
  <c r="M44" i="2" s="1"/>
  <c r="P44" i="2" s="1"/>
  <c r="F44" i="2"/>
  <c r="B44" i="2"/>
  <c r="A44" i="2"/>
  <c r="BK44" i="2" s="1"/>
  <c r="BH43" i="2"/>
  <c r="BG43" i="2"/>
  <c r="BF43" i="2"/>
  <c r="BE43" i="2"/>
  <c r="BD43" i="2"/>
  <c r="AD43" i="2"/>
  <c r="L43" i="2"/>
  <c r="F43" i="2"/>
  <c r="H43" i="2" s="1"/>
  <c r="J43" i="2" s="1"/>
  <c r="M43" i="2" s="1"/>
  <c r="P43" i="2" s="1"/>
  <c r="B43" i="2"/>
  <c r="A43" i="2"/>
  <c r="BK43" i="2" s="1"/>
  <c r="BH42" i="2"/>
  <c r="BG42" i="2"/>
  <c r="BF42" i="2"/>
  <c r="BE42" i="2"/>
  <c r="BD42" i="2"/>
  <c r="BI42" i="2" s="1"/>
  <c r="AD42" i="2"/>
  <c r="L42" i="2"/>
  <c r="J42" i="2"/>
  <c r="M42" i="2" s="1"/>
  <c r="P42" i="2" s="1"/>
  <c r="F42" i="2"/>
  <c r="H42" i="2" s="1"/>
  <c r="B42" i="2"/>
  <c r="A42" i="2"/>
  <c r="BK42" i="2" s="1"/>
  <c r="BH41" i="2"/>
  <c r="BG41" i="2"/>
  <c r="BF41" i="2"/>
  <c r="BE41" i="2"/>
  <c r="BD41" i="2"/>
  <c r="AD41" i="2"/>
  <c r="L41" i="2"/>
  <c r="F41" i="2"/>
  <c r="H41" i="2" s="1"/>
  <c r="J41" i="2" s="1"/>
  <c r="M41" i="2" s="1"/>
  <c r="P41" i="2" s="1"/>
  <c r="B41" i="2"/>
  <c r="A41" i="2"/>
  <c r="BH40" i="2"/>
  <c r="BG40" i="2"/>
  <c r="BF40" i="2"/>
  <c r="BE40" i="2"/>
  <c r="BD40" i="2"/>
  <c r="AD40" i="2"/>
  <c r="L40" i="2"/>
  <c r="F40" i="2"/>
  <c r="H40" i="2" s="1"/>
  <c r="J40" i="2" s="1"/>
  <c r="M40" i="2" s="1"/>
  <c r="P40" i="2" s="1"/>
  <c r="B40" i="2"/>
  <c r="BK40" i="2" s="1"/>
  <c r="A40" i="2"/>
  <c r="BH39" i="2"/>
  <c r="BG39" i="2"/>
  <c r="BF39" i="2"/>
  <c r="BE39" i="2"/>
  <c r="BD39" i="2"/>
  <c r="AD39" i="2"/>
  <c r="L39" i="2"/>
  <c r="M39" i="2" s="1"/>
  <c r="P39" i="2" s="1"/>
  <c r="F39" i="2"/>
  <c r="H39" i="2" s="1"/>
  <c r="J39" i="2" s="1"/>
  <c r="B39" i="2"/>
  <c r="A39" i="2"/>
  <c r="BK39" i="2" s="1"/>
  <c r="BH38" i="2"/>
  <c r="BG38" i="2"/>
  <c r="BF38" i="2"/>
  <c r="BE38" i="2"/>
  <c r="BD38" i="2"/>
  <c r="AD38" i="2"/>
  <c r="L38" i="2"/>
  <c r="J38" i="2"/>
  <c r="M38" i="2" s="1"/>
  <c r="P38" i="2" s="1"/>
  <c r="F38" i="2"/>
  <c r="H38" i="2" s="1"/>
  <c r="B38" i="2"/>
  <c r="A38" i="2"/>
  <c r="BK38" i="2" s="1"/>
  <c r="BH37" i="2"/>
  <c r="BG37" i="2"/>
  <c r="BF37" i="2"/>
  <c r="BE37" i="2"/>
  <c r="BD37" i="2"/>
  <c r="AD37" i="2"/>
  <c r="L37" i="2"/>
  <c r="F37" i="2"/>
  <c r="H37" i="2" s="1"/>
  <c r="J37" i="2" s="1"/>
  <c r="B37" i="2"/>
  <c r="A37" i="2"/>
  <c r="AI36" i="2"/>
  <c r="AH36" i="2"/>
  <c r="AG36" i="2"/>
  <c r="AF36" i="2"/>
  <c r="V36" i="2"/>
  <c r="U36" i="2"/>
  <c r="T36" i="2"/>
  <c r="S36" i="2"/>
  <c r="R36" i="2"/>
  <c r="W36" i="2" s="1"/>
  <c r="O36" i="2"/>
  <c r="L36" i="2"/>
  <c r="I36" i="2"/>
  <c r="F36" i="2"/>
  <c r="H36" i="2" s="1"/>
  <c r="J36" i="2" s="1"/>
  <c r="M36" i="2" s="1"/>
  <c r="P36" i="2" s="1"/>
  <c r="B36" i="2"/>
  <c r="BK36" i="2" s="1"/>
  <c r="A36" i="2"/>
  <c r="AI35" i="2"/>
  <c r="AH35" i="2"/>
  <c r="AG35" i="2"/>
  <c r="AF35" i="2"/>
  <c r="V35" i="2"/>
  <c r="U35" i="2"/>
  <c r="T35" i="2"/>
  <c r="S35" i="2"/>
  <c r="R35" i="2"/>
  <c r="O35" i="2"/>
  <c r="L35" i="2"/>
  <c r="I35" i="2"/>
  <c r="F35" i="2"/>
  <c r="H35" i="2" s="1"/>
  <c r="J35" i="2" s="1"/>
  <c r="M35" i="2" s="1"/>
  <c r="B35" i="2"/>
  <c r="A35" i="2"/>
  <c r="BK35" i="2" s="1"/>
  <c r="AI34" i="2"/>
  <c r="AH34" i="2"/>
  <c r="AG34" i="2"/>
  <c r="AF34" i="2"/>
  <c r="V34" i="2"/>
  <c r="U34" i="2"/>
  <c r="T34" i="2"/>
  <c r="S34" i="2"/>
  <c r="R34" i="2"/>
  <c r="O34" i="2"/>
  <c r="L34" i="2"/>
  <c r="I34" i="2"/>
  <c r="F34" i="2"/>
  <c r="H34" i="2" s="1"/>
  <c r="J34" i="2" s="1"/>
  <c r="M34" i="2" s="1"/>
  <c r="B34" i="2"/>
  <c r="A34" i="2"/>
  <c r="BK34" i="2" s="1"/>
  <c r="AI33" i="2"/>
  <c r="AH33" i="2"/>
  <c r="AG33" i="2"/>
  <c r="AF33" i="2"/>
  <c r="V33" i="2"/>
  <c r="U33" i="2"/>
  <c r="T33" i="2"/>
  <c r="S33" i="2"/>
  <c r="R33" i="2"/>
  <c r="O33" i="2"/>
  <c r="L33" i="2"/>
  <c r="I33" i="2"/>
  <c r="F33" i="2"/>
  <c r="H33" i="2" s="1"/>
  <c r="J33" i="2" s="1"/>
  <c r="M33" i="2" s="1"/>
  <c r="B33" i="2"/>
  <c r="A33" i="2"/>
  <c r="AI32" i="2"/>
  <c r="AH32" i="2"/>
  <c r="AG32" i="2"/>
  <c r="AF32" i="2"/>
  <c r="V32" i="2"/>
  <c r="U32" i="2"/>
  <c r="T32" i="2"/>
  <c r="S32" i="2"/>
  <c r="W32" i="2" s="1"/>
  <c r="R32" i="2"/>
  <c r="O32" i="2"/>
  <c r="L32" i="2"/>
  <c r="I32" i="2"/>
  <c r="H32" i="2"/>
  <c r="J32" i="2" s="1"/>
  <c r="M32" i="2" s="1"/>
  <c r="P32" i="2" s="1"/>
  <c r="F32" i="2"/>
  <c r="B32" i="2"/>
  <c r="A32" i="2"/>
  <c r="BK32" i="2" s="1"/>
  <c r="AI31" i="2"/>
  <c r="AH31" i="2"/>
  <c r="AG31" i="2"/>
  <c r="AF31" i="2"/>
  <c r="V31" i="2"/>
  <c r="U31" i="2"/>
  <c r="T31" i="2"/>
  <c r="S31" i="2"/>
  <c r="R31" i="2"/>
  <c r="W31" i="2" s="1"/>
  <c r="O31" i="2"/>
  <c r="L31" i="2"/>
  <c r="I31" i="2"/>
  <c r="F31" i="2"/>
  <c r="H31" i="2" s="1"/>
  <c r="B31" i="2"/>
  <c r="A31" i="2"/>
  <c r="BK31" i="2" s="1"/>
  <c r="AI30" i="2"/>
  <c r="AH30" i="2"/>
  <c r="AG30" i="2"/>
  <c r="AF30" i="2"/>
  <c r="V30" i="2"/>
  <c r="U30" i="2"/>
  <c r="T30" i="2"/>
  <c r="S30" i="2"/>
  <c r="R30" i="2"/>
  <c r="O30" i="2"/>
  <c r="I30" i="2"/>
  <c r="H30" i="2"/>
  <c r="J30" i="2" s="1"/>
  <c r="M30" i="2" s="1"/>
  <c r="P30" i="2" s="1"/>
  <c r="F30" i="2"/>
  <c r="B30" i="2"/>
  <c r="A30" i="2"/>
  <c r="BK30" i="2" s="1"/>
  <c r="AI29" i="2"/>
  <c r="AH29" i="2"/>
  <c r="AG29" i="2"/>
  <c r="AF29" i="2"/>
  <c r="V29" i="2"/>
  <c r="U29" i="2"/>
  <c r="T29" i="2"/>
  <c r="S29" i="2"/>
  <c r="R29" i="2"/>
  <c r="O29" i="2"/>
  <c r="L29" i="2"/>
  <c r="I29" i="2"/>
  <c r="H29" i="2"/>
  <c r="J29" i="2" s="1"/>
  <c r="M29" i="2" s="1"/>
  <c r="P29" i="2" s="1"/>
  <c r="F29" i="2"/>
  <c r="B29" i="2"/>
  <c r="A29" i="2"/>
  <c r="AI28" i="2"/>
  <c r="AH28" i="2"/>
  <c r="AG28" i="2"/>
  <c r="AF28" i="2"/>
  <c r="V28" i="2"/>
  <c r="U28" i="2"/>
  <c r="T28" i="2"/>
  <c r="S28" i="2"/>
  <c r="R28" i="2"/>
  <c r="O28" i="2"/>
  <c r="L28" i="2"/>
  <c r="I28" i="2"/>
  <c r="F28" i="2"/>
  <c r="H28" i="2" s="1"/>
  <c r="J28" i="2" s="1"/>
  <c r="B28" i="2"/>
  <c r="A28" i="2"/>
  <c r="AI27" i="2"/>
  <c r="AH27" i="2"/>
  <c r="AG27" i="2"/>
  <c r="AF27" i="2"/>
  <c r="V27" i="2"/>
  <c r="U27" i="2"/>
  <c r="T27" i="2"/>
  <c r="S27" i="2"/>
  <c r="R27" i="2"/>
  <c r="O27" i="2"/>
  <c r="L27" i="2"/>
  <c r="I27" i="2"/>
  <c r="H27" i="2"/>
  <c r="J27" i="2" s="1"/>
  <c r="M27" i="2" s="1"/>
  <c r="P27" i="2" s="1"/>
  <c r="F27" i="2"/>
  <c r="B27" i="2"/>
  <c r="BK27" i="2" s="1"/>
  <c r="A27" i="2"/>
  <c r="AI26" i="2"/>
  <c r="AH26" i="2"/>
  <c r="AG26" i="2"/>
  <c r="AF26" i="2"/>
  <c r="V26" i="2"/>
  <c r="U26" i="2"/>
  <c r="T26" i="2"/>
  <c r="S26" i="2"/>
  <c r="R26" i="2"/>
  <c r="O26" i="2"/>
  <c r="L26" i="2"/>
  <c r="I26" i="2"/>
  <c r="F26" i="2"/>
  <c r="H26" i="2" s="1"/>
  <c r="J26" i="2" s="1"/>
  <c r="M26" i="2" s="1"/>
  <c r="B26" i="2"/>
  <c r="A26" i="2"/>
  <c r="AI25" i="2"/>
  <c r="AH25" i="2"/>
  <c r="AG25" i="2"/>
  <c r="AF25" i="2"/>
  <c r="V25" i="2"/>
  <c r="U25" i="2"/>
  <c r="T25" i="2"/>
  <c r="S25" i="2"/>
  <c r="R25" i="2"/>
  <c r="O25" i="2"/>
  <c r="L25" i="2"/>
  <c r="I25" i="2"/>
  <c r="G25" i="2"/>
  <c r="F25" i="2"/>
  <c r="H25" i="2" s="1"/>
  <c r="J25" i="2" s="1"/>
  <c r="M25" i="2" s="1"/>
  <c r="B25" i="2"/>
  <c r="A25" i="2"/>
  <c r="BH24" i="2"/>
  <c r="BG24" i="2"/>
  <c r="BF24" i="2"/>
  <c r="BE24" i="2"/>
  <c r="BD24" i="2"/>
  <c r="AD24" i="2"/>
  <c r="L24" i="2"/>
  <c r="F24" i="2"/>
  <c r="H24" i="2" s="1"/>
  <c r="J24" i="2" s="1"/>
  <c r="M24" i="2" s="1"/>
  <c r="P24" i="2" s="1"/>
  <c r="B24" i="2"/>
  <c r="A24" i="2"/>
  <c r="BK24" i="2" s="1"/>
  <c r="BH23" i="2"/>
  <c r="BG23" i="2"/>
  <c r="BF23" i="2"/>
  <c r="BE23" i="2"/>
  <c r="BD23" i="2"/>
  <c r="AD23" i="2"/>
  <c r="L23" i="2"/>
  <c r="F23" i="2"/>
  <c r="H23" i="2" s="1"/>
  <c r="J23" i="2" s="1"/>
  <c r="B23" i="2"/>
  <c r="A23" i="2"/>
  <c r="BK23" i="2" s="1"/>
  <c r="BH22" i="2"/>
  <c r="BG22" i="2"/>
  <c r="BF22" i="2"/>
  <c r="BE22" i="2"/>
  <c r="BD22" i="2"/>
  <c r="BI22" i="2" s="1"/>
  <c r="AD22" i="2"/>
  <c r="P22" i="2"/>
  <c r="L22" i="2"/>
  <c r="F22" i="2"/>
  <c r="H22" i="2" s="1"/>
  <c r="J22" i="2" s="1"/>
  <c r="B22" i="2"/>
  <c r="A22" i="2"/>
  <c r="BK22" i="2" s="1"/>
  <c r="BH21" i="2"/>
  <c r="BG21" i="2"/>
  <c r="BF21" i="2"/>
  <c r="BE21" i="2"/>
  <c r="BD21" i="2"/>
  <c r="AD21" i="2"/>
  <c r="L21" i="2"/>
  <c r="F21" i="2"/>
  <c r="H21" i="2" s="1"/>
  <c r="J21" i="2" s="1"/>
  <c r="B21" i="2"/>
  <c r="A21" i="2"/>
  <c r="BK21" i="2" s="1"/>
  <c r="BH20" i="2"/>
  <c r="BG20" i="2"/>
  <c r="BF20" i="2"/>
  <c r="BE20" i="2"/>
  <c r="BD20" i="2"/>
  <c r="BI20" i="2" s="1"/>
  <c r="AD20" i="2"/>
  <c r="L20" i="2"/>
  <c r="F20" i="2"/>
  <c r="H20" i="2" s="1"/>
  <c r="J20" i="2" s="1"/>
  <c r="B20" i="2"/>
  <c r="A20" i="2"/>
  <c r="BK20" i="2" s="1"/>
  <c r="AI19" i="2"/>
  <c r="AH19" i="2"/>
  <c r="AG19" i="2"/>
  <c r="AF19" i="2"/>
  <c r="V19" i="2"/>
  <c r="U19" i="2"/>
  <c r="T19" i="2"/>
  <c r="S19" i="2"/>
  <c r="R19" i="2"/>
  <c r="W19" i="2" s="1"/>
  <c r="O19" i="2"/>
  <c r="L19" i="2"/>
  <c r="I19" i="2"/>
  <c r="F19" i="2"/>
  <c r="H19" i="2" s="1"/>
  <c r="B19" i="2"/>
  <c r="A19" i="2"/>
  <c r="AI18" i="2"/>
  <c r="AH18" i="2"/>
  <c r="AG18" i="2"/>
  <c r="AF18" i="2"/>
  <c r="V18" i="2"/>
  <c r="U18" i="2"/>
  <c r="T18" i="2"/>
  <c r="S18" i="2"/>
  <c r="W18" i="2" s="1"/>
  <c r="R18" i="2"/>
  <c r="O18" i="2"/>
  <c r="L18" i="2"/>
  <c r="I18" i="2"/>
  <c r="H18" i="2"/>
  <c r="J18" i="2" s="1"/>
  <c r="M18" i="2" s="1"/>
  <c r="F18" i="2"/>
  <c r="B18" i="2"/>
  <c r="A18" i="2"/>
  <c r="AI17" i="2"/>
  <c r="AH17" i="2"/>
  <c r="AG17" i="2"/>
  <c r="AF17" i="2"/>
  <c r="V17" i="2"/>
  <c r="U17" i="2"/>
  <c r="T17" i="2"/>
  <c r="S17" i="2"/>
  <c r="W17" i="2" s="1"/>
  <c r="R17" i="2"/>
  <c r="O17" i="2"/>
  <c r="L17" i="2"/>
  <c r="I17" i="2"/>
  <c r="F17" i="2"/>
  <c r="H17" i="2" s="1"/>
  <c r="J17" i="2" s="1"/>
  <c r="M17" i="2" s="1"/>
  <c r="B17" i="2"/>
  <c r="A17" i="2"/>
  <c r="BK17" i="2" s="1"/>
  <c r="AX16" i="2"/>
  <c r="BH16" i="2" s="1"/>
  <c r="AI16" i="2"/>
  <c r="AH16" i="2"/>
  <c r="AG16" i="2"/>
  <c r="AF16" i="2"/>
  <c r="V16" i="2"/>
  <c r="U16" i="2"/>
  <c r="T16" i="2"/>
  <c r="S16" i="2"/>
  <c r="R16" i="2"/>
  <c r="O16" i="2"/>
  <c r="L16" i="2"/>
  <c r="I16" i="2"/>
  <c r="F16" i="2"/>
  <c r="H16" i="2" s="1"/>
  <c r="J16" i="2" s="1"/>
  <c r="M16" i="2" s="1"/>
  <c r="P16" i="2" s="1"/>
  <c r="AB16" i="2" s="1"/>
  <c r="B16" i="2"/>
  <c r="A16" i="2"/>
  <c r="BK16" i="2" s="1"/>
  <c r="AI15" i="2"/>
  <c r="AH15" i="2"/>
  <c r="AG15" i="2"/>
  <c r="AF15" i="2"/>
  <c r="V15" i="2"/>
  <c r="U15" i="2"/>
  <c r="T15" i="2"/>
  <c r="S15" i="2"/>
  <c r="W15" i="2" s="1"/>
  <c r="R15" i="2"/>
  <c r="O15" i="2"/>
  <c r="I15" i="2"/>
  <c r="F15" i="2"/>
  <c r="H15" i="2" s="1"/>
  <c r="J15" i="2" s="1"/>
  <c r="M15" i="2" s="1"/>
  <c r="B15" i="2"/>
  <c r="A15" i="2"/>
  <c r="BK15" i="2" s="1"/>
  <c r="AI14" i="2"/>
  <c r="AH14" i="2"/>
  <c r="AG14" i="2"/>
  <c r="AF14" i="2"/>
  <c r="V14" i="2"/>
  <c r="U14" i="2"/>
  <c r="T14" i="2"/>
  <c r="S14" i="2"/>
  <c r="R14" i="2"/>
  <c r="O14" i="2"/>
  <c r="L14" i="2"/>
  <c r="I14" i="2"/>
  <c r="F14" i="2"/>
  <c r="H14" i="2" s="1"/>
  <c r="J14" i="2" s="1"/>
  <c r="B14" i="2"/>
  <c r="BK14" i="2" s="1"/>
  <c r="A14" i="2"/>
  <c r="AI13" i="2"/>
  <c r="AH13" i="2"/>
  <c r="AG13" i="2"/>
  <c r="AF13" i="2"/>
  <c r="V13" i="2"/>
  <c r="U13" i="2"/>
  <c r="T13" i="2"/>
  <c r="S13" i="2"/>
  <c r="R13" i="2"/>
  <c r="O13" i="2"/>
  <c r="L13" i="2"/>
  <c r="I13" i="2"/>
  <c r="F13" i="2"/>
  <c r="H13" i="2" s="1"/>
  <c r="B13" i="2"/>
  <c r="BK13" i="2" s="1"/>
  <c r="A13" i="2"/>
  <c r="AI12" i="2"/>
  <c r="AH12" i="2"/>
  <c r="AG12" i="2"/>
  <c r="AF12" i="2"/>
  <c r="V12" i="2"/>
  <c r="U12" i="2"/>
  <c r="T12" i="2"/>
  <c r="S12" i="2"/>
  <c r="R12" i="2"/>
  <c r="O12" i="2"/>
  <c r="L12" i="2"/>
  <c r="I12" i="2"/>
  <c r="H12" i="2"/>
  <c r="J12" i="2" s="1"/>
  <c r="M12" i="2" s="1"/>
  <c r="P12" i="2" s="1"/>
  <c r="F12" i="2"/>
  <c r="B12" i="2"/>
  <c r="BK12" i="2" s="1"/>
  <c r="A12" i="2"/>
  <c r="AI11" i="2"/>
  <c r="AH11" i="2"/>
  <c r="AG11" i="2"/>
  <c r="AF11" i="2"/>
  <c r="V11" i="2"/>
  <c r="U11" i="2"/>
  <c r="T11" i="2"/>
  <c r="S11" i="2"/>
  <c r="R11" i="2"/>
  <c r="O11" i="2"/>
  <c r="L11" i="2"/>
  <c r="I11" i="2"/>
  <c r="G11" i="2"/>
  <c r="G120" i="2" s="1"/>
  <c r="F11" i="2"/>
  <c r="B11" i="2"/>
  <c r="BK11" i="2" s="1"/>
  <c r="A11" i="2"/>
  <c r="AI10" i="2"/>
  <c r="AH10" i="2"/>
  <c r="AG10" i="2"/>
  <c r="AF10" i="2"/>
  <c r="V10" i="2"/>
  <c r="U10" i="2"/>
  <c r="T10" i="2"/>
  <c r="S10" i="2"/>
  <c r="R10" i="2"/>
  <c r="O10" i="2"/>
  <c r="L10" i="2"/>
  <c r="I10" i="2"/>
  <c r="F10" i="2"/>
  <c r="H10" i="2" s="1"/>
  <c r="J10" i="2" s="1"/>
  <c r="M10" i="2" s="1"/>
  <c r="B10" i="2"/>
  <c r="A10" i="2"/>
  <c r="BK10" i="2" s="1"/>
  <c r="BH9" i="2"/>
  <c r="BG9" i="2"/>
  <c r="BF9" i="2"/>
  <c r="BE9" i="2"/>
  <c r="BD9" i="2"/>
  <c r="AI9" i="2"/>
  <c r="AH9" i="2"/>
  <c r="AG9" i="2"/>
  <c r="AF9" i="2"/>
  <c r="AD9" i="2"/>
  <c r="L9" i="2"/>
  <c r="F9" i="2"/>
  <c r="H9" i="2" s="1"/>
  <c r="J9" i="2" s="1"/>
  <c r="M9" i="2" s="1"/>
  <c r="P9" i="2" s="1"/>
  <c r="B9" i="2"/>
  <c r="A9" i="2"/>
  <c r="BK9" i="2" s="1"/>
  <c r="BH8" i="2"/>
  <c r="BG8" i="2"/>
  <c r="BF8" i="2"/>
  <c r="BE8" i="2"/>
  <c r="BD8" i="2"/>
  <c r="AI8" i="2"/>
  <c r="AH8" i="2"/>
  <c r="AG8" i="2"/>
  <c r="AF8" i="2"/>
  <c r="AD8" i="2"/>
  <c r="L8" i="2"/>
  <c r="J8" i="2"/>
  <c r="M8" i="2" s="1"/>
  <c r="P8" i="2" s="1"/>
  <c r="F8" i="2"/>
  <c r="H8" i="2" s="1"/>
  <c r="B8" i="2"/>
  <c r="A8" i="2"/>
  <c r="BK8" i="2" s="1"/>
  <c r="AI7" i="2"/>
  <c r="AH7" i="2"/>
  <c r="AG7" i="2"/>
  <c r="AF7" i="2"/>
  <c r="V7" i="2"/>
  <c r="U7" i="2"/>
  <c r="T7" i="2"/>
  <c r="S7" i="2"/>
  <c r="R7" i="2"/>
  <c r="O7" i="2"/>
  <c r="L7" i="2"/>
  <c r="I7" i="2"/>
  <c r="F7" i="2"/>
  <c r="H7" i="2" s="1"/>
  <c r="J7" i="2" s="1"/>
  <c r="M7" i="2" s="1"/>
  <c r="B7" i="2"/>
  <c r="A7" i="2"/>
  <c r="BK7" i="2" s="1"/>
  <c r="D14" i="1" l="1"/>
  <c r="D13" i="1"/>
  <c r="D12" i="1"/>
  <c r="W25" i="2"/>
  <c r="W12" i="2"/>
  <c r="M14" i="2"/>
  <c r="BK19" i="2"/>
  <c r="BI9" i="2"/>
  <c r="J19" i="2"/>
  <c r="M19" i="2" s="1"/>
  <c r="P19" i="2" s="1"/>
  <c r="BK29" i="2"/>
  <c r="J31" i="2"/>
  <c r="M31" i="2" s="1"/>
  <c r="P31" i="2" s="1"/>
  <c r="Z31" i="2" s="1"/>
  <c r="BK33" i="2"/>
  <c r="BK60" i="2"/>
  <c r="W75" i="2"/>
  <c r="J79" i="2"/>
  <c r="M79" i="2" s="1"/>
  <c r="BK80" i="2"/>
  <c r="W86" i="2"/>
  <c r="BK88" i="2"/>
  <c r="J108" i="2"/>
  <c r="M108" i="2" s="1"/>
  <c r="P108" i="2" s="1"/>
  <c r="BL108" i="2" s="1"/>
  <c r="BK114" i="2"/>
  <c r="BI20" i="3"/>
  <c r="BI21" i="3"/>
  <c r="BK32" i="3"/>
  <c r="BK49" i="3"/>
  <c r="BK61" i="3"/>
  <c r="BK73" i="3"/>
  <c r="J76" i="3"/>
  <c r="M76" i="3" s="1"/>
  <c r="P76" i="3" s="1"/>
  <c r="BK84" i="3"/>
  <c r="W88" i="3"/>
  <c r="BK93" i="3"/>
  <c r="BK96" i="3"/>
  <c r="BK106" i="3"/>
  <c r="Z109" i="3"/>
  <c r="P33" i="2"/>
  <c r="AC33" i="2" s="1"/>
  <c r="BI44" i="3"/>
  <c r="W78" i="2"/>
  <c r="W7" i="3"/>
  <c r="W13" i="3"/>
  <c r="W27" i="3"/>
  <c r="W54" i="3"/>
  <c r="W58" i="3"/>
  <c r="BI63" i="3"/>
  <c r="W78" i="3"/>
  <c r="W109" i="3"/>
  <c r="BI62" i="2"/>
  <c r="W31" i="3"/>
  <c r="W7" i="2"/>
  <c r="W11" i="2"/>
  <c r="W16" i="2"/>
  <c r="BK26" i="2"/>
  <c r="BK49" i="2"/>
  <c r="M60" i="2"/>
  <c r="P60" i="2" s="1"/>
  <c r="BI63" i="2"/>
  <c r="BI66" i="2"/>
  <c r="M76" i="2"/>
  <c r="P76" i="2" s="1"/>
  <c r="W82" i="2"/>
  <c r="BK86" i="2"/>
  <c r="BK99" i="2"/>
  <c r="J101" i="2"/>
  <c r="M101" i="2" s="1"/>
  <c r="P101" i="2" s="1"/>
  <c r="BK106" i="2"/>
  <c r="BL109" i="2"/>
  <c r="BK111" i="2"/>
  <c r="J114" i="2"/>
  <c r="M114" i="2" s="1"/>
  <c r="J10" i="3"/>
  <c r="M10" i="3" s="1"/>
  <c r="P10" i="3" s="1"/>
  <c r="BK11" i="3"/>
  <c r="BL22" i="3"/>
  <c r="BK25" i="3"/>
  <c r="BK51" i="3"/>
  <c r="BK66" i="3"/>
  <c r="W75" i="3"/>
  <c r="W82" i="3"/>
  <c r="P104" i="3"/>
  <c r="Y104" i="3" s="1"/>
  <c r="M20" i="2"/>
  <c r="P20" i="2" s="1"/>
  <c r="M23" i="2"/>
  <c r="P23" i="2" s="1"/>
  <c r="J54" i="2"/>
  <c r="M54" i="2" s="1"/>
  <c r="W56" i="2"/>
  <c r="BI67" i="2"/>
  <c r="BK72" i="2"/>
  <c r="BK77" i="2"/>
  <c r="W79" i="2"/>
  <c r="J83" i="2"/>
  <c r="M83" i="2" s="1"/>
  <c r="P83" i="2" s="1"/>
  <c r="Y83" i="2" s="1"/>
  <c r="J88" i="2"/>
  <c r="M88" i="2" s="1"/>
  <c r="P88" i="2" s="1"/>
  <c r="J106" i="2"/>
  <c r="M106" i="2" s="1"/>
  <c r="P106" i="2" s="1"/>
  <c r="W108" i="2"/>
  <c r="J111" i="2"/>
  <c r="BK113" i="2"/>
  <c r="J15" i="3"/>
  <c r="M15" i="3" s="1"/>
  <c r="BK23" i="3"/>
  <c r="H25" i="3"/>
  <c r="J25" i="3" s="1"/>
  <c r="M25" i="3" s="1"/>
  <c r="P25" i="3" s="1"/>
  <c r="BI38" i="3"/>
  <c r="BK52" i="3"/>
  <c r="BK65" i="3"/>
  <c r="BK77" i="3"/>
  <c r="W102" i="3"/>
  <c r="BK107" i="3"/>
  <c r="J112" i="3"/>
  <c r="M112" i="3" s="1"/>
  <c r="P112" i="3" s="1"/>
  <c r="BK18" i="2"/>
  <c r="BK37" i="2"/>
  <c r="M47" i="2"/>
  <c r="P47" i="2" s="1"/>
  <c r="BK51" i="2"/>
  <c r="P57" i="2"/>
  <c r="BK71" i="2"/>
  <c r="BK81" i="2"/>
  <c r="BK84" i="2"/>
  <c r="BK85" i="2"/>
  <c r="BK89" i="2"/>
  <c r="M110" i="2"/>
  <c r="P110" i="2" s="1"/>
  <c r="AB110" i="2" s="1"/>
  <c r="BK112" i="2"/>
  <c r="BK115" i="2"/>
  <c r="W10" i="3"/>
  <c r="G120" i="3"/>
  <c r="BK20" i="3"/>
  <c r="BK26" i="3"/>
  <c r="W28" i="3"/>
  <c r="BK40" i="3"/>
  <c r="BK41" i="3"/>
  <c r="BI43" i="3"/>
  <c r="W79" i="3"/>
  <c r="BK82" i="3"/>
  <c r="BK86" i="3"/>
  <c r="BK94" i="3"/>
  <c r="P105" i="3"/>
  <c r="Z105" i="3" s="1"/>
  <c r="J107" i="3"/>
  <c r="M107" i="3" s="1"/>
  <c r="BK108" i="3"/>
  <c r="J13" i="2"/>
  <c r="M13" i="2" s="1"/>
  <c r="W14" i="2"/>
  <c r="W28" i="2"/>
  <c r="W35" i="2"/>
  <c r="M37" i="2"/>
  <c r="P37" i="2" s="1"/>
  <c r="AE37" i="2" s="1"/>
  <c r="BK52" i="2"/>
  <c r="W54" i="2"/>
  <c r="J70" i="2"/>
  <c r="M70" i="2" s="1"/>
  <c r="BK78" i="2"/>
  <c r="J81" i="2"/>
  <c r="M81" i="2" s="1"/>
  <c r="BK104" i="2"/>
  <c r="P105" i="2"/>
  <c r="W106" i="2"/>
  <c r="L113" i="2"/>
  <c r="M113" i="2" s="1"/>
  <c r="P113" i="2" s="1"/>
  <c r="BL113" i="2" s="1"/>
  <c r="W15" i="3"/>
  <c r="J16" i="3"/>
  <c r="M16" i="3" s="1"/>
  <c r="P16" i="3" s="1"/>
  <c r="AB16" i="3" s="1"/>
  <c r="W36" i="3"/>
  <c r="BI42" i="3"/>
  <c r="W49" i="3"/>
  <c r="J56" i="3"/>
  <c r="M56" i="3" s="1"/>
  <c r="P56" i="3" s="1"/>
  <c r="BK57" i="3"/>
  <c r="J70" i="3"/>
  <c r="M70" i="3" s="1"/>
  <c r="P70" i="3" s="1"/>
  <c r="BK75" i="3"/>
  <c r="BK89" i="3"/>
  <c r="W115" i="3"/>
  <c r="W59" i="3"/>
  <c r="P86" i="3"/>
  <c r="P114" i="2"/>
  <c r="P10" i="2"/>
  <c r="AA10" i="2" s="1"/>
  <c r="H11" i="2"/>
  <c r="J11" i="2" s="1"/>
  <c r="M11" i="2" s="1"/>
  <c r="P11" i="2" s="1"/>
  <c r="Y11" i="2" s="1"/>
  <c r="BI21" i="2"/>
  <c r="BK25" i="2"/>
  <c r="BK28" i="2"/>
  <c r="BI38" i="2"/>
  <c r="BI40" i="2"/>
  <c r="M52" i="2"/>
  <c r="P52" i="2" s="1"/>
  <c r="BK62" i="2"/>
  <c r="P74" i="2"/>
  <c r="J78" i="2"/>
  <c r="M78" i="2" s="1"/>
  <c r="W88" i="2"/>
  <c r="BK90" i="2"/>
  <c r="L112" i="2"/>
  <c r="M112" i="2" s="1"/>
  <c r="P112" i="2" s="1"/>
  <c r="J115" i="2"/>
  <c r="M115" i="2" s="1"/>
  <c r="P115" i="2" s="1"/>
  <c r="BK116" i="2"/>
  <c r="BK8" i="3"/>
  <c r="BK13" i="3"/>
  <c r="J17" i="3"/>
  <c r="M17" i="3" s="1"/>
  <c r="P17" i="3" s="1"/>
  <c r="Z17" i="3" s="1"/>
  <c r="W19" i="3"/>
  <c r="BI24" i="3"/>
  <c r="BK45" i="3"/>
  <c r="BI50" i="3"/>
  <c r="J53" i="3"/>
  <c r="M53" i="3" s="1"/>
  <c r="P53" i="3" s="1"/>
  <c r="Y53" i="3" s="1"/>
  <c r="BK68" i="3"/>
  <c r="BK79" i="3"/>
  <c r="W81" i="3"/>
  <c r="BK83" i="3"/>
  <c r="BK85" i="3"/>
  <c r="BK90" i="3"/>
  <c r="BK95" i="3"/>
  <c r="W106" i="3"/>
  <c r="BI37" i="2"/>
  <c r="P100" i="2"/>
  <c r="W26" i="3"/>
  <c r="BK44" i="3"/>
  <c r="J75" i="3"/>
  <c r="M75" i="3" s="1"/>
  <c r="P75" i="3" s="1"/>
  <c r="M28" i="2"/>
  <c r="P28" i="2" s="1"/>
  <c r="W34" i="2"/>
  <c r="AE62" i="2"/>
  <c r="W77" i="2"/>
  <c r="W80" i="2"/>
  <c r="W81" i="2"/>
  <c r="W16" i="3"/>
  <c r="W30" i="3"/>
  <c r="BK36" i="3"/>
  <c r="BI46" i="3"/>
  <c r="W53" i="3"/>
  <c r="W57" i="3"/>
  <c r="BK59" i="3"/>
  <c r="BK62" i="3"/>
  <c r="P79" i="3"/>
  <c r="P83" i="3"/>
  <c r="W86" i="3"/>
  <c r="W91" i="3"/>
  <c r="W100" i="3"/>
  <c r="W101" i="3"/>
  <c r="BK103" i="3"/>
  <c r="W108" i="3"/>
  <c r="BK113" i="3"/>
  <c r="T22" i="6"/>
  <c r="U22" i="6" s="1"/>
  <c r="D10" i="1" s="1"/>
  <c r="P12" i="3"/>
  <c r="Z12" i="3" s="1"/>
  <c r="P78" i="3"/>
  <c r="AA78" i="3" s="1"/>
  <c r="P81" i="3"/>
  <c r="AC81" i="3" s="1"/>
  <c r="P72" i="3"/>
  <c r="P108" i="3"/>
  <c r="BL108" i="3" s="1"/>
  <c r="BL109" i="3"/>
  <c r="P71" i="3"/>
  <c r="AA109" i="3"/>
  <c r="BL21" i="3"/>
  <c r="AE21" i="3"/>
  <c r="AB25" i="3"/>
  <c r="Z25" i="3"/>
  <c r="Y25" i="3"/>
  <c r="BL25" i="3"/>
  <c r="AC25" i="3"/>
  <c r="AA25" i="3"/>
  <c r="AA16" i="3"/>
  <c r="BL16" i="3"/>
  <c r="Z16" i="3"/>
  <c r="BL8" i="3"/>
  <c r="AE8" i="3"/>
  <c r="AE23" i="3"/>
  <c r="BL23" i="3"/>
  <c r="BL20" i="3"/>
  <c r="AE20" i="3"/>
  <c r="BL10" i="3"/>
  <c r="Y10" i="3"/>
  <c r="AA10" i="3"/>
  <c r="Z10" i="3"/>
  <c r="AC10" i="3"/>
  <c r="AB10" i="3"/>
  <c r="AB14" i="3"/>
  <c r="BL14" i="3"/>
  <c r="Y14" i="3"/>
  <c r="AC14" i="3"/>
  <c r="AA14" i="3"/>
  <c r="Z14" i="3"/>
  <c r="BL53" i="3"/>
  <c r="AC53" i="3"/>
  <c r="Z53" i="3"/>
  <c r="AU32" i="3"/>
  <c r="BE32" i="3" s="1"/>
  <c r="AC17" i="3"/>
  <c r="AA17" i="3"/>
  <c r="BL17" i="3"/>
  <c r="AB17" i="3"/>
  <c r="BL13" i="3"/>
  <c r="AA13" i="3"/>
  <c r="Y13" i="3"/>
  <c r="AB13" i="3"/>
  <c r="AC13" i="3"/>
  <c r="Z13" i="3"/>
  <c r="BL9" i="3"/>
  <c r="AE9" i="3"/>
  <c r="BL51" i="3"/>
  <c r="AE51" i="3"/>
  <c r="BL38" i="3"/>
  <c r="AE38" i="3"/>
  <c r="F120" i="3"/>
  <c r="F122" i="3" s="1"/>
  <c r="BL41" i="3"/>
  <c r="AE41" i="3"/>
  <c r="BL46" i="3"/>
  <c r="AE46" i="3"/>
  <c r="AB55" i="3"/>
  <c r="BL55" i="3"/>
  <c r="AA55" i="3"/>
  <c r="Z55" i="3"/>
  <c r="Y55" i="3"/>
  <c r="AC55" i="3"/>
  <c r="AT138" i="3"/>
  <c r="AV162" i="3" s="1"/>
  <c r="BL61" i="3"/>
  <c r="AE61" i="3"/>
  <c r="AW80" i="3"/>
  <c r="BG80" i="3" s="1"/>
  <c r="Y32" i="3"/>
  <c r="BL32" i="3"/>
  <c r="AA32" i="3"/>
  <c r="AC32" i="3"/>
  <c r="AB32" i="3"/>
  <c r="AE39" i="3"/>
  <c r="BL39" i="3"/>
  <c r="AE43" i="3"/>
  <c r="AC57" i="3"/>
  <c r="Y57" i="3"/>
  <c r="AA57" i="3"/>
  <c r="Z57" i="3"/>
  <c r="BL57" i="3"/>
  <c r="AB57" i="3"/>
  <c r="BE105" i="3"/>
  <c r="AU105" i="3"/>
  <c r="H11" i="3"/>
  <c r="J11" i="3" s="1"/>
  <c r="M11" i="3" s="1"/>
  <c r="P11" i="3" s="1"/>
  <c r="W14" i="3"/>
  <c r="BL24" i="3"/>
  <c r="AE24" i="3"/>
  <c r="W34" i="3"/>
  <c r="AE47" i="3"/>
  <c r="BL47" i="3"/>
  <c r="Z56" i="3"/>
  <c r="Y56" i="3"/>
  <c r="BL56" i="3"/>
  <c r="AC56" i="3"/>
  <c r="AB56" i="3"/>
  <c r="AA56" i="3"/>
  <c r="BL65" i="3"/>
  <c r="AE65" i="3"/>
  <c r="Y26" i="3"/>
  <c r="AB26" i="3"/>
  <c r="AA26" i="3"/>
  <c r="Z26" i="3"/>
  <c r="BL26" i="3"/>
  <c r="Y30" i="3"/>
  <c r="AA30" i="3"/>
  <c r="Z30" i="3"/>
  <c r="BL30" i="3"/>
  <c r="AC30" i="3"/>
  <c r="J7" i="3"/>
  <c r="M7" i="3" s="1"/>
  <c r="P7" i="3" s="1"/>
  <c r="J19" i="3"/>
  <c r="M19" i="3" s="1"/>
  <c r="P19" i="3" s="1"/>
  <c r="W25" i="3"/>
  <c r="BK28" i="3"/>
  <c r="AC36" i="3"/>
  <c r="AB36" i="3"/>
  <c r="BL36" i="3"/>
  <c r="AA36" i="3"/>
  <c r="Z36" i="3"/>
  <c r="Y36" i="3"/>
  <c r="BI41" i="3"/>
  <c r="BL42" i="3"/>
  <c r="AE42" i="3"/>
  <c r="BL44" i="3"/>
  <c r="AE44" i="3"/>
  <c r="BL50" i="3"/>
  <c r="AE50" i="3"/>
  <c r="AE60" i="3"/>
  <c r="BL60" i="3"/>
  <c r="Z74" i="3"/>
  <c r="P74" i="3"/>
  <c r="BL29" i="3"/>
  <c r="AA29" i="3"/>
  <c r="AC29" i="3"/>
  <c r="Z29" i="3"/>
  <c r="Y29" i="3"/>
  <c r="P15" i="3"/>
  <c r="J18" i="3"/>
  <c r="M18" i="3" s="1"/>
  <c r="P18" i="3" s="1"/>
  <c r="BI22" i="3"/>
  <c r="BI23" i="3"/>
  <c r="P33" i="3"/>
  <c r="AV52" i="3"/>
  <c r="BF52" i="3" s="1"/>
  <c r="BL63" i="3"/>
  <c r="AE63" i="3"/>
  <c r="P73" i="3"/>
  <c r="Z73" i="3"/>
  <c r="BE73" i="3" s="1"/>
  <c r="AC26" i="3"/>
  <c r="AB30" i="3"/>
  <c r="BK15" i="3"/>
  <c r="AB29" i="3"/>
  <c r="BK30" i="3"/>
  <c r="BL37" i="3"/>
  <c r="AE37" i="3"/>
  <c r="BL40" i="3"/>
  <c r="AE40" i="3"/>
  <c r="BL45" i="3"/>
  <c r="AE45" i="3"/>
  <c r="BL66" i="3"/>
  <c r="AE66" i="3"/>
  <c r="AE68" i="3"/>
  <c r="BE72" i="3"/>
  <c r="BI72" i="3" s="1"/>
  <c r="J28" i="3"/>
  <c r="M28" i="3" s="1"/>
  <c r="P28" i="3" s="1"/>
  <c r="BK43" i="3"/>
  <c r="M49" i="3"/>
  <c r="P49" i="3" s="1"/>
  <c r="BL59" i="3"/>
  <c r="AA59" i="3"/>
  <c r="Z59" i="3"/>
  <c r="Y59" i="3"/>
  <c r="AC59" i="3"/>
  <c r="AB59" i="3"/>
  <c r="W70" i="3"/>
  <c r="BL72" i="3"/>
  <c r="AC72" i="3"/>
  <c r="BH72" i="3" s="1"/>
  <c r="AC93" i="3"/>
  <c r="BH93" i="3" s="1"/>
  <c r="AB93" i="3"/>
  <c r="BG93" i="3" s="1"/>
  <c r="AA93" i="3"/>
  <c r="BF93" i="3" s="1"/>
  <c r="Z93" i="3"/>
  <c r="BE93" i="3" s="1"/>
  <c r="BL93" i="3"/>
  <c r="Y93" i="3"/>
  <c r="W29" i="3"/>
  <c r="BI37" i="3"/>
  <c r="BI45" i="3"/>
  <c r="BI51" i="3"/>
  <c r="Z52" i="3"/>
  <c r="BL52" i="3"/>
  <c r="Y52" i="3"/>
  <c r="AC52" i="3"/>
  <c r="AB52" i="3"/>
  <c r="BL83" i="3"/>
  <c r="AA83" i="3"/>
  <c r="Z83" i="3"/>
  <c r="Y83" i="3"/>
  <c r="AC83" i="3"/>
  <c r="AB83" i="3"/>
  <c r="BL101" i="3"/>
  <c r="Y101" i="3"/>
  <c r="AC101" i="3"/>
  <c r="AB101" i="3"/>
  <c r="AA101" i="3"/>
  <c r="Z101" i="3"/>
  <c r="BI39" i="3"/>
  <c r="BI47" i="3"/>
  <c r="M54" i="3"/>
  <c r="P54" i="3" s="1"/>
  <c r="BL62" i="3"/>
  <c r="BL67" i="3"/>
  <c r="AE67" i="3"/>
  <c r="BL69" i="3"/>
  <c r="AE69" i="3"/>
  <c r="J27" i="3"/>
  <c r="M27" i="3" s="1"/>
  <c r="P27" i="3" s="1"/>
  <c r="J31" i="3"/>
  <c r="M31" i="3" s="1"/>
  <c r="P31" i="3" s="1"/>
  <c r="W32" i="3"/>
  <c r="W33" i="3"/>
  <c r="P34" i="3"/>
  <c r="P35" i="3"/>
  <c r="BK39" i="3"/>
  <c r="BK47" i="3"/>
  <c r="M48" i="3"/>
  <c r="P48" i="3" s="1"/>
  <c r="W52" i="3"/>
  <c r="P77" i="3"/>
  <c r="W35" i="3"/>
  <c r="AE64" i="3"/>
  <c r="AA70" i="3"/>
  <c r="Z70" i="3"/>
  <c r="Y70" i="3"/>
  <c r="AC70" i="3"/>
  <c r="BL70" i="3"/>
  <c r="AB70" i="3"/>
  <c r="AC71" i="3"/>
  <c r="BL71" i="3"/>
  <c r="AC79" i="3"/>
  <c r="AB79" i="3"/>
  <c r="BL79" i="3"/>
  <c r="AA79" i="3"/>
  <c r="Y79" i="3"/>
  <c r="Z79" i="3"/>
  <c r="BD85" i="3"/>
  <c r="AC86" i="3"/>
  <c r="BL86" i="3"/>
  <c r="Y86" i="3"/>
  <c r="AB86" i="3"/>
  <c r="AA86" i="3"/>
  <c r="Z86" i="3"/>
  <c r="W56" i="3"/>
  <c r="BI64" i="3"/>
  <c r="AC78" i="3"/>
  <c r="P85" i="3"/>
  <c r="AC112" i="3"/>
  <c r="AB112" i="3"/>
  <c r="BL112" i="3"/>
  <c r="AA112" i="3"/>
  <c r="Z112" i="3"/>
  <c r="Y112" i="3"/>
  <c r="P58" i="3"/>
  <c r="BI62" i="3"/>
  <c r="BL80" i="3"/>
  <c r="AA80" i="3"/>
  <c r="Z80" i="3"/>
  <c r="Y80" i="3"/>
  <c r="AC80" i="3"/>
  <c r="P82" i="3"/>
  <c r="W83" i="3"/>
  <c r="M84" i="3"/>
  <c r="AC94" i="3"/>
  <c r="BH94" i="3" s="1"/>
  <c r="AB94" i="3"/>
  <c r="BG94" i="3" s="1"/>
  <c r="AA94" i="3"/>
  <c r="BF94" i="3" s="1"/>
  <c r="Z94" i="3"/>
  <c r="BE94" i="3" s="1"/>
  <c r="Y94" i="3"/>
  <c r="BI66" i="3"/>
  <c r="BI68" i="3"/>
  <c r="W77" i="3"/>
  <c r="AA87" i="3"/>
  <c r="BF87" i="3" s="1"/>
  <c r="Z87" i="3"/>
  <c r="BE87" i="3" s="1"/>
  <c r="BL87" i="3"/>
  <c r="AB87" i="3"/>
  <c r="BG87" i="3" s="1"/>
  <c r="Y87" i="3"/>
  <c r="M88" i="3"/>
  <c r="P88" i="3" s="1"/>
  <c r="AB92" i="3"/>
  <c r="BG92" i="3" s="1"/>
  <c r="AA92" i="3"/>
  <c r="BF92" i="3" s="1"/>
  <c r="Z92" i="3"/>
  <c r="BE92" i="3" s="1"/>
  <c r="Y92" i="3"/>
  <c r="BL92" i="3"/>
  <c r="AC92" i="3"/>
  <c r="BH92" i="3" s="1"/>
  <c r="AA99" i="3"/>
  <c r="BF99" i="3" s="1"/>
  <c r="Z99" i="3"/>
  <c r="BE99" i="3" s="1"/>
  <c r="Y99" i="3"/>
  <c r="BL99" i="3"/>
  <c r="AC99" i="3"/>
  <c r="BH99" i="3" s="1"/>
  <c r="AB99" i="3"/>
  <c r="BG99" i="3" s="1"/>
  <c r="AT104" i="3"/>
  <c r="AC119" i="3"/>
  <c r="BL119" i="3"/>
  <c r="AB119" i="3"/>
  <c r="AA119" i="3"/>
  <c r="Z119" i="3"/>
  <c r="Y119" i="3"/>
  <c r="AC76" i="3"/>
  <c r="BH76" i="3" s="1"/>
  <c r="BL76" i="3"/>
  <c r="AB76" i="3"/>
  <c r="BG76" i="3" s="1"/>
  <c r="Z76" i="3"/>
  <c r="BE76" i="3" s="1"/>
  <c r="Y76" i="3"/>
  <c r="AA76" i="3"/>
  <c r="BF76" i="3" s="1"/>
  <c r="Z98" i="3"/>
  <c r="BE98" i="3" s="1"/>
  <c r="Y98" i="3"/>
  <c r="BL98" i="3"/>
  <c r="AC98" i="3"/>
  <c r="BH98" i="3" s="1"/>
  <c r="AB98" i="3"/>
  <c r="BG98" i="3" s="1"/>
  <c r="AA98" i="3"/>
  <c r="BF98" i="3" s="1"/>
  <c r="W80" i="3"/>
  <c r="BL95" i="3"/>
  <c r="AC95" i="3"/>
  <c r="BH95" i="3" s="1"/>
  <c r="AB95" i="3"/>
  <c r="BG95" i="3" s="1"/>
  <c r="AA95" i="3"/>
  <c r="BF95" i="3" s="1"/>
  <c r="Z95" i="3"/>
  <c r="BE95" i="3" s="1"/>
  <c r="Y95" i="3"/>
  <c r="BI67" i="3"/>
  <c r="AE90" i="3"/>
  <c r="AC110" i="3"/>
  <c r="AA110" i="3"/>
  <c r="Z110" i="3"/>
  <c r="BL110" i="3"/>
  <c r="Y110" i="3"/>
  <c r="AB110" i="3"/>
  <c r="W89" i="3"/>
  <c r="BI90" i="3"/>
  <c r="Y97" i="3"/>
  <c r="BL97" i="3"/>
  <c r="AC97" i="3"/>
  <c r="BH97" i="3" s="1"/>
  <c r="AB97" i="3"/>
  <c r="BG97" i="3" s="1"/>
  <c r="AA97" i="3"/>
  <c r="BF97" i="3" s="1"/>
  <c r="BL96" i="3"/>
  <c r="AC96" i="3"/>
  <c r="BH96" i="3" s="1"/>
  <c r="AB96" i="3"/>
  <c r="BG96" i="3" s="1"/>
  <c r="AA96" i="3"/>
  <c r="BF96" i="3" s="1"/>
  <c r="Z96" i="3"/>
  <c r="BE96" i="3" s="1"/>
  <c r="P115" i="3"/>
  <c r="AC116" i="3"/>
  <c r="AB116" i="3"/>
  <c r="AA116" i="3"/>
  <c r="Z116" i="3"/>
  <c r="Y116" i="3"/>
  <c r="BL116" i="3"/>
  <c r="Y103" i="3"/>
  <c r="AC103" i="3"/>
  <c r="AB103" i="3"/>
  <c r="AA103" i="3"/>
  <c r="Z103" i="3"/>
  <c r="BL103" i="3"/>
  <c r="BL104" i="3"/>
  <c r="AA104" i="3"/>
  <c r="AC104" i="3"/>
  <c r="AB104" i="3"/>
  <c r="Z104" i="3"/>
  <c r="J89" i="3"/>
  <c r="M89" i="3" s="1"/>
  <c r="P89" i="3" s="1"/>
  <c r="P91" i="3"/>
  <c r="Y96" i="3"/>
  <c r="J100" i="3"/>
  <c r="M100" i="3" s="1"/>
  <c r="P100" i="3" s="1"/>
  <c r="BK101" i="3"/>
  <c r="P102" i="3"/>
  <c r="Y108" i="3"/>
  <c r="AC108" i="3"/>
  <c r="AA108" i="3"/>
  <c r="AU109" i="3"/>
  <c r="BE109" i="3" s="1"/>
  <c r="AC105" i="3"/>
  <c r="Y105" i="3"/>
  <c r="BL105" i="3"/>
  <c r="AB105" i="3"/>
  <c r="AA105" i="3"/>
  <c r="AC118" i="3"/>
  <c r="AB118" i="3"/>
  <c r="AA118" i="3"/>
  <c r="Z118" i="3"/>
  <c r="Y118" i="3"/>
  <c r="BL118" i="3"/>
  <c r="P111" i="3"/>
  <c r="W111" i="3"/>
  <c r="P106" i="3"/>
  <c r="P107" i="3"/>
  <c r="W107" i="3"/>
  <c r="AV109" i="3"/>
  <c r="BF109" i="3" s="1"/>
  <c r="AC113" i="3"/>
  <c r="AB113" i="3"/>
  <c r="BL113" i="3"/>
  <c r="AA113" i="3"/>
  <c r="Z113" i="3"/>
  <c r="Y113" i="3"/>
  <c r="P114" i="3"/>
  <c r="AC117" i="3"/>
  <c r="AB117" i="3"/>
  <c r="AA117" i="3"/>
  <c r="Z117" i="3"/>
  <c r="Y117" i="3"/>
  <c r="BL117" i="3"/>
  <c r="Y109" i="3"/>
  <c r="AC109" i="3"/>
  <c r="AB109" i="3"/>
  <c r="W114" i="3"/>
  <c r="AA11" i="2"/>
  <c r="P18" i="2"/>
  <c r="BL23" i="2"/>
  <c r="AE23" i="2"/>
  <c r="BL9" i="2"/>
  <c r="AE9" i="2"/>
  <c r="P25" i="2"/>
  <c r="BL8" i="2"/>
  <c r="AE8" i="2"/>
  <c r="AB10" i="2"/>
  <c r="P13" i="2"/>
  <c r="P14" i="2"/>
  <c r="P15" i="2"/>
  <c r="BL24" i="2"/>
  <c r="AE24" i="2"/>
  <c r="BL20" i="2"/>
  <c r="AE20" i="2"/>
  <c r="BL12" i="2"/>
  <c r="AA12" i="2"/>
  <c r="AC12" i="2"/>
  <c r="AB12" i="2"/>
  <c r="Z12" i="2"/>
  <c r="Y12" i="2"/>
  <c r="P7" i="2"/>
  <c r="AB19" i="2"/>
  <c r="Y19" i="2"/>
  <c r="BL19" i="2"/>
  <c r="AC19" i="2"/>
  <c r="AA19" i="2"/>
  <c r="Z19" i="2"/>
  <c r="AA16" i="2"/>
  <c r="AW16" i="2"/>
  <c r="BG16" i="2" s="1"/>
  <c r="BI8" i="2"/>
  <c r="P17" i="2"/>
  <c r="BI24" i="2"/>
  <c r="BL40" i="2"/>
  <c r="AE40" i="2"/>
  <c r="W29" i="2"/>
  <c r="Y30" i="2"/>
  <c r="AC30" i="2"/>
  <c r="AB30" i="2"/>
  <c r="AA30" i="2"/>
  <c r="Z30" i="2"/>
  <c r="BL30" i="2"/>
  <c r="BL38" i="2"/>
  <c r="AE38" i="2"/>
  <c r="AE60" i="2"/>
  <c r="BL60" i="2"/>
  <c r="W13" i="2"/>
  <c r="M21" i="2"/>
  <c r="P21" i="2" s="1"/>
  <c r="W27" i="2"/>
  <c r="Z27" i="2"/>
  <c r="Y27" i="2"/>
  <c r="AC27" i="2"/>
  <c r="BL27" i="2"/>
  <c r="AA27" i="2"/>
  <c r="P26" i="2"/>
  <c r="W30" i="2"/>
  <c r="BL43" i="2"/>
  <c r="AE43" i="2"/>
  <c r="BL50" i="2"/>
  <c r="AE50" i="2"/>
  <c r="BL22" i="2"/>
  <c r="AE22" i="2"/>
  <c r="Y16" i="2"/>
  <c r="BI23" i="2"/>
  <c r="W26" i="2"/>
  <c r="AE41" i="2"/>
  <c r="BL41" i="2"/>
  <c r="BL47" i="2"/>
  <c r="AE47" i="2"/>
  <c r="AA52" i="2"/>
  <c r="BL52" i="2"/>
  <c r="Y52" i="2"/>
  <c r="AB52" i="2"/>
  <c r="AC52" i="2"/>
  <c r="Z52" i="2"/>
  <c r="F120" i="2"/>
  <c r="F122" i="2" s="1"/>
  <c r="W10" i="2"/>
  <c r="Z16" i="2"/>
  <c r="BL29" i="2"/>
  <c r="AA29" i="2"/>
  <c r="AC29" i="2"/>
  <c r="AB29" i="2"/>
  <c r="Z29" i="2"/>
  <c r="Y29" i="2"/>
  <c r="BL32" i="2"/>
  <c r="AA32" i="2"/>
  <c r="AC32" i="2"/>
  <c r="AB32" i="2"/>
  <c r="Z32" i="2"/>
  <c r="Y32" i="2"/>
  <c r="BL39" i="2"/>
  <c r="AE39" i="2"/>
  <c r="AB27" i="2"/>
  <c r="AB31" i="2"/>
  <c r="AA31" i="2"/>
  <c r="AB36" i="2"/>
  <c r="Y36" i="2"/>
  <c r="AC36" i="2"/>
  <c r="BL36" i="2"/>
  <c r="AA36" i="2"/>
  <c r="Z36" i="2"/>
  <c r="BL44" i="2"/>
  <c r="AE44" i="2"/>
  <c r="BL16" i="2"/>
  <c r="BI43" i="2"/>
  <c r="M51" i="2"/>
  <c r="P51" i="2" s="1"/>
  <c r="W57" i="2"/>
  <c r="BL66" i="2"/>
  <c r="AE66" i="2"/>
  <c r="AA76" i="2"/>
  <c r="BF76" i="2" s="1"/>
  <c r="Y76" i="2"/>
  <c r="BL76" i="2"/>
  <c r="AC76" i="2"/>
  <c r="BH76" i="2" s="1"/>
  <c r="Z76" i="2"/>
  <c r="BE76" i="2" s="1"/>
  <c r="BL42" i="2"/>
  <c r="AE42" i="2"/>
  <c r="BL45" i="2"/>
  <c r="P58" i="2"/>
  <c r="P35" i="2"/>
  <c r="BI39" i="2"/>
  <c r="BL48" i="2"/>
  <c r="AB95" i="2"/>
  <c r="BG95" i="2" s="1"/>
  <c r="AA95" i="2"/>
  <c r="BF95" i="2" s="1"/>
  <c r="Z95" i="2"/>
  <c r="BE95" i="2" s="1"/>
  <c r="AC95" i="2"/>
  <c r="BH95" i="2" s="1"/>
  <c r="BL95" i="2"/>
  <c r="Y95" i="2"/>
  <c r="W33" i="2"/>
  <c r="AE48" i="2"/>
  <c r="P49" i="2"/>
  <c r="W52" i="2"/>
  <c r="P53" i="2"/>
  <c r="BL67" i="2"/>
  <c r="AE67" i="2"/>
  <c r="BL69" i="2"/>
  <c r="AE69" i="2"/>
  <c r="BK45" i="2"/>
  <c r="W53" i="2"/>
  <c r="P54" i="2"/>
  <c r="P55" i="2"/>
  <c r="BL65" i="2"/>
  <c r="AE65" i="2"/>
  <c r="Z71" i="2"/>
  <c r="BE71" i="2" s="1"/>
  <c r="P71" i="2"/>
  <c r="AC97" i="2"/>
  <c r="BH97" i="2" s="1"/>
  <c r="AB97" i="2"/>
  <c r="BG97" i="2" s="1"/>
  <c r="Y97" i="2"/>
  <c r="BL97" i="2"/>
  <c r="Z97" i="2"/>
  <c r="BE97" i="2" s="1"/>
  <c r="AA97" i="2"/>
  <c r="BF97" i="2" s="1"/>
  <c r="Y57" i="2"/>
  <c r="AT138" i="2"/>
  <c r="AV162" i="2" s="1"/>
  <c r="BL61" i="2"/>
  <c r="AE61" i="2"/>
  <c r="BL63" i="2"/>
  <c r="AE63" i="2"/>
  <c r="Z72" i="2"/>
  <c r="P72" i="2"/>
  <c r="P75" i="2"/>
  <c r="P34" i="2"/>
  <c r="BK41" i="2"/>
  <c r="BI41" i="2"/>
  <c r="BI47" i="2"/>
  <c r="W55" i="2"/>
  <c r="P56" i="2"/>
  <c r="P59" i="2"/>
  <c r="BI69" i="2"/>
  <c r="P73" i="2"/>
  <c r="Z73" i="2"/>
  <c r="BE73" i="2" s="1"/>
  <c r="AB76" i="2"/>
  <c r="BG76" i="2" s="1"/>
  <c r="Z84" i="2"/>
  <c r="BE84" i="2" s="1"/>
  <c r="P84" i="2"/>
  <c r="BL46" i="2"/>
  <c r="AE46" i="2"/>
  <c r="BI51" i="2"/>
  <c r="AC57" i="2"/>
  <c r="AB57" i="2"/>
  <c r="Z57" i="2"/>
  <c r="W59" i="2"/>
  <c r="AE64" i="2"/>
  <c r="BL64" i="2"/>
  <c r="AE68" i="2"/>
  <c r="BL68" i="2"/>
  <c r="AC74" i="2"/>
  <c r="BH74" i="2" s="1"/>
  <c r="BI74" i="2" s="1"/>
  <c r="BL74" i="2"/>
  <c r="BI60" i="2"/>
  <c r="BK79" i="2"/>
  <c r="M92" i="2"/>
  <c r="P92" i="2" s="1"/>
  <c r="AA94" i="2"/>
  <c r="BF94" i="2" s="1"/>
  <c r="Z94" i="2"/>
  <c r="BE94" i="2" s="1"/>
  <c r="Y94" i="2"/>
  <c r="AC94" i="2"/>
  <c r="BH94" i="2" s="1"/>
  <c r="P78" i="2"/>
  <c r="P81" i="2"/>
  <c r="M90" i="2"/>
  <c r="P90" i="2" s="1"/>
  <c r="W91" i="2"/>
  <c r="Y93" i="2"/>
  <c r="AB93" i="2"/>
  <c r="BG93" i="2" s="1"/>
  <c r="AA93" i="2"/>
  <c r="BF93" i="2" s="1"/>
  <c r="Z93" i="2"/>
  <c r="BE93" i="2" s="1"/>
  <c r="BL93" i="2"/>
  <c r="AC93" i="2"/>
  <c r="BH93" i="2" s="1"/>
  <c r="BI64" i="2"/>
  <c r="AC96" i="2"/>
  <c r="BH96" i="2" s="1"/>
  <c r="AB96" i="2"/>
  <c r="BG96" i="2" s="1"/>
  <c r="AA96" i="2"/>
  <c r="BF96" i="2" s="1"/>
  <c r="Z96" i="2"/>
  <c r="BE96" i="2" s="1"/>
  <c r="Y100" i="2"/>
  <c r="BL100" i="2"/>
  <c r="AC100" i="2"/>
  <c r="AA100" i="2"/>
  <c r="AB100" i="2"/>
  <c r="Z100" i="2"/>
  <c r="P80" i="2"/>
  <c r="M82" i="2"/>
  <c r="P82" i="2" s="1"/>
  <c r="P86" i="2"/>
  <c r="J89" i="2"/>
  <c r="M89" i="2" s="1"/>
  <c r="P89" i="2" s="1"/>
  <c r="J91" i="2"/>
  <c r="M91" i="2" s="1"/>
  <c r="Y96" i="2"/>
  <c r="P70" i="2"/>
  <c r="P79" i="2"/>
  <c r="W83" i="2"/>
  <c r="BL94" i="2"/>
  <c r="BL99" i="2"/>
  <c r="AB99" i="2"/>
  <c r="BG99" i="2" s="1"/>
  <c r="Z99" i="2"/>
  <c r="BE99" i="2" s="1"/>
  <c r="Y99" i="2"/>
  <c r="AA99" i="2"/>
  <c r="BF99" i="2" s="1"/>
  <c r="AW110" i="2"/>
  <c r="BG110" i="2" s="1"/>
  <c r="BI68" i="2"/>
  <c r="P77" i="2"/>
  <c r="P85" i="2"/>
  <c r="Z85" i="2"/>
  <c r="Y87" i="2"/>
  <c r="AC87" i="2"/>
  <c r="BH87" i="2" s="1"/>
  <c r="AB87" i="2"/>
  <c r="BG87" i="2" s="1"/>
  <c r="AA87" i="2"/>
  <c r="BF87" i="2" s="1"/>
  <c r="BL87" i="2"/>
  <c r="BL96" i="2"/>
  <c r="P91" i="2"/>
  <c r="AC106" i="2"/>
  <c r="Y106" i="2"/>
  <c r="AB106" i="2"/>
  <c r="BL106" i="2"/>
  <c r="AA106" i="2"/>
  <c r="Z106" i="2"/>
  <c r="BK97" i="2"/>
  <c r="W101" i="2"/>
  <c r="Y108" i="2"/>
  <c r="AC108" i="2"/>
  <c r="AB108" i="2"/>
  <c r="Z108" i="2"/>
  <c r="AA108" i="2"/>
  <c r="AV109" i="2"/>
  <c r="BF109" i="2" s="1"/>
  <c r="AC102" i="2"/>
  <c r="Y102" i="2"/>
  <c r="AB102" i="2"/>
  <c r="BL102" i="2"/>
  <c r="AA102" i="2"/>
  <c r="Z102" i="2"/>
  <c r="BL114" i="2"/>
  <c r="AA114" i="2"/>
  <c r="Z114" i="2"/>
  <c r="Y114" i="2"/>
  <c r="AC114" i="2"/>
  <c r="AB114" i="2"/>
  <c r="BL98" i="2"/>
  <c r="AC98" i="2"/>
  <c r="BH98" i="2" s="1"/>
  <c r="AA98" i="2"/>
  <c r="BF98" i="2" s="1"/>
  <c r="Y98" i="2"/>
  <c r="BK101" i="2"/>
  <c r="Y103" i="2"/>
  <c r="AC103" i="2"/>
  <c r="BL103" i="2"/>
  <c r="AA103" i="2"/>
  <c r="AB103" i="2"/>
  <c r="Z103" i="2"/>
  <c r="Z98" i="2"/>
  <c r="BE98" i="2" s="1"/>
  <c r="BK100" i="2"/>
  <c r="AB98" i="2"/>
  <c r="BG98" i="2" s="1"/>
  <c r="W100" i="2"/>
  <c r="AB101" i="2"/>
  <c r="AA101" i="2"/>
  <c r="Z101" i="2"/>
  <c r="Y101" i="2"/>
  <c r="BL101" i="2"/>
  <c r="AC101" i="2"/>
  <c r="W102" i="2"/>
  <c r="AB105" i="2"/>
  <c r="Z105" i="2"/>
  <c r="BL105" i="2"/>
  <c r="AC105" i="2"/>
  <c r="AA105" i="2"/>
  <c r="Y105" i="2"/>
  <c r="AC110" i="2"/>
  <c r="Z110" i="2"/>
  <c r="BL110" i="2"/>
  <c r="Y110" i="2"/>
  <c r="AA110" i="2"/>
  <c r="BK108" i="2"/>
  <c r="W109" i="2"/>
  <c r="W111" i="2"/>
  <c r="AB115" i="2"/>
  <c r="BL115" i="2"/>
  <c r="AA115" i="2"/>
  <c r="Z115" i="2"/>
  <c r="Y115" i="2"/>
  <c r="AC115" i="2"/>
  <c r="BK117" i="2"/>
  <c r="AC113" i="2"/>
  <c r="AB113" i="2"/>
  <c r="Z113" i="2"/>
  <c r="Y113" i="2"/>
  <c r="AA113" i="2"/>
  <c r="P107" i="2"/>
  <c r="M111" i="2"/>
  <c r="P111" i="2" s="1"/>
  <c r="W115" i="2"/>
  <c r="P104" i="2"/>
  <c r="AC119" i="2"/>
  <c r="BL119" i="2"/>
  <c r="AB119" i="2"/>
  <c r="AA119" i="2"/>
  <c r="Z119" i="2"/>
  <c r="Y119" i="2"/>
  <c r="W104" i="2"/>
  <c r="Y109" i="2"/>
  <c r="AC109" i="2"/>
  <c r="AB109" i="2"/>
  <c r="Z109" i="2"/>
  <c r="L116" i="2"/>
  <c r="M116" i="2" s="1"/>
  <c r="P116" i="2" s="1"/>
  <c r="L117" i="2"/>
  <c r="M117" i="2" s="1"/>
  <c r="P117" i="2" s="1"/>
  <c r="L118" i="2"/>
  <c r="M118" i="2" s="1"/>
  <c r="P118" i="2" s="1"/>
  <c r="Y28" i="2" l="1"/>
  <c r="AT28" i="2" s="1"/>
  <c r="BL28" i="2"/>
  <c r="AA28" i="2"/>
  <c r="Z28" i="2"/>
  <c r="AD28" i="2" s="1"/>
  <c r="AE28" i="2" s="1"/>
  <c r="AB28" i="2"/>
  <c r="AC28" i="2"/>
  <c r="AC75" i="3"/>
  <c r="AX75" i="3" s="1"/>
  <c r="BH75" i="3" s="1"/>
  <c r="AA75" i="3"/>
  <c r="Z75" i="3"/>
  <c r="BL75" i="3"/>
  <c r="AB75" i="3"/>
  <c r="Y75" i="3"/>
  <c r="AD75" i="3" s="1"/>
  <c r="AE75" i="3" s="1"/>
  <c r="AW138" i="2"/>
  <c r="AC83" i="2"/>
  <c r="AD83" i="2" s="1"/>
  <c r="AE83" i="2" s="1"/>
  <c r="AC31" i="2"/>
  <c r="AB11" i="2"/>
  <c r="AA12" i="3"/>
  <c r="AB83" i="2"/>
  <c r="Y33" i="2"/>
  <c r="AT136" i="2"/>
  <c r="AC11" i="2"/>
  <c r="AW138" i="3"/>
  <c r="BF138" i="3" s="1"/>
  <c r="AA53" i="3"/>
  <c r="Y16" i="3"/>
  <c r="AT16" i="3" s="1"/>
  <c r="BL12" i="3"/>
  <c r="BL83" i="2"/>
  <c r="H120" i="2"/>
  <c r="Z33" i="2"/>
  <c r="AB12" i="3"/>
  <c r="Z11" i="2"/>
  <c r="Z83" i="2"/>
  <c r="BL37" i="2"/>
  <c r="AA33" i="2"/>
  <c r="AB53" i="3"/>
  <c r="AW53" i="3" s="1"/>
  <c r="BG53" i="3" s="1"/>
  <c r="AA57" i="2"/>
  <c r="AV57" i="2" s="1"/>
  <c r="BF57" i="2" s="1"/>
  <c r="BL57" i="2"/>
  <c r="AA83" i="2"/>
  <c r="AB33" i="2"/>
  <c r="AW33" i="2" s="1"/>
  <c r="BG33" i="2" s="1"/>
  <c r="BL33" i="2"/>
  <c r="BL10" i="2"/>
  <c r="Y10" i="2"/>
  <c r="BL31" i="2"/>
  <c r="AC10" i="2"/>
  <c r="Y17" i="3"/>
  <c r="Y31" i="2"/>
  <c r="Z10" i="2"/>
  <c r="AU10" i="2" s="1"/>
  <c r="BE10" i="2" s="1"/>
  <c r="BL11" i="2"/>
  <c r="Y81" i="3"/>
  <c r="AD81" i="3" s="1"/>
  <c r="AE81" i="3" s="1"/>
  <c r="AB81" i="3"/>
  <c r="Z81" i="3"/>
  <c r="AU81" i="3" s="1"/>
  <c r="BE81" i="3" s="1"/>
  <c r="AD104" i="3"/>
  <c r="AE104" i="3" s="1"/>
  <c r="Z108" i="3"/>
  <c r="AD108" i="3" s="1"/>
  <c r="AE108" i="3" s="1"/>
  <c r="Z78" i="3"/>
  <c r="AA81" i="3"/>
  <c r="AC12" i="3"/>
  <c r="BL81" i="3"/>
  <c r="AB78" i="3"/>
  <c r="AW78" i="3" s="1"/>
  <c r="BG78" i="3" s="1"/>
  <c r="Y78" i="3"/>
  <c r="Y12" i="3"/>
  <c r="AB108" i="3"/>
  <c r="AW108" i="3" s="1"/>
  <c r="BG108" i="3" s="1"/>
  <c r="BL78" i="3"/>
  <c r="AT135" i="3"/>
  <c r="Y7" i="3"/>
  <c r="AC7" i="3"/>
  <c r="AB7" i="3"/>
  <c r="BL7" i="3"/>
  <c r="AA7" i="3"/>
  <c r="Z7" i="3"/>
  <c r="AY138" i="3"/>
  <c r="AZ138" i="3" s="1"/>
  <c r="AC11" i="3"/>
  <c r="AB11" i="3"/>
  <c r="BL11" i="3"/>
  <c r="AA11" i="3"/>
  <c r="Z11" i="3"/>
  <c r="Y11" i="3"/>
  <c r="AB100" i="3"/>
  <c r="BL100" i="3"/>
  <c r="AA100" i="3"/>
  <c r="Z100" i="3"/>
  <c r="Y100" i="3"/>
  <c r="AC100" i="3"/>
  <c r="BL49" i="3"/>
  <c r="AA49" i="3"/>
  <c r="Z49" i="3"/>
  <c r="Y49" i="3"/>
  <c r="AC49" i="3"/>
  <c r="AB49" i="3"/>
  <c r="AB18" i="3"/>
  <c r="Z18" i="3"/>
  <c r="BL18" i="3"/>
  <c r="Y18" i="3"/>
  <c r="AC18" i="3"/>
  <c r="AA18" i="3"/>
  <c r="AC115" i="3"/>
  <c r="AB115" i="3"/>
  <c r="BL115" i="3"/>
  <c r="AA115" i="3"/>
  <c r="Z115" i="3"/>
  <c r="Y115" i="3"/>
  <c r="AD76" i="3"/>
  <c r="AE76" i="3" s="1"/>
  <c r="BD76" i="3"/>
  <c r="BI76" i="3" s="1"/>
  <c r="AX70" i="3"/>
  <c r="BH70" i="3" s="1"/>
  <c r="AU29" i="3"/>
  <c r="BE29" i="3" s="1"/>
  <c r="AV108" i="3"/>
  <c r="BF108" i="3" s="1"/>
  <c r="AV81" i="3"/>
  <c r="AX113" i="3"/>
  <c r="BH113" i="3" s="1"/>
  <c r="AD112" i="3"/>
  <c r="AE112" i="3" s="1"/>
  <c r="AT112" i="3"/>
  <c r="BL77" i="3"/>
  <c r="AA77" i="3"/>
  <c r="Z77" i="3"/>
  <c r="Y77" i="3"/>
  <c r="AC77" i="3"/>
  <c r="AB77" i="3"/>
  <c r="AU52" i="3"/>
  <c r="BE52" i="3" s="1"/>
  <c r="AX26" i="3"/>
  <c r="BH26" i="3" s="1"/>
  <c r="AV36" i="3"/>
  <c r="BF36" i="3" s="1"/>
  <c r="BH117" i="3"/>
  <c r="AX117" i="3"/>
  <c r="BL89" i="3"/>
  <c r="AA89" i="3"/>
  <c r="Z89" i="3"/>
  <c r="Y89" i="3"/>
  <c r="AB89" i="3"/>
  <c r="AC89" i="3"/>
  <c r="AU103" i="3"/>
  <c r="BE103" i="3" s="1"/>
  <c r="AD110" i="3"/>
  <c r="AE110" i="3" s="1"/>
  <c r="AT110" i="3"/>
  <c r="AW119" i="3"/>
  <c r="BG119" i="3" s="1"/>
  <c r="BD92" i="3"/>
  <c r="BI92" i="3" s="1"/>
  <c r="AD92" i="3"/>
  <c r="AE92" i="3" s="1"/>
  <c r="AD94" i="3"/>
  <c r="AE94" i="3" s="1"/>
  <c r="BD94" i="3"/>
  <c r="BI94" i="3" s="1"/>
  <c r="AX80" i="3"/>
  <c r="BH80" i="3" s="1"/>
  <c r="AU112" i="3"/>
  <c r="BE112" i="3" s="1"/>
  <c r="AV78" i="3"/>
  <c r="BF78" i="3" s="1"/>
  <c r="AU79" i="3"/>
  <c r="BE79" i="3" s="1"/>
  <c r="AV70" i="3"/>
  <c r="BF70" i="3" s="1"/>
  <c r="BL31" i="3"/>
  <c r="AA31" i="3"/>
  <c r="AC31" i="3"/>
  <c r="AB31" i="3"/>
  <c r="Y31" i="3"/>
  <c r="Z31" i="3"/>
  <c r="AC54" i="3"/>
  <c r="AB54" i="3"/>
  <c r="BL54" i="3"/>
  <c r="AA54" i="3"/>
  <c r="Y54" i="3"/>
  <c r="Z54" i="3"/>
  <c r="AU83" i="3"/>
  <c r="BE83" i="3"/>
  <c r="AX81" i="3"/>
  <c r="BH81" i="3" s="1"/>
  <c r="BG59" i="3"/>
  <c r="AW59" i="3"/>
  <c r="AV29" i="3"/>
  <c r="BF29" i="3" s="1"/>
  <c r="AV26" i="3"/>
  <c r="BF26" i="3" s="1"/>
  <c r="AX56" i="3"/>
  <c r="BH56" i="3" s="1"/>
  <c r="AU55" i="3"/>
  <c r="BE55" i="3" s="1"/>
  <c r="AT53" i="3"/>
  <c r="BD53" i="3" s="1"/>
  <c r="AW10" i="3"/>
  <c r="BG10" i="3" s="1"/>
  <c r="AT25" i="3"/>
  <c r="AD25" i="3"/>
  <c r="AE25" i="3" s="1"/>
  <c r="AU12" i="3"/>
  <c r="BE12" i="3" s="1"/>
  <c r="AV101" i="3"/>
  <c r="BF101" i="3" s="1"/>
  <c r="Y19" i="3"/>
  <c r="AB19" i="3"/>
  <c r="AA19" i="3"/>
  <c r="Z19" i="3"/>
  <c r="BL19" i="3"/>
  <c r="AC19" i="3"/>
  <c r="AX12" i="3"/>
  <c r="BH12" i="3" s="1"/>
  <c r="AC111" i="3"/>
  <c r="AB111" i="3"/>
  <c r="Z111" i="3"/>
  <c r="Y111" i="3"/>
  <c r="BL111" i="3"/>
  <c r="AA111" i="3"/>
  <c r="AU119" i="3"/>
  <c r="BE119" i="3"/>
  <c r="AV13" i="3"/>
  <c r="BF13" i="3" s="1"/>
  <c r="AW117" i="3"/>
  <c r="BG117" i="3" s="1"/>
  <c r="AU78" i="3"/>
  <c r="AX101" i="3"/>
  <c r="BH101" i="3" s="1"/>
  <c r="AX30" i="3"/>
  <c r="BH30" i="3"/>
  <c r="AU26" i="3"/>
  <c r="BE26" i="3"/>
  <c r="AW56" i="3"/>
  <c r="BG56" i="3" s="1"/>
  <c r="AD32" i="3"/>
  <c r="AE32" i="3" s="1"/>
  <c r="AT32" i="3"/>
  <c r="BD32" i="3" s="1"/>
  <c r="AT55" i="3"/>
  <c r="AD55" i="3"/>
  <c r="AE55" i="3" s="1"/>
  <c r="AU17" i="3"/>
  <c r="BE17" i="3" s="1"/>
  <c r="AW14" i="3"/>
  <c r="BG14" i="3"/>
  <c r="AU16" i="3"/>
  <c r="BE16" i="3" s="1"/>
  <c r="AT12" i="3"/>
  <c r="AD12" i="3"/>
  <c r="AE12" i="3" s="1"/>
  <c r="AW109" i="3"/>
  <c r="BG109" i="3" s="1"/>
  <c r="AT118" i="3"/>
  <c r="BD118" i="3" s="1"/>
  <c r="AD118" i="3"/>
  <c r="AT116" i="3"/>
  <c r="AD116" i="3"/>
  <c r="AX109" i="3"/>
  <c r="BH109" i="3" s="1"/>
  <c r="BL114" i="3"/>
  <c r="AA114" i="3"/>
  <c r="Z114" i="3"/>
  <c r="Y114" i="3"/>
  <c r="AC114" i="3"/>
  <c r="AB114" i="3"/>
  <c r="AU118" i="3"/>
  <c r="BE118" i="3"/>
  <c r="AD105" i="3"/>
  <c r="AE105" i="3" s="1"/>
  <c r="AT105" i="3"/>
  <c r="BD105" i="3" s="1"/>
  <c r="AX108" i="3"/>
  <c r="BH108" i="3" s="1"/>
  <c r="AU104" i="3"/>
  <c r="BE104" i="3"/>
  <c r="AV103" i="3"/>
  <c r="BF103" i="3" s="1"/>
  <c r="AU116" i="3"/>
  <c r="BE116" i="3" s="1"/>
  <c r="AD80" i="3"/>
  <c r="AE80" i="3" s="1"/>
  <c r="AT80" i="3"/>
  <c r="BD80" i="3" s="1"/>
  <c r="AV112" i="3"/>
  <c r="BF112" i="3" s="1"/>
  <c r="AV86" i="3"/>
  <c r="BF86" i="3" s="1"/>
  <c r="BH71" i="3"/>
  <c r="BI71" i="3" s="1"/>
  <c r="AD71" i="3"/>
  <c r="AE71" i="3" s="1"/>
  <c r="AT137" i="3"/>
  <c r="AV163" i="3" s="1"/>
  <c r="BL48" i="3"/>
  <c r="AE48" i="3"/>
  <c r="Y27" i="3"/>
  <c r="BL27" i="3"/>
  <c r="AC27" i="3"/>
  <c r="AB27" i="3"/>
  <c r="Z27" i="3"/>
  <c r="AA27" i="3"/>
  <c r="AD101" i="3"/>
  <c r="AE101" i="3" s="1"/>
  <c r="AT101" i="3"/>
  <c r="BD101" i="3"/>
  <c r="AV83" i="3"/>
  <c r="BF83" i="3" s="1"/>
  <c r="AX59" i="3"/>
  <c r="BH59" i="3"/>
  <c r="BL28" i="3"/>
  <c r="AA28" i="3"/>
  <c r="Z28" i="3"/>
  <c r="Y28" i="3"/>
  <c r="AC28" i="3"/>
  <c r="AB28" i="3"/>
  <c r="BL73" i="3"/>
  <c r="AC73" i="3"/>
  <c r="BL74" i="3"/>
  <c r="AC74" i="3"/>
  <c r="BH74" i="3" s="1"/>
  <c r="AW36" i="3"/>
  <c r="BG36" i="3" s="1"/>
  <c r="AW26" i="3"/>
  <c r="BG26" i="3" s="1"/>
  <c r="AU57" i="3"/>
  <c r="BE57" i="3" s="1"/>
  <c r="H120" i="3"/>
  <c r="H121" i="3" s="1"/>
  <c r="AV55" i="3"/>
  <c r="BF55" i="3" s="1"/>
  <c r="AU13" i="3"/>
  <c r="BE13" i="3" s="1"/>
  <c r="AW17" i="3"/>
  <c r="BG17" i="3" s="1"/>
  <c r="AU14" i="3"/>
  <c r="BE14" i="3" s="1"/>
  <c r="AX10" i="3"/>
  <c r="BH10" i="3" s="1"/>
  <c r="AU25" i="3"/>
  <c r="BE25" i="3" s="1"/>
  <c r="AV12" i="3"/>
  <c r="BF12" i="3" s="1"/>
  <c r="AD103" i="3"/>
  <c r="AE103" i="3" s="1"/>
  <c r="AT103" i="3"/>
  <c r="BD103" i="3"/>
  <c r="P84" i="3"/>
  <c r="Z84" i="3"/>
  <c r="AX86" i="3"/>
  <c r="BH86" i="3" s="1"/>
  <c r="BD93" i="3"/>
  <c r="BI93" i="3" s="1"/>
  <c r="AD93" i="3"/>
  <c r="AE93" i="3" s="1"/>
  <c r="AV32" i="3"/>
  <c r="BF32" i="3"/>
  <c r="AW105" i="3"/>
  <c r="BG105" i="3"/>
  <c r="AX83" i="3"/>
  <c r="BH83" i="3" s="1"/>
  <c r="AX29" i="3"/>
  <c r="BH29" i="3" s="1"/>
  <c r="AC91" i="3"/>
  <c r="AB91" i="3"/>
  <c r="Z91" i="3"/>
  <c r="AA91" i="3"/>
  <c r="Y91" i="3"/>
  <c r="BL91" i="3"/>
  <c r="AV119" i="3"/>
  <c r="BF119" i="3" s="1"/>
  <c r="AC82" i="3"/>
  <c r="AB82" i="3"/>
  <c r="BL82" i="3"/>
  <c r="AA82" i="3"/>
  <c r="Z82" i="3"/>
  <c r="Y82" i="3"/>
  <c r="AU86" i="3"/>
  <c r="BE86" i="3" s="1"/>
  <c r="AU70" i="3"/>
  <c r="BE70" i="3" s="1"/>
  <c r="AD83" i="3"/>
  <c r="AE83" i="3" s="1"/>
  <c r="AT83" i="3"/>
  <c r="AC33" i="3"/>
  <c r="AB33" i="3"/>
  <c r="BL33" i="3"/>
  <c r="AA33" i="3"/>
  <c r="Z33" i="3"/>
  <c r="Y33" i="3"/>
  <c r="AD109" i="3"/>
  <c r="AE109" i="3" s="1"/>
  <c r="AT109" i="3"/>
  <c r="AD113" i="3"/>
  <c r="AE113" i="3" s="1"/>
  <c r="AT113" i="3"/>
  <c r="BD113" i="3" s="1"/>
  <c r="AV118" i="3"/>
  <c r="BF118" i="3" s="1"/>
  <c r="AX105" i="3"/>
  <c r="BH105" i="3" s="1"/>
  <c r="AT108" i="3"/>
  <c r="AW104" i="3"/>
  <c r="BG104" i="3" s="1"/>
  <c r="AW103" i="3"/>
  <c r="BG103" i="3"/>
  <c r="AV116" i="3"/>
  <c r="BF116" i="3"/>
  <c r="AU110" i="3"/>
  <c r="BE110" i="3"/>
  <c r="BD98" i="3"/>
  <c r="BI98" i="3" s="1"/>
  <c r="AD98" i="3"/>
  <c r="AE98" i="3" s="1"/>
  <c r="AX119" i="3"/>
  <c r="BH119" i="3" s="1"/>
  <c r="BD99" i="3"/>
  <c r="BI99" i="3" s="1"/>
  <c r="AD99" i="3"/>
  <c r="AE99" i="3" s="1"/>
  <c r="AU80" i="3"/>
  <c r="BE80" i="3" s="1"/>
  <c r="AX78" i="3"/>
  <c r="BH78" i="3" s="1"/>
  <c r="AW86" i="3"/>
  <c r="BG86" i="3" s="1"/>
  <c r="AD79" i="3"/>
  <c r="AE79" i="3" s="1"/>
  <c r="AT79" i="3"/>
  <c r="AW70" i="3"/>
  <c r="BG70" i="3" s="1"/>
  <c r="AW52" i="3"/>
  <c r="BG52" i="3" s="1"/>
  <c r="AT59" i="3"/>
  <c r="BD59" i="3"/>
  <c r="AD59" i="3"/>
  <c r="AE59" i="3" s="1"/>
  <c r="AT75" i="3"/>
  <c r="BD75" i="3" s="1"/>
  <c r="BE74" i="3"/>
  <c r="AX36" i="3"/>
  <c r="BH36" i="3" s="1"/>
  <c r="AU30" i="3"/>
  <c r="BE30" i="3" s="1"/>
  <c r="AT26" i="3"/>
  <c r="BD26" i="3" s="1"/>
  <c r="AD26" i="3"/>
  <c r="AE26" i="3" s="1"/>
  <c r="AV57" i="3"/>
  <c r="BF57" i="3" s="1"/>
  <c r="AW32" i="3"/>
  <c r="BG32" i="3" s="1"/>
  <c r="AX13" i="3"/>
  <c r="BH13" i="3" s="1"/>
  <c r="AU53" i="3"/>
  <c r="BE53" i="3" s="1"/>
  <c r="AV14" i="3"/>
  <c r="BF14" i="3"/>
  <c r="AU10" i="3"/>
  <c r="BE10" i="3" s="1"/>
  <c r="AV16" i="3"/>
  <c r="BF16" i="3" s="1"/>
  <c r="AW25" i="3"/>
  <c r="BG25" i="3" s="1"/>
  <c r="AU117" i="3"/>
  <c r="BE117" i="3"/>
  <c r="AV105" i="3"/>
  <c r="BF105" i="3" s="1"/>
  <c r="AV104" i="3"/>
  <c r="BF104" i="3" s="1"/>
  <c r="AT119" i="3"/>
  <c r="BD119" i="3" s="1"/>
  <c r="AD119" i="3"/>
  <c r="AW79" i="3"/>
  <c r="BG79" i="3" s="1"/>
  <c r="AU75" i="3"/>
  <c r="BE75" i="3" s="1"/>
  <c r="AX55" i="3"/>
  <c r="BH55" i="3" s="1"/>
  <c r="AX17" i="3"/>
  <c r="BH17" i="3" s="1"/>
  <c r="AD10" i="3"/>
  <c r="AE10" i="3" s="1"/>
  <c r="AT10" i="3"/>
  <c r="AV117" i="3"/>
  <c r="BF117" i="3" s="1"/>
  <c r="BD96" i="3"/>
  <c r="BI96" i="3" s="1"/>
  <c r="AD96" i="3"/>
  <c r="AE96" i="3" s="1"/>
  <c r="AT140" i="3"/>
  <c r="AC85" i="3"/>
  <c r="BL85" i="3"/>
  <c r="AT70" i="3"/>
  <c r="AD70" i="3"/>
  <c r="AE70" i="3" s="1"/>
  <c r="AW101" i="3"/>
  <c r="BG101" i="3" s="1"/>
  <c r="AV75" i="3"/>
  <c r="BF75" i="3"/>
  <c r="AV56" i="3"/>
  <c r="BF56" i="3" s="1"/>
  <c r="AX25" i="3"/>
  <c r="BH25" i="3" s="1"/>
  <c r="BL107" i="3"/>
  <c r="AA107" i="3"/>
  <c r="Z107" i="3"/>
  <c r="AC107" i="3"/>
  <c r="AB107" i="3"/>
  <c r="Y107" i="3"/>
  <c r="AX104" i="3"/>
  <c r="BH104" i="3"/>
  <c r="AW116" i="3"/>
  <c r="BG116" i="3" s="1"/>
  <c r="BD97" i="3"/>
  <c r="BI97" i="3" s="1"/>
  <c r="AD97" i="3"/>
  <c r="AE97" i="3" s="1"/>
  <c r="AW112" i="3"/>
  <c r="BG112" i="3" s="1"/>
  <c r="AD86" i="3"/>
  <c r="AE86" i="3" s="1"/>
  <c r="AT86" i="3"/>
  <c r="BD86" i="3" s="1"/>
  <c r="AV79" i="3"/>
  <c r="BF79" i="3" s="1"/>
  <c r="Z15" i="3"/>
  <c r="AB15" i="3"/>
  <c r="BL15" i="3"/>
  <c r="AA15" i="3"/>
  <c r="Y15" i="3"/>
  <c r="AC15" i="3"/>
  <c r="AW75" i="3"/>
  <c r="BG75" i="3" s="1"/>
  <c r="AV30" i="3"/>
  <c r="BF30" i="3" s="1"/>
  <c r="AT56" i="3"/>
  <c r="BD56" i="3" s="1"/>
  <c r="BI56" i="3" s="1"/>
  <c r="AD56" i="3"/>
  <c r="AE56" i="3" s="1"/>
  <c r="AT57" i="3"/>
  <c r="BD57" i="3" s="1"/>
  <c r="AD57" i="3"/>
  <c r="AE57" i="3" s="1"/>
  <c r="AX32" i="3"/>
  <c r="BH32" i="3" s="1"/>
  <c r="AW55" i="3"/>
  <c r="BG55" i="3" s="1"/>
  <c r="AW13" i="3"/>
  <c r="BG13" i="3" s="1"/>
  <c r="AV17" i="3"/>
  <c r="BF17" i="3" s="1"/>
  <c r="AX53" i="3"/>
  <c r="BH53" i="3" s="1"/>
  <c r="AX14" i="3"/>
  <c r="BH14" i="3" s="1"/>
  <c r="AV10" i="3"/>
  <c r="BF10" i="3" s="1"/>
  <c r="AT136" i="3"/>
  <c r="AW16" i="3"/>
  <c r="BG16" i="3" s="1"/>
  <c r="AW12" i="3"/>
  <c r="BG12" i="3" s="1"/>
  <c r="BD87" i="3"/>
  <c r="BI87" i="3" s="1"/>
  <c r="AD87" i="3"/>
  <c r="AE87" i="3" s="1"/>
  <c r="BL34" i="3"/>
  <c r="AA34" i="3"/>
  <c r="Z34" i="3"/>
  <c r="AC34" i="3"/>
  <c r="AB34" i="3"/>
  <c r="Y34" i="3"/>
  <c r="AT52" i="3"/>
  <c r="AD52" i="3"/>
  <c r="AE52" i="3" s="1"/>
  <c r="AU36" i="3"/>
  <c r="BE36" i="3" s="1"/>
  <c r="AW113" i="3"/>
  <c r="BG113" i="3" s="1"/>
  <c r="AW110" i="3"/>
  <c r="BG110" i="3" s="1"/>
  <c r="Z58" i="3"/>
  <c r="BL58" i="3"/>
  <c r="AC58" i="3"/>
  <c r="AA58" i="3"/>
  <c r="Y58" i="3"/>
  <c r="AB58" i="3"/>
  <c r="AX79" i="3"/>
  <c r="BH79" i="3" s="1"/>
  <c r="AW30" i="3"/>
  <c r="BG30" i="3" s="1"/>
  <c r="AW57" i="3"/>
  <c r="BG57" i="3" s="1"/>
  <c r="AT17" i="3"/>
  <c r="BD17" i="3"/>
  <c r="AD17" i="3"/>
  <c r="AE17" i="3" s="1"/>
  <c r="AU113" i="3"/>
  <c r="BE113" i="3" s="1"/>
  <c r="AW118" i="3"/>
  <c r="BG118" i="3" s="1"/>
  <c r="AC102" i="3"/>
  <c r="BL102" i="3"/>
  <c r="AB102" i="3"/>
  <c r="AA102" i="3"/>
  <c r="Z102" i="3"/>
  <c r="Y102" i="3"/>
  <c r="AX103" i="3"/>
  <c r="BH103" i="3" s="1"/>
  <c r="AV110" i="3"/>
  <c r="BF110" i="3"/>
  <c r="AV80" i="3"/>
  <c r="BF80" i="3" s="1"/>
  <c r="AX52" i="3"/>
  <c r="BH52" i="3" s="1"/>
  <c r="AU59" i="3"/>
  <c r="BE59" i="3" s="1"/>
  <c r="AT117" i="3"/>
  <c r="BD117" i="3"/>
  <c r="AD117" i="3"/>
  <c r="AV113" i="3"/>
  <c r="BF113" i="3" s="1"/>
  <c r="AC106" i="3"/>
  <c r="BL106" i="3"/>
  <c r="AA106" i="3"/>
  <c r="Z106" i="3"/>
  <c r="AB106" i="3"/>
  <c r="Y106" i="3"/>
  <c r="AX118" i="3"/>
  <c r="BH118" i="3" s="1"/>
  <c r="AX116" i="3"/>
  <c r="BH116" i="3" s="1"/>
  <c r="AX110" i="3"/>
  <c r="BH110" i="3" s="1"/>
  <c r="AD95" i="3"/>
  <c r="AE95" i="3" s="1"/>
  <c r="BD95" i="3"/>
  <c r="BI95" i="3" s="1"/>
  <c r="BD104" i="3"/>
  <c r="AB88" i="3"/>
  <c r="BL88" i="3"/>
  <c r="AA88" i="3"/>
  <c r="Y88" i="3"/>
  <c r="Z88" i="3"/>
  <c r="AC88" i="3"/>
  <c r="AX112" i="3"/>
  <c r="BH112" i="3" s="1"/>
  <c r="Z35" i="3"/>
  <c r="AC35" i="3"/>
  <c r="BL35" i="3"/>
  <c r="AB35" i="3"/>
  <c r="AA35" i="3"/>
  <c r="Y35" i="3"/>
  <c r="AU101" i="3"/>
  <c r="BE101" i="3" s="1"/>
  <c r="AW83" i="3"/>
  <c r="BG83" i="3" s="1"/>
  <c r="AV59" i="3"/>
  <c r="BF59" i="3" s="1"/>
  <c r="AD72" i="3"/>
  <c r="AE72" i="3" s="1"/>
  <c r="AW29" i="3"/>
  <c r="BG29" i="3"/>
  <c r="AD29" i="3"/>
  <c r="AE29" i="3" s="1"/>
  <c r="AT29" i="3"/>
  <c r="BD29" i="3" s="1"/>
  <c r="AT36" i="3"/>
  <c r="BD36" i="3" s="1"/>
  <c r="AD36" i="3"/>
  <c r="AE36" i="3" s="1"/>
  <c r="AD30" i="3"/>
  <c r="AE30" i="3" s="1"/>
  <c r="AT30" i="3"/>
  <c r="BD30" i="3" s="1"/>
  <c r="AU56" i="3"/>
  <c r="BE56" i="3" s="1"/>
  <c r="AX57" i="3"/>
  <c r="BH57" i="3" s="1"/>
  <c r="AT13" i="3"/>
  <c r="AD13" i="3"/>
  <c r="AE13" i="3" s="1"/>
  <c r="AV53" i="3"/>
  <c r="BF53" i="3" s="1"/>
  <c r="AT14" i="3"/>
  <c r="BD14" i="3" s="1"/>
  <c r="AD14" i="3"/>
  <c r="AE14" i="3" s="1"/>
  <c r="AV25" i="3"/>
  <c r="BF25" i="3" s="1"/>
  <c r="AC116" i="2"/>
  <c r="AB116" i="2"/>
  <c r="AA116" i="2"/>
  <c r="Y116" i="2"/>
  <c r="BL116" i="2"/>
  <c r="Z116" i="2"/>
  <c r="BF138" i="2"/>
  <c r="AY138" i="2"/>
  <c r="AZ138" i="2" s="1"/>
  <c r="AC117" i="2"/>
  <c r="AB117" i="2"/>
  <c r="AA117" i="2"/>
  <c r="Y117" i="2"/>
  <c r="BL117" i="2"/>
  <c r="Z117" i="2"/>
  <c r="AC118" i="2"/>
  <c r="AB118" i="2"/>
  <c r="AA118" i="2"/>
  <c r="Y118" i="2"/>
  <c r="BL118" i="2"/>
  <c r="Z118" i="2"/>
  <c r="AT119" i="2"/>
  <c r="AD119" i="2"/>
  <c r="AC111" i="2"/>
  <c r="AB111" i="2"/>
  <c r="BL111" i="2"/>
  <c r="AA111" i="2"/>
  <c r="Y111" i="2"/>
  <c r="Z111" i="2"/>
  <c r="AD114" i="2"/>
  <c r="AE114" i="2" s="1"/>
  <c r="AT114" i="2"/>
  <c r="AW108" i="2"/>
  <c r="BG108" i="2" s="1"/>
  <c r="BL59" i="2"/>
  <c r="AA59" i="2"/>
  <c r="Y59" i="2"/>
  <c r="AC59" i="2"/>
  <c r="Z59" i="2"/>
  <c r="AB59" i="2"/>
  <c r="AT83" i="2"/>
  <c r="AV119" i="2"/>
  <c r="BF119" i="2" s="1"/>
  <c r="AW113" i="2"/>
  <c r="BG113" i="2" s="1"/>
  <c r="AD110" i="2"/>
  <c r="AE110" i="2" s="1"/>
  <c r="AT110" i="2"/>
  <c r="AU101" i="2"/>
  <c r="BE101" i="2" s="1"/>
  <c r="AU114" i="2"/>
  <c r="BE114" i="2" s="1"/>
  <c r="AX108" i="2"/>
  <c r="BH108" i="2" s="1"/>
  <c r="AW106" i="2"/>
  <c r="BG106" i="2" s="1"/>
  <c r="BL77" i="2"/>
  <c r="AA77" i="2"/>
  <c r="Z77" i="2"/>
  <c r="AC77" i="2"/>
  <c r="AB77" i="2"/>
  <c r="Y77" i="2"/>
  <c r="BD96" i="2"/>
  <c r="BI96" i="2" s="1"/>
  <c r="AD96" i="2"/>
  <c r="AE96" i="2" s="1"/>
  <c r="AU109" i="2"/>
  <c r="BE109" i="2" s="1"/>
  <c r="AW119" i="2"/>
  <c r="BG119" i="2" s="1"/>
  <c r="BH113" i="2"/>
  <c r="AX113" i="2"/>
  <c r="AW115" i="2"/>
  <c r="BG115" i="2" s="1"/>
  <c r="AU105" i="2"/>
  <c r="BE105" i="2" s="1"/>
  <c r="AV101" i="2"/>
  <c r="BF101" i="2" s="1"/>
  <c r="AW103" i="2"/>
  <c r="BG103" i="2" s="1"/>
  <c r="AV114" i="2"/>
  <c r="BF114" i="2" s="1"/>
  <c r="AX102" i="2"/>
  <c r="BH102" i="2" s="1"/>
  <c r="AT108" i="2"/>
  <c r="AD108" i="2"/>
  <c r="AE108" i="2" s="1"/>
  <c r="AW100" i="2"/>
  <c r="BG100" i="2" s="1"/>
  <c r="BD94" i="2"/>
  <c r="BI94" i="2" s="1"/>
  <c r="AD94" i="2"/>
  <c r="AE94" i="2" s="1"/>
  <c r="AU57" i="2"/>
  <c r="BE57" i="2" s="1"/>
  <c r="BL84" i="2"/>
  <c r="AC84" i="2"/>
  <c r="BH84" i="2" s="1"/>
  <c r="BI84" i="2" s="1"/>
  <c r="BL72" i="2"/>
  <c r="AC72" i="2"/>
  <c r="BH72" i="2" s="1"/>
  <c r="AT57" i="2"/>
  <c r="BD57" i="2" s="1"/>
  <c r="AD57" i="2"/>
  <c r="AE57" i="2" s="1"/>
  <c r="BH83" i="2"/>
  <c r="AX83" i="2"/>
  <c r="BD95" i="2"/>
  <c r="BI95" i="2" s="1"/>
  <c r="AD95" i="2"/>
  <c r="AE95" i="2" s="1"/>
  <c r="AD74" i="2"/>
  <c r="AE74" i="2" s="1"/>
  <c r="AT36" i="2"/>
  <c r="BD36" i="2" s="1"/>
  <c r="AD36" i="2"/>
  <c r="AE36" i="2" s="1"/>
  <c r="AD52" i="2"/>
  <c r="AE52" i="2" s="1"/>
  <c r="AT52" i="2"/>
  <c r="BD52" i="2"/>
  <c r="AC26" i="2"/>
  <c r="AB26" i="2"/>
  <c r="BL26" i="2"/>
  <c r="AA26" i="2"/>
  <c r="Z26" i="2"/>
  <c r="Y26" i="2"/>
  <c r="BL21" i="2"/>
  <c r="AE21" i="2"/>
  <c r="AU33" i="2"/>
  <c r="BE33" i="2" s="1"/>
  <c r="AU30" i="2"/>
  <c r="BE30" i="2" s="1"/>
  <c r="AV19" i="2"/>
  <c r="BF19" i="2" s="1"/>
  <c r="AU12" i="2"/>
  <c r="BE12" i="2" s="1"/>
  <c r="AU110" i="2"/>
  <c r="BE110" i="2" s="1"/>
  <c r="BL89" i="2"/>
  <c r="AB89" i="2"/>
  <c r="AA89" i="2"/>
  <c r="Y89" i="2"/>
  <c r="AC89" i="2"/>
  <c r="Z89" i="2"/>
  <c r="AV100" i="2"/>
  <c r="BF100" i="2"/>
  <c r="BD93" i="2"/>
  <c r="BI93" i="2" s="1"/>
  <c r="AD93" i="2"/>
  <c r="AE93" i="2" s="1"/>
  <c r="AW57" i="2"/>
  <c r="BG57" i="2" s="1"/>
  <c r="BE72" i="2"/>
  <c r="AW83" i="2"/>
  <c r="BG83" i="2" s="1"/>
  <c r="AW36" i="2"/>
  <c r="BG36" i="2" s="1"/>
  <c r="AW27" i="2"/>
  <c r="BG27" i="2" s="1"/>
  <c r="AD32" i="2"/>
  <c r="AE32" i="2" s="1"/>
  <c r="AT32" i="2"/>
  <c r="AT29" i="2"/>
  <c r="BD29" i="2" s="1"/>
  <c r="AD29" i="2"/>
  <c r="AE29" i="2" s="1"/>
  <c r="AV27" i="2"/>
  <c r="BF27" i="2" s="1"/>
  <c r="AV33" i="2"/>
  <c r="BF33" i="2" s="1"/>
  <c r="AV30" i="2"/>
  <c r="BF30" i="2" s="1"/>
  <c r="AX19" i="2"/>
  <c r="BH19" i="2" s="1"/>
  <c r="AW12" i="2"/>
  <c r="BG12" i="2" s="1"/>
  <c r="AV10" i="2"/>
  <c r="BF10" i="2"/>
  <c r="AV110" i="2"/>
  <c r="BF110" i="2"/>
  <c r="AW101" i="2"/>
  <c r="BG101" i="2" s="1"/>
  <c r="AX119" i="2"/>
  <c r="BH119" i="2" s="1"/>
  <c r="AB86" i="2"/>
  <c r="AC86" i="2"/>
  <c r="AA86" i="2"/>
  <c r="Z86" i="2"/>
  <c r="BL86" i="2"/>
  <c r="Y86" i="2"/>
  <c r="AX57" i="2"/>
  <c r="BH57" i="2" s="1"/>
  <c r="Z35" i="2"/>
  <c r="BL35" i="2"/>
  <c r="AC35" i="2"/>
  <c r="AB35" i="2"/>
  <c r="AA35" i="2"/>
  <c r="Y35" i="2"/>
  <c r="AU32" i="2"/>
  <c r="BE32" i="2" s="1"/>
  <c r="AU29" i="2"/>
  <c r="BE29" i="2"/>
  <c r="AV52" i="2"/>
  <c r="BF52" i="2"/>
  <c r="AD16" i="2"/>
  <c r="AE16" i="2" s="1"/>
  <c r="AT16" i="2"/>
  <c r="BD16" i="2" s="1"/>
  <c r="BE28" i="2"/>
  <c r="AU28" i="2"/>
  <c r="BG30" i="2"/>
  <c r="AW30" i="2"/>
  <c r="Z17" i="2"/>
  <c r="BL17" i="2"/>
  <c r="AC17" i="2"/>
  <c r="AB17" i="2"/>
  <c r="AA17" i="2"/>
  <c r="Y17" i="2"/>
  <c r="AX12" i="2"/>
  <c r="BH12" i="2"/>
  <c r="BL15" i="2"/>
  <c r="AA15" i="2"/>
  <c r="Z15" i="2"/>
  <c r="Y15" i="2"/>
  <c r="AC15" i="2"/>
  <c r="AB15" i="2"/>
  <c r="AW10" i="2"/>
  <c r="BG10" i="2" s="1"/>
  <c r="AD11" i="2"/>
  <c r="AE11" i="2" s="1"/>
  <c r="AT11" i="2"/>
  <c r="AW109" i="2"/>
  <c r="BG109" i="2" s="1"/>
  <c r="AW105" i="2"/>
  <c r="BG105" i="2" s="1"/>
  <c r="AT106" i="2"/>
  <c r="BD106" i="2"/>
  <c r="AD106" i="2"/>
  <c r="AE106" i="2" s="1"/>
  <c r="AX100" i="2"/>
  <c r="BH100" i="2" s="1"/>
  <c r="BD109" i="2"/>
  <c r="AT109" i="2"/>
  <c r="AD109" i="2"/>
  <c r="AE109" i="2" s="1"/>
  <c r="AX101" i="2"/>
  <c r="BH101" i="2" s="1"/>
  <c r="AX103" i="2"/>
  <c r="BH103" i="2" s="1"/>
  <c r="AV102" i="2"/>
  <c r="BF102" i="2"/>
  <c r="BL91" i="2"/>
  <c r="AA91" i="2"/>
  <c r="Z91" i="2"/>
  <c r="Y91" i="2"/>
  <c r="AB91" i="2"/>
  <c r="AC91" i="2"/>
  <c r="AB82" i="2"/>
  <c r="Z82" i="2"/>
  <c r="Y82" i="2"/>
  <c r="BL82" i="2"/>
  <c r="AA82" i="2"/>
  <c r="AC82" i="2"/>
  <c r="BL90" i="2"/>
  <c r="AE90" i="2"/>
  <c r="AC55" i="2"/>
  <c r="BL55" i="2"/>
  <c r="AA55" i="2"/>
  <c r="Z55" i="2"/>
  <c r="AB55" i="2"/>
  <c r="Y55" i="2"/>
  <c r="Z53" i="2"/>
  <c r="AC53" i="2"/>
  <c r="BL53" i="2"/>
  <c r="AA53" i="2"/>
  <c r="AB53" i="2"/>
  <c r="Y53" i="2"/>
  <c r="AB58" i="2"/>
  <c r="BL58" i="2"/>
  <c r="AA58" i="2"/>
  <c r="Z58" i="2"/>
  <c r="Y58" i="2"/>
  <c r="AC58" i="2"/>
  <c r="AU36" i="2"/>
  <c r="BE36" i="2"/>
  <c r="AD31" i="2"/>
  <c r="AE31" i="2" s="1"/>
  <c r="AT31" i="2"/>
  <c r="BD31" i="2" s="1"/>
  <c r="H121" i="2"/>
  <c r="AW32" i="2"/>
  <c r="BG32" i="2" s="1"/>
  <c r="AW29" i="2"/>
  <c r="BG29" i="2" s="1"/>
  <c r="AV28" i="2"/>
  <c r="BF28" i="2" s="1"/>
  <c r="AX27" i="2"/>
  <c r="BH27" i="2" s="1"/>
  <c r="AX30" i="2"/>
  <c r="BH30" i="2" s="1"/>
  <c r="AC14" i="2"/>
  <c r="BL14" i="2"/>
  <c r="AB14" i="2"/>
  <c r="AA14" i="2"/>
  <c r="Z14" i="2"/>
  <c r="Y14" i="2"/>
  <c r="BF11" i="2"/>
  <c r="AV11" i="2"/>
  <c r="BH105" i="2"/>
  <c r="AX105" i="2"/>
  <c r="AV113" i="2"/>
  <c r="BF113" i="2" s="1"/>
  <c r="AV103" i="2"/>
  <c r="BF103" i="2" s="1"/>
  <c r="BH109" i="2"/>
  <c r="AX109" i="2"/>
  <c r="AB112" i="2"/>
  <c r="BL112" i="2"/>
  <c r="AA112" i="2"/>
  <c r="Z112" i="2"/>
  <c r="Y112" i="2"/>
  <c r="AC112" i="2"/>
  <c r="AX110" i="2"/>
  <c r="BH110" i="2" s="1"/>
  <c r="AU102" i="2"/>
  <c r="BE102" i="2" s="1"/>
  <c r="AX106" i="2"/>
  <c r="BH106" i="2" s="1"/>
  <c r="Z104" i="2"/>
  <c r="AC104" i="2"/>
  <c r="BL104" i="2"/>
  <c r="AB104" i="2"/>
  <c r="AA104" i="2"/>
  <c r="Y104" i="2"/>
  <c r="BH115" i="2"/>
  <c r="AX115" i="2"/>
  <c r="BD105" i="2"/>
  <c r="AT105" i="2"/>
  <c r="AD105" i="2"/>
  <c r="AE105" i="2" s="1"/>
  <c r="AW114" i="2"/>
  <c r="BG114" i="2" s="1"/>
  <c r="AV108" i="2"/>
  <c r="BF108" i="2" s="1"/>
  <c r="BL92" i="2"/>
  <c r="AC92" i="2"/>
  <c r="BH92" i="2" s="1"/>
  <c r="AB92" i="2"/>
  <c r="BG92" i="2" s="1"/>
  <c r="Z92" i="2"/>
  <c r="BE92" i="2" s="1"/>
  <c r="Y92" i="2"/>
  <c r="AA92" i="2"/>
  <c r="BF92" i="2" s="1"/>
  <c r="AD115" i="2"/>
  <c r="AE115" i="2" s="1"/>
  <c r="AT115" i="2"/>
  <c r="AV105" i="2"/>
  <c r="BF105" i="2"/>
  <c r="AT103" i="2"/>
  <c r="BD103" i="2" s="1"/>
  <c r="AD103" i="2"/>
  <c r="AE103" i="2" s="1"/>
  <c r="AX114" i="2"/>
  <c r="BH114" i="2" s="1"/>
  <c r="AU106" i="2"/>
  <c r="BE106" i="2" s="1"/>
  <c r="BD87" i="2"/>
  <c r="BI87" i="2" s="1"/>
  <c r="AD87" i="2"/>
  <c r="AE87" i="2" s="1"/>
  <c r="BD99" i="2"/>
  <c r="BI99" i="2" s="1"/>
  <c r="AD99" i="2"/>
  <c r="AE99" i="2" s="1"/>
  <c r="AC79" i="2"/>
  <c r="BL79" i="2"/>
  <c r="AA79" i="2"/>
  <c r="Z79" i="2"/>
  <c r="AB79" i="2"/>
  <c r="Y79" i="2"/>
  <c r="AB80" i="2"/>
  <c r="BL80" i="2"/>
  <c r="AA80" i="2"/>
  <c r="Z80" i="2"/>
  <c r="AC80" i="2"/>
  <c r="Y80" i="2"/>
  <c r="AD100" i="2"/>
  <c r="AE100" i="2" s="1"/>
  <c r="AT100" i="2"/>
  <c r="Z88" i="2"/>
  <c r="BL88" i="2"/>
  <c r="AC88" i="2"/>
  <c r="AB88" i="2"/>
  <c r="Y88" i="2"/>
  <c r="AA88" i="2"/>
  <c r="BL73" i="2"/>
  <c r="AC73" i="2"/>
  <c r="AU83" i="2"/>
  <c r="BE83" i="2" s="1"/>
  <c r="AC54" i="2"/>
  <c r="AB54" i="2"/>
  <c r="Z54" i="2"/>
  <c r="BL54" i="2"/>
  <c r="AA54" i="2"/>
  <c r="Y54" i="2"/>
  <c r="AV36" i="2"/>
  <c r="BF36" i="2" s="1"/>
  <c r="AU31" i="2"/>
  <c r="BE31" i="2" s="1"/>
  <c r="AX32" i="2"/>
  <c r="BH32" i="2" s="1"/>
  <c r="AX29" i="2"/>
  <c r="BH29" i="2" s="1"/>
  <c r="AU52" i="2"/>
  <c r="BE52" i="2" s="1"/>
  <c r="AD30" i="2"/>
  <c r="AE30" i="2" s="1"/>
  <c r="AT30" i="2"/>
  <c r="AT19" i="2"/>
  <c r="AD19" i="2"/>
  <c r="AE19" i="2" s="1"/>
  <c r="AV12" i="2"/>
  <c r="BF12" i="2" s="1"/>
  <c r="BL13" i="2"/>
  <c r="Y13" i="2"/>
  <c r="AC13" i="2"/>
  <c r="AB13" i="2"/>
  <c r="AA13" i="2"/>
  <c r="Z13" i="2"/>
  <c r="AU11" i="2"/>
  <c r="BE11" i="2"/>
  <c r="AD113" i="2"/>
  <c r="AE113" i="2" s="1"/>
  <c r="AT113" i="2"/>
  <c r="AW102" i="2"/>
  <c r="BG102" i="2" s="1"/>
  <c r="AU108" i="2"/>
  <c r="BE108" i="2" s="1"/>
  <c r="AV106" i="2"/>
  <c r="BF106" i="2" s="1"/>
  <c r="BE85" i="2"/>
  <c r="AT139" i="2"/>
  <c r="AV161" i="2" s="1"/>
  <c r="Z70" i="2"/>
  <c r="AC70" i="2"/>
  <c r="AB70" i="2"/>
  <c r="AA70" i="2"/>
  <c r="BL70" i="2"/>
  <c r="Y70" i="2"/>
  <c r="Y81" i="2"/>
  <c r="BL81" i="2"/>
  <c r="AC81" i="2"/>
  <c r="AB81" i="2"/>
  <c r="Z81" i="2"/>
  <c r="AA81" i="2"/>
  <c r="Z34" i="2"/>
  <c r="AC34" i="2"/>
  <c r="AB34" i="2"/>
  <c r="AA34" i="2"/>
  <c r="Y34" i="2"/>
  <c r="BL34" i="2"/>
  <c r="AD97" i="2"/>
  <c r="AE97" i="2" s="1"/>
  <c r="BD97" i="2"/>
  <c r="BI97" i="2" s="1"/>
  <c r="AV83" i="2"/>
  <c r="BF83" i="2" s="1"/>
  <c r="Z49" i="2"/>
  <c r="Y49" i="2"/>
  <c r="AC49" i="2"/>
  <c r="AB49" i="2"/>
  <c r="AA49" i="2"/>
  <c r="BL49" i="2"/>
  <c r="AV31" i="2"/>
  <c r="BF31" i="2" s="1"/>
  <c r="AV29" i="2"/>
  <c r="BF29" i="2" s="1"/>
  <c r="AX52" i="2"/>
  <c r="BH52" i="2" s="1"/>
  <c r="AW28" i="2"/>
  <c r="BG28" i="2" s="1"/>
  <c r="AD27" i="2"/>
  <c r="AE27" i="2" s="1"/>
  <c r="AT27" i="2"/>
  <c r="BD27" i="2" s="1"/>
  <c r="AX33" i="2"/>
  <c r="BH33" i="2" s="1"/>
  <c r="AW19" i="2"/>
  <c r="BG19" i="2"/>
  <c r="AB18" i="2"/>
  <c r="BL18" i="2"/>
  <c r="AA18" i="2"/>
  <c r="Z18" i="2"/>
  <c r="Y18" i="2"/>
  <c r="AC18" i="2"/>
  <c r="AW11" i="2"/>
  <c r="BG11" i="2" s="1"/>
  <c r="AT137" i="2"/>
  <c r="AV163" i="2" s="1"/>
  <c r="AD76" i="2"/>
  <c r="AE76" i="2" s="1"/>
  <c r="BD76" i="2"/>
  <c r="BI76" i="2" s="1"/>
  <c r="AE51" i="2"/>
  <c r="BL51" i="2"/>
  <c r="AX36" i="2"/>
  <c r="BH36" i="2" s="1"/>
  <c r="AW31" i="2"/>
  <c r="BG31" i="2" s="1"/>
  <c r="AV32" i="2"/>
  <c r="BF32" i="2"/>
  <c r="AX28" i="2"/>
  <c r="BH28" i="2" s="1"/>
  <c r="AU27" i="2"/>
  <c r="BE27" i="2" s="1"/>
  <c r="AV16" i="2"/>
  <c r="BF16" i="2" s="1"/>
  <c r="AT135" i="2"/>
  <c r="P120" i="2"/>
  <c r="AA7" i="2"/>
  <c r="Z7" i="2"/>
  <c r="BL7" i="2"/>
  <c r="Y7" i="2"/>
  <c r="AC7" i="2"/>
  <c r="AB7" i="2"/>
  <c r="AT10" i="2"/>
  <c r="BD10" i="2" s="1"/>
  <c r="AD10" i="2"/>
  <c r="AE10" i="2" s="1"/>
  <c r="AC25" i="2"/>
  <c r="AB25" i="2"/>
  <c r="BL25" i="2"/>
  <c r="AA25" i="2"/>
  <c r="Z25" i="2"/>
  <c r="Y25" i="2"/>
  <c r="AX11" i="2"/>
  <c r="BH11" i="2" s="1"/>
  <c r="AU115" i="2"/>
  <c r="BE115" i="2"/>
  <c r="AU119" i="2"/>
  <c r="BE119" i="2" s="1"/>
  <c r="AU113" i="2"/>
  <c r="BE113" i="2" s="1"/>
  <c r="AV115" i="2"/>
  <c r="BF115" i="2" s="1"/>
  <c r="AT101" i="2"/>
  <c r="AD101" i="2"/>
  <c r="AE101" i="2" s="1"/>
  <c r="AD98" i="2"/>
  <c r="AE98" i="2" s="1"/>
  <c r="BD98" i="2"/>
  <c r="BI98" i="2" s="1"/>
  <c r="AT140" i="2"/>
  <c r="AC85" i="2"/>
  <c r="BH85" i="2" s="1"/>
  <c r="BL85" i="2"/>
  <c r="AB78" i="2"/>
  <c r="Z78" i="2"/>
  <c r="BL78" i="2"/>
  <c r="AC78" i="2"/>
  <c r="Y78" i="2"/>
  <c r="AA78" i="2"/>
  <c r="BL107" i="2"/>
  <c r="AA107" i="2"/>
  <c r="Z107" i="2"/>
  <c r="AB107" i="2"/>
  <c r="AC107" i="2"/>
  <c r="Y107" i="2"/>
  <c r="AU103" i="2"/>
  <c r="BE103" i="2" s="1"/>
  <c r="AD102" i="2"/>
  <c r="AE102" i="2" s="1"/>
  <c r="AT102" i="2"/>
  <c r="BD102" i="2"/>
  <c r="AU100" i="2"/>
  <c r="BE100" i="2" s="1"/>
  <c r="Z56" i="2"/>
  <c r="AC56" i="2"/>
  <c r="BL56" i="2"/>
  <c r="AA56" i="2"/>
  <c r="AB56" i="2"/>
  <c r="Y56" i="2"/>
  <c r="AB75" i="2"/>
  <c r="Z75" i="2"/>
  <c r="AC75" i="2"/>
  <c r="BL75" i="2"/>
  <c r="Y75" i="2"/>
  <c r="AA75" i="2"/>
  <c r="BL71" i="2"/>
  <c r="AC71" i="2"/>
  <c r="AX31" i="2"/>
  <c r="BH31" i="2" s="1"/>
  <c r="BE16" i="2"/>
  <c r="AU16" i="2"/>
  <c r="AW52" i="2"/>
  <c r="BG52" i="2" s="1"/>
  <c r="AD33" i="2"/>
  <c r="AE33" i="2" s="1"/>
  <c r="AT33" i="2"/>
  <c r="BD33" i="2" s="1"/>
  <c r="AU19" i="2"/>
  <c r="BE19" i="2" s="1"/>
  <c r="AD12" i="2"/>
  <c r="AE12" i="2" s="1"/>
  <c r="AT12" i="2"/>
  <c r="AX10" i="2"/>
  <c r="BH10" i="2" s="1"/>
  <c r="BD28" i="2"/>
  <c r="AU108" i="3" l="1"/>
  <c r="AY108" i="3"/>
  <c r="BA108" i="3" s="1"/>
  <c r="BB108" i="3" s="1"/>
  <c r="AD53" i="3"/>
  <c r="AE53" i="3" s="1"/>
  <c r="AD16" i="3"/>
  <c r="AE16" i="3" s="1"/>
  <c r="BI72" i="2"/>
  <c r="AD72" i="2"/>
  <c r="AE72" i="2" s="1"/>
  <c r="BF81" i="3"/>
  <c r="AY52" i="3"/>
  <c r="BE78" i="3"/>
  <c r="AY28" i="2"/>
  <c r="BA28" i="2" s="1"/>
  <c r="BB28" i="2" s="1"/>
  <c r="BE108" i="3"/>
  <c r="BI109" i="2"/>
  <c r="AY30" i="2"/>
  <c r="BA30" i="2" s="1"/>
  <c r="BB30" i="2" s="1"/>
  <c r="BI29" i="2"/>
  <c r="AY12" i="2"/>
  <c r="BA12" i="2" s="1"/>
  <c r="BB12" i="2" s="1"/>
  <c r="AD84" i="2"/>
  <c r="AE84" i="2" s="1"/>
  <c r="AY32" i="2"/>
  <c r="BA32" i="2" s="1"/>
  <c r="BB32" i="2" s="1"/>
  <c r="BI75" i="3"/>
  <c r="AY112" i="3"/>
  <c r="BA112" i="3" s="1"/>
  <c r="BB112" i="3" s="1"/>
  <c r="AY10" i="3"/>
  <c r="AY101" i="3"/>
  <c r="BA101" i="3" s="1"/>
  <c r="BB101" i="3" s="1"/>
  <c r="AW81" i="3"/>
  <c r="BG81" i="3" s="1"/>
  <c r="AY17" i="3"/>
  <c r="BA17" i="3" s="1"/>
  <c r="BB17" i="3" s="1"/>
  <c r="AD78" i="3"/>
  <c r="AE78" i="3" s="1"/>
  <c r="AT81" i="3"/>
  <c r="BD81" i="3" s="1"/>
  <c r="BD52" i="3"/>
  <c r="BI52" i="3" s="1"/>
  <c r="AY109" i="3"/>
  <c r="BA109" i="3" s="1"/>
  <c r="BB109" i="3" s="1"/>
  <c r="AY12" i="3"/>
  <c r="BA12" i="3" s="1"/>
  <c r="BB12" i="3" s="1"/>
  <c r="AT78" i="3"/>
  <c r="BD78" i="3" s="1"/>
  <c r="BI78" i="3" s="1"/>
  <c r="AY70" i="3"/>
  <c r="BI86" i="3"/>
  <c r="BI57" i="3"/>
  <c r="BI29" i="3"/>
  <c r="BI117" i="3"/>
  <c r="BA70" i="3"/>
  <c r="BB70" i="3" s="1"/>
  <c r="BI26" i="3"/>
  <c r="AW82" i="3"/>
  <c r="BG82" i="3" s="1"/>
  <c r="BE84" i="3"/>
  <c r="BI101" i="3"/>
  <c r="AW54" i="3"/>
  <c r="BG54" i="3" s="1"/>
  <c r="AT100" i="3"/>
  <c r="BD100" i="3" s="1"/>
  <c r="AD100" i="3"/>
  <c r="AE100" i="3" s="1"/>
  <c r="BI30" i="3"/>
  <c r="AT88" i="3"/>
  <c r="AD88" i="3"/>
  <c r="AE88" i="3" s="1"/>
  <c r="AU106" i="3"/>
  <c r="BE106" i="3" s="1"/>
  <c r="AY79" i="3"/>
  <c r="BA79" i="3" s="1"/>
  <c r="BB79" i="3" s="1"/>
  <c r="AW33" i="3"/>
  <c r="BG33" i="3"/>
  <c r="AY55" i="3"/>
  <c r="BA55" i="3" s="1"/>
  <c r="BB55" i="3" s="1"/>
  <c r="AT111" i="3"/>
  <c r="AD111" i="3"/>
  <c r="AE111" i="3" s="1"/>
  <c r="AY110" i="3"/>
  <c r="AW11" i="3"/>
  <c r="BG11" i="3" s="1"/>
  <c r="AY30" i="3"/>
  <c r="BA30" i="3" s="1"/>
  <c r="BB30" i="3" s="1"/>
  <c r="AU35" i="3"/>
  <c r="BE35" i="3"/>
  <c r="BI14" i="3"/>
  <c r="AY29" i="3"/>
  <c r="BA29" i="3" s="1"/>
  <c r="BB29" i="3" s="1"/>
  <c r="AW35" i="3"/>
  <c r="BG35" i="3" s="1"/>
  <c r="AU88" i="3"/>
  <c r="BE88" i="3" s="1"/>
  <c r="AW106" i="3"/>
  <c r="BG106" i="3"/>
  <c r="AW102" i="3"/>
  <c r="BG102" i="3"/>
  <c r="AD15" i="3"/>
  <c r="AE15" i="3" s="1"/>
  <c r="AT15" i="3"/>
  <c r="BD15" i="3" s="1"/>
  <c r="AY104" i="3"/>
  <c r="BA104" i="3" s="1"/>
  <c r="BB104" i="3" s="1"/>
  <c r="AW107" i="3"/>
  <c r="BG107" i="3" s="1"/>
  <c r="BI119" i="3"/>
  <c r="AY26" i="3"/>
  <c r="BA26" i="3" s="1"/>
  <c r="BB26" i="3" s="1"/>
  <c r="AY75" i="3"/>
  <c r="AY113" i="3"/>
  <c r="BA113" i="3" s="1"/>
  <c r="BB113" i="3" s="1"/>
  <c r="AV33" i="3"/>
  <c r="BF33" i="3" s="1"/>
  <c r="AV91" i="3"/>
  <c r="BF91" i="3" s="1"/>
  <c r="AY105" i="3"/>
  <c r="BA105" i="3" s="1"/>
  <c r="BB105" i="3" s="1"/>
  <c r="AD114" i="3"/>
  <c r="AE114" i="3" s="1"/>
  <c r="AT114" i="3"/>
  <c r="BD114" i="3" s="1"/>
  <c r="AY116" i="3"/>
  <c r="AX19" i="3"/>
  <c r="BH19" i="3" s="1"/>
  <c r="AY53" i="3"/>
  <c r="BA53" i="3" s="1"/>
  <c r="BB53" i="3" s="1"/>
  <c r="AV31" i="3"/>
  <c r="BF31" i="3" s="1"/>
  <c r="BG77" i="3"/>
  <c r="AW77" i="3"/>
  <c r="AW49" i="3"/>
  <c r="BG49" i="3" s="1"/>
  <c r="AV11" i="3"/>
  <c r="BF11" i="3" s="1"/>
  <c r="AA120" i="3"/>
  <c r="AV7" i="3"/>
  <c r="BF7" i="3" s="1"/>
  <c r="BD55" i="3"/>
  <c r="BI55" i="3" s="1"/>
  <c r="AU111" i="3"/>
  <c r="BE111" i="3" s="1"/>
  <c r="AV19" i="3"/>
  <c r="BF19" i="3"/>
  <c r="AU31" i="3"/>
  <c r="BE31" i="3" s="1"/>
  <c r="BD110" i="3"/>
  <c r="BI110" i="3" s="1"/>
  <c r="AU89" i="3"/>
  <c r="BE89" i="3"/>
  <c r="AD77" i="3"/>
  <c r="AE77" i="3" s="1"/>
  <c r="AT77" i="3"/>
  <c r="BD77" i="3" s="1"/>
  <c r="AU115" i="3"/>
  <c r="BE115" i="3" s="1"/>
  <c r="AT18" i="3"/>
  <c r="BD18" i="3" s="1"/>
  <c r="AD18" i="3"/>
  <c r="AE18" i="3" s="1"/>
  <c r="AD49" i="3"/>
  <c r="AE49" i="3" s="1"/>
  <c r="AT49" i="3"/>
  <c r="BD49" i="3" s="1"/>
  <c r="AV100" i="3"/>
  <c r="BF100" i="3" s="1"/>
  <c r="AX11" i="3"/>
  <c r="BH11" i="3" s="1"/>
  <c r="AX7" i="3"/>
  <c r="AX107" i="3"/>
  <c r="BH107" i="3" s="1"/>
  <c r="AV18" i="3"/>
  <c r="BF18" i="3" s="1"/>
  <c r="AX35" i="3"/>
  <c r="BH35" i="3" s="1"/>
  <c r="AD58" i="3"/>
  <c r="AE58" i="3" s="1"/>
  <c r="AT58" i="3"/>
  <c r="BD58" i="3" s="1"/>
  <c r="AW91" i="3"/>
  <c r="BG91" i="3" s="1"/>
  <c r="AU28" i="3"/>
  <c r="BE28" i="3" s="1"/>
  <c r="AX18" i="3"/>
  <c r="BH18" i="3" s="1"/>
  <c r="AX102" i="3"/>
  <c r="BH102" i="3"/>
  <c r="BH73" i="3"/>
  <c r="BI73" i="3" s="1"/>
  <c r="AD73" i="3"/>
  <c r="AE73" i="3" s="1"/>
  <c r="AY13" i="3"/>
  <c r="BA13" i="3" s="1"/>
  <c r="BB13" i="3" s="1"/>
  <c r="AX58" i="3"/>
  <c r="BH58" i="3" s="1"/>
  <c r="AX34" i="3"/>
  <c r="BH34" i="3" s="1"/>
  <c r="AU15" i="3"/>
  <c r="BE15" i="3" s="1"/>
  <c r="AV107" i="3"/>
  <c r="BF107" i="3" s="1"/>
  <c r="BI59" i="3"/>
  <c r="BD109" i="3"/>
  <c r="BI109" i="3" s="1"/>
  <c r="AX33" i="3"/>
  <c r="BH33" i="3" s="1"/>
  <c r="AT82" i="3"/>
  <c r="BD82" i="3" s="1"/>
  <c r="AD82" i="3"/>
  <c r="AE82" i="3" s="1"/>
  <c r="AY103" i="3"/>
  <c r="BA103" i="3" s="1"/>
  <c r="BB103" i="3" s="1"/>
  <c r="AV27" i="3"/>
  <c r="BF27" i="3" s="1"/>
  <c r="BI118" i="3"/>
  <c r="BI32" i="3"/>
  <c r="AW111" i="3"/>
  <c r="BG111" i="3" s="1"/>
  <c r="AW19" i="3"/>
  <c r="BG19" i="3" s="1"/>
  <c r="AY25" i="3"/>
  <c r="AT31" i="3"/>
  <c r="AD31" i="3"/>
  <c r="AE31" i="3" s="1"/>
  <c r="AV89" i="3"/>
  <c r="BF89" i="3" s="1"/>
  <c r="AU77" i="3"/>
  <c r="BE77" i="3" s="1"/>
  <c r="AV115" i="3"/>
  <c r="BF115" i="3" s="1"/>
  <c r="AU49" i="3"/>
  <c r="BE49" i="3" s="1"/>
  <c r="BI17" i="3"/>
  <c r="AV15" i="3"/>
  <c r="BF15" i="3" s="1"/>
  <c r="BI113" i="3"/>
  <c r="AU91" i="3"/>
  <c r="BE91" i="3" s="1"/>
  <c r="AD28" i="3"/>
  <c r="AE28" i="3" s="1"/>
  <c r="AT28" i="3"/>
  <c r="BD28" i="3" s="1"/>
  <c r="AU114" i="3"/>
  <c r="BE114" i="3" s="1"/>
  <c r="AW89" i="3"/>
  <c r="BG89" i="3" s="1"/>
  <c r="AV114" i="3"/>
  <c r="BF114" i="3" s="1"/>
  <c r="AD115" i="3"/>
  <c r="AE115" i="3" s="1"/>
  <c r="AT115" i="3"/>
  <c r="BD115" i="3" s="1"/>
  <c r="AX49" i="3"/>
  <c r="BH49" i="3" s="1"/>
  <c r="AV88" i="3"/>
  <c r="BF88" i="3" s="1"/>
  <c r="AW34" i="3"/>
  <c r="BG34" i="3"/>
  <c r="AY86" i="3"/>
  <c r="BD13" i="3"/>
  <c r="BI13" i="3" s="1"/>
  <c r="AW88" i="3"/>
  <c r="BG88" i="3" s="1"/>
  <c r="AX106" i="3"/>
  <c r="BH106" i="3" s="1"/>
  <c r="AD102" i="3"/>
  <c r="AE102" i="3" s="1"/>
  <c r="AT102" i="3"/>
  <c r="AU34" i="3"/>
  <c r="BE34" i="3" s="1"/>
  <c r="BH85" i="3"/>
  <c r="AD85" i="3"/>
  <c r="AE85" i="3" s="1"/>
  <c r="BD10" i="3"/>
  <c r="BI10" i="3" s="1"/>
  <c r="AY59" i="3"/>
  <c r="BA59" i="3" s="1"/>
  <c r="BB59" i="3" s="1"/>
  <c r="AY83" i="3"/>
  <c r="BA83" i="3" s="1"/>
  <c r="BB83" i="3" s="1"/>
  <c r="AY16" i="3"/>
  <c r="BA16" i="3" s="1"/>
  <c r="BB16" i="3" s="1"/>
  <c r="AU27" i="3"/>
  <c r="BE27" i="3" s="1"/>
  <c r="BI80" i="3"/>
  <c r="AW114" i="3"/>
  <c r="BG114" i="3" s="1"/>
  <c r="AY118" i="3"/>
  <c r="AY32" i="3"/>
  <c r="BA32" i="3" s="1"/>
  <c r="BB32" i="3" s="1"/>
  <c r="AX111" i="3"/>
  <c r="BH111" i="3" s="1"/>
  <c r="BD25" i="3"/>
  <c r="AU54" i="3"/>
  <c r="BE54" i="3" s="1"/>
  <c r="AW31" i="3"/>
  <c r="BG31" i="3"/>
  <c r="AV77" i="3"/>
  <c r="BF77" i="3" s="1"/>
  <c r="AU18" i="3"/>
  <c r="BE18" i="3" s="1"/>
  <c r="AV49" i="3"/>
  <c r="BF49" i="3" s="1"/>
  <c r="AW100" i="3"/>
  <c r="BG100" i="3" s="1"/>
  <c r="Y120" i="3"/>
  <c r="AD7" i="3"/>
  <c r="AT7" i="3"/>
  <c r="BD7" i="3" s="1"/>
  <c r="AW58" i="3"/>
  <c r="BG58" i="3"/>
  <c r="AY56" i="3"/>
  <c r="BA56" i="3" s="1"/>
  <c r="BB56" i="3" s="1"/>
  <c r="BI53" i="3"/>
  <c r="BD70" i="3"/>
  <c r="BL84" i="3"/>
  <c r="AC84" i="3"/>
  <c r="BH84" i="3" s="1"/>
  <c r="BI105" i="3"/>
  <c r="BD12" i="3"/>
  <c r="BI12" i="3" s="1"/>
  <c r="AU19" i="3"/>
  <c r="BE19" i="3" s="1"/>
  <c r="AX54" i="3"/>
  <c r="BH54" i="3" s="1"/>
  <c r="AD89" i="3"/>
  <c r="AE89" i="3" s="1"/>
  <c r="AT89" i="3"/>
  <c r="BD112" i="3"/>
  <c r="BI112" i="3" s="1"/>
  <c r="AB120" i="3"/>
  <c r="AW7" i="3"/>
  <c r="BG7" i="3" s="1"/>
  <c r="AV106" i="3"/>
  <c r="BF106" i="3" s="1"/>
  <c r="AV58" i="3"/>
  <c r="BF58" i="3" s="1"/>
  <c r="AU107" i="3"/>
  <c r="BE107" i="3" s="1"/>
  <c r="BD79" i="3"/>
  <c r="BI79" i="3" s="1"/>
  <c r="BI103" i="3"/>
  <c r="AY36" i="3"/>
  <c r="BA36" i="3" s="1"/>
  <c r="BB36" i="3" s="1"/>
  <c r="AT35" i="3"/>
  <c r="BD35" i="3"/>
  <c r="AD35" i="3"/>
  <c r="AE35" i="3" s="1"/>
  <c r="BI104" i="3"/>
  <c r="AU102" i="3"/>
  <c r="BE102" i="3" s="1"/>
  <c r="AV34" i="3"/>
  <c r="BF34" i="3" s="1"/>
  <c r="BI74" i="3"/>
  <c r="AD33" i="3"/>
  <c r="AE33" i="3" s="1"/>
  <c r="AT33" i="3"/>
  <c r="BD33" i="3" s="1"/>
  <c r="AU82" i="3"/>
  <c r="BE82" i="3" s="1"/>
  <c r="BD16" i="3"/>
  <c r="BI16" i="3" s="1"/>
  <c r="AW28" i="3"/>
  <c r="BG28" i="3" s="1"/>
  <c r="AW27" i="3"/>
  <c r="BG27" i="3" s="1"/>
  <c r="AT139" i="3"/>
  <c r="AV161" i="3" s="1"/>
  <c r="AV164" i="3" s="1"/>
  <c r="AY80" i="3"/>
  <c r="BA80" i="3" s="1"/>
  <c r="BB80" i="3" s="1"/>
  <c r="AX114" i="3"/>
  <c r="BH114" i="3" s="1"/>
  <c r="AT19" i="3"/>
  <c r="AD19" i="3"/>
  <c r="AE19" i="3" s="1"/>
  <c r="AD54" i="3"/>
  <c r="AE54" i="3" s="1"/>
  <c r="BD54" i="3"/>
  <c r="AT54" i="3"/>
  <c r="AX31" i="3"/>
  <c r="BH31" i="3"/>
  <c r="AW115" i="3"/>
  <c r="BG115" i="3" s="1"/>
  <c r="AD11" i="3"/>
  <c r="AE11" i="3" s="1"/>
  <c r="AT11" i="3"/>
  <c r="P120" i="3"/>
  <c r="AY117" i="3"/>
  <c r="AD34" i="3"/>
  <c r="AE34" i="3" s="1"/>
  <c r="AT34" i="3"/>
  <c r="BD34" i="3" s="1"/>
  <c r="BD108" i="3"/>
  <c r="AX82" i="3"/>
  <c r="BH82" i="3" s="1"/>
  <c r="AD27" i="3"/>
  <c r="AE27" i="3" s="1"/>
  <c r="AT27" i="3"/>
  <c r="BD27" i="3" s="1"/>
  <c r="AX77" i="3"/>
  <c r="BH77" i="3" s="1"/>
  <c r="AU100" i="3"/>
  <c r="BE100" i="3" s="1"/>
  <c r="AW15" i="3"/>
  <c r="BG15" i="3" s="1"/>
  <c r="AX91" i="3"/>
  <c r="BH91" i="3" s="1"/>
  <c r="AV28" i="3"/>
  <c r="BF28" i="3" s="1"/>
  <c r="AY14" i="3"/>
  <c r="BA14" i="3" s="1"/>
  <c r="BB14" i="3" s="1"/>
  <c r="BI36" i="3"/>
  <c r="AV35" i="3"/>
  <c r="BF35" i="3" s="1"/>
  <c r="AX88" i="3"/>
  <c r="BH88" i="3" s="1"/>
  <c r="AD106" i="3"/>
  <c r="AE106" i="3" s="1"/>
  <c r="AT106" i="3"/>
  <c r="BD106" i="3"/>
  <c r="AV102" i="3"/>
  <c r="BF102" i="3"/>
  <c r="AU58" i="3"/>
  <c r="BE58" i="3" s="1"/>
  <c r="AY57" i="3"/>
  <c r="BA57" i="3" s="1"/>
  <c r="BB57" i="3" s="1"/>
  <c r="AX15" i="3"/>
  <c r="BH15" i="3" s="1"/>
  <c r="AD107" i="3"/>
  <c r="AE107" i="3" s="1"/>
  <c r="AT107" i="3"/>
  <c r="BD107" i="3" s="1"/>
  <c r="AY119" i="3"/>
  <c r="AD74" i="3"/>
  <c r="AE74" i="3" s="1"/>
  <c r="AU33" i="3"/>
  <c r="BE33" i="3" s="1"/>
  <c r="BD83" i="3"/>
  <c r="BI83" i="3" s="1"/>
  <c r="AV82" i="3"/>
  <c r="BF82" i="3"/>
  <c r="AD91" i="3"/>
  <c r="AE91" i="3" s="1"/>
  <c r="AT91" i="3"/>
  <c r="AX28" i="3"/>
  <c r="BH28" i="3" s="1"/>
  <c r="AX27" i="3"/>
  <c r="BH27" i="3" s="1"/>
  <c r="BD116" i="3"/>
  <c r="BI116" i="3" s="1"/>
  <c r="AY78" i="3"/>
  <c r="AV111" i="3"/>
  <c r="BF111" i="3" s="1"/>
  <c r="AV54" i="3"/>
  <c r="BF54" i="3" s="1"/>
  <c r="AX89" i="3"/>
  <c r="BH89" i="3" s="1"/>
  <c r="AX115" i="3"/>
  <c r="BH115" i="3" s="1"/>
  <c r="AW18" i="3"/>
  <c r="BG18" i="3" s="1"/>
  <c r="AX100" i="3"/>
  <c r="BH100" i="3" s="1"/>
  <c r="AU11" i="3"/>
  <c r="BE11" i="3" s="1"/>
  <c r="Z120" i="3"/>
  <c r="AU7" i="3"/>
  <c r="BE7" i="3" s="1"/>
  <c r="BI27" i="2"/>
  <c r="BI57" i="2"/>
  <c r="BI36" i="2"/>
  <c r="AX78" i="2"/>
  <c r="BH78" i="2" s="1"/>
  <c r="AT18" i="2"/>
  <c r="AD18" i="2"/>
  <c r="AE18" i="2" s="1"/>
  <c r="AU112" i="2"/>
  <c r="BE112" i="2" s="1"/>
  <c r="AT58" i="2"/>
  <c r="BD58" i="2" s="1"/>
  <c r="AD58" i="2"/>
  <c r="AE58" i="2" s="1"/>
  <c r="BI106" i="2"/>
  <c r="AU89" i="2"/>
  <c r="BE89" i="2" s="1"/>
  <c r="AV26" i="2"/>
  <c r="BF26" i="2" s="1"/>
  <c r="BG117" i="2"/>
  <c r="AW117" i="2"/>
  <c r="AD56" i="2"/>
  <c r="AE56" i="2" s="1"/>
  <c r="AT56" i="2"/>
  <c r="BD56" i="2" s="1"/>
  <c r="AT25" i="2"/>
  <c r="BD25" i="2" s="1"/>
  <c r="AD25" i="2"/>
  <c r="AE25" i="2" s="1"/>
  <c r="BG81" i="2"/>
  <c r="AW81" i="2"/>
  <c r="BI103" i="2"/>
  <c r="AV75" i="2"/>
  <c r="BF75" i="2" s="1"/>
  <c r="P122" i="2"/>
  <c r="P123" i="2" s="1"/>
  <c r="P127" i="2"/>
  <c r="P128" i="2"/>
  <c r="AV18" i="2"/>
  <c r="BF18" i="2" s="1"/>
  <c r="AD49" i="2"/>
  <c r="AE49" i="2" s="1"/>
  <c r="AT49" i="2"/>
  <c r="BD49" i="2" s="1"/>
  <c r="AX81" i="2"/>
  <c r="BH81" i="2" s="1"/>
  <c r="AW70" i="2"/>
  <c r="BG70" i="2" s="1"/>
  <c r="AW88" i="2"/>
  <c r="BG88" i="2" s="1"/>
  <c r="AW79" i="2"/>
  <c r="BG79" i="2" s="1"/>
  <c r="BD92" i="2"/>
  <c r="BI92" i="2" s="1"/>
  <c r="AD92" i="2"/>
  <c r="AE92" i="2" s="1"/>
  <c r="AT75" i="2"/>
  <c r="BD75" i="2"/>
  <c r="AD75" i="2"/>
  <c r="AE75" i="2" s="1"/>
  <c r="BF56" i="2"/>
  <c r="AV56" i="2"/>
  <c r="AY102" i="2"/>
  <c r="BA102" i="2" s="1"/>
  <c r="BB102" i="2" s="1"/>
  <c r="AU107" i="2"/>
  <c r="BE107" i="2" s="1"/>
  <c r="AW78" i="2"/>
  <c r="BG78" i="2" s="1"/>
  <c r="AV25" i="2"/>
  <c r="BF25" i="2"/>
  <c r="AB120" i="2"/>
  <c r="BG7" i="2"/>
  <c r="AW7" i="2"/>
  <c r="AT141" i="2"/>
  <c r="AU49" i="2"/>
  <c r="BE49" i="2" s="1"/>
  <c r="AV34" i="2"/>
  <c r="BF34" i="2" s="1"/>
  <c r="AX70" i="2"/>
  <c r="BH70" i="2" s="1"/>
  <c r="AU13" i="2"/>
  <c r="BE13" i="2" s="1"/>
  <c r="AX88" i="2"/>
  <c r="BH88" i="2"/>
  <c r="AX80" i="2"/>
  <c r="BH80" i="2" s="1"/>
  <c r="AU79" i="2"/>
  <c r="BE79" i="2" s="1"/>
  <c r="AV104" i="2"/>
  <c r="BF104" i="2" s="1"/>
  <c r="AW112" i="2"/>
  <c r="BG112" i="2" s="1"/>
  <c r="AU53" i="2"/>
  <c r="BE53" i="2" s="1"/>
  <c r="AU82" i="2"/>
  <c r="BE82" i="2" s="1"/>
  <c r="AY109" i="2"/>
  <c r="BA109" i="2" s="1"/>
  <c r="BB109" i="2" s="1"/>
  <c r="AW15" i="2"/>
  <c r="BG15" i="2" s="1"/>
  <c r="AV35" i="2"/>
  <c r="BF35" i="2" s="1"/>
  <c r="AT86" i="2"/>
  <c r="BD86" i="2" s="1"/>
  <c r="AD86" i="2"/>
  <c r="AE86" i="2" s="1"/>
  <c r="AV89" i="2"/>
  <c r="BF89" i="2" s="1"/>
  <c r="AX26" i="2"/>
  <c r="BH26" i="2" s="1"/>
  <c r="AU77" i="2"/>
  <c r="BE77" i="2" s="1"/>
  <c r="AX118" i="2"/>
  <c r="BH118" i="2" s="1"/>
  <c r="AW58" i="2"/>
  <c r="BG58" i="2" s="1"/>
  <c r="AW82" i="2"/>
  <c r="BG82" i="2"/>
  <c r="AX15" i="2"/>
  <c r="BH15" i="2" s="1"/>
  <c r="AD17" i="2"/>
  <c r="AE17" i="2" s="1"/>
  <c r="AT17" i="2"/>
  <c r="BD17" i="2" s="1"/>
  <c r="BG35" i="2"/>
  <c r="AW35" i="2"/>
  <c r="AW89" i="2"/>
  <c r="BG89" i="2" s="1"/>
  <c r="AV77" i="2"/>
  <c r="BF77" i="2" s="1"/>
  <c r="AD59" i="2"/>
  <c r="AE59" i="2" s="1"/>
  <c r="AT59" i="2"/>
  <c r="AY119" i="2"/>
  <c r="AU117" i="2"/>
  <c r="BE117" i="2" s="1"/>
  <c r="AD13" i="2"/>
  <c r="AE13" i="2" s="1"/>
  <c r="AT13" i="2"/>
  <c r="BD13" i="2"/>
  <c r="AW80" i="2"/>
  <c r="BG80" i="2" s="1"/>
  <c r="AY101" i="2"/>
  <c r="BA101" i="2" s="1"/>
  <c r="BB101" i="2" s="1"/>
  <c r="AC120" i="2"/>
  <c r="AX7" i="2"/>
  <c r="BH7" i="2"/>
  <c r="AW18" i="2"/>
  <c r="BG18" i="2" s="1"/>
  <c r="AW34" i="2"/>
  <c r="BG34" i="2" s="1"/>
  <c r="AV13" i="2"/>
  <c r="BF13" i="2" s="1"/>
  <c r="AD55" i="2"/>
  <c r="AE55" i="2" s="1"/>
  <c r="AT55" i="2"/>
  <c r="BD55" i="2" s="1"/>
  <c r="BG25" i="2"/>
  <c r="AW25" i="2"/>
  <c r="AX34" i="2"/>
  <c r="BH34" i="2" s="1"/>
  <c r="AV164" i="2"/>
  <c r="AW13" i="2"/>
  <c r="BG13" i="2" s="1"/>
  <c r="AY19" i="2"/>
  <c r="BA19" i="2" s="1"/>
  <c r="BB19" i="2" s="1"/>
  <c r="BF54" i="2"/>
  <c r="AV54" i="2"/>
  <c r="BH73" i="2"/>
  <c r="BI73" i="2" s="1"/>
  <c r="AD73" i="2"/>
  <c r="AE73" i="2" s="1"/>
  <c r="BE80" i="2"/>
  <c r="AU80" i="2"/>
  <c r="AY105" i="2"/>
  <c r="BA105" i="2" s="1"/>
  <c r="BB105" i="2" s="1"/>
  <c r="AX14" i="2"/>
  <c r="BH14" i="2"/>
  <c r="BD53" i="2"/>
  <c r="AD53" i="2"/>
  <c r="AE53" i="2" s="1"/>
  <c r="AT53" i="2"/>
  <c r="BG55" i="2"/>
  <c r="AW55" i="2"/>
  <c r="AX91" i="2"/>
  <c r="BH91" i="2" s="1"/>
  <c r="BF17" i="2"/>
  <c r="AV17" i="2"/>
  <c r="AX35" i="2"/>
  <c r="BH35" i="2" s="1"/>
  <c r="AY83" i="2"/>
  <c r="BA83" i="2" s="1"/>
  <c r="BB83" i="2" s="1"/>
  <c r="AV59" i="2"/>
  <c r="BF59" i="2" s="1"/>
  <c r="AU111" i="2"/>
  <c r="BE111" i="2" s="1"/>
  <c r="BD119" i="2"/>
  <c r="BI119" i="2" s="1"/>
  <c r="AU116" i="2"/>
  <c r="BE116" i="2" s="1"/>
  <c r="BH107" i="2"/>
  <c r="AX107" i="2"/>
  <c r="AA120" i="2"/>
  <c r="AV7" i="2"/>
  <c r="BF7" i="2"/>
  <c r="AU81" i="2"/>
  <c r="BE81" i="2" s="1"/>
  <c r="AX86" i="2"/>
  <c r="BH86" i="2" s="1"/>
  <c r="AW59" i="2"/>
  <c r="BG59" i="2"/>
  <c r="AU70" i="2"/>
  <c r="BE70" i="2"/>
  <c r="AT54" i="2"/>
  <c r="AY54" i="2" s="1"/>
  <c r="BA54" i="2" s="1"/>
  <c r="BB54" i="2" s="1"/>
  <c r="AD54" i="2"/>
  <c r="AE54" i="2" s="1"/>
  <c r="BH56" i="2"/>
  <c r="AX56" i="2"/>
  <c r="BD101" i="2"/>
  <c r="BI101" i="2" s="1"/>
  <c r="BI28" i="2"/>
  <c r="AU75" i="2"/>
  <c r="BE75" i="2" s="1"/>
  <c r="AV78" i="2"/>
  <c r="BF78" i="2" s="1"/>
  <c r="AV49" i="2"/>
  <c r="BF49" i="2" s="1"/>
  <c r="AD85" i="2"/>
  <c r="AE85" i="2" s="1"/>
  <c r="AV80" i="2"/>
  <c r="BF80" i="2" s="1"/>
  <c r="AY115" i="2"/>
  <c r="BA115" i="2" s="1"/>
  <c r="BB115" i="2" s="1"/>
  <c r="BI105" i="2"/>
  <c r="AX104" i="2"/>
  <c r="BH104" i="2" s="1"/>
  <c r="AX112" i="2"/>
  <c r="BH112" i="2" s="1"/>
  <c r="AX58" i="2"/>
  <c r="BH58" i="2"/>
  <c r="AW53" i="2"/>
  <c r="BG53" i="2" s="1"/>
  <c r="AX82" i="2"/>
  <c r="BH82" i="2" s="1"/>
  <c r="AW91" i="2"/>
  <c r="BG91" i="2" s="1"/>
  <c r="AY11" i="2"/>
  <c r="BA11" i="2" s="1"/>
  <c r="BB11" i="2" s="1"/>
  <c r="AD15" i="2"/>
  <c r="AE15" i="2" s="1"/>
  <c r="AT15" i="2"/>
  <c r="AW17" i="2"/>
  <c r="BG17" i="2" s="1"/>
  <c r="AU86" i="2"/>
  <c r="BE86" i="2"/>
  <c r="AY29" i="2"/>
  <c r="BA29" i="2" s="1"/>
  <c r="BB29" i="2" s="1"/>
  <c r="BD26" i="2"/>
  <c r="AT26" i="2"/>
  <c r="AD26" i="2"/>
  <c r="AE26" i="2" s="1"/>
  <c r="BI52" i="2"/>
  <c r="AY110" i="2"/>
  <c r="AT111" i="2"/>
  <c r="AD111" i="2"/>
  <c r="AE111" i="2" s="1"/>
  <c r="AU118" i="2"/>
  <c r="BE118" i="2" s="1"/>
  <c r="AT117" i="2"/>
  <c r="AD117" i="2"/>
  <c r="BI10" i="2"/>
  <c r="AY100" i="2"/>
  <c r="BA100" i="2" s="1"/>
  <c r="BB100" i="2" s="1"/>
  <c r="AV55" i="2"/>
  <c r="BF55" i="2" s="1"/>
  <c r="AD91" i="2"/>
  <c r="AE91" i="2" s="1"/>
  <c r="AT91" i="2"/>
  <c r="BD91" i="2" s="1"/>
  <c r="AV107" i="2"/>
  <c r="BF107" i="2" s="1"/>
  <c r="AT81" i="2"/>
  <c r="BD81" i="2" s="1"/>
  <c r="AD81" i="2"/>
  <c r="AE81" i="2" s="1"/>
  <c r="AV79" i="2"/>
  <c r="BF79" i="2" s="1"/>
  <c r="AW104" i="2"/>
  <c r="BG104" i="2"/>
  <c r="AX75" i="2"/>
  <c r="BH75" i="2" s="1"/>
  <c r="Y120" i="2"/>
  <c r="AT7" i="2"/>
  <c r="BD7" i="2" s="1"/>
  <c r="AD7" i="2"/>
  <c r="BI33" i="2"/>
  <c r="AX25" i="2"/>
  <c r="BH25" i="2" s="1"/>
  <c r="AU34" i="2"/>
  <c r="BE34" i="2" s="1"/>
  <c r="AY113" i="2"/>
  <c r="BA113" i="2" s="1"/>
  <c r="BB113" i="2" s="1"/>
  <c r="AX13" i="2"/>
  <c r="BH13" i="2" s="1"/>
  <c r="BD19" i="2"/>
  <c r="BI19" i="2" s="1"/>
  <c r="AU88" i="2"/>
  <c r="BE88" i="2" s="1"/>
  <c r="AX79" i="2"/>
  <c r="BH79" i="2" s="1"/>
  <c r="AY33" i="2"/>
  <c r="BA33" i="2" s="1"/>
  <c r="BB33" i="2" s="1"/>
  <c r="BH71" i="2"/>
  <c r="BI71" i="2" s="1"/>
  <c r="AD71" i="2"/>
  <c r="AE71" i="2" s="1"/>
  <c r="AW75" i="2"/>
  <c r="BG75" i="2" s="1"/>
  <c r="BE56" i="2"/>
  <c r="AU56" i="2"/>
  <c r="AD107" i="2"/>
  <c r="AE107" i="2" s="1"/>
  <c r="AT107" i="2"/>
  <c r="AT78" i="2"/>
  <c r="AD78" i="2"/>
  <c r="AE78" i="2" s="1"/>
  <c r="Z120" i="2"/>
  <c r="AU7" i="2"/>
  <c r="BE7" i="2" s="1"/>
  <c r="AX18" i="2"/>
  <c r="BH18" i="2"/>
  <c r="AW49" i="2"/>
  <c r="BG49" i="2" s="1"/>
  <c r="AV81" i="2"/>
  <c r="BF81" i="2" s="1"/>
  <c r="AD70" i="2"/>
  <c r="AE70" i="2" s="1"/>
  <c r="AT70" i="2"/>
  <c r="BD70" i="2" s="1"/>
  <c r="BI85" i="2"/>
  <c r="BD113" i="2"/>
  <c r="BI113" i="2" s="1"/>
  <c r="BD30" i="2"/>
  <c r="BI30" i="2" s="1"/>
  <c r="BE54" i="2"/>
  <c r="AU54" i="2"/>
  <c r="BD100" i="2"/>
  <c r="BI100" i="2" s="1"/>
  <c r="BD115" i="2"/>
  <c r="BI115" i="2" s="1"/>
  <c r="AU104" i="2"/>
  <c r="BE104" i="2" s="1"/>
  <c r="AD112" i="2"/>
  <c r="AE112" i="2" s="1"/>
  <c r="AT112" i="2"/>
  <c r="AD14" i="2"/>
  <c r="AE14" i="2" s="1"/>
  <c r="AT14" i="2"/>
  <c r="BF53" i="2"/>
  <c r="AV53" i="2"/>
  <c r="AU55" i="2"/>
  <c r="BE55" i="2" s="1"/>
  <c r="AV82" i="2"/>
  <c r="BF82" i="2" s="1"/>
  <c r="BD11" i="2"/>
  <c r="BI11" i="2" s="1"/>
  <c r="AU15" i="2"/>
  <c r="BE15" i="2" s="1"/>
  <c r="AX17" i="2"/>
  <c r="BH17" i="2"/>
  <c r="AU35" i="2"/>
  <c r="BE35" i="2"/>
  <c r="AV86" i="2"/>
  <c r="BF86" i="2"/>
  <c r="BD32" i="2"/>
  <c r="BI32" i="2" s="1"/>
  <c r="AU26" i="2"/>
  <c r="BE26" i="2" s="1"/>
  <c r="AY52" i="2"/>
  <c r="AD77" i="2"/>
  <c r="AE77" i="2" s="1"/>
  <c r="AT77" i="2"/>
  <c r="BD110" i="2"/>
  <c r="BI110" i="2" s="1"/>
  <c r="BD83" i="2"/>
  <c r="BI83" i="2" s="1"/>
  <c r="AV111" i="2"/>
  <c r="BF111" i="2" s="1"/>
  <c r="AV117" i="2"/>
  <c r="BF117" i="2" s="1"/>
  <c r="AT116" i="2"/>
  <c r="AD116" i="2"/>
  <c r="AX49" i="2"/>
  <c r="BH49" i="2" s="1"/>
  <c r="AV88" i="2"/>
  <c r="BF88" i="2" s="1"/>
  <c r="AV15" i="2"/>
  <c r="BF15" i="2"/>
  <c r="AT118" i="2"/>
  <c r="BD118" i="2" s="1"/>
  <c r="AD118" i="2"/>
  <c r="AW107" i="2"/>
  <c r="BG107" i="2" s="1"/>
  <c r="AU18" i="2"/>
  <c r="BE18" i="2" s="1"/>
  <c r="AD79" i="2"/>
  <c r="AE79" i="2" s="1"/>
  <c r="AT79" i="2"/>
  <c r="AV112" i="2"/>
  <c r="BF112" i="2" s="1"/>
  <c r="BI31" i="2"/>
  <c r="AU58" i="2"/>
  <c r="BE58" i="2" s="1"/>
  <c r="BH53" i="2"/>
  <c r="AX53" i="2"/>
  <c r="AU91" i="2"/>
  <c r="BE91" i="2" s="1"/>
  <c r="AY106" i="2"/>
  <c r="BA106" i="2" s="1"/>
  <c r="BB106" i="2" s="1"/>
  <c r="BI16" i="2"/>
  <c r="AW86" i="2"/>
  <c r="BG86" i="2" s="1"/>
  <c r="AX89" i="2"/>
  <c r="BH89" i="2" s="1"/>
  <c r="AY108" i="2"/>
  <c r="BA108" i="2" s="1"/>
  <c r="BB108" i="2" s="1"/>
  <c r="AX77" i="2"/>
  <c r="BH77" i="2"/>
  <c r="AU59" i="2"/>
  <c r="BE59" i="2" s="1"/>
  <c r="AY114" i="2"/>
  <c r="BA114" i="2" s="1"/>
  <c r="BB114" i="2" s="1"/>
  <c r="AW111" i="2"/>
  <c r="BG111" i="2" s="1"/>
  <c r="AV118" i="2"/>
  <c r="BF118" i="2" s="1"/>
  <c r="AX117" i="2"/>
  <c r="BH117" i="2" s="1"/>
  <c r="AW116" i="2"/>
  <c r="BG116" i="2" s="1"/>
  <c r="AW54" i="2"/>
  <c r="BG54" i="2" s="1"/>
  <c r="BE14" i="2"/>
  <c r="AU14" i="2"/>
  <c r="AW77" i="2"/>
  <c r="BG77" i="2" s="1"/>
  <c r="AV116" i="2"/>
  <c r="BF116" i="2" s="1"/>
  <c r="AV70" i="2"/>
  <c r="BF70" i="2" s="1"/>
  <c r="BH54" i="2"/>
  <c r="AX54" i="2"/>
  <c r="AT88" i="2"/>
  <c r="AD88" i="2"/>
  <c r="AE88" i="2" s="1"/>
  <c r="AV14" i="2"/>
  <c r="BF14" i="2" s="1"/>
  <c r="BD12" i="2"/>
  <c r="BI12" i="2" s="1"/>
  <c r="AW56" i="2"/>
  <c r="BG56" i="2" s="1"/>
  <c r="BI102" i="2"/>
  <c r="AU78" i="2"/>
  <c r="BE78" i="2" s="1"/>
  <c r="AU25" i="2"/>
  <c r="BE25" i="2" s="1"/>
  <c r="AY10" i="2"/>
  <c r="AY27" i="2"/>
  <c r="BA27" i="2" s="1"/>
  <c r="BB27" i="2" s="1"/>
  <c r="AT34" i="2"/>
  <c r="BD34" i="2" s="1"/>
  <c r="AD34" i="2"/>
  <c r="AE34" i="2" s="1"/>
  <c r="BD80" i="2"/>
  <c r="AT80" i="2"/>
  <c r="AD80" i="2"/>
  <c r="AE80" i="2" s="1"/>
  <c r="AY103" i="2"/>
  <c r="BA103" i="2" s="1"/>
  <c r="BB103" i="2" s="1"/>
  <c r="AD104" i="2"/>
  <c r="AE104" i="2" s="1"/>
  <c r="AT104" i="2"/>
  <c r="BD104" i="2"/>
  <c r="AW14" i="2"/>
  <c r="BG14" i="2" s="1"/>
  <c r="AY31" i="2"/>
  <c r="BA31" i="2" s="1"/>
  <c r="BB31" i="2" s="1"/>
  <c r="AV58" i="2"/>
  <c r="BF58" i="2" s="1"/>
  <c r="BH55" i="2"/>
  <c r="AX55" i="2"/>
  <c r="AT82" i="2"/>
  <c r="BD82" i="2" s="1"/>
  <c r="AD82" i="2"/>
  <c r="AE82" i="2" s="1"/>
  <c r="AV91" i="2"/>
  <c r="BF91" i="2"/>
  <c r="AU17" i="2"/>
  <c r="BE17" i="2" s="1"/>
  <c r="AY16" i="2"/>
  <c r="BA16" i="2" s="1"/>
  <c r="BB16" i="2" s="1"/>
  <c r="AD35" i="2"/>
  <c r="AE35" i="2" s="1"/>
  <c r="AT35" i="2"/>
  <c r="BD35" i="2"/>
  <c r="AD89" i="2"/>
  <c r="AE89" i="2" s="1"/>
  <c r="AT89" i="2"/>
  <c r="AW26" i="2"/>
  <c r="BG26" i="2" s="1"/>
  <c r="AY36" i="2"/>
  <c r="BA36" i="2" s="1"/>
  <c r="BB36" i="2" s="1"/>
  <c r="AY57" i="2"/>
  <c r="BA57" i="2" s="1"/>
  <c r="BB57" i="2" s="1"/>
  <c r="BD108" i="2"/>
  <c r="BI108" i="2" s="1"/>
  <c r="AX59" i="2"/>
  <c r="BH59" i="2" s="1"/>
  <c r="BD114" i="2"/>
  <c r="BI114" i="2" s="1"/>
  <c r="AX111" i="2"/>
  <c r="BH111" i="2" s="1"/>
  <c r="BG118" i="2"/>
  <c r="AW118" i="2"/>
  <c r="AX116" i="2"/>
  <c r="BH116" i="2" s="1"/>
  <c r="AY14" i="2" l="1"/>
  <c r="BA14" i="2" s="1"/>
  <c r="BB14" i="2" s="1"/>
  <c r="BE127" i="2"/>
  <c r="AY107" i="2"/>
  <c r="BA107" i="2" s="1"/>
  <c r="BB107" i="2" s="1"/>
  <c r="AY89" i="2"/>
  <c r="BA89" i="2" s="1"/>
  <c r="BB89" i="2" s="1"/>
  <c r="AY77" i="2"/>
  <c r="BA77" i="2" s="1"/>
  <c r="BB77" i="2" s="1"/>
  <c r="AY117" i="2"/>
  <c r="AY102" i="3"/>
  <c r="BA102" i="3" s="1"/>
  <c r="BB102" i="3" s="1"/>
  <c r="AY15" i="2"/>
  <c r="BA15" i="2" s="1"/>
  <c r="BB15" i="2" s="1"/>
  <c r="BA78" i="3"/>
  <c r="BB78" i="3" s="1"/>
  <c r="BI108" i="3"/>
  <c r="AC120" i="3"/>
  <c r="AY88" i="2"/>
  <c r="BA88" i="2" s="1"/>
  <c r="BB88" i="2" s="1"/>
  <c r="AY111" i="2"/>
  <c r="BA111" i="2" s="1"/>
  <c r="BB111" i="2" s="1"/>
  <c r="BH127" i="2"/>
  <c r="AT141" i="3"/>
  <c r="AY19" i="3"/>
  <c r="BA19" i="3" s="1"/>
  <c r="BB19" i="3" s="1"/>
  <c r="BG128" i="3"/>
  <c r="AY59" i="2"/>
  <c r="BA59" i="2" s="1"/>
  <c r="BB59" i="2" s="1"/>
  <c r="AY116" i="2"/>
  <c r="BI81" i="3"/>
  <c r="BF126" i="3"/>
  <c r="AY81" i="3"/>
  <c r="BA81" i="3" s="1"/>
  <c r="BB81" i="3" s="1"/>
  <c r="BI84" i="3"/>
  <c r="BE126" i="3"/>
  <c r="AY89" i="3"/>
  <c r="BA89" i="3" s="1"/>
  <c r="BB89" i="3" s="1"/>
  <c r="BD102" i="3"/>
  <c r="BI102" i="3" s="1"/>
  <c r="BH126" i="3"/>
  <c r="AY111" i="3"/>
  <c r="BE128" i="3"/>
  <c r="BF128" i="3"/>
  <c r="BE127" i="3"/>
  <c r="BF127" i="3"/>
  <c r="AY28" i="3"/>
  <c r="BA28" i="3" s="1"/>
  <c r="BB28" i="3" s="1"/>
  <c r="BG126" i="3"/>
  <c r="BI34" i="3"/>
  <c r="BF129" i="3"/>
  <c r="BF120" i="3"/>
  <c r="BF121" i="3" s="1"/>
  <c r="BF125" i="3"/>
  <c r="BI100" i="3"/>
  <c r="BI107" i="3"/>
  <c r="BG129" i="3"/>
  <c r="BG120" i="3"/>
  <c r="BG121" i="3" s="1"/>
  <c r="BG125" i="3"/>
  <c r="BE129" i="3"/>
  <c r="BI28" i="3"/>
  <c r="BD128" i="3"/>
  <c r="BI70" i="3"/>
  <c r="BI58" i="3"/>
  <c r="AW144" i="3"/>
  <c r="BF144" i="3" s="1"/>
  <c r="AW142" i="3"/>
  <c r="BF142" i="3" s="1"/>
  <c r="AT142" i="3"/>
  <c r="AW146" i="3"/>
  <c r="BF146" i="3" s="1"/>
  <c r="AY91" i="3"/>
  <c r="BA91" i="3" s="1"/>
  <c r="BB91" i="3" s="1"/>
  <c r="AU120" i="3"/>
  <c r="AU122" i="3" s="1"/>
  <c r="BD91" i="3"/>
  <c r="BI91" i="3" s="1"/>
  <c r="AY27" i="3"/>
  <c r="BA27" i="3" s="1"/>
  <c r="BB27" i="3" s="1"/>
  <c r="BD19" i="3"/>
  <c r="BI19" i="3" s="1"/>
  <c r="AY35" i="3"/>
  <c r="BA35" i="3" s="1"/>
  <c r="BB35" i="3" s="1"/>
  <c r="AY115" i="3"/>
  <c r="BA115" i="3" s="1"/>
  <c r="BB115" i="3" s="1"/>
  <c r="AY82" i="3"/>
  <c r="BA82" i="3" s="1"/>
  <c r="BB82" i="3" s="1"/>
  <c r="BI82" i="3"/>
  <c r="BI77" i="3"/>
  <c r="AY31" i="3"/>
  <c r="BA31" i="3" s="1"/>
  <c r="BB31" i="3" s="1"/>
  <c r="AY58" i="3"/>
  <c r="BA58" i="3" s="1"/>
  <c r="BB58" i="3" s="1"/>
  <c r="AX120" i="3"/>
  <c r="AY49" i="3"/>
  <c r="AY77" i="3"/>
  <c r="BD111" i="3"/>
  <c r="BI111" i="3" s="1"/>
  <c r="AY88" i="3"/>
  <c r="BA88" i="3" s="1"/>
  <c r="BB88" i="3" s="1"/>
  <c r="BE125" i="3"/>
  <c r="BE120" i="3"/>
  <c r="BE121" i="3" s="1"/>
  <c r="BI49" i="3"/>
  <c r="BD127" i="3"/>
  <c r="BA111" i="3"/>
  <c r="BB111" i="3" s="1"/>
  <c r="P122" i="3"/>
  <c r="P123" i="3" s="1"/>
  <c r="P127" i="3"/>
  <c r="P128" i="3"/>
  <c r="AY54" i="3"/>
  <c r="BA54" i="3" s="1"/>
  <c r="BB54" i="3" s="1"/>
  <c r="BD31" i="3"/>
  <c r="BI31" i="3" s="1"/>
  <c r="BH7" i="3"/>
  <c r="BD88" i="3"/>
  <c r="AD84" i="3"/>
  <c r="AE84" i="3" s="1"/>
  <c r="BI27" i="3"/>
  <c r="AE7" i="3"/>
  <c r="BA86" i="3"/>
  <c r="BB86" i="3" s="1"/>
  <c r="AW120" i="3"/>
  <c r="AW122" i="3" s="1"/>
  <c r="BI106" i="3"/>
  <c r="BA25" i="3"/>
  <c r="BB25" i="3" s="1"/>
  <c r="BG127" i="3"/>
  <c r="BI15" i="3"/>
  <c r="AY11" i="3"/>
  <c r="BA11" i="3" s="1"/>
  <c r="BB11" i="3" s="1"/>
  <c r="BI54" i="3"/>
  <c r="BI33" i="3"/>
  <c r="AY106" i="3"/>
  <c r="BA106" i="3" s="1"/>
  <c r="BB106" i="3" s="1"/>
  <c r="BD11" i="3"/>
  <c r="BI11" i="3" s="1"/>
  <c r="AY33" i="3"/>
  <c r="BA33" i="3" s="1"/>
  <c r="BB33" i="3" s="1"/>
  <c r="BD89" i="3"/>
  <c r="BI89" i="3" s="1"/>
  <c r="BH129" i="3"/>
  <c r="BI85" i="3"/>
  <c r="AY18" i="3"/>
  <c r="BA18" i="3" s="1"/>
  <c r="BB18" i="3" s="1"/>
  <c r="AY114" i="3"/>
  <c r="BA114" i="3" s="1"/>
  <c r="BB114" i="3" s="1"/>
  <c r="AY15" i="3"/>
  <c r="BA15" i="3" s="1"/>
  <c r="BB15" i="3" s="1"/>
  <c r="BH128" i="3"/>
  <c r="BI115" i="3"/>
  <c r="AY107" i="3"/>
  <c r="BA107" i="3" s="1"/>
  <c r="BB107" i="3" s="1"/>
  <c r="AY34" i="3"/>
  <c r="BA34" i="3" s="1"/>
  <c r="BB34" i="3" s="1"/>
  <c r="BI35" i="3"/>
  <c r="AT120" i="3"/>
  <c r="AT122" i="3" s="1"/>
  <c r="AY7" i="3"/>
  <c r="BI25" i="3"/>
  <c r="BH127" i="3"/>
  <c r="BI18" i="3"/>
  <c r="AV120" i="3"/>
  <c r="AV122" i="3" s="1"/>
  <c r="BI114" i="3"/>
  <c r="AY100" i="3"/>
  <c r="BA100" i="3" s="1"/>
  <c r="BB100" i="3" s="1"/>
  <c r="BE126" i="2"/>
  <c r="BG127" i="2"/>
  <c r="BI7" i="2"/>
  <c r="BH129" i="2"/>
  <c r="BE129" i="2"/>
  <c r="BI25" i="2"/>
  <c r="BD126" i="2"/>
  <c r="AW144" i="2"/>
  <c r="BF144" i="2" s="1"/>
  <c r="AW142" i="2"/>
  <c r="BF142" i="2" s="1"/>
  <c r="AW146" i="2"/>
  <c r="BF146" i="2" s="1"/>
  <c r="AT142" i="2"/>
  <c r="AY104" i="2"/>
  <c r="BA104" i="2" s="1"/>
  <c r="BB104" i="2" s="1"/>
  <c r="AY34" i="2"/>
  <c r="BA34" i="2" s="1"/>
  <c r="BB34" i="2" s="1"/>
  <c r="BD14" i="2"/>
  <c r="BI14" i="2" s="1"/>
  <c r="AY70" i="2"/>
  <c r="BD107" i="2"/>
  <c r="BI107" i="2" s="1"/>
  <c r="BI91" i="2"/>
  <c r="AY26" i="2"/>
  <c r="BA26" i="2" s="1"/>
  <c r="BB26" i="2" s="1"/>
  <c r="BD54" i="2"/>
  <c r="BI54" i="2" s="1"/>
  <c r="BI53" i="2"/>
  <c r="AY17" i="2"/>
  <c r="BA17" i="2" s="1"/>
  <c r="BB17" i="2" s="1"/>
  <c r="AW120" i="2"/>
  <c r="AW122" i="2" s="1"/>
  <c r="BI104" i="2"/>
  <c r="AY79" i="2"/>
  <c r="BA79" i="2" s="1"/>
  <c r="BB79" i="2" s="1"/>
  <c r="BF129" i="2"/>
  <c r="AT120" i="2"/>
  <c r="AT122" i="2" s="1"/>
  <c r="AY7" i="2"/>
  <c r="BI26" i="2"/>
  <c r="BD15" i="2"/>
  <c r="BI15" i="2" s="1"/>
  <c r="BF120" i="2"/>
  <c r="BF121" i="2" s="1"/>
  <c r="BF125" i="2"/>
  <c r="BF130" i="2" s="1"/>
  <c r="BG126" i="2"/>
  <c r="BI13" i="2"/>
  <c r="BD59" i="2"/>
  <c r="BI59" i="2" s="1"/>
  <c r="BH128" i="2"/>
  <c r="BG120" i="2"/>
  <c r="BG121" i="2" s="1"/>
  <c r="BG125" i="2"/>
  <c r="AY49" i="2"/>
  <c r="AY56" i="2"/>
  <c r="BA56" i="2" s="1"/>
  <c r="BB56" i="2" s="1"/>
  <c r="AY18" i="2"/>
  <c r="BA18" i="2" s="1"/>
  <c r="BB18" i="2" s="1"/>
  <c r="BI34" i="2"/>
  <c r="BI118" i="2"/>
  <c r="BE125" i="2"/>
  <c r="BE120" i="2"/>
  <c r="BE121" i="2" s="1"/>
  <c r="BE128" i="2"/>
  <c r="BI17" i="2"/>
  <c r="BD89" i="2"/>
  <c r="BI89" i="2" s="1"/>
  <c r="BD79" i="2"/>
  <c r="BI79" i="2" s="1"/>
  <c r="AY118" i="2"/>
  <c r="BD116" i="2"/>
  <c r="BI116" i="2" s="1"/>
  <c r="BD77" i="2"/>
  <c r="BI77" i="2" s="1"/>
  <c r="BI70" i="2"/>
  <c r="AU120" i="2"/>
  <c r="AU122" i="2" s="1"/>
  <c r="AY81" i="2"/>
  <c r="BA81" i="2" s="1"/>
  <c r="BB81" i="2" s="1"/>
  <c r="AV120" i="2"/>
  <c r="AV122" i="2" s="1"/>
  <c r="AY55" i="2"/>
  <c r="BA55" i="2" s="1"/>
  <c r="BB55" i="2" s="1"/>
  <c r="AY13" i="2"/>
  <c r="BA13" i="2" s="1"/>
  <c r="BB13" i="2" s="1"/>
  <c r="AY86" i="2"/>
  <c r="BD18" i="2"/>
  <c r="BI18" i="2" s="1"/>
  <c r="AY112" i="2"/>
  <c r="BA112" i="2" s="1"/>
  <c r="BB112" i="2" s="1"/>
  <c r="BH126" i="2"/>
  <c r="BI81" i="2"/>
  <c r="BI55" i="2"/>
  <c r="BH120" i="2"/>
  <c r="BH121" i="2" s="1"/>
  <c r="BH125" i="2"/>
  <c r="BH130" i="2" s="1"/>
  <c r="BI86" i="2"/>
  <c r="BI129" i="2" s="1"/>
  <c r="BF126" i="2"/>
  <c r="BI49" i="2"/>
  <c r="BI56" i="2"/>
  <c r="AY80" i="2"/>
  <c r="BA80" i="2" s="1"/>
  <c r="BB80" i="2" s="1"/>
  <c r="BD112" i="2"/>
  <c r="BI112" i="2" s="1"/>
  <c r="BD111" i="2"/>
  <c r="BI111" i="2" s="1"/>
  <c r="AX120" i="2"/>
  <c r="AX122" i="2" s="1"/>
  <c r="AY58" i="2"/>
  <c r="BA58" i="2" s="1"/>
  <c r="BB58" i="2" s="1"/>
  <c r="BF128" i="2"/>
  <c r="BI35" i="2"/>
  <c r="BG129" i="2"/>
  <c r="BF127" i="2"/>
  <c r="BI75" i="2"/>
  <c r="BG128" i="2"/>
  <c r="BI58" i="2"/>
  <c r="BI80" i="2"/>
  <c r="AY78" i="2"/>
  <c r="BA78" i="2" s="1"/>
  <c r="BB78" i="2" s="1"/>
  <c r="AY35" i="2"/>
  <c r="BA35" i="2" s="1"/>
  <c r="BB35" i="2" s="1"/>
  <c r="AY82" i="2"/>
  <c r="BA82" i="2" s="1"/>
  <c r="BB82" i="2" s="1"/>
  <c r="BD88" i="2"/>
  <c r="BI88" i="2" s="1"/>
  <c r="BD78" i="2"/>
  <c r="BI78" i="2" s="1"/>
  <c r="AY91" i="2"/>
  <c r="BA91" i="2" s="1"/>
  <c r="BB91" i="2" s="1"/>
  <c r="BD117" i="2"/>
  <c r="BI117" i="2" s="1"/>
  <c r="AY53" i="2"/>
  <c r="BA53" i="2" s="1"/>
  <c r="BB53" i="2" s="1"/>
  <c r="AY75" i="2"/>
  <c r="BI82" i="2"/>
  <c r="AD120" i="2"/>
  <c r="AD121" i="2" s="1"/>
  <c r="AE7" i="2"/>
  <c r="AY25" i="2"/>
  <c r="BD128" i="2" l="1"/>
  <c r="AW140" i="2"/>
  <c r="AX122" i="3"/>
  <c r="BD127" i="2"/>
  <c r="AD120" i="3"/>
  <c r="AD121" i="3" s="1"/>
  <c r="BG130" i="3"/>
  <c r="AV136" i="3"/>
  <c r="BE130" i="3"/>
  <c r="BF130" i="3"/>
  <c r="BI128" i="3"/>
  <c r="AW139" i="3"/>
  <c r="BI88" i="3"/>
  <c r="AW140" i="3" s="1"/>
  <c r="BD129" i="3"/>
  <c r="BA77" i="3"/>
  <c r="BB77" i="3" s="1"/>
  <c r="AV139" i="3"/>
  <c r="BI126" i="3"/>
  <c r="AW136" i="3"/>
  <c r="BH120" i="3"/>
  <c r="BH121" i="3" s="1"/>
  <c r="BH125" i="3"/>
  <c r="BH130" i="3" s="1"/>
  <c r="AV140" i="3"/>
  <c r="BI127" i="3"/>
  <c r="AW137" i="3"/>
  <c r="BI7" i="3"/>
  <c r="AV137" i="3"/>
  <c r="BA49" i="3"/>
  <c r="BB49" i="3" s="1"/>
  <c r="BD120" i="3"/>
  <c r="BD121" i="3" s="1"/>
  <c r="AV135" i="3"/>
  <c r="AY120" i="3"/>
  <c r="BA7" i="3"/>
  <c r="BB7" i="3" s="1"/>
  <c r="BC136" i="3"/>
  <c r="AY136" i="3"/>
  <c r="AZ136" i="3" s="1"/>
  <c r="BD126" i="3"/>
  <c r="BD125" i="3"/>
  <c r="BF140" i="2"/>
  <c r="BB140" i="2"/>
  <c r="AV137" i="2"/>
  <c r="BA49" i="2"/>
  <c r="BB49" i="2" s="1"/>
  <c r="AB121" i="2"/>
  <c r="BI128" i="2"/>
  <c r="AW139" i="2"/>
  <c r="BG130" i="2"/>
  <c r="BI126" i="2"/>
  <c r="AW136" i="2"/>
  <c r="AV135" i="2"/>
  <c r="AY120" i="2"/>
  <c r="BA7" i="2"/>
  <c r="BB7" i="2" s="1"/>
  <c r="AV140" i="2"/>
  <c r="BA86" i="2"/>
  <c r="BB86" i="2" s="1"/>
  <c r="AA121" i="2"/>
  <c r="AW137" i="2"/>
  <c r="BI127" i="2"/>
  <c r="AV136" i="2"/>
  <c r="BA25" i="2"/>
  <c r="BB25" i="2" s="1"/>
  <c r="Z121" i="2"/>
  <c r="BD120" i="2"/>
  <c r="BD121" i="2" s="1"/>
  <c r="AC121" i="2"/>
  <c r="BE130" i="2"/>
  <c r="BI120" i="2"/>
  <c r="BI121" i="2" s="1"/>
  <c r="BI125" i="2"/>
  <c r="AW135" i="2"/>
  <c r="BD129" i="2"/>
  <c r="BD125" i="2"/>
  <c r="BD130" i="2" s="1"/>
  <c r="Y121" i="2"/>
  <c r="AV139" i="2"/>
  <c r="BA70" i="2"/>
  <c r="BB70" i="2" s="1"/>
  <c r="AC121" i="3" l="1"/>
  <c r="Z121" i="3"/>
  <c r="AA121" i="3"/>
  <c r="Y121" i="3"/>
  <c r="AB121" i="3"/>
  <c r="BD130" i="3"/>
  <c r="BF140" i="3"/>
  <c r="BB140" i="3"/>
  <c r="BA120" i="3"/>
  <c r="BB120" i="3" s="1"/>
  <c r="AY122" i="3"/>
  <c r="BI120" i="3"/>
  <c r="BI121" i="3" s="1"/>
  <c r="BI125" i="3"/>
  <c r="AW135" i="3"/>
  <c r="AY135" i="3" s="1"/>
  <c r="AZ135" i="3" s="1"/>
  <c r="AY139" i="3"/>
  <c r="AZ139" i="3" s="1"/>
  <c r="BC139" i="3"/>
  <c r="AY140" i="3"/>
  <c r="AZ140" i="3" s="1"/>
  <c r="BC140" i="3"/>
  <c r="AV141" i="3"/>
  <c r="BC135" i="3"/>
  <c r="BI129" i="3"/>
  <c r="BF137" i="3"/>
  <c r="BB137" i="3"/>
  <c r="BC137" i="3"/>
  <c r="AY137" i="3"/>
  <c r="AZ137" i="3" s="1"/>
  <c r="BF136" i="3"/>
  <c r="BB136" i="3"/>
  <c r="BF139" i="3"/>
  <c r="BB139" i="3"/>
  <c r="BF137" i="2"/>
  <c r="BB137" i="2"/>
  <c r="AY139" i="2"/>
  <c r="AZ139" i="2" s="1"/>
  <c r="BC139" i="2"/>
  <c r="BF139" i="2"/>
  <c r="BB139" i="2"/>
  <c r="AY140" i="2"/>
  <c r="AZ140" i="2" s="1"/>
  <c r="BC140" i="2"/>
  <c r="BA120" i="2"/>
  <c r="BB120" i="2" s="1"/>
  <c r="AY122" i="2"/>
  <c r="AW141" i="2"/>
  <c r="BF135" i="2"/>
  <c r="BB135" i="2"/>
  <c r="BC136" i="2"/>
  <c r="AY136" i="2"/>
  <c r="AZ136" i="2" s="1"/>
  <c r="AV141" i="2"/>
  <c r="BC135" i="2"/>
  <c r="AY135" i="2"/>
  <c r="AZ135" i="2" s="1"/>
  <c r="BC137" i="2"/>
  <c r="AY137" i="2"/>
  <c r="AZ137" i="2" s="1"/>
  <c r="BI130" i="2"/>
  <c r="BF136" i="2"/>
  <c r="BB136" i="2"/>
  <c r="AW141" i="3" l="1"/>
  <c r="BF135" i="3"/>
  <c r="BB135" i="3"/>
  <c r="BI130" i="3"/>
  <c r="AV149" i="3"/>
  <c r="AV151" i="3" s="1"/>
  <c r="BC141" i="3"/>
  <c r="AV159" i="3"/>
  <c r="AV166" i="3" s="1"/>
  <c r="AV168" i="3" s="1"/>
  <c r="AV170" i="3" s="1"/>
  <c r="AV172" i="3" s="1"/>
  <c r="AV149" i="2"/>
  <c r="AV151" i="2" s="1"/>
  <c r="AV159" i="2"/>
  <c r="AV166" i="2" s="1"/>
  <c r="AV168" i="2" s="1"/>
  <c r="AV170" i="2" s="1"/>
  <c r="AV172" i="2" s="1"/>
  <c r="BC141" i="2"/>
  <c r="BB141" i="2"/>
  <c r="AW147" i="2"/>
  <c r="AW149" i="2" s="1"/>
  <c r="BB141" i="3" l="1"/>
  <c r="AW147" i="3"/>
  <c r="AW149" i="3" s="1"/>
  <c r="AW150" i="2"/>
  <c r="AX149" i="2"/>
  <c r="AW150" i="3" l="1"/>
  <c r="AX14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S. Garami</author>
  </authors>
  <commentList>
    <comment ref="AH7" authorId="0" shapeId="0" xr:uid="{8480A4F7-4DB1-4F82-B342-845A74F94348}">
      <text>
        <r>
          <rPr>
            <b/>
            <sz val="9"/>
            <color indexed="81"/>
            <rFont val="Tahoma"/>
            <family val="2"/>
          </rPr>
          <t>Andrew S. Garami:</t>
        </r>
        <r>
          <rPr>
            <sz val="9"/>
            <color indexed="81"/>
            <rFont val="Tahoma"/>
            <family val="2"/>
          </rPr>
          <t xml:space="preserve">
7% proxy for FPP </t>
        </r>
      </text>
    </comment>
    <comment ref="AH8" authorId="0" shapeId="0" xr:uid="{149459A3-4910-4008-9EC1-61E4C450074F}">
      <text>
        <r>
          <rPr>
            <b/>
            <sz val="9"/>
            <color indexed="81"/>
            <rFont val="Tahoma"/>
            <family val="2"/>
          </rPr>
          <t>Andrew S. Garami:</t>
        </r>
        <r>
          <rPr>
            <sz val="9"/>
            <color indexed="81"/>
            <rFont val="Tahoma"/>
            <family val="2"/>
          </rPr>
          <t xml:space="preserve">
7% proxy for FPP </t>
        </r>
      </text>
    </comment>
    <comment ref="AH9" authorId="0" shapeId="0" xr:uid="{6423EB10-3314-4733-8804-D37D615EF552}">
      <text>
        <r>
          <rPr>
            <b/>
            <sz val="9"/>
            <color indexed="81"/>
            <rFont val="Tahoma"/>
            <family val="2"/>
          </rPr>
          <t>Andrew S. Garami:</t>
        </r>
        <r>
          <rPr>
            <sz val="9"/>
            <color indexed="81"/>
            <rFont val="Tahoma"/>
            <family val="2"/>
          </rPr>
          <t xml:space="preserve">
7% proxy for FPP </t>
        </r>
      </text>
    </comment>
    <comment ref="AH10" authorId="0" shapeId="0" xr:uid="{4EB6FE0D-8C7E-4C43-9A39-1796848643A2}">
      <text>
        <r>
          <rPr>
            <b/>
            <sz val="9"/>
            <color indexed="81"/>
            <rFont val="Tahoma"/>
            <family val="2"/>
          </rPr>
          <t>Andrew S. Garami:</t>
        </r>
        <r>
          <rPr>
            <sz val="9"/>
            <color indexed="81"/>
            <rFont val="Tahoma"/>
            <family val="2"/>
          </rPr>
          <t xml:space="preserve">
7% proxy for FPP </t>
        </r>
      </text>
    </comment>
    <comment ref="AH11" authorId="0" shapeId="0" xr:uid="{64E814D4-E810-4025-B8B9-B3E404D87EB2}">
      <text>
        <r>
          <rPr>
            <b/>
            <sz val="9"/>
            <color indexed="81"/>
            <rFont val="Tahoma"/>
            <family val="2"/>
          </rPr>
          <t>Andrew S. Garami:</t>
        </r>
        <r>
          <rPr>
            <sz val="9"/>
            <color indexed="81"/>
            <rFont val="Tahoma"/>
            <family val="2"/>
          </rPr>
          <t xml:space="preserve">
7% proxy for FPP </t>
        </r>
      </text>
    </comment>
    <comment ref="AH12" authorId="0" shapeId="0" xr:uid="{608B4573-31AA-4367-8BF8-D56C8CF00E69}">
      <text>
        <r>
          <rPr>
            <b/>
            <sz val="9"/>
            <color indexed="81"/>
            <rFont val="Tahoma"/>
            <family val="2"/>
          </rPr>
          <t>Andrew S. Garami:</t>
        </r>
        <r>
          <rPr>
            <sz val="9"/>
            <color indexed="81"/>
            <rFont val="Tahoma"/>
            <family val="2"/>
          </rPr>
          <t xml:space="preserve">
7% proxy for FPP </t>
        </r>
      </text>
    </comment>
    <comment ref="AH13" authorId="0" shapeId="0" xr:uid="{7771DD77-829D-461B-82E9-7220A7AE68D4}">
      <text>
        <r>
          <rPr>
            <b/>
            <sz val="9"/>
            <color indexed="81"/>
            <rFont val="Tahoma"/>
            <family val="2"/>
          </rPr>
          <t>Andrew S. Garami:</t>
        </r>
        <r>
          <rPr>
            <sz val="9"/>
            <color indexed="81"/>
            <rFont val="Tahoma"/>
            <family val="2"/>
          </rPr>
          <t xml:space="preserve">
7% proxy for FPP </t>
        </r>
      </text>
    </comment>
    <comment ref="AH14" authorId="0" shapeId="0" xr:uid="{661EF3B3-ACA1-44B2-B005-FB75B641560D}">
      <text>
        <r>
          <rPr>
            <b/>
            <sz val="9"/>
            <color indexed="81"/>
            <rFont val="Tahoma"/>
            <family val="2"/>
          </rPr>
          <t>Andrew S. Garami:</t>
        </r>
        <r>
          <rPr>
            <sz val="9"/>
            <color indexed="81"/>
            <rFont val="Tahoma"/>
            <family val="2"/>
          </rPr>
          <t xml:space="preserve">
7% proxy for FPP </t>
        </r>
      </text>
    </comment>
    <comment ref="AH15" authorId="0" shapeId="0" xr:uid="{835C4BE4-E3DA-4AC0-8A68-19AA042334A5}">
      <text>
        <r>
          <rPr>
            <b/>
            <sz val="9"/>
            <color indexed="81"/>
            <rFont val="Tahoma"/>
            <family val="2"/>
          </rPr>
          <t>Andrew S. Garami:</t>
        </r>
        <r>
          <rPr>
            <sz val="9"/>
            <color indexed="81"/>
            <rFont val="Tahoma"/>
            <family val="2"/>
          </rPr>
          <t xml:space="preserve">
7% proxy for FPP </t>
        </r>
      </text>
    </comment>
    <comment ref="AH16" authorId="0" shapeId="0" xr:uid="{838B3977-AB21-4422-930F-2628A67CFCD1}">
      <text>
        <r>
          <rPr>
            <b/>
            <sz val="9"/>
            <color indexed="81"/>
            <rFont val="Tahoma"/>
            <family val="2"/>
          </rPr>
          <t>Andrew S. Garami:</t>
        </r>
        <r>
          <rPr>
            <sz val="9"/>
            <color indexed="81"/>
            <rFont val="Tahoma"/>
            <family val="2"/>
          </rPr>
          <t xml:space="preserve">
7% proxy for FPP </t>
        </r>
      </text>
    </comment>
    <comment ref="AH17" authorId="0" shapeId="0" xr:uid="{2089D037-63F6-4ECC-B206-150AF29CF205}">
      <text>
        <r>
          <rPr>
            <b/>
            <sz val="9"/>
            <color indexed="81"/>
            <rFont val="Tahoma"/>
            <family val="2"/>
          </rPr>
          <t>Andrew S. Garami:</t>
        </r>
        <r>
          <rPr>
            <sz val="9"/>
            <color indexed="81"/>
            <rFont val="Tahoma"/>
            <family val="2"/>
          </rPr>
          <t xml:space="preserve">
7% proxy for FPP </t>
        </r>
      </text>
    </comment>
    <comment ref="AH18" authorId="0" shapeId="0" xr:uid="{F1427B90-08BC-4041-A886-656BCF7B02C0}">
      <text>
        <r>
          <rPr>
            <b/>
            <sz val="9"/>
            <color indexed="81"/>
            <rFont val="Tahoma"/>
            <family val="2"/>
          </rPr>
          <t>Andrew S. Garami:</t>
        </r>
        <r>
          <rPr>
            <sz val="9"/>
            <color indexed="81"/>
            <rFont val="Tahoma"/>
            <family val="2"/>
          </rPr>
          <t xml:space="preserve">
7% proxy for FPP </t>
        </r>
      </text>
    </comment>
    <comment ref="AH19" authorId="0" shapeId="0" xr:uid="{32BCA443-D6A9-435B-B905-820941813E11}">
      <text>
        <r>
          <rPr>
            <b/>
            <sz val="9"/>
            <color indexed="81"/>
            <rFont val="Tahoma"/>
            <family val="2"/>
          </rPr>
          <t>Andrew S. Garami:</t>
        </r>
        <r>
          <rPr>
            <sz val="9"/>
            <color indexed="81"/>
            <rFont val="Tahoma"/>
            <family val="2"/>
          </rPr>
          <t xml:space="preserve">
7% proxy for FPP </t>
        </r>
      </text>
    </comment>
    <comment ref="I101" authorId="0" shapeId="0" xr:uid="{22BF8F42-2A5D-4E02-BA82-5F2378875B80}">
      <text>
        <r>
          <rPr>
            <b/>
            <sz val="9"/>
            <color indexed="81"/>
            <rFont val="Tahoma"/>
            <family val="2"/>
          </rPr>
          <t>Andrew S. Garami:</t>
        </r>
        <r>
          <rPr>
            <sz val="9"/>
            <color indexed="81"/>
            <rFont val="Tahoma"/>
            <family val="2"/>
          </rPr>
          <t xml:space="preserve">
18 from Gastro</t>
        </r>
      </text>
    </comment>
    <comment ref="AZ158" authorId="0" shapeId="0" xr:uid="{4CF58F38-B477-4255-9994-184AFB38DC44}">
      <text>
        <r>
          <rPr>
            <b/>
            <sz val="9"/>
            <color indexed="81"/>
            <rFont val="Tahoma"/>
            <family val="2"/>
          </rPr>
          <t>Andrew S. Garami:</t>
        </r>
        <r>
          <rPr>
            <sz val="9"/>
            <color indexed="81"/>
            <rFont val="Tahoma"/>
            <family val="2"/>
          </rPr>
          <t xml:space="preserve">
includes FPP &amp; Other, using reverse engineering we ID'd that they're including these in the calc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S. Garami</author>
  </authors>
  <commentList>
    <comment ref="AH7" authorId="0" shapeId="0" xr:uid="{6FBB50B1-78BF-4E57-9CA4-30FF304E3C82}">
      <text>
        <r>
          <rPr>
            <b/>
            <sz val="9"/>
            <color indexed="81"/>
            <rFont val="Tahoma"/>
            <family val="2"/>
          </rPr>
          <t>Andrew S. Garami:</t>
        </r>
        <r>
          <rPr>
            <sz val="9"/>
            <color indexed="81"/>
            <rFont val="Tahoma"/>
            <family val="2"/>
          </rPr>
          <t xml:space="preserve">
7% proxy for FPP </t>
        </r>
      </text>
    </comment>
    <comment ref="AH8" authorId="0" shapeId="0" xr:uid="{CD8632B3-430E-4DDE-95AF-5D6B6D74E7C4}">
      <text>
        <r>
          <rPr>
            <b/>
            <sz val="9"/>
            <color indexed="81"/>
            <rFont val="Tahoma"/>
            <family val="2"/>
          </rPr>
          <t>Andrew S. Garami:</t>
        </r>
        <r>
          <rPr>
            <sz val="9"/>
            <color indexed="81"/>
            <rFont val="Tahoma"/>
            <family val="2"/>
          </rPr>
          <t xml:space="preserve">
7% proxy for FPP </t>
        </r>
      </text>
    </comment>
    <comment ref="AH9" authorId="0" shapeId="0" xr:uid="{6E71C3E3-2A26-4EDA-9170-A400E9D0E37C}">
      <text>
        <r>
          <rPr>
            <b/>
            <sz val="9"/>
            <color indexed="81"/>
            <rFont val="Tahoma"/>
            <family val="2"/>
          </rPr>
          <t>Andrew S. Garami:</t>
        </r>
        <r>
          <rPr>
            <sz val="9"/>
            <color indexed="81"/>
            <rFont val="Tahoma"/>
            <family val="2"/>
          </rPr>
          <t xml:space="preserve">
7% proxy for FPP </t>
        </r>
      </text>
    </comment>
    <comment ref="AH10" authorId="0" shapeId="0" xr:uid="{CA87F6C5-B595-473C-9C38-50DCFFB0FDB9}">
      <text>
        <r>
          <rPr>
            <b/>
            <sz val="9"/>
            <color indexed="81"/>
            <rFont val="Tahoma"/>
            <family val="2"/>
          </rPr>
          <t>Andrew S. Garami:</t>
        </r>
        <r>
          <rPr>
            <sz val="9"/>
            <color indexed="81"/>
            <rFont val="Tahoma"/>
            <family val="2"/>
          </rPr>
          <t xml:space="preserve">
7% proxy for FPP </t>
        </r>
      </text>
    </comment>
    <comment ref="AH11" authorId="0" shapeId="0" xr:uid="{47D2C002-9CEA-4BF5-B87A-23B278C4A623}">
      <text>
        <r>
          <rPr>
            <b/>
            <sz val="9"/>
            <color indexed="81"/>
            <rFont val="Tahoma"/>
            <family val="2"/>
          </rPr>
          <t>Andrew S. Garami:</t>
        </r>
        <r>
          <rPr>
            <sz val="9"/>
            <color indexed="81"/>
            <rFont val="Tahoma"/>
            <family val="2"/>
          </rPr>
          <t xml:space="preserve">
7% proxy for FPP </t>
        </r>
      </text>
    </comment>
    <comment ref="AH12" authorId="0" shapeId="0" xr:uid="{EB419318-8E1D-4A98-913F-428406A0FE6D}">
      <text>
        <r>
          <rPr>
            <b/>
            <sz val="9"/>
            <color indexed="81"/>
            <rFont val="Tahoma"/>
            <family val="2"/>
          </rPr>
          <t>Andrew S. Garami:</t>
        </r>
        <r>
          <rPr>
            <sz val="9"/>
            <color indexed="81"/>
            <rFont val="Tahoma"/>
            <family val="2"/>
          </rPr>
          <t xml:space="preserve">
7% proxy for FPP </t>
        </r>
      </text>
    </comment>
    <comment ref="AH13" authorId="0" shapeId="0" xr:uid="{D8E5C725-2722-41F7-9FBD-D96BE79465C7}">
      <text>
        <r>
          <rPr>
            <b/>
            <sz val="9"/>
            <color indexed="81"/>
            <rFont val="Tahoma"/>
            <family val="2"/>
          </rPr>
          <t>Andrew S. Garami:</t>
        </r>
        <r>
          <rPr>
            <sz val="9"/>
            <color indexed="81"/>
            <rFont val="Tahoma"/>
            <family val="2"/>
          </rPr>
          <t xml:space="preserve">
7% proxy for FPP </t>
        </r>
      </text>
    </comment>
    <comment ref="AH14" authorId="0" shapeId="0" xr:uid="{93FABF75-2A59-45F5-BF20-485F9BC1EEBE}">
      <text>
        <r>
          <rPr>
            <b/>
            <sz val="9"/>
            <color indexed="81"/>
            <rFont val="Tahoma"/>
            <family val="2"/>
          </rPr>
          <t>Andrew S. Garami:</t>
        </r>
        <r>
          <rPr>
            <sz val="9"/>
            <color indexed="81"/>
            <rFont val="Tahoma"/>
            <family val="2"/>
          </rPr>
          <t xml:space="preserve">
7% proxy for FPP </t>
        </r>
      </text>
    </comment>
    <comment ref="AH15" authorId="0" shapeId="0" xr:uid="{CF1F0491-F1FD-4CBD-884E-2C06B369A10B}">
      <text>
        <r>
          <rPr>
            <b/>
            <sz val="9"/>
            <color indexed="81"/>
            <rFont val="Tahoma"/>
            <family val="2"/>
          </rPr>
          <t>Andrew S. Garami:</t>
        </r>
        <r>
          <rPr>
            <sz val="9"/>
            <color indexed="81"/>
            <rFont val="Tahoma"/>
            <family val="2"/>
          </rPr>
          <t xml:space="preserve">
7% proxy for FPP </t>
        </r>
      </text>
    </comment>
    <comment ref="AH16" authorId="0" shapeId="0" xr:uid="{DB0E239D-C6CE-46D5-BB2A-A3087C64B897}">
      <text>
        <r>
          <rPr>
            <b/>
            <sz val="9"/>
            <color indexed="81"/>
            <rFont val="Tahoma"/>
            <family val="2"/>
          </rPr>
          <t>Andrew S. Garami:</t>
        </r>
        <r>
          <rPr>
            <sz val="9"/>
            <color indexed="81"/>
            <rFont val="Tahoma"/>
            <family val="2"/>
          </rPr>
          <t xml:space="preserve">
7% proxy for FPP </t>
        </r>
      </text>
    </comment>
    <comment ref="AH17" authorId="0" shapeId="0" xr:uid="{CB1D0110-EA82-49B7-BFE6-E2AC07FEEA23}">
      <text>
        <r>
          <rPr>
            <b/>
            <sz val="9"/>
            <color indexed="81"/>
            <rFont val="Tahoma"/>
            <family val="2"/>
          </rPr>
          <t>Andrew S. Garami:</t>
        </r>
        <r>
          <rPr>
            <sz val="9"/>
            <color indexed="81"/>
            <rFont val="Tahoma"/>
            <family val="2"/>
          </rPr>
          <t xml:space="preserve">
7% proxy for FPP </t>
        </r>
      </text>
    </comment>
    <comment ref="AH18" authorId="0" shapeId="0" xr:uid="{BAAF67E1-7D7E-482A-952E-F4BF8D892C34}">
      <text>
        <r>
          <rPr>
            <b/>
            <sz val="9"/>
            <color indexed="81"/>
            <rFont val="Tahoma"/>
            <family val="2"/>
          </rPr>
          <t>Andrew S. Garami:</t>
        </r>
        <r>
          <rPr>
            <sz val="9"/>
            <color indexed="81"/>
            <rFont val="Tahoma"/>
            <family val="2"/>
          </rPr>
          <t xml:space="preserve">
7% proxy for FPP </t>
        </r>
      </text>
    </comment>
    <comment ref="AH19" authorId="0" shapeId="0" xr:uid="{481589A4-04AB-49EC-8C7D-46A66BFE7D30}">
      <text>
        <r>
          <rPr>
            <b/>
            <sz val="9"/>
            <color indexed="81"/>
            <rFont val="Tahoma"/>
            <family val="2"/>
          </rPr>
          <t>Andrew S. Garami:</t>
        </r>
        <r>
          <rPr>
            <sz val="9"/>
            <color indexed="81"/>
            <rFont val="Tahoma"/>
            <family val="2"/>
          </rPr>
          <t xml:space="preserve">
7% proxy for FPP </t>
        </r>
      </text>
    </comment>
    <comment ref="I101" authorId="0" shapeId="0" xr:uid="{52B6B3CF-1831-4679-B2EA-94AFB111D771}">
      <text>
        <r>
          <rPr>
            <b/>
            <sz val="9"/>
            <color indexed="81"/>
            <rFont val="Tahoma"/>
            <family val="2"/>
          </rPr>
          <t>Andrew S. Garami:</t>
        </r>
        <r>
          <rPr>
            <sz val="9"/>
            <color indexed="81"/>
            <rFont val="Tahoma"/>
            <family val="2"/>
          </rPr>
          <t xml:space="preserve">
18 from Gastro</t>
        </r>
      </text>
    </comment>
    <comment ref="AZ158" authorId="0" shapeId="0" xr:uid="{9AA07D3C-9D22-45E4-B1A9-B379C569B676}">
      <text>
        <r>
          <rPr>
            <b/>
            <sz val="9"/>
            <color indexed="81"/>
            <rFont val="Tahoma"/>
            <family val="2"/>
          </rPr>
          <t>Andrew S. Garami:</t>
        </r>
        <r>
          <rPr>
            <sz val="9"/>
            <color indexed="81"/>
            <rFont val="Tahoma"/>
            <family val="2"/>
          </rPr>
          <t xml:space="preserve">
includes FPP &amp; Other, using reverse engineering we ID'd that they're including these in the calc</t>
        </r>
      </text>
    </comment>
  </commentList>
</comments>
</file>

<file path=xl/sharedStrings.xml><?xml version="1.0" encoding="utf-8"?>
<sst xmlns="http://schemas.openxmlformats.org/spreadsheetml/2006/main" count="1202" uniqueCount="361">
  <si>
    <t>Hospital Outpatient</t>
  </si>
  <si>
    <t>Professional Services</t>
  </si>
  <si>
    <t xml:space="preserve">   Primary Care</t>
  </si>
  <si>
    <t>Overall Change in Charge Across All Categories</t>
  </si>
  <si>
    <t>Hospital Inpatient</t>
  </si>
  <si>
    <t>Skilled Nursing Facility</t>
  </si>
  <si>
    <t xml:space="preserve">   Specialty Care</t>
  </si>
  <si>
    <t>Category of Service</t>
  </si>
  <si>
    <t>Requested Change in Charge from FY19B to FY20B, in %</t>
  </si>
  <si>
    <t>Projected Change in Total NPR</t>
  </si>
  <si>
    <t>Projected Change in Commercial Payer NPR</t>
  </si>
  <si>
    <t>Projected Change in Self-Pay/Other NPR</t>
  </si>
  <si>
    <t>Projected Change in Medicaid NPR</t>
  </si>
  <si>
    <t>Projected Change in Medicare NPR</t>
  </si>
  <si>
    <t>Projected Change in NPR Due to Change in Charge and Contractual Allowances, in %</t>
  </si>
  <si>
    <t>CHARGE REQUEST</t>
  </si>
  <si>
    <t>APPENDIX VIII</t>
  </si>
  <si>
    <t>Other (Swing)</t>
  </si>
  <si>
    <t>Other (Rehab)</t>
  </si>
  <si>
    <t>MAHHC</t>
  </si>
  <si>
    <t>DO NOT ADD ROWS OR COLUMNS</t>
  </si>
  <si>
    <t>See Below</t>
  </si>
  <si>
    <t>Revenue model</t>
  </si>
  <si>
    <t>Calculation of Revenue Per Stat</t>
  </si>
  <si>
    <t>Rate Increase</t>
  </si>
  <si>
    <t>Budget Stat</t>
  </si>
  <si>
    <t>Payer mix %</t>
  </si>
  <si>
    <t>Payor mix dollars</t>
  </si>
  <si>
    <t>Payment calculations (pmt rate)</t>
  </si>
  <si>
    <t>Net Revenue</t>
  </si>
  <si>
    <t>Contractual allowances</t>
  </si>
  <si>
    <t>Budget 2019</t>
  </si>
  <si>
    <t>Acct</t>
  </si>
  <si>
    <t>Dept</t>
  </si>
  <si>
    <t>FullAcct</t>
  </si>
  <si>
    <t>Stat Acct</t>
  </si>
  <si>
    <t>Stat acct/dept</t>
  </si>
  <si>
    <t>Act  2019</t>
  </si>
  <si>
    <t>Reclass</t>
  </si>
  <si>
    <t>Adj Act 2018</t>
  </si>
  <si>
    <t>Stat</t>
  </si>
  <si>
    <t>Rev/stat</t>
  </si>
  <si>
    <t>Ref</t>
  </si>
  <si>
    <t>%</t>
  </si>
  <si>
    <t>Rev/stat inc</t>
  </si>
  <si>
    <t>Budgeted Stat</t>
  </si>
  <si>
    <t>BUD Revenue</t>
  </si>
  <si>
    <t>Medicare</t>
  </si>
  <si>
    <t>Medicaid</t>
  </si>
  <si>
    <t>Blue Cross</t>
  </si>
  <si>
    <t>Comm</t>
  </si>
  <si>
    <t>Self Pay</t>
  </si>
  <si>
    <t>Total</t>
  </si>
  <si>
    <t>Gross</t>
  </si>
  <si>
    <t>space3</t>
  </si>
  <si>
    <t>Pmt Rate</t>
  </si>
  <si>
    <t>CA Rate</t>
  </si>
  <si>
    <t>ACCT CA</t>
  </si>
  <si>
    <t>Total CA</t>
  </si>
  <si>
    <t>41001101</t>
  </si>
  <si>
    <t>8000001101</t>
  </si>
  <si>
    <t>41001104</t>
  </si>
  <si>
    <t>8000001104</t>
  </si>
  <si>
    <t>41001172</t>
  </si>
  <si>
    <t>41001210</t>
  </si>
  <si>
    <t>8100101210</t>
  </si>
  <si>
    <t>41001211</t>
  </si>
  <si>
    <t>8100111211</t>
  </si>
  <si>
    <t>41001215</t>
  </si>
  <si>
    <t>8101251215</t>
  </si>
  <si>
    <t>41001216</t>
  </si>
  <si>
    <t>8100201216</t>
  </si>
  <si>
    <t>41001217</t>
  </si>
  <si>
    <t>8100301217</t>
  </si>
  <si>
    <t>41001219</t>
  </si>
  <si>
    <t>8100451219</t>
  </si>
  <si>
    <t>41001220</t>
  </si>
  <si>
    <t>8100501220</t>
  </si>
  <si>
    <t>41001222</t>
  </si>
  <si>
    <t>8100601222</t>
  </si>
  <si>
    <t>41001223</t>
  </si>
  <si>
    <t>8100601223</t>
  </si>
  <si>
    <t>41001224</t>
  </si>
  <si>
    <t>8100601224</t>
  </si>
  <si>
    <t>41001245</t>
  </si>
  <si>
    <t>41001331</t>
  </si>
  <si>
    <t>41001395</t>
  </si>
  <si>
    <t>42001101</t>
  </si>
  <si>
    <t>42001172</t>
  </si>
  <si>
    <t>42001210</t>
  </si>
  <si>
    <t>8200101210</t>
  </si>
  <si>
    <t>42001211</t>
  </si>
  <si>
    <t>8200111211</t>
  </si>
  <si>
    <t>42001215</t>
  </si>
  <si>
    <t>8201251215</t>
  </si>
  <si>
    <t>42001216</t>
  </si>
  <si>
    <t>8200201216</t>
  </si>
  <si>
    <t>42001217</t>
  </si>
  <si>
    <t>8200301217</t>
  </si>
  <si>
    <t>42001219</t>
  </si>
  <si>
    <t>8200451219</t>
  </si>
  <si>
    <t>42001220</t>
  </si>
  <si>
    <t>8200501220</t>
  </si>
  <si>
    <t>42001222</t>
  </si>
  <si>
    <t>8200601222</t>
  </si>
  <si>
    <t>42001223</t>
  </si>
  <si>
    <t>8200601223</t>
  </si>
  <si>
    <t>42001224</t>
  </si>
  <si>
    <t>8200601224</t>
  </si>
  <si>
    <t>42001225</t>
  </si>
  <si>
    <t>8200901225</t>
  </si>
  <si>
    <t>42001245</t>
  </si>
  <si>
    <t>8201001245</t>
  </si>
  <si>
    <t>42001330</t>
  </si>
  <si>
    <t>42001331</t>
  </si>
  <si>
    <t>42001335</t>
  </si>
  <si>
    <t>42001342</t>
  </si>
  <si>
    <t>42001376</t>
  </si>
  <si>
    <t>42001381</t>
  </si>
  <si>
    <t>42001383</t>
  </si>
  <si>
    <t>42001393</t>
  </si>
  <si>
    <t>42001394</t>
  </si>
  <si>
    <t>42001395</t>
  </si>
  <si>
    <t>42001437</t>
  </si>
  <si>
    <t>43001101</t>
  </si>
  <si>
    <t>43001104</t>
  </si>
  <si>
    <t>43001106</t>
  </si>
  <si>
    <t>43001211</t>
  </si>
  <si>
    <t>8300111211</t>
  </si>
  <si>
    <t>43001215</t>
  </si>
  <si>
    <t>8301251215</t>
  </si>
  <si>
    <t>43001216</t>
  </si>
  <si>
    <t>8300201216</t>
  </si>
  <si>
    <t>43001217</t>
  </si>
  <si>
    <t>8300301217</t>
  </si>
  <si>
    <t>43001219</t>
  </si>
  <si>
    <t>8300451219</t>
  </si>
  <si>
    <t>43001220</t>
  </si>
  <si>
    <t>8300501220</t>
  </si>
  <si>
    <t>43001222</t>
  </si>
  <si>
    <t>8300601222</t>
  </si>
  <si>
    <t>43001223</t>
  </si>
  <si>
    <t>8300601223</t>
  </si>
  <si>
    <t>43001224</t>
  </si>
  <si>
    <t>8300601224</t>
  </si>
  <si>
    <t>43001382</t>
  </si>
  <si>
    <t>44001101</t>
  </si>
  <si>
    <t>44001106</t>
  </si>
  <si>
    <t>44001216</t>
  </si>
  <si>
    <t>44001217</t>
  </si>
  <si>
    <t>44001219</t>
  </si>
  <si>
    <t>44001220</t>
  </si>
  <si>
    <t>44001222</t>
  </si>
  <si>
    <t>44001223</t>
  </si>
  <si>
    <t>44001224</t>
  </si>
  <si>
    <t>45001101</t>
  </si>
  <si>
    <t>8000031101</t>
  </si>
  <si>
    <t>45001104</t>
  </si>
  <si>
    <t>45001106</t>
  </si>
  <si>
    <t>45001172</t>
  </si>
  <si>
    <t>45001210</t>
  </si>
  <si>
    <t>8500101210</t>
  </si>
  <si>
    <t>45001211</t>
  </si>
  <si>
    <t>8500111211</t>
  </si>
  <si>
    <t>45001215</t>
  </si>
  <si>
    <t>8501251215</t>
  </si>
  <si>
    <t>45001216</t>
  </si>
  <si>
    <t>8500201216</t>
  </si>
  <si>
    <t>45001217</t>
  </si>
  <si>
    <t>8500301217</t>
  </si>
  <si>
    <t>45001219</t>
  </si>
  <si>
    <t>8500451219</t>
  </si>
  <si>
    <t>45001220</t>
  </si>
  <si>
    <t>8500501220</t>
  </si>
  <si>
    <t>45001222</t>
  </si>
  <si>
    <t>8500601222</t>
  </si>
  <si>
    <t>45001223</t>
  </si>
  <si>
    <t>8500601223</t>
  </si>
  <si>
    <t>45001224</t>
  </si>
  <si>
    <t>8500601224</t>
  </si>
  <si>
    <t>45001245</t>
  </si>
  <si>
    <t>46001101</t>
  </si>
  <si>
    <t>46001104</t>
  </si>
  <si>
    <t>8600101104</t>
  </si>
  <si>
    <t>46001106</t>
  </si>
  <si>
    <t>46001172</t>
  </si>
  <si>
    <t>8600101172</t>
  </si>
  <si>
    <t>46001210</t>
  </si>
  <si>
    <t>8600101210</t>
  </si>
  <si>
    <t>46001211</t>
  </si>
  <si>
    <t>8600101211</t>
  </si>
  <si>
    <t>46001215</t>
  </si>
  <si>
    <t>8601251215</t>
  </si>
  <si>
    <t>46001216</t>
  </si>
  <si>
    <t>8600101216</t>
  </si>
  <si>
    <t>46001217</t>
  </si>
  <si>
    <t>8600101217</t>
  </si>
  <si>
    <t>46001219</t>
  </si>
  <si>
    <t>8600101219</t>
  </si>
  <si>
    <t>46001220</t>
  </si>
  <si>
    <t>8600101220</t>
  </si>
  <si>
    <t>46001222</t>
  </si>
  <si>
    <t>8600101222</t>
  </si>
  <si>
    <t>46001223</t>
  </si>
  <si>
    <t>8600101223</t>
  </si>
  <si>
    <t>46001225</t>
  </si>
  <si>
    <t>8600101225</t>
  </si>
  <si>
    <t>46001245</t>
  </si>
  <si>
    <t>8600101245</t>
  </si>
  <si>
    <t>46001330</t>
  </si>
  <si>
    <t>9000101330</t>
  </si>
  <si>
    <t>46001331</t>
  </si>
  <si>
    <t>9000101331</t>
  </si>
  <si>
    <t>46001335</t>
  </si>
  <si>
    <t>9000101335</t>
  </si>
  <si>
    <t>46001342</t>
  </si>
  <si>
    <t>9000101342</t>
  </si>
  <si>
    <t>46001375</t>
  </si>
  <si>
    <t>9000101375</t>
  </si>
  <si>
    <t>46001376</t>
  </si>
  <si>
    <t>9000101376</t>
  </si>
  <si>
    <t>46001381</t>
  </si>
  <si>
    <t>9000101381</t>
  </si>
  <si>
    <t>46001382</t>
  </si>
  <si>
    <t>9000101382</t>
  </si>
  <si>
    <t>46001383</t>
  </si>
  <si>
    <t>9000101383</t>
  </si>
  <si>
    <t>46001388</t>
  </si>
  <si>
    <t>9000101388</t>
  </si>
  <si>
    <t>46001390</t>
  </si>
  <si>
    <t>9000101390</t>
  </si>
  <si>
    <t>46001391</t>
  </si>
  <si>
    <t>9000101391</t>
  </si>
  <si>
    <t>46001392</t>
  </si>
  <si>
    <t>9000101392</t>
  </si>
  <si>
    <t>46001393</t>
  </si>
  <si>
    <t>9000101393</t>
  </si>
  <si>
    <t>46001394</t>
  </si>
  <si>
    <t>9000101394</t>
  </si>
  <si>
    <t>46001395</t>
  </si>
  <si>
    <t>9000101395</t>
  </si>
  <si>
    <t>46001396</t>
  </si>
  <si>
    <t>9000101396</t>
  </si>
  <si>
    <t>46001397</t>
  </si>
  <si>
    <t>9000101397</t>
  </si>
  <si>
    <t>46001436</t>
  </si>
  <si>
    <t>9000101436</t>
  </si>
  <si>
    <t>46001438</t>
  </si>
  <si>
    <t>9000101438</t>
  </si>
  <si>
    <t>FY20 Gross Revenue</t>
  </si>
  <si>
    <t>per GL</t>
  </si>
  <si>
    <t>FY19 Annualized</t>
  </si>
  <si>
    <t>BoA $</t>
  </si>
  <si>
    <t xml:space="preserve"> </t>
  </si>
  <si>
    <t>BoA%</t>
  </si>
  <si>
    <t>Gross Revenue</t>
  </si>
  <si>
    <t>IP</t>
  </si>
  <si>
    <t>FY19 B</t>
  </si>
  <si>
    <t>OP</t>
  </si>
  <si>
    <t>BoB $</t>
  </si>
  <si>
    <t>Rehab</t>
  </si>
  <si>
    <t>Bob %</t>
  </si>
  <si>
    <t>Swing</t>
  </si>
  <si>
    <t>Phys</t>
  </si>
  <si>
    <t>Phys Price Increase</t>
  </si>
  <si>
    <t>Price Increase</t>
  </si>
  <si>
    <t>Gross revenue</t>
  </si>
  <si>
    <t>Net revenue</t>
  </si>
  <si>
    <t>Contractuals</t>
  </si>
  <si>
    <t>CA %</t>
  </si>
  <si>
    <t>Pmt %</t>
  </si>
  <si>
    <t>Bad debt</t>
  </si>
  <si>
    <t xml:space="preserve">please </t>
  </si>
  <si>
    <t>Recoveries</t>
  </si>
  <si>
    <t xml:space="preserve">leave </t>
  </si>
  <si>
    <t>Charity</t>
  </si>
  <si>
    <t>signs as</t>
  </si>
  <si>
    <t>debits</t>
  </si>
  <si>
    <t>C/A Other</t>
  </si>
  <si>
    <t>thanks tmt</t>
  </si>
  <si>
    <t>timely filing, missed pre-auths, credentialing</t>
  </si>
  <si>
    <t>Total Deductions</t>
  </si>
  <si>
    <t>DSH rev</t>
  </si>
  <si>
    <t>Provider Tax Calculation</t>
  </si>
  <si>
    <t>PROVIDER TAX 2020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</si>
  <si>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</si>
  <si>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</si>
  <si>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</si>
  <si>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</si>
  <si>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</si>
  <si>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</si>
  <si>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</si>
  <si>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</si>
  <si>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</si>
  <si>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Full Name</t>
  </si>
  <si>
    <t>Actual Net Patient Revenue from GMCB P&amp;L 10/1/18 - 03/31/19</t>
  </si>
  <si>
    <t>Less Actual Gross Chronic/Skilled/Swing Revenue from GMCB P&amp;L 10/1/18 - 03/31/19</t>
  </si>
  <si>
    <t>NA</t>
  </si>
  <si>
    <t>Provider Tax Base Actual 10/1/18-03/31/19</t>
  </si>
  <si>
    <t>Annualized Actual Provider Tax Base</t>
  </si>
  <si>
    <t>Estimated Annual Provider Tax Assessment SFY 2020</t>
  </si>
  <si>
    <t>Estimated Total 9 Month Provider Tax Assessment for 7/1/19-3/31/20</t>
  </si>
  <si>
    <t>Monthly Tax Assessment</t>
  </si>
  <si>
    <t>Mt Ascutney</t>
  </si>
  <si>
    <t>GMCB YTD Filing</t>
  </si>
  <si>
    <t>Less Swing</t>
  </si>
  <si>
    <t>Less SNF</t>
  </si>
  <si>
    <t>Total excluded income</t>
  </si>
  <si>
    <t>Payer Mix</t>
  </si>
  <si>
    <t>Subtotal Net Revenue</t>
  </si>
  <si>
    <t>FY20</t>
  </si>
  <si>
    <t>x 6%</t>
  </si>
  <si>
    <t>FY19</t>
  </si>
  <si>
    <t>Rounded</t>
  </si>
  <si>
    <t>Per Budget</t>
  </si>
  <si>
    <t>Var</t>
  </si>
  <si>
    <t>4100</t>
  </si>
  <si>
    <t>4200</t>
  </si>
  <si>
    <t>4300</t>
  </si>
  <si>
    <t>4400</t>
  </si>
  <si>
    <t>4500</t>
  </si>
  <si>
    <t>4600</t>
  </si>
  <si>
    <t>1101</t>
  </si>
  <si>
    <t>1104</t>
  </si>
  <si>
    <t>1172</t>
  </si>
  <si>
    <t>1210</t>
  </si>
  <si>
    <t>1211</t>
  </si>
  <si>
    <t>1215</t>
  </si>
  <si>
    <t>1216</t>
  </si>
  <si>
    <t>1217</t>
  </si>
  <si>
    <t>1219</t>
  </si>
  <si>
    <t>1220</t>
  </si>
  <si>
    <t>1222</t>
  </si>
  <si>
    <t>1223</t>
  </si>
  <si>
    <t>1224</t>
  </si>
  <si>
    <t>1245</t>
  </si>
  <si>
    <t>1331</t>
  </si>
  <si>
    <t>1395</t>
  </si>
  <si>
    <t>1225</t>
  </si>
  <si>
    <t>1330</t>
  </si>
  <si>
    <t>1335</t>
  </si>
  <si>
    <t>1342</t>
  </si>
  <si>
    <t>1376</t>
  </si>
  <si>
    <t>1381</t>
  </si>
  <si>
    <t>1383</t>
  </si>
  <si>
    <t>1393</t>
  </si>
  <si>
    <t>1394</t>
  </si>
  <si>
    <t>1437</t>
  </si>
  <si>
    <t>1106</t>
  </si>
  <si>
    <t>1382</t>
  </si>
  <si>
    <t>1375</t>
  </si>
  <si>
    <t>1388</t>
  </si>
  <si>
    <t>1390</t>
  </si>
  <si>
    <t>1391</t>
  </si>
  <si>
    <t>1392</t>
  </si>
  <si>
    <t>1396</t>
  </si>
  <si>
    <t>1397</t>
  </si>
  <si>
    <t>1436</t>
  </si>
  <si>
    <t>1438</t>
  </si>
  <si>
    <t>NO INCREASE                                                                    Net Revenue</t>
  </si>
  <si>
    <t>W/ INCREASE (COMM)                                                                   Net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</si>
</sst>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%"/>
    <numFmt numFmtId="167" formatCode="_(* #,##0.00000_);_(* \(#,##0.00000\);_(* &quot;-&quot;??_);_(@_)"/>
    <numFmt numFmtId="168" formatCode="_(* #,##0.0_);_(* \(#,##0.0\);_(* &quot;-&quot;??_);_(@_)"/>
    <numFmt numFmtId="169" formatCode="_(&quot;$&quot;* #,##0_);_(&quot;$&quot;* \(#,##0\);_(&quot;$&quot;* &quot;-&quot;??_);_(@_)"/>
  </numFmts>
  <fonts count="22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9"/>
      <color indexed="8"/>
      <name val="Avenir LT Com 45 Book"/>
    </font>
    <font>
      <sz val="9"/>
      <color indexed="8"/>
      <name val="Avenir LT Com 45 Book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u val="singleAccounting"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5" fillId="0" borderId="0" xfId="0" applyFont="1"/>
    <xf numFmtId="9" fontId="2" fillId="0" borderId="1" xfId="1" applyFont="1" applyBorder="1"/>
    <xf numFmtId="164" fontId="2" fillId="0" borderId="1" xfId="1" applyNumberFormat="1" applyFont="1" applyBorder="1"/>
    <xf numFmtId="10" fontId="2" fillId="0" borderId="1" xfId="2" applyNumberFormat="1" applyFont="1" applyBorder="1"/>
    <xf numFmtId="0" fontId="8" fillId="0" borderId="0" xfId="3" applyFont="1"/>
    <xf numFmtId="0" fontId="1" fillId="0" borderId="0" xfId="3"/>
    <xf numFmtId="0" fontId="1" fillId="3" borderId="0" xfId="3" applyFill="1"/>
    <xf numFmtId="0" fontId="10" fillId="0" borderId="0" xfId="3" applyFont="1" applyAlignment="1">
      <alignment wrapText="1"/>
    </xf>
    <xf numFmtId="0" fontId="8" fillId="0" borderId="0" xfId="3" applyFont="1" applyAlignment="1">
      <alignment horizontal="center" wrapText="1"/>
    </xf>
    <xf numFmtId="0" fontId="8" fillId="0" borderId="0" xfId="3" applyFont="1" applyAlignment="1">
      <alignment horizontal="center"/>
    </xf>
    <xf numFmtId="0" fontId="11" fillId="0" borderId="0" xfId="3" applyFont="1" applyAlignment="1" applyProtection="1">
      <alignment horizontal="center" vertical="top" wrapText="1"/>
      <protection locked="0"/>
    </xf>
    <xf numFmtId="0" fontId="12" fillId="0" borderId="0" xfId="3" quotePrefix="1" applyFont="1" applyAlignment="1" applyProtection="1">
      <alignment horizontal="right" vertical="top" wrapText="1" readingOrder="1"/>
      <protection locked="0"/>
    </xf>
    <xf numFmtId="0" fontId="1" fillId="0" borderId="0" xfId="3" applyAlignment="1">
      <alignment horizontal="left"/>
    </xf>
    <xf numFmtId="0" fontId="13" fillId="0" borderId="0" xfId="3" applyFont="1"/>
    <xf numFmtId="165" fontId="0" fillId="0" borderId="0" xfId="4" applyNumberFormat="1" applyFont="1"/>
    <xf numFmtId="43" fontId="1" fillId="0" borderId="0" xfId="3" applyNumberFormat="1"/>
    <xf numFmtId="10" fontId="0" fillId="0" borderId="0" xfId="5" applyNumberFormat="1" applyFont="1"/>
    <xf numFmtId="165" fontId="1" fillId="3" borderId="0" xfId="3" applyNumberFormat="1" applyFill="1"/>
    <xf numFmtId="165" fontId="1" fillId="0" borderId="0" xfId="3" applyNumberFormat="1" applyAlignment="1">
      <alignment horizontal="center"/>
    </xf>
    <xf numFmtId="164" fontId="0" fillId="0" borderId="0" xfId="5" applyNumberFormat="1" applyFont="1"/>
    <xf numFmtId="9" fontId="0" fillId="0" borderId="0" xfId="5" applyFont="1"/>
    <xf numFmtId="165" fontId="0" fillId="3" borderId="0" xfId="4" applyNumberFormat="1" applyFont="1" applyFill="1"/>
    <xf numFmtId="165" fontId="1" fillId="0" borderId="0" xfId="3" applyNumberFormat="1"/>
    <xf numFmtId="10" fontId="0" fillId="4" borderId="0" xfId="5" applyNumberFormat="1" applyFont="1" applyFill="1"/>
    <xf numFmtId="166" fontId="0" fillId="4" borderId="0" xfId="5" applyNumberFormat="1" applyFont="1" applyFill="1"/>
    <xf numFmtId="1" fontId="0" fillId="0" borderId="0" xfId="4" applyNumberFormat="1" applyFont="1"/>
    <xf numFmtId="165" fontId="0" fillId="3" borderId="0" xfId="5" applyNumberFormat="1" applyFont="1" applyFill="1"/>
    <xf numFmtId="165" fontId="0" fillId="0" borderId="0" xfId="5" applyNumberFormat="1" applyFont="1"/>
    <xf numFmtId="49" fontId="13" fillId="0" borderId="0" xfId="3" applyNumberFormat="1" applyFont="1"/>
    <xf numFmtId="43" fontId="0" fillId="3" borderId="0" xfId="4" applyFont="1" applyFill="1"/>
    <xf numFmtId="0" fontId="1" fillId="0" borderId="0" xfId="3" quotePrefix="1"/>
    <xf numFmtId="0" fontId="12" fillId="0" borderId="0" xfId="3" applyFont="1" applyAlignment="1" applyProtection="1">
      <alignment horizontal="right" vertical="top" wrapText="1" readingOrder="1"/>
      <protection locked="0"/>
    </xf>
    <xf numFmtId="0" fontId="1" fillId="3" borderId="5" xfId="3" applyFill="1" applyBorder="1"/>
    <xf numFmtId="0" fontId="12" fillId="0" borderId="5" xfId="3" quotePrefix="1" applyFont="1" applyBorder="1" applyAlignment="1" applyProtection="1">
      <alignment horizontal="right" vertical="top" wrapText="1" readingOrder="1"/>
      <protection locked="0"/>
    </xf>
    <xf numFmtId="0" fontId="1" fillId="0" borderId="5" xfId="3" applyBorder="1" applyAlignment="1">
      <alignment horizontal="left"/>
    </xf>
    <xf numFmtId="0" fontId="1" fillId="0" borderId="5" xfId="3" applyBorder="1"/>
    <xf numFmtId="43" fontId="0" fillId="0" borderId="5" xfId="4" applyFont="1" applyBorder="1"/>
    <xf numFmtId="43" fontId="1" fillId="0" borderId="5" xfId="3" applyNumberFormat="1" applyBorder="1"/>
    <xf numFmtId="165" fontId="1" fillId="3" borderId="5" xfId="3" applyNumberFormat="1" applyFill="1" applyBorder="1"/>
    <xf numFmtId="165" fontId="0" fillId="0" borderId="5" xfId="4" applyNumberFormat="1" applyFont="1" applyBorder="1"/>
    <xf numFmtId="165" fontId="1" fillId="0" borderId="5" xfId="3" applyNumberFormat="1" applyBorder="1" applyAlignment="1">
      <alignment horizontal="center"/>
    </xf>
    <xf numFmtId="9" fontId="0" fillId="0" borderId="5" xfId="5" applyFont="1" applyBorder="1"/>
    <xf numFmtId="43" fontId="0" fillId="3" borderId="5" xfId="4" applyFont="1" applyFill="1" applyBorder="1"/>
    <xf numFmtId="10" fontId="0" fillId="4" borderId="5" xfId="5" applyNumberFormat="1" applyFont="1" applyFill="1" applyBorder="1"/>
    <xf numFmtId="1" fontId="0" fillId="0" borderId="5" xfId="4" applyNumberFormat="1" applyFont="1" applyBorder="1"/>
    <xf numFmtId="165" fontId="0" fillId="3" borderId="5" xfId="5" applyNumberFormat="1" applyFont="1" applyFill="1" applyBorder="1"/>
    <xf numFmtId="165" fontId="0" fillId="0" borderId="5" xfId="5" applyNumberFormat="1" applyFont="1" applyBorder="1"/>
    <xf numFmtId="165" fontId="1" fillId="0" borderId="5" xfId="3" applyNumberFormat="1" applyBorder="1"/>
    <xf numFmtId="167" fontId="0" fillId="0" borderId="0" xfId="4" applyNumberFormat="1" applyFont="1"/>
    <xf numFmtId="43" fontId="14" fillId="0" borderId="0" xfId="3" applyNumberFormat="1" applyFont="1"/>
    <xf numFmtId="165" fontId="15" fillId="3" borderId="0" xfId="3" applyNumberFormat="1" applyFont="1" applyFill="1"/>
    <xf numFmtId="49" fontId="1" fillId="0" borderId="0" xfId="3" applyNumberFormat="1" applyAlignment="1">
      <alignment horizontal="left"/>
    </xf>
    <xf numFmtId="0" fontId="12" fillId="0" borderId="5" xfId="3" applyFont="1" applyBorder="1" applyAlignment="1" applyProtection="1">
      <alignment horizontal="right" vertical="top" wrapText="1" readingOrder="1"/>
      <protection locked="0"/>
    </xf>
    <xf numFmtId="168" fontId="0" fillId="3" borderId="0" xfId="4" applyNumberFormat="1" applyFont="1" applyFill="1"/>
    <xf numFmtId="43" fontId="0" fillId="0" borderId="0" xfId="4" applyFont="1"/>
    <xf numFmtId="49" fontId="13" fillId="0" borderId="5" xfId="3" applyNumberFormat="1" applyFont="1" applyBorder="1"/>
    <xf numFmtId="168" fontId="0" fillId="3" borderId="5" xfId="4" applyNumberFormat="1" applyFont="1" applyFill="1" applyBorder="1"/>
    <xf numFmtId="1" fontId="0" fillId="3" borderId="0" xfId="4" applyNumberFormat="1" applyFont="1" applyFill="1"/>
    <xf numFmtId="0" fontId="0" fillId="3" borderId="0" xfId="5" applyNumberFormat="1" applyFont="1" applyFill="1"/>
    <xf numFmtId="165" fontId="0" fillId="3" borderId="5" xfId="4" applyNumberFormat="1" applyFont="1" applyFill="1" applyBorder="1"/>
    <xf numFmtId="43" fontId="1" fillId="0" borderId="0" xfId="3" applyNumberFormat="1" applyAlignment="1">
      <alignment horizontal="center"/>
    </xf>
    <xf numFmtId="10" fontId="0" fillId="0" borderId="5" xfId="5" applyNumberFormat="1" applyFont="1" applyBorder="1"/>
    <xf numFmtId="165" fontId="0" fillId="5" borderId="0" xfId="4" applyNumberFormat="1" applyFont="1" applyFill="1"/>
    <xf numFmtId="0" fontId="1" fillId="0" borderId="0" xfId="3" applyAlignment="1">
      <alignment horizontal="right"/>
    </xf>
    <xf numFmtId="9" fontId="8" fillId="0" borderId="0" xfId="5" applyFont="1"/>
    <xf numFmtId="0" fontId="7" fillId="0" borderId="0" xfId="3" applyFont="1"/>
    <xf numFmtId="169" fontId="1" fillId="0" borderId="0" xfId="3" applyNumberFormat="1"/>
    <xf numFmtId="0" fontId="1" fillId="4" borderId="0" xfId="3" applyFill="1"/>
    <xf numFmtId="0" fontId="16" fillId="0" borderId="0" xfId="3" applyFont="1" applyAlignment="1">
      <alignment horizontal="left"/>
    </xf>
    <xf numFmtId="0" fontId="1" fillId="0" borderId="0" xfId="3" applyAlignment="1">
      <alignment wrapText="1"/>
    </xf>
    <xf numFmtId="44" fontId="8" fillId="0" borderId="0" xfId="3" applyNumberFormat="1" applyFont="1"/>
    <xf numFmtId="44" fontId="1" fillId="0" borderId="0" xfId="3" applyNumberFormat="1"/>
    <xf numFmtId="0" fontId="17" fillId="0" borderId="0" xfId="3" applyFont="1"/>
    <xf numFmtId="0" fontId="18" fillId="0" borderId="0" xfId="3" applyFont="1"/>
    <xf numFmtId="0" fontId="18" fillId="0" borderId="0" xfId="3" applyFont="1" applyAlignment="1">
      <alignment horizontal="center"/>
    </xf>
    <xf numFmtId="0" fontId="17" fillId="0" borderId="0" xfId="3" applyFont="1" applyAlignment="1">
      <alignment horizontal="right"/>
    </xf>
    <xf numFmtId="164" fontId="17" fillId="0" borderId="0" xfId="5" applyNumberFormat="1" applyFont="1"/>
    <xf numFmtId="9" fontId="17" fillId="0" borderId="0" xfId="5" applyFont="1"/>
    <xf numFmtId="9" fontId="17" fillId="0" borderId="0" xfId="3" applyNumberFormat="1" applyFont="1"/>
    <xf numFmtId="9" fontId="1" fillId="0" borderId="0" xfId="5"/>
    <xf numFmtId="0" fontId="19" fillId="0" borderId="0" xfId="6"/>
    <xf numFmtId="0" fontId="1" fillId="0" borderId="0" xfId="3" applyBorder="1"/>
    <xf numFmtId="0" fontId="10" fillId="0" borderId="0" xfId="3" applyFont="1" applyAlignment="1">
      <alignment horizontal="center" wrapText="1"/>
    </xf>
    <xf numFmtId="0" fontId="1" fillId="0" borderId="0" xfId="3" applyAlignment="1">
      <alignment horizontal="center"/>
    </xf>
    <xf numFmtId="165" fontId="1" fillId="0" borderId="0" xfId="3" applyNumberFormat="1" applyBorder="1"/>
    <xf numFmtId="164" fontId="1" fillId="0" borderId="0" xfId="1" applyNumberFormat="1" applyFont="1"/>
    <xf numFmtId="169" fontId="1" fillId="0" borderId="0" xfId="2" applyNumberFormat="1" applyFont="1"/>
    <xf numFmtId="169" fontId="1" fillId="0" borderId="0" xfId="2" applyNumberFormat="1" applyFont="1" applyBorder="1"/>
    <xf numFmtId="169" fontId="0" fillId="0" borderId="0" xfId="2" applyNumberFormat="1" applyFont="1"/>
    <xf numFmtId="164" fontId="2" fillId="0" borderId="1" xfId="2" applyNumberFormat="1" applyFont="1" applyBorder="1"/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0" fillId="0" borderId="0" xfId="3" applyFont="1" applyAlignment="1">
      <alignment horizontal="center" wrapText="1"/>
    </xf>
    <xf numFmtId="0" fontId="10" fillId="0" borderId="0" xfId="3" applyFont="1" applyAlignment="1">
      <alignment horizontal="center"/>
    </xf>
    <xf numFmtId="0" fontId="1" fillId="0" borderId="0" xfId="3" applyAlignment="1">
      <alignment horizontal="center"/>
    </xf>
    <xf numFmtId="0" fontId="17" fillId="0" borderId="0" xfId="3" applyFont="1" applyAlignment="1">
      <alignment horizontal="center"/>
    </xf>
    <xf numFmtId="0" fontId="9" fillId="0" borderId="0" xfId="3" applyFont="1" applyAlignment="1">
      <alignment horizontal="center" wrapText="1"/>
    </xf>
  </cellXfs>
  <cellStyles count="7">
    <cellStyle name="Comma 2" xfId="4" xr:uid="{EBB0592D-4021-4D49-B9C1-457EB5A96403}"/>
    <cellStyle name="Currency" xfId="2" builtinId="4"/>
    <cellStyle name="Hyperlink" xfId="6" builtinId="8"/>
    <cellStyle name="Normal" xfId="0" builtinId="0"/>
    <cellStyle name="Normal 2" xfId="3" xr:uid="{44708E6B-2E50-4B03-8776-18AC28EC6D0D}"/>
    <cellStyle name="Percent" xfId="1" builtinId="5"/>
    <cellStyle name="Percent 2" xfId="5" xr:uid="{4E89DF51-4A3B-48D5-ADC1-A60F29E3C8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CPA01\APPS\PPC_CLIENTS\Francisc\02_Audit\01_fch_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hhc-nas2\File_Sharing\Accounting\Financials%20FY11\Feb%202011\2.11%20MAH%20Financia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py%202%20of%20Sept%202012%20Sta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Budget%20&amp;%20Reimbursement%20-%20MCR%20Corresp,%20Cost%20Report,%20Cerner%20Mapping,%20Chargemaster,%20Analysis/Budget/Budget%202020/Revenue/Revenue%20Model%20-%20FY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Net Assets"/>
      <sheetName val="WORK CAP"/>
      <sheetName val="REV EXP"/>
      <sheetName val="Net Rev"/>
      <sheetName val="PL Margin"/>
      <sheetName val="AR PAYOR"/>
      <sheetName val="AR reserves"/>
      <sheetName val="AR DAYS"/>
      <sheetName val="Development"/>
      <sheetName val="pension"/>
      <sheetName val="PAT 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P&amp;L Pr Yr Compar"/>
      <sheetName val="BS"/>
      <sheetName val="Cash Flow "/>
      <sheetName val="Cash Flow Worksheet (2)"/>
      <sheetName val="Statistics"/>
      <sheetName val="Prior Yr Stats"/>
      <sheetName val="GIM"/>
      <sheetName val="OHC"/>
      <sheetName val="BS Prior"/>
      <sheetName val="BS Change"/>
      <sheetName val="Cash Flow"/>
      <sheetName val="Cash Flow Worksheet"/>
      <sheetName val="P&amp;L Budget Spread"/>
      <sheetName val="Prior Yr Data"/>
      <sheetName val="Stats Spread"/>
      <sheetName val="Sheet2"/>
      <sheetName val="Sheet1"/>
      <sheetName val="CP actual"/>
      <sheetName val="Sheet3"/>
    </sheetNames>
    <sheetDataSet>
      <sheetData sheetId="0">
        <row r="92">
          <cell r="I92">
            <v>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/>
      <sheetData sheetId="15">
        <row r="12">
          <cell r="B12" t="str">
            <v>ACUTE INPATIENT CARE</v>
          </cell>
          <cell r="C12">
            <v>146.50425000000001</v>
          </cell>
          <cell r="D12">
            <v>141.77775</v>
          </cell>
          <cell r="E12">
            <v>146.50425000000001</v>
          </cell>
          <cell r="F12">
            <v>146.50425000000001</v>
          </cell>
          <cell r="G12">
            <v>132.32474999999999</v>
          </cell>
          <cell r="H12">
            <v>146.50425000000001</v>
          </cell>
          <cell r="I12">
            <v>141.77775</v>
          </cell>
          <cell r="J12">
            <v>146.50425000000001</v>
          </cell>
          <cell r="K12">
            <v>141.77775</v>
          </cell>
          <cell r="L12">
            <v>146.50425000000001</v>
          </cell>
          <cell r="M12">
            <v>146.50425000000001</v>
          </cell>
          <cell r="N12">
            <v>141.77775</v>
          </cell>
          <cell r="O12">
            <v>146.50425000000001</v>
          </cell>
          <cell r="P12">
            <v>288.28200000000004</v>
          </cell>
          <cell r="Q12">
            <v>434.78625000000005</v>
          </cell>
          <cell r="R12">
            <v>581.29050000000007</v>
          </cell>
          <cell r="S12">
            <v>713.61525000000006</v>
          </cell>
          <cell r="T12">
            <v>860.11950000000002</v>
          </cell>
          <cell r="U12">
            <v>1001.89725</v>
          </cell>
          <cell r="V12">
            <v>1148.4014999999999</v>
          </cell>
          <cell r="W12">
            <v>1290.1792499999999</v>
          </cell>
          <cell r="X12">
            <v>1436.6834999999999</v>
          </cell>
          <cell r="Y12">
            <v>1583.1877499999998</v>
          </cell>
          <cell r="Z12">
            <v>1724.9654999999998</v>
          </cell>
        </row>
        <row r="13">
          <cell r="B13" t="str">
            <v>TRANSITIONAL CARE</v>
          </cell>
          <cell r="C13">
            <v>430.5951</v>
          </cell>
          <cell r="D13">
            <v>416.70330000000001</v>
          </cell>
          <cell r="E13">
            <v>430.5951</v>
          </cell>
          <cell r="F13">
            <v>430.5951</v>
          </cell>
          <cell r="G13">
            <v>388.91969999999998</v>
          </cell>
          <cell r="H13">
            <v>430.5951</v>
          </cell>
          <cell r="I13">
            <v>416.70330000000001</v>
          </cell>
          <cell r="J13">
            <v>430.5951</v>
          </cell>
          <cell r="K13">
            <v>416.70330000000001</v>
          </cell>
          <cell r="L13">
            <v>430.5951</v>
          </cell>
          <cell r="M13">
            <v>430.5951</v>
          </cell>
          <cell r="N13">
            <v>416.70330000000001</v>
          </cell>
          <cell r="O13">
            <v>430.5951</v>
          </cell>
          <cell r="P13">
            <v>847.29840000000002</v>
          </cell>
          <cell r="Q13">
            <v>1277.8935000000001</v>
          </cell>
          <cell r="R13">
            <v>1708.4886000000001</v>
          </cell>
          <cell r="S13">
            <v>2097.4083000000001</v>
          </cell>
          <cell r="T13">
            <v>2528.0034000000001</v>
          </cell>
          <cell r="U13">
            <v>2944.7067000000002</v>
          </cell>
          <cell r="V13">
            <v>3375.3018000000002</v>
          </cell>
          <cell r="W13">
            <v>3792.0051000000003</v>
          </cell>
          <cell r="X13">
            <v>4222.6002000000008</v>
          </cell>
          <cell r="Y13">
            <v>4653.1953000000012</v>
          </cell>
          <cell r="Z13">
            <v>5069.8986000000014</v>
          </cell>
        </row>
        <row r="14">
          <cell r="B14" t="str">
            <v>REHAB INPATIENT CARE</v>
          </cell>
          <cell r="C14">
            <v>232.53834000000001</v>
          </cell>
          <cell r="D14">
            <v>225.03621999999999</v>
          </cell>
          <cell r="E14">
            <v>232.53834000000001</v>
          </cell>
          <cell r="F14">
            <v>232.53834000000001</v>
          </cell>
          <cell r="G14">
            <v>210.03198</v>
          </cell>
          <cell r="H14">
            <v>232.53834000000001</v>
          </cell>
          <cell r="I14">
            <v>225.03621999999999</v>
          </cell>
          <cell r="J14">
            <v>232.53834000000001</v>
          </cell>
          <cell r="K14">
            <v>225.03621999999999</v>
          </cell>
          <cell r="L14">
            <v>232.53834000000001</v>
          </cell>
          <cell r="M14">
            <v>232.53834000000001</v>
          </cell>
          <cell r="N14">
            <v>225.03621999999999</v>
          </cell>
          <cell r="O14">
            <v>232.53834000000001</v>
          </cell>
          <cell r="P14">
            <v>457.57456000000002</v>
          </cell>
          <cell r="Q14">
            <v>690.11290000000008</v>
          </cell>
          <cell r="R14">
            <v>922.65124000000014</v>
          </cell>
          <cell r="S14">
            <v>1132.6832200000001</v>
          </cell>
          <cell r="T14">
            <v>1365.2215600000002</v>
          </cell>
          <cell r="U14">
            <v>1590.2577800000001</v>
          </cell>
          <cell r="V14">
            <v>1822.7961200000002</v>
          </cell>
          <cell r="W14">
            <v>2047.8323400000002</v>
          </cell>
          <cell r="X14">
            <v>2280.37068</v>
          </cell>
          <cell r="Y14">
            <v>2512.9090200000001</v>
          </cell>
          <cell r="Z14">
            <v>2737.94524</v>
          </cell>
        </row>
        <row r="15">
          <cell r="B15" t="str">
            <v>SKILLED NURSING CARE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B16" t="str">
            <v>SNF/NURSING FACILITY</v>
          </cell>
          <cell r="C16">
            <v>743.98680000000002</v>
          </cell>
          <cell r="D16">
            <v>719.98439999999994</v>
          </cell>
          <cell r="E16">
            <v>743.98680000000002</v>
          </cell>
          <cell r="F16">
            <v>743.98680000000002</v>
          </cell>
          <cell r="G16">
            <v>671.9796</v>
          </cell>
          <cell r="H16">
            <v>743.98680000000002</v>
          </cell>
          <cell r="I16">
            <v>719.98439999999994</v>
          </cell>
          <cell r="J16">
            <v>743.98680000000002</v>
          </cell>
          <cell r="K16">
            <v>719.98439999999994</v>
          </cell>
          <cell r="L16">
            <v>743.98680000000002</v>
          </cell>
          <cell r="M16">
            <v>743.98680000000002</v>
          </cell>
          <cell r="N16">
            <v>719.98439999999994</v>
          </cell>
          <cell r="O16">
            <v>743.98680000000002</v>
          </cell>
          <cell r="P16">
            <v>1463.9712</v>
          </cell>
          <cell r="Q16">
            <v>2207.9580000000001</v>
          </cell>
          <cell r="R16">
            <v>2951.9448000000002</v>
          </cell>
          <cell r="S16">
            <v>3623.9244000000003</v>
          </cell>
          <cell r="T16">
            <v>4367.9112000000005</v>
          </cell>
          <cell r="U16">
            <v>5087.8956000000007</v>
          </cell>
          <cell r="V16">
            <v>5831.8824000000004</v>
          </cell>
          <cell r="W16">
            <v>6551.8668000000007</v>
          </cell>
          <cell r="X16">
            <v>7295.8536000000004</v>
          </cell>
          <cell r="Y16">
            <v>8039.8404</v>
          </cell>
          <cell r="Z16">
            <v>8759.8248000000003</v>
          </cell>
        </row>
        <row r="19">
          <cell r="B19" t="str">
            <v>ACUTE INPATIENT CARE</v>
          </cell>
          <cell r="C19">
            <v>4.7300000000000004</v>
          </cell>
          <cell r="D19">
            <v>4.7300000000000004</v>
          </cell>
          <cell r="E19">
            <v>4.7300000000000004</v>
          </cell>
          <cell r="F19">
            <v>4.7300000000000004</v>
          </cell>
          <cell r="G19">
            <v>4.7300000000000004</v>
          </cell>
          <cell r="H19">
            <v>4.7300000000000004</v>
          </cell>
          <cell r="I19">
            <v>4.7300000000000004</v>
          </cell>
          <cell r="J19">
            <v>4.7300000000000004</v>
          </cell>
          <cell r="K19">
            <v>4.7300000000000004</v>
          </cell>
          <cell r="L19">
            <v>4.7300000000000004</v>
          </cell>
          <cell r="M19">
            <v>4.7300000000000004</v>
          </cell>
          <cell r="N19">
            <v>4.7300000000000004</v>
          </cell>
          <cell r="O19">
            <v>4.7300000000000004</v>
          </cell>
          <cell r="P19">
            <v>4.7300000000000004</v>
          </cell>
          <cell r="Q19">
            <v>4.7300000000000004</v>
          </cell>
          <cell r="R19">
            <v>4.7300000000000004</v>
          </cell>
          <cell r="S19">
            <v>4.7300000000000004</v>
          </cell>
          <cell r="T19">
            <v>4.7300000000000004</v>
          </cell>
          <cell r="U19">
            <v>4.7300000000000004</v>
          </cell>
          <cell r="V19">
            <v>4.7300000000000004</v>
          </cell>
          <cell r="W19">
            <v>4.7300000000000004</v>
          </cell>
          <cell r="X19">
            <v>4.7300000000000004</v>
          </cell>
          <cell r="Y19">
            <v>4.7300000000000004</v>
          </cell>
          <cell r="Z19">
            <v>4.7300000000000004</v>
          </cell>
        </row>
        <row r="20">
          <cell r="B20" t="str">
            <v>TRANSITIONAL CARE</v>
          </cell>
          <cell r="C20">
            <v>13.89</v>
          </cell>
          <cell r="D20">
            <v>13.89</v>
          </cell>
          <cell r="E20">
            <v>13.89</v>
          </cell>
          <cell r="F20">
            <v>13.89</v>
          </cell>
          <cell r="G20">
            <v>13.89</v>
          </cell>
          <cell r="H20">
            <v>13.89</v>
          </cell>
          <cell r="I20">
            <v>13.89</v>
          </cell>
          <cell r="J20">
            <v>13.89</v>
          </cell>
          <cell r="K20">
            <v>13.89</v>
          </cell>
          <cell r="L20">
            <v>13.89</v>
          </cell>
          <cell r="M20">
            <v>13.89</v>
          </cell>
          <cell r="N20">
            <v>13.89</v>
          </cell>
          <cell r="O20">
            <v>13.89</v>
          </cell>
          <cell r="P20">
            <v>13.89</v>
          </cell>
          <cell r="Q20">
            <v>13.89</v>
          </cell>
          <cell r="R20">
            <v>13.89</v>
          </cell>
          <cell r="S20">
            <v>13.89</v>
          </cell>
          <cell r="T20">
            <v>13.89</v>
          </cell>
          <cell r="U20">
            <v>13.89</v>
          </cell>
          <cell r="V20">
            <v>13.89</v>
          </cell>
          <cell r="W20">
            <v>13.89</v>
          </cell>
          <cell r="X20">
            <v>13.89</v>
          </cell>
          <cell r="Y20">
            <v>13.89</v>
          </cell>
          <cell r="Z20">
            <v>13.89</v>
          </cell>
        </row>
        <row r="21">
          <cell r="B21" t="str">
            <v>REHAB INPATIENT CARE</v>
          </cell>
          <cell r="C21">
            <v>7.5</v>
          </cell>
          <cell r="D21">
            <v>7.5</v>
          </cell>
          <cell r="E21">
            <v>7.5</v>
          </cell>
          <cell r="F21">
            <v>7.5</v>
          </cell>
          <cell r="G21">
            <v>7.5</v>
          </cell>
          <cell r="H21">
            <v>7.5</v>
          </cell>
          <cell r="I21">
            <v>7.5</v>
          </cell>
          <cell r="J21">
            <v>7.5</v>
          </cell>
          <cell r="K21">
            <v>7.5</v>
          </cell>
          <cell r="L21">
            <v>7.5</v>
          </cell>
          <cell r="M21">
            <v>7.5</v>
          </cell>
          <cell r="N21">
            <v>7.5</v>
          </cell>
          <cell r="O21">
            <v>7.5</v>
          </cell>
          <cell r="P21">
            <v>7.5</v>
          </cell>
          <cell r="Q21">
            <v>7.5</v>
          </cell>
          <cell r="R21">
            <v>7.5</v>
          </cell>
          <cell r="S21">
            <v>7.5</v>
          </cell>
          <cell r="T21">
            <v>7.5</v>
          </cell>
          <cell r="U21">
            <v>7.5</v>
          </cell>
          <cell r="V21">
            <v>7.5</v>
          </cell>
          <cell r="W21">
            <v>7.5</v>
          </cell>
          <cell r="X21">
            <v>7.5</v>
          </cell>
          <cell r="Y21">
            <v>7.5</v>
          </cell>
          <cell r="Z21">
            <v>7.5</v>
          </cell>
        </row>
        <row r="22">
          <cell r="B22" t="str">
            <v>SKILLED NURSING CARE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B23" t="str">
            <v>SNF/NURSING FACILITY</v>
          </cell>
          <cell r="C23">
            <v>24</v>
          </cell>
          <cell r="D23">
            <v>24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24</v>
          </cell>
          <cell r="K23">
            <v>24</v>
          </cell>
          <cell r="L23">
            <v>24</v>
          </cell>
          <cell r="M23">
            <v>24</v>
          </cell>
          <cell r="N23">
            <v>24</v>
          </cell>
          <cell r="O23">
            <v>24</v>
          </cell>
          <cell r="P23">
            <v>24</v>
          </cell>
          <cell r="Q23">
            <v>24</v>
          </cell>
          <cell r="R23">
            <v>24</v>
          </cell>
          <cell r="S23">
            <v>24</v>
          </cell>
          <cell r="T23">
            <v>24</v>
          </cell>
          <cell r="U23">
            <v>24</v>
          </cell>
          <cell r="V23">
            <v>24</v>
          </cell>
          <cell r="W23">
            <v>24</v>
          </cell>
          <cell r="X23">
            <v>24</v>
          </cell>
          <cell r="Y23">
            <v>24</v>
          </cell>
          <cell r="Z23">
            <v>24</v>
          </cell>
        </row>
        <row r="28">
          <cell r="B28" t="str">
            <v>ACUTE INPATIENT CARE</v>
          </cell>
          <cell r="C28">
            <v>40.002030000000005</v>
          </cell>
          <cell r="D28">
            <v>38.711489999999998</v>
          </cell>
          <cell r="E28">
            <v>40.002030000000005</v>
          </cell>
          <cell r="F28">
            <v>40.002030000000005</v>
          </cell>
          <cell r="G28">
            <v>36.130409999999998</v>
          </cell>
          <cell r="H28">
            <v>40.002030000000005</v>
          </cell>
          <cell r="I28">
            <v>38.711489999999998</v>
          </cell>
          <cell r="J28">
            <v>40.002030000000005</v>
          </cell>
          <cell r="K28">
            <v>38.711489999999998</v>
          </cell>
          <cell r="L28">
            <v>40.002030000000005</v>
          </cell>
          <cell r="M28">
            <v>40.002030000000005</v>
          </cell>
          <cell r="N28">
            <v>38.711489999999998</v>
          </cell>
          <cell r="O28">
            <v>40.002030000000005</v>
          </cell>
          <cell r="P28">
            <v>78.713520000000003</v>
          </cell>
          <cell r="Q28">
            <v>118.71555000000001</v>
          </cell>
          <cell r="R28">
            <v>158.71758</v>
          </cell>
          <cell r="S28">
            <v>194.84798999999998</v>
          </cell>
          <cell r="T28">
            <v>234.85001999999997</v>
          </cell>
          <cell r="U28">
            <v>273.56151</v>
          </cell>
          <cell r="V28">
            <v>313.56353999999999</v>
          </cell>
          <cell r="W28">
            <v>352.27503000000002</v>
          </cell>
          <cell r="X28">
            <v>392.27706000000001</v>
          </cell>
          <cell r="Y28">
            <v>432.27909</v>
          </cell>
          <cell r="Z28">
            <v>470.99058000000002</v>
          </cell>
        </row>
        <row r="29">
          <cell r="B29" t="str">
            <v>TRANSITIONAL CARE</v>
          </cell>
          <cell r="C29">
            <v>34.226790000000001</v>
          </cell>
          <cell r="D29">
            <v>33.122570000000003</v>
          </cell>
          <cell r="E29">
            <v>34.226790000000001</v>
          </cell>
          <cell r="F29">
            <v>34.226790000000001</v>
          </cell>
          <cell r="G29">
            <v>30.91413</v>
          </cell>
          <cell r="H29">
            <v>34.226790000000001</v>
          </cell>
          <cell r="I29">
            <v>33.122570000000003</v>
          </cell>
          <cell r="J29">
            <v>34.226790000000001</v>
          </cell>
          <cell r="K29">
            <v>33.122570000000003</v>
          </cell>
          <cell r="L29">
            <v>34.226790000000001</v>
          </cell>
          <cell r="M29">
            <v>34.226790000000001</v>
          </cell>
          <cell r="N29">
            <v>33.122570000000003</v>
          </cell>
          <cell r="O29">
            <v>34.226790000000001</v>
          </cell>
          <cell r="P29">
            <v>67.349360000000004</v>
          </cell>
          <cell r="Q29">
            <v>101.57615000000001</v>
          </cell>
          <cell r="R29">
            <v>135.80294000000001</v>
          </cell>
          <cell r="S29">
            <v>166.71707000000001</v>
          </cell>
          <cell r="T29">
            <v>200.94386</v>
          </cell>
          <cell r="U29">
            <v>234.06643</v>
          </cell>
          <cell r="V29">
            <v>268.29322000000002</v>
          </cell>
          <cell r="W29">
            <v>301.41579000000002</v>
          </cell>
          <cell r="X29">
            <v>335.64258000000001</v>
          </cell>
          <cell r="Y29">
            <v>369.86937</v>
          </cell>
          <cell r="Z29">
            <v>402.99194</v>
          </cell>
        </row>
        <row r="30">
          <cell r="B30" t="str">
            <v>REHAB INPATIENT CARE</v>
          </cell>
          <cell r="C30">
            <v>17.240790000000001</v>
          </cell>
          <cell r="D30">
            <v>16.684570000000001</v>
          </cell>
          <cell r="E30">
            <v>17.240790000000001</v>
          </cell>
          <cell r="F30">
            <v>17.240790000000001</v>
          </cell>
          <cell r="G30">
            <v>15.57213</v>
          </cell>
          <cell r="H30">
            <v>17.240790000000001</v>
          </cell>
          <cell r="I30">
            <v>16.684570000000001</v>
          </cell>
          <cell r="J30">
            <v>17.240790000000001</v>
          </cell>
          <cell r="K30">
            <v>16.684570000000001</v>
          </cell>
          <cell r="L30">
            <v>17.240790000000001</v>
          </cell>
          <cell r="M30">
            <v>17.240790000000001</v>
          </cell>
          <cell r="N30">
            <v>16.684570000000001</v>
          </cell>
          <cell r="O30">
            <v>17.240790000000001</v>
          </cell>
          <cell r="P30">
            <v>33.925359999999998</v>
          </cell>
          <cell r="Q30">
            <v>51.166150000000002</v>
          </cell>
          <cell r="R30">
            <v>68.406940000000006</v>
          </cell>
          <cell r="S30">
            <v>83.979070000000007</v>
          </cell>
          <cell r="T30">
            <v>101.21986000000001</v>
          </cell>
          <cell r="U30">
            <v>117.90443000000002</v>
          </cell>
          <cell r="V30">
            <v>135.14522000000002</v>
          </cell>
          <cell r="W30">
            <v>151.82979000000003</v>
          </cell>
          <cell r="X30">
            <v>169.07058000000004</v>
          </cell>
          <cell r="Y30">
            <v>186.31137000000004</v>
          </cell>
          <cell r="Z30">
            <v>202.99594000000005</v>
          </cell>
        </row>
        <row r="31">
          <cell r="B31" t="str">
            <v>SNF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2">
          <cell r="B32" t="str">
            <v>SNF/NURSING FACILITY</v>
          </cell>
          <cell r="C32">
            <v>1</v>
          </cell>
          <cell r="D32">
            <v>1</v>
          </cell>
          <cell r="E32">
            <v>1</v>
          </cell>
          <cell r="F32">
            <v>1</v>
          </cell>
          <cell r="G32">
            <v>0</v>
          </cell>
          <cell r="H32">
            <v>1</v>
          </cell>
          <cell r="I32">
            <v>1</v>
          </cell>
          <cell r="J32">
            <v>1</v>
          </cell>
          <cell r="K32">
            <v>1</v>
          </cell>
          <cell r="L32">
            <v>1</v>
          </cell>
          <cell r="M32">
            <v>1</v>
          </cell>
          <cell r="N32">
            <v>1</v>
          </cell>
          <cell r="O32">
            <v>1</v>
          </cell>
          <cell r="P32">
            <v>2</v>
          </cell>
          <cell r="Q32">
            <v>3</v>
          </cell>
          <cell r="R32">
            <v>4</v>
          </cell>
          <cell r="S32">
            <v>4</v>
          </cell>
          <cell r="T32">
            <v>5</v>
          </cell>
          <cell r="U32">
            <v>6</v>
          </cell>
          <cell r="V32">
            <v>7</v>
          </cell>
          <cell r="W32">
            <v>8</v>
          </cell>
          <cell r="X32">
            <v>9</v>
          </cell>
          <cell r="Y32">
            <v>10</v>
          </cell>
          <cell r="Z32">
            <v>11</v>
          </cell>
        </row>
        <row r="37">
          <cell r="C37">
            <v>3.67</v>
          </cell>
        </row>
        <row r="38">
          <cell r="C38">
            <v>12.59</v>
          </cell>
        </row>
        <row r="39">
          <cell r="C39">
            <v>13.49</v>
          </cell>
        </row>
        <row r="55">
          <cell r="B55" t="str">
            <v>ER VISITS</v>
          </cell>
          <cell r="C55">
            <v>411.82557000000003</v>
          </cell>
          <cell r="D55">
            <v>398.53931</v>
          </cell>
          <cell r="E55">
            <v>411.82557000000003</v>
          </cell>
          <cell r="F55">
            <v>411.82557000000003</v>
          </cell>
          <cell r="G55">
            <v>371.96679</v>
          </cell>
          <cell r="H55">
            <v>411.82557000000003</v>
          </cell>
          <cell r="I55">
            <v>398.53931</v>
          </cell>
          <cell r="J55">
            <v>411.82557000000003</v>
          </cell>
          <cell r="K55">
            <v>398.53931</v>
          </cell>
          <cell r="L55">
            <v>411.82557000000003</v>
          </cell>
          <cell r="M55">
            <v>411.82557000000003</v>
          </cell>
          <cell r="N55">
            <v>398.53931</v>
          </cell>
          <cell r="O55">
            <v>411.82557000000003</v>
          </cell>
          <cell r="P55">
            <v>810.36488000000008</v>
          </cell>
          <cell r="Q55">
            <v>1222.1904500000001</v>
          </cell>
          <cell r="R55">
            <v>1634.01602</v>
          </cell>
          <cell r="S55">
            <v>2005.98281</v>
          </cell>
          <cell r="T55">
            <v>2417.8083799999999</v>
          </cell>
          <cell r="U55">
            <v>2816.3476900000001</v>
          </cell>
          <cell r="V55">
            <v>3228.17326</v>
          </cell>
          <cell r="W55">
            <v>3626.7125700000001</v>
          </cell>
          <cell r="X55">
            <v>4038.5381400000001</v>
          </cell>
          <cell r="Y55">
            <v>4450.3637100000005</v>
          </cell>
          <cell r="Z55">
            <v>4848.9030200000007</v>
          </cell>
        </row>
        <row r="57">
          <cell r="B57" t="str">
            <v>INPATIENT SURGERY</v>
          </cell>
          <cell r="C57">
            <v>7.1341200000000002</v>
          </cell>
          <cell r="D57">
            <v>6.9039599999999997</v>
          </cell>
          <cell r="E57">
            <v>7.1341200000000002</v>
          </cell>
          <cell r="F57">
            <v>7.1341200000000002</v>
          </cell>
          <cell r="G57">
            <v>6.4436400000000003</v>
          </cell>
          <cell r="H57">
            <v>7.1341200000000002</v>
          </cell>
          <cell r="I57">
            <v>6.9039599999999997</v>
          </cell>
          <cell r="J57">
            <v>7.1341200000000002</v>
          </cell>
          <cell r="K57">
            <v>6.9039599999999997</v>
          </cell>
          <cell r="L57">
            <v>7.1341200000000002</v>
          </cell>
          <cell r="M57">
            <v>7.1341200000000002</v>
          </cell>
          <cell r="N57">
            <v>6.9039599999999997</v>
          </cell>
          <cell r="O57">
            <v>7.1341200000000002</v>
          </cell>
          <cell r="P57">
            <v>14.038080000000001</v>
          </cell>
          <cell r="Q57">
            <v>21.1722</v>
          </cell>
          <cell r="R57">
            <v>28.306319999999999</v>
          </cell>
          <cell r="S57">
            <v>34.749960000000002</v>
          </cell>
          <cell r="T57">
            <v>41.884080000000004</v>
          </cell>
          <cell r="U57">
            <v>48.788040000000002</v>
          </cell>
          <cell r="V57">
            <v>55.922160000000005</v>
          </cell>
          <cell r="W57">
            <v>62.826120000000003</v>
          </cell>
          <cell r="X57">
            <v>69.960239999999999</v>
          </cell>
          <cell r="Y57">
            <v>77.094359999999995</v>
          </cell>
          <cell r="Z57">
            <v>83.998319999999993</v>
          </cell>
        </row>
        <row r="59">
          <cell r="B59" t="str">
            <v>OUTPATIENT SURGERY</v>
          </cell>
          <cell r="C59">
            <v>47.90052</v>
          </cell>
          <cell r="D59">
            <v>46.355159999999998</v>
          </cell>
          <cell r="E59">
            <v>47.90052</v>
          </cell>
          <cell r="F59">
            <v>47.90052</v>
          </cell>
          <cell r="G59">
            <v>43.26444</v>
          </cell>
          <cell r="H59">
            <v>47.90052</v>
          </cell>
          <cell r="I59">
            <v>46.355159999999998</v>
          </cell>
          <cell r="J59">
            <v>47.90052</v>
          </cell>
          <cell r="K59">
            <v>46.355159999999998</v>
          </cell>
          <cell r="L59">
            <v>47.90052</v>
          </cell>
          <cell r="M59">
            <v>47.90052</v>
          </cell>
          <cell r="N59">
            <v>46.355159999999998</v>
          </cell>
          <cell r="O59">
            <v>47.90052</v>
          </cell>
          <cell r="P59">
            <v>94.255679999999998</v>
          </cell>
          <cell r="Q59">
            <v>142.15620000000001</v>
          </cell>
          <cell r="R59">
            <v>190.05672000000001</v>
          </cell>
          <cell r="S59">
            <v>233.32116000000002</v>
          </cell>
          <cell r="T59">
            <v>281.22167999999999</v>
          </cell>
          <cell r="U59">
            <v>327.57684</v>
          </cell>
          <cell r="V59">
            <v>375.47735999999998</v>
          </cell>
          <cell r="W59">
            <v>421.83251999999999</v>
          </cell>
          <cell r="X59">
            <v>469.73303999999996</v>
          </cell>
          <cell r="Y59">
            <v>517.63355999999999</v>
          </cell>
          <cell r="Z59">
            <v>563.98871999999994</v>
          </cell>
        </row>
        <row r="61">
          <cell r="B61" t="str">
            <v>LAB TESTS</v>
          </cell>
          <cell r="C61">
            <v>6266.3052600000001</v>
          </cell>
          <cell r="D61">
            <v>6064.1425799999997</v>
          </cell>
          <cell r="E61">
            <v>6266.3052600000001</v>
          </cell>
          <cell r="F61">
            <v>6266.3052600000001</v>
          </cell>
          <cell r="G61">
            <v>5659.8172199999999</v>
          </cell>
          <cell r="H61">
            <v>6266.3052600000001</v>
          </cell>
          <cell r="I61">
            <v>6064.1425799999997</v>
          </cell>
          <cell r="J61">
            <v>6266.3052600000001</v>
          </cell>
          <cell r="K61">
            <v>6064.1425799999997</v>
          </cell>
          <cell r="L61">
            <v>6266.3052600000001</v>
          </cell>
          <cell r="M61">
            <v>6266.3052600000001</v>
          </cell>
          <cell r="N61">
            <v>6064.1425799999997</v>
          </cell>
          <cell r="O61">
            <v>6266.3052600000001</v>
          </cell>
          <cell r="P61">
            <v>12330.447840000001</v>
          </cell>
          <cell r="Q61">
            <v>18596.753100000002</v>
          </cell>
          <cell r="R61">
            <v>24863.058360000003</v>
          </cell>
          <cell r="S61">
            <v>30522.875580000004</v>
          </cell>
          <cell r="T61">
            <v>36789.180840000001</v>
          </cell>
          <cell r="U61">
            <v>42853.323420000001</v>
          </cell>
          <cell r="V61">
            <v>49119.628680000002</v>
          </cell>
          <cell r="W61">
            <v>55183.771260000001</v>
          </cell>
          <cell r="X61">
            <v>61450.076520000002</v>
          </cell>
          <cell r="Y61">
            <v>67716.381779999996</v>
          </cell>
          <cell r="Z61">
            <v>73780.524359999996</v>
          </cell>
        </row>
        <row r="63">
          <cell r="B63" t="str">
            <v>RADIOLOGY TESTS</v>
          </cell>
          <cell r="C63">
            <v>762.75633000000005</v>
          </cell>
          <cell r="D63">
            <v>738.14838999999995</v>
          </cell>
          <cell r="E63">
            <v>762.75633000000005</v>
          </cell>
          <cell r="F63">
            <v>762.75633000000005</v>
          </cell>
          <cell r="G63">
            <v>688.93250999999998</v>
          </cell>
          <cell r="H63">
            <v>762.75633000000005</v>
          </cell>
          <cell r="I63">
            <v>738.14838999999995</v>
          </cell>
          <cell r="J63">
            <v>762.75633000000005</v>
          </cell>
          <cell r="K63">
            <v>738.14838999999995</v>
          </cell>
          <cell r="L63">
            <v>762.75633000000005</v>
          </cell>
          <cell r="M63">
            <v>762.75633000000005</v>
          </cell>
          <cell r="N63">
            <v>738.14838999999995</v>
          </cell>
          <cell r="O63">
            <v>762.75633000000005</v>
          </cell>
          <cell r="P63">
            <v>1500.90472</v>
          </cell>
          <cell r="Q63">
            <v>2263.6610500000002</v>
          </cell>
          <cell r="R63">
            <v>3026.4173800000003</v>
          </cell>
          <cell r="S63">
            <v>3715.3498900000004</v>
          </cell>
          <cell r="T63">
            <v>4478.1062200000006</v>
          </cell>
          <cell r="U63">
            <v>5216.2546100000009</v>
          </cell>
          <cell r="V63">
            <v>5979.010940000001</v>
          </cell>
          <cell r="W63">
            <v>6717.1593300000013</v>
          </cell>
          <cell r="X63">
            <v>7479.9156600000015</v>
          </cell>
          <cell r="Y63">
            <v>8242.6719900000007</v>
          </cell>
          <cell r="Z63">
            <v>8980.820380000001</v>
          </cell>
        </row>
        <row r="73">
          <cell r="B73" t="str">
            <v>CT-SCANS</v>
          </cell>
          <cell r="C73">
            <v>116.09931</v>
          </cell>
          <cell r="D73">
            <v>112.35373</v>
          </cell>
          <cell r="E73">
            <v>116.09931</v>
          </cell>
          <cell r="F73">
            <v>116.09931</v>
          </cell>
          <cell r="G73">
            <v>104.86257000000001</v>
          </cell>
          <cell r="H73">
            <v>116.09931</v>
          </cell>
          <cell r="I73">
            <v>112.35373</v>
          </cell>
          <cell r="J73">
            <v>116.09931</v>
          </cell>
          <cell r="K73">
            <v>112.35373</v>
          </cell>
          <cell r="L73">
            <v>116.09931</v>
          </cell>
          <cell r="M73">
            <v>116.09931</v>
          </cell>
          <cell r="N73">
            <v>112.35373</v>
          </cell>
          <cell r="O73">
            <v>116.09931</v>
          </cell>
          <cell r="P73">
            <v>228.45303999999999</v>
          </cell>
          <cell r="Q73">
            <v>344.55234999999999</v>
          </cell>
          <cell r="R73">
            <v>460.65165999999999</v>
          </cell>
          <cell r="S73">
            <v>565.51423</v>
          </cell>
          <cell r="T73">
            <v>681.61354000000006</v>
          </cell>
          <cell r="U73">
            <v>793.9672700000001</v>
          </cell>
          <cell r="V73">
            <v>910.06658000000016</v>
          </cell>
          <cell r="W73">
            <v>1022.4203100000002</v>
          </cell>
          <cell r="X73">
            <v>1138.5196200000003</v>
          </cell>
          <cell r="Y73">
            <v>1254.6189300000003</v>
          </cell>
          <cell r="Z73">
            <v>1366.9726600000004</v>
          </cell>
        </row>
        <row r="75">
          <cell r="B75" t="str">
            <v>ULTRASOUND</v>
          </cell>
          <cell r="C75">
            <v>71.511060000000001</v>
          </cell>
          <cell r="D75">
            <v>69.203980000000001</v>
          </cell>
          <cell r="E75">
            <v>71.511060000000001</v>
          </cell>
          <cell r="F75">
            <v>71.511060000000001</v>
          </cell>
          <cell r="G75">
            <v>64.589820000000003</v>
          </cell>
          <cell r="H75">
            <v>71.511060000000001</v>
          </cell>
          <cell r="I75">
            <v>69.203980000000001</v>
          </cell>
          <cell r="J75">
            <v>71.511060000000001</v>
          </cell>
          <cell r="K75">
            <v>69.203980000000001</v>
          </cell>
          <cell r="L75">
            <v>71.511060000000001</v>
          </cell>
          <cell r="M75">
            <v>71.511060000000001</v>
          </cell>
          <cell r="N75">
            <v>69.203980000000001</v>
          </cell>
          <cell r="O75">
            <v>71.511060000000001</v>
          </cell>
          <cell r="P75">
            <v>140.71503999999999</v>
          </cell>
          <cell r="Q75">
            <v>212.22609999999997</v>
          </cell>
          <cell r="R75">
            <v>283.73715999999996</v>
          </cell>
          <cell r="S75">
            <v>348.32697999999993</v>
          </cell>
          <cell r="T75">
            <v>419.83803999999992</v>
          </cell>
          <cell r="U75">
            <v>489.04201999999992</v>
          </cell>
          <cell r="V75">
            <v>560.55307999999991</v>
          </cell>
          <cell r="W75">
            <v>629.75705999999991</v>
          </cell>
          <cell r="X75">
            <v>701.26811999999995</v>
          </cell>
          <cell r="Y75">
            <v>772.77918</v>
          </cell>
          <cell r="Z75">
            <v>841.98316</v>
          </cell>
        </row>
        <row r="77">
          <cell r="B77" t="str">
            <v>URGENT CARE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P&amp;L Pr Yr Compar"/>
      <sheetName val="BS"/>
      <sheetName val="Cash Flow "/>
      <sheetName val="Cash Flow Worksheet (2)"/>
      <sheetName val="Statistics"/>
      <sheetName val="Prior Yr Stats"/>
      <sheetName val="GIM"/>
      <sheetName val="OHC"/>
      <sheetName val="BS Prior"/>
      <sheetName val="BS Change"/>
      <sheetName val="Cash Flow"/>
      <sheetName val="Sheet"/>
      <sheetName val="P&amp;L Budget Spread"/>
      <sheetName val="Prior Yr Data"/>
      <sheetName val="Stats Spread"/>
      <sheetName val="Sheet2"/>
      <sheetName val="Sheet1"/>
      <sheetName val="CP actual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B9" t="str">
            <v>Acute</v>
          </cell>
          <cell r="C9">
            <v>536062</v>
          </cell>
          <cell r="D9">
            <v>518768</v>
          </cell>
          <cell r="E9">
            <v>536062</v>
          </cell>
          <cell r="F9">
            <v>536062</v>
          </cell>
          <cell r="G9">
            <v>484184</v>
          </cell>
          <cell r="H9">
            <v>536062</v>
          </cell>
          <cell r="I9">
            <v>518768</v>
          </cell>
          <cell r="J9">
            <v>536062</v>
          </cell>
          <cell r="K9">
            <v>518768</v>
          </cell>
          <cell r="L9">
            <v>536062</v>
          </cell>
          <cell r="M9">
            <v>536062</v>
          </cell>
          <cell r="N9">
            <v>518768</v>
          </cell>
          <cell r="Q9" t="str">
            <v>Acute</v>
          </cell>
          <cell r="R9">
            <v>536062</v>
          </cell>
          <cell r="S9">
            <v>1054830</v>
          </cell>
          <cell r="T9">
            <v>1590892</v>
          </cell>
          <cell r="U9">
            <v>2126954</v>
          </cell>
          <cell r="V9">
            <v>2611138</v>
          </cell>
          <cell r="W9">
            <v>3147200</v>
          </cell>
          <cell r="X9">
            <v>3665968</v>
          </cell>
          <cell r="Y9">
            <v>4202030</v>
          </cell>
          <cell r="Z9">
            <v>4720798</v>
          </cell>
          <cell r="AA9">
            <v>5256860</v>
          </cell>
          <cell r="AB9">
            <v>5792922</v>
          </cell>
          <cell r="AC9">
            <v>6311690</v>
          </cell>
        </row>
        <row r="10">
          <cell r="B10" t="str">
            <v>Transitional Care</v>
          </cell>
          <cell r="C10">
            <v>510329</v>
          </cell>
          <cell r="D10">
            <v>493870</v>
          </cell>
          <cell r="E10">
            <v>510329</v>
          </cell>
          <cell r="F10">
            <v>510329</v>
          </cell>
          <cell r="G10">
            <v>460943</v>
          </cell>
          <cell r="H10">
            <v>510329</v>
          </cell>
          <cell r="I10">
            <v>493870</v>
          </cell>
          <cell r="J10">
            <v>510329</v>
          </cell>
          <cell r="K10">
            <v>493870</v>
          </cell>
          <cell r="L10">
            <v>510329</v>
          </cell>
          <cell r="M10">
            <v>510329</v>
          </cell>
          <cell r="N10">
            <v>493870</v>
          </cell>
          <cell r="Q10" t="str">
            <v>Transitional Care</v>
          </cell>
          <cell r="R10">
            <v>510329</v>
          </cell>
          <cell r="S10">
            <v>1004199</v>
          </cell>
          <cell r="T10">
            <v>1514528</v>
          </cell>
          <cell r="U10">
            <v>2024857</v>
          </cell>
          <cell r="V10">
            <v>2485800</v>
          </cell>
          <cell r="W10">
            <v>2996129</v>
          </cell>
          <cell r="X10">
            <v>3489999</v>
          </cell>
          <cell r="Y10">
            <v>4000328</v>
          </cell>
          <cell r="Z10">
            <v>4494198</v>
          </cell>
          <cell r="AA10">
            <v>5004527</v>
          </cell>
          <cell r="AB10">
            <v>5514856</v>
          </cell>
          <cell r="AC10">
            <v>6008726</v>
          </cell>
        </row>
        <row r="11">
          <cell r="B11" t="str">
            <v>Rehabilitation</v>
          </cell>
          <cell r="C11">
            <v>680430</v>
          </cell>
          <cell r="D11">
            <v>658480</v>
          </cell>
          <cell r="E11">
            <v>680430</v>
          </cell>
          <cell r="F11">
            <v>680430</v>
          </cell>
          <cell r="G11">
            <v>614581</v>
          </cell>
          <cell r="H11">
            <v>680430</v>
          </cell>
          <cell r="I11">
            <v>646789</v>
          </cell>
          <cell r="J11">
            <v>680430</v>
          </cell>
          <cell r="K11">
            <v>658480</v>
          </cell>
          <cell r="L11">
            <v>680430</v>
          </cell>
          <cell r="M11">
            <v>680430</v>
          </cell>
          <cell r="N11">
            <v>658493</v>
          </cell>
          <cell r="Q11" t="str">
            <v>Rehabilitation</v>
          </cell>
          <cell r="R11">
            <v>680430</v>
          </cell>
          <cell r="S11">
            <v>1338910</v>
          </cell>
          <cell r="T11">
            <v>2019340</v>
          </cell>
          <cell r="U11">
            <v>2699770</v>
          </cell>
          <cell r="V11">
            <v>3314351</v>
          </cell>
          <cell r="W11">
            <v>3994781</v>
          </cell>
          <cell r="X11">
            <v>4641570</v>
          </cell>
          <cell r="Y11">
            <v>5322000</v>
          </cell>
          <cell r="Z11">
            <v>5980480</v>
          </cell>
          <cell r="AA11">
            <v>6660910</v>
          </cell>
          <cell r="AB11">
            <v>7341340</v>
          </cell>
          <cell r="AC11">
            <v>7999833</v>
          </cell>
        </row>
        <row r="12">
          <cell r="B12" t="str">
            <v>SNF/NF</v>
          </cell>
          <cell r="C12">
            <v>198920</v>
          </cell>
          <cell r="D12">
            <v>192503</v>
          </cell>
          <cell r="E12">
            <v>198920</v>
          </cell>
          <cell r="F12">
            <v>198920</v>
          </cell>
          <cell r="G12">
            <v>179669</v>
          </cell>
          <cell r="H12">
            <v>198920</v>
          </cell>
          <cell r="I12">
            <v>192503</v>
          </cell>
          <cell r="J12">
            <v>198920</v>
          </cell>
          <cell r="K12">
            <v>192503</v>
          </cell>
          <cell r="L12">
            <v>198920</v>
          </cell>
          <cell r="M12">
            <v>198920</v>
          </cell>
          <cell r="N12">
            <v>192503</v>
          </cell>
          <cell r="Q12" t="str">
            <v>SNF/NF</v>
          </cell>
          <cell r="R12">
            <v>198920</v>
          </cell>
          <cell r="S12">
            <v>391423</v>
          </cell>
          <cell r="T12">
            <v>590343</v>
          </cell>
          <cell r="U12">
            <v>789263</v>
          </cell>
          <cell r="V12">
            <v>968932</v>
          </cell>
          <cell r="W12">
            <v>1167852</v>
          </cell>
          <cell r="X12">
            <v>1360355</v>
          </cell>
          <cell r="Y12">
            <v>1559275</v>
          </cell>
          <cell r="Z12">
            <v>1751778</v>
          </cell>
          <cell r="AA12">
            <v>1950698</v>
          </cell>
          <cell r="AB12">
            <v>2149618</v>
          </cell>
          <cell r="AC12">
            <v>2342121</v>
          </cell>
        </row>
        <row r="13">
          <cell r="B13" t="str">
            <v>Outpatient</v>
          </cell>
          <cell r="C13">
            <v>2693022</v>
          </cell>
          <cell r="D13">
            <v>2606153</v>
          </cell>
          <cell r="E13">
            <v>2693022</v>
          </cell>
          <cell r="F13">
            <v>2693022</v>
          </cell>
          <cell r="G13">
            <v>2432408</v>
          </cell>
          <cell r="H13">
            <v>2693022</v>
          </cell>
          <cell r="I13">
            <v>2617845</v>
          </cell>
          <cell r="J13">
            <v>2693022</v>
          </cell>
          <cell r="K13">
            <v>2606153</v>
          </cell>
          <cell r="L13">
            <v>2693022</v>
          </cell>
          <cell r="M13">
            <v>2693022</v>
          </cell>
          <cell r="N13">
            <v>2606153</v>
          </cell>
          <cell r="Q13" t="str">
            <v>Outpatient</v>
          </cell>
          <cell r="R13">
            <v>2693022</v>
          </cell>
          <cell r="S13">
            <v>5299175</v>
          </cell>
          <cell r="T13">
            <v>7992197</v>
          </cell>
          <cell r="U13">
            <v>10685219</v>
          </cell>
          <cell r="V13">
            <v>13117627</v>
          </cell>
          <cell r="W13">
            <v>15810649</v>
          </cell>
          <cell r="X13">
            <v>18428494</v>
          </cell>
          <cell r="Y13">
            <v>21121516</v>
          </cell>
          <cell r="Z13">
            <v>23727669</v>
          </cell>
          <cell r="AA13">
            <v>26420691</v>
          </cell>
          <cell r="AB13">
            <v>29113713</v>
          </cell>
          <cell r="AC13">
            <v>31719866</v>
          </cell>
        </row>
        <row r="14">
          <cell r="B14" t="str">
            <v>Hospital Based Physician Services</v>
          </cell>
          <cell r="C14">
            <v>248159</v>
          </cell>
          <cell r="D14">
            <v>240154</v>
          </cell>
          <cell r="E14">
            <v>248159</v>
          </cell>
          <cell r="F14">
            <v>248159</v>
          </cell>
          <cell r="G14">
            <v>224144</v>
          </cell>
          <cell r="H14">
            <v>248159</v>
          </cell>
          <cell r="I14">
            <v>240154</v>
          </cell>
          <cell r="J14">
            <v>248159</v>
          </cell>
          <cell r="K14">
            <v>240154</v>
          </cell>
          <cell r="L14">
            <v>248159</v>
          </cell>
          <cell r="M14">
            <v>248159</v>
          </cell>
          <cell r="N14">
            <v>240154</v>
          </cell>
          <cell r="Q14" t="str">
            <v>Physician Practice</v>
          </cell>
          <cell r="R14">
            <v>248159</v>
          </cell>
          <cell r="S14">
            <v>488313</v>
          </cell>
          <cell r="T14">
            <v>736472</v>
          </cell>
          <cell r="U14">
            <v>984631</v>
          </cell>
          <cell r="V14">
            <v>1208775</v>
          </cell>
          <cell r="W14">
            <v>1456934</v>
          </cell>
          <cell r="X14">
            <v>1697088</v>
          </cell>
          <cell r="Y14">
            <v>1945247</v>
          </cell>
          <cell r="Z14">
            <v>2185401</v>
          </cell>
          <cell r="AA14">
            <v>2433560</v>
          </cell>
          <cell r="AB14">
            <v>2681719</v>
          </cell>
          <cell r="AC14">
            <v>2921873</v>
          </cell>
        </row>
        <row r="15">
          <cell r="B15" t="str">
            <v>Physician Practice</v>
          </cell>
          <cell r="C15">
            <v>1016325</v>
          </cell>
          <cell r="D15">
            <v>983540</v>
          </cell>
          <cell r="E15">
            <v>1016325</v>
          </cell>
          <cell r="F15">
            <v>1016325</v>
          </cell>
          <cell r="G15">
            <v>917971</v>
          </cell>
          <cell r="H15">
            <v>1016325</v>
          </cell>
          <cell r="I15">
            <v>959347</v>
          </cell>
          <cell r="J15">
            <v>1016325</v>
          </cell>
          <cell r="K15">
            <v>983540</v>
          </cell>
          <cell r="L15">
            <v>1016325</v>
          </cell>
          <cell r="M15">
            <v>1016325</v>
          </cell>
          <cell r="N15">
            <v>983540</v>
          </cell>
          <cell r="R15">
            <v>1016325</v>
          </cell>
          <cell r="S15">
            <v>1999865</v>
          </cell>
          <cell r="T15">
            <v>3016190</v>
          </cell>
          <cell r="U15">
            <v>4032515</v>
          </cell>
          <cell r="V15">
            <v>4950486</v>
          </cell>
          <cell r="W15">
            <v>5966811</v>
          </cell>
          <cell r="X15">
            <v>6926158</v>
          </cell>
          <cell r="Y15">
            <v>7942483</v>
          </cell>
          <cell r="Z15">
            <v>8926023</v>
          </cell>
          <cell r="AA15">
            <v>9942348</v>
          </cell>
          <cell r="AB15">
            <v>10958673</v>
          </cell>
          <cell r="AC15">
            <v>11942213</v>
          </cell>
        </row>
        <row r="16">
          <cell r="B16" t="str">
            <v>TOTAL GROSS PATIENT SERVICE REVENUE</v>
          </cell>
          <cell r="C16">
            <v>5883247</v>
          </cell>
          <cell r="D16">
            <v>5693468</v>
          </cell>
          <cell r="E16">
            <v>5883247</v>
          </cell>
          <cell r="F16">
            <v>5883247</v>
          </cell>
          <cell r="G16">
            <v>5313900</v>
          </cell>
          <cell r="H16">
            <v>5883247</v>
          </cell>
          <cell r="I16">
            <v>5669276</v>
          </cell>
          <cell r="J16">
            <v>5883247</v>
          </cell>
          <cell r="K16">
            <v>5693468</v>
          </cell>
          <cell r="L16">
            <v>5883247</v>
          </cell>
          <cell r="M16">
            <v>5883247</v>
          </cell>
          <cell r="N16">
            <v>5693481</v>
          </cell>
          <cell r="Q16" t="str">
            <v>TOTAL GROSS PATIENT SERVICE REVENUE</v>
          </cell>
          <cell r="R16">
            <v>5883247</v>
          </cell>
          <cell r="S16">
            <v>11576715</v>
          </cell>
          <cell r="T16">
            <v>17459962</v>
          </cell>
          <cell r="U16">
            <v>23343209</v>
          </cell>
          <cell r="V16">
            <v>28657109</v>
          </cell>
          <cell r="W16">
            <v>34540356</v>
          </cell>
          <cell r="X16">
            <v>40209632</v>
          </cell>
          <cell r="Y16">
            <v>46092879</v>
          </cell>
          <cell r="Z16">
            <v>51786347</v>
          </cell>
          <cell r="AA16">
            <v>57669594</v>
          </cell>
          <cell r="AB16">
            <v>63552841</v>
          </cell>
          <cell r="AC16">
            <v>69246322</v>
          </cell>
        </row>
        <row r="19">
          <cell r="B19" t="str">
            <v xml:space="preserve">Contractual Allowance </v>
          </cell>
          <cell r="C19">
            <v>-1743300</v>
          </cell>
          <cell r="D19">
            <v>-1687063</v>
          </cell>
          <cell r="E19">
            <v>-1743300</v>
          </cell>
          <cell r="F19">
            <v>-1743300</v>
          </cell>
          <cell r="G19">
            <v>-1574595</v>
          </cell>
          <cell r="H19">
            <v>-1743300</v>
          </cell>
          <cell r="I19">
            <v>-1678000</v>
          </cell>
          <cell r="J19">
            <v>-1743300</v>
          </cell>
          <cell r="K19">
            <v>-1687063</v>
          </cell>
          <cell r="L19">
            <v>-1743300</v>
          </cell>
          <cell r="M19">
            <v>-1743300</v>
          </cell>
          <cell r="N19">
            <v>-1687063</v>
          </cell>
          <cell r="Q19" t="str">
            <v>Contractual Alllowance</v>
          </cell>
          <cell r="R19">
            <v>-1743300</v>
          </cell>
          <cell r="S19">
            <v>-3430363</v>
          </cell>
          <cell r="T19">
            <v>-5173663</v>
          </cell>
          <cell r="U19">
            <v>-6916963</v>
          </cell>
          <cell r="V19">
            <v>-8491558</v>
          </cell>
          <cell r="W19">
            <v>-10234858</v>
          </cell>
          <cell r="X19">
            <v>-11912858</v>
          </cell>
          <cell r="Y19">
            <v>-13656158</v>
          </cell>
          <cell r="Z19">
            <v>-15343221</v>
          </cell>
          <cell r="AA19">
            <v>-17086521</v>
          </cell>
          <cell r="AB19">
            <v>-18829821</v>
          </cell>
          <cell r="AC19">
            <v>-20516884</v>
          </cell>
        </row>
        <row r="20">
          <cell r="B20" t="str">
            <v>Employee Write-offs</v>
          </cell>
          <cell r="C20">
            <v>-19492</v>
          </cell>
          <cell r="D20">
            <v>-18863</v>
          </cell>
          <cell r="E20">
            <v>-19492</v>
          </cell>
          <cell r="F20">
            <v>-19492</v>
          </cell>
          <cell r="G20">
            <v>-17606</v>
          </cell>
          <cell r="H20">
            <v>-19492</v>
          </cell>
          <cell r="I20">
            <v>-18863</v>
          </cell>
          <cell r="J20">
            <v>-19492</v>
          </cell>
          <cell r="K20">
            <v>-18863</v>
          </cell>
          <cell r="L20">
            <v>-19492</v>
          </cell>
          <cell r="M20">
            <v>-19492</v>
          </cell>
          <cell r="N20">
            <v>-18863</v>
          </cell>
          <cell r="Q20" t="str">
            <v xml:space="preserve"> Employee Write-offs</v>
          </cell>
          <cell r="R20">
            <v>-19492</v>
          </cell>
          <cell r="S20">
            <v>-38355</v>
          </cell>
          <cell r="T20">
            <v>-57847</v>
          </cell>
          <cell r="U20">
            <v>-77339</v>
          </cell>
          <cell r="V20">
            <v>-94945</v>
          </cell>
          <cell r="W20">
            <v>-114437</v>
          </cell>
          <cell r="X20">
            <v>-133300</v>
          </cell>
          <cell r="Y20">
            <v>-152792</v>
          </cell>
          <cell r="Z20">
            <v>-171655</v>
          </cell>
          <cell r="AA20">
            <v>-191147</v>
          </cell>
          <cell r="AB20">
            <v>-210639</v>
          </cell>
          <cell r="AC20">
            <v>-229502</v>
          </cell>
        </row>
        <row r="21">
          <cell r="B21" t="str">
            <v>Medicaid DSH Rev</v>
          </cell>
          <cell r="C21">
            <v>58880</v>
          </cell>
          <cell r="D21">
            <v>56980</v>
          </cell>
          <cell r="E21">
            <v>58880</v>
          </cell>
          <cell r="F21">
            <v>58880</v>
          </cell>
          <cell r="G21">
            <v>53182</v>
          </cell>
          <cell r="H21">
            <v>58880</v>
          </cell>
          <cell r="I21">
            <v>56980</v>
          </cell>
          <cell r="J21">
            <v>58880</v>
          </cell>
          <cell r="K21">
            <v>56980</v>
          </cell>
          <cell r="L21">
            <v>58880</v>
          </cell>
          <cell r="M21">
            <v>58880</v>
          </cell>
          <cell r="N21">
            <v>56980</v>
          </cell>
          <cell r="Q21" t="str">
            <v xml:space="preserve">Medciad DSH Rev </v>
          </cell>
          <cell r="R21">
            <v>58880</v>
          </cell>
          <cell r="S21">
            <v>115860</v>
          </cell>
          <cell r="T21">
            <v>174740</v>
          </cell>
          <cell r="U21">
            <v>233620</v>
          </cell>
          <cell r="V21">
            <v>286802</v>
          </cell>
          <cell r="W21">
            <v>345682</v>
          </cell>
          <cell r="X21">
            <v>402662</v>
          </cell>
          <cell r="Y21">
            <v>461542</v>
          </cell>
          <cell r="Z21">
            <v>518522</v>
          </cell>
          <cell r="AA21">
            <v>577402</v>
          </cell>
          <cell r="AB21">
            <v>636282</v>
          </cell>
          <cell r="AC21">
            <v>693262</v>
          </cell>
        </row>
        <row r="22">
          <cell r="B22" t="str">
            <v>Charity Care</v>
          </cell>
          <cell r="C22">
            <v>-56985</v>
          </cell>
          <cell r="D22">
            <v>-55147</v>
          </cell>
          <cell r="E22">
            <v>-56985</v>
          </cell>
          <cell r="F22">
            <v>-56985</v>
          </cell>
          <cell r="G22">
            <v>-51471</v>
          </cell>
          <cell r="H22">
            <v>-56985</v>
          </cell>
          <cell r="I22">
            <v>-55147</v>
          </cell>
          <cell r="J22">
            <v>-56985</v>
          </cell>
          <cell r="K22">
            <v>-55147</v>
          </cell>
          <cell r="L22">
            <v>-56985</v>
          </cell>
          <cell r="M22">
            <v>-56985</v>
          </cell>
          <cell r="N22">
            <v>-55147</v>
          </cell>
          <cell r="Q22" t="str">
            <v xml:space="preserve"> Charity Care</v>
          </cell>
          <cell r="R22">
            <v>-56985</v>
          </cell>
          <cell r="S22">
            <v>-112132</v>
          </cell>
          <cell r="T22">
            <v>-169117</v>
          </cell>
          <cell r="U22">
            <v>-226102</v>
          </cell>
          <cell r="V22">
            <v>-277573</v>
          </cell>
          <cell r="W22">
            <v>-334558</v>
          </cell>
          <cell r="X22">
            <v>-389705</v>
          </cell>
          <cell r="Y22">
            <v>-446690</v>
          </cell>
          <cell r="Z22">
            <v>-501837</v>
          </cell>
          <cell r="AA22">
            <v>-558822</v>
          </cell>
          <cell r="AB22">
            <v>-615807</v>
          </cell>
          <cell r="AC22">
            <v>-670954</v>
          </cell>
        </row>
        <row r="23">
          <cell r="B23" t="str">
            <v>Courtesy Allowance</v>
          </cell>
          <cell r="C23">
            <v>-1510</v>
          </cell>
          <cell r="D23">
            <v>-1461</v>
          </cell>
          <cell r="E23">
            <v>-1510</v>
          </cell>
          <cell r="F23">
            <v>-1510</v>
          </cell>
          <cell r="G23">
            <v>-1364</v>
          </cell>
          <cell r="H23">
            <v>-1510</v>
          </cell>
          <cell r="I23">
            <v>-1461</v>
          </cell>
          <cell r="J23">
            <v>-1510</v>
          </cell>
          <cell r="K23">
            <v>-1461</v>
          </cell>
          <cell r="L23">
            <v>-1510</v>
          </cell>
          <cell r="M23">
            <v>-1510</v>
          </cell>
          <cell r="N23">
            <v>-1461</v>
          </cell>
          <cell r="Q23" t="str">
            <v xml:space="preserve"> Courtesy Allowance</v>
          </cell>
          <cell r="R23">
            <v>-1510</v>
          </cell>
          <cell r="S23">
            <v>-2971</v>
          </cell>
          <cell r="T23">
            <v>-4481</v>
          </cell>
          <cell r="U23">
            <v>-5991</v>
          </cell>
          <cell r="V23">
            <v>-7355</v>
          </cell>
          <cell r="W23">
            <v>-8865</v>
          </cell>
          <cell r="X23">
            <v>-10326</v>
          </cell>
          <cell r="Y23">
            <v>-11836</v>
          </cell>
          <cell r="Z23">
            <v>-13297</v>
          </cell>
          <cell r="AA23">
            <v>-14807</v>
          </cell>
          <cell r="AB23">
            <v>-16317</v>
          </cell>
          <cell r="AC23">
            <v>-17778</v>
          </cell>
        </row>
        <row r="25">
          <cell r="B25" t="str">
            <v>TOTAL REVENUE DEDUCTIONS</v>
          </cell>
          <cell r="C25">
            <v>-1762407</v>
          </cell>
          <cell r="D25">
            <v>-1705554</v>
          </cell>
          <cell r="E25">
            <v>-1762407</v>
          </cell>
          <cell r="F25">
            <v>-1762407</v>
          </cell>
          <cell r="G25">
            <v>-1591854</v>
          </cell>
          <cell r="H25">
            <v>-1762407</v>
          </cell>
          <cell r="I25">
            <v>-1696491</v>
          </cell>
          <cell r="J25">
            <v>-1762407</v>
          </cell>
          <cell r="K25">
            <v>-1705554</v>
          </cell>
          <cell r="L25">
            <v>-1762407</v>
          </cell>
          <cell r="M25">
            <v>-1762407</v>
          </cell>
          <cell r="N25">
            <v>-1705554</v>
          </cell>
          <cell r="Q25" t="str">
            <v>TOTAL REVENUE DEDUCTIONS</v>
          </cell>
          <cell r="R25">
            <v>-1762407</v>
          </cell>
          <cell r="S25">
            <v>-3467961</v>
          </cell>
          <cell r="T25">
            <v>-5230368</v>
          </cell>
          <cell r="U25">
            <v>-6992775</v>
          </cell>
          <cell r="V25">
            <v>-8584629</v>
          </cell>
          <cell r="W25">
            <v>-10347036</v>
          </cell>
          <cell r="X25">
            <v>-12043527</v>
          </cell>
          <cell r="Y25">
            <v>-13805934</v>
          </cell>
          <cell r="Z25">
            <v>-15511488</v>
          </cell>
          <cell r="AA25">
            <v>-17273895</v>
          </cell>
          <cell r="AB25">
            <v>-19036302</v>
          </cell>
          <cell r="AC25">
            <v>-20741856</v>
          </cell>
        </row>
        <row r="27">
          <cell r="B27" t="str">
            <v>NET PATIENT REVENUE</v>
          </cell>
          <cell r="C27">
            <v>4120840</v>
          </cell>
          <cell r="D27">
            <v>3987914</v>
          </cell>
          <cell r="E27">
            <v>4120840</v>
          </cell>
          <cell r="F27">
            <v>4120840</v>
          </cell>
          <cell r="G27">
            <v>3722046</v>
          </cell>
          <cell r="H27">
            <v>4120840</v>
          </cell>
          <cell r="I27">
            <v>3972785</v>
          </cell>
          <cell r="J27">
            <v>4120840</v>
          </cell>
          <cell r="K27">
            <v>3987914</v>
          </cell>
          <cell r="L27">
            <v>4120840</v>
          </cell>
          <cell r="M27">
            <v>4120840</v>
          </cell>
          <cell r="N27">
            <v>3987927</v>
          </cell>
          <cell r="Q27" t="str">
            <v>NET PATIENT REVENUE</v>
          </cell>
          <cell r="R27">
            <v>4120840</v>
          </cell>
          <cell r="S27">
            <v>8108754</v>
          </cell>
          <cell r="T27">
            <v>12229594</v>
          </cell>
          <cell r="U27">
            <v>16350434</v>
          </cell>
          <cell r="V27">
            <v>20072480</v>
          </cell>
          <cell r="W27">
            <v>24193320</v>
          </cell>
          <cell r="X27">
            <v>28166105</v>
          </cell>
          <cell r="Y27">
            <v>32286945</v>
          </cell>
          <cell r="Z27">
            <v>36274859</v>
          </cell>
          <cell r="AA27">
            <v>40395699</v>
          </cell>
          <cell r="AB27">
            <v>44516539</v>
          </cell>
          <cell r="AC27">
            <v>48504466</v>
          </cell>
        </row>
        <row r="29">
          <cell r="B29" t="str">
            <v>Other Operating Revenue</v>
          </cell>
          <cell r="C29">
            <v>41655</v>
          </cell>
          <cell r="D29">
            <v>40310</v>
          </cell>
          <cell r="E29">
            <v>41655</v>
          </cell>
          <cell r="F29">
            <v>41655</v>
          </cell>
          <cell r="G29">
            <v>37620</v>
          </cell>
          <cell r="H29">
            <v>41655</v>
          </cell>
          <cell r="I29">
            <v>40310</v>
          </cell>
          <cell r="J29">
            <v>41655</v>
          </cell>
          <cell r="K29">
            <v>40310</v>
          </cell>
          <cell r="L29">
            <v>41655</v>
          </cell>
          <cell r="M29">
            <v>41655</v>
          </cell>
          <cell r="N29">
            <v>40310</v>
          </cell>
          <cell r="Q29" t="str">
            <v>Other Operating Revenue</v>
          </cell>
          <cell r="R29">
            <v>41655</v>
          </cell>
          <cell r="S29">
            <v>81965</v>
          </cell>
          <cell r="T29">
            <v>123620</v>
          </cell>
          <cell r="U29">
            <v>165275</v>
          </cell>
          <cell r="V29">
            <v>202895</v>
          </cell>
          <cell r="W29">
            <v>244550</v>
          </cell>
          <cell r="X29">
            <v>284860</v>
          </cell>
          <cell r="Y29">
            <v>326515</v>
          </cell>
          <cell r="Z29">
            <v>366825</v>
          </cell>
          <cell r="AA29">
            <v>408480</v>
          </cell>
          <cell r="AB29">
            <v>450135</v>
          </cell>
          <cell r="AC29">
            <v>490445</v>
          </cell>
        </row>
        <row r="30">
          <cell r="B30" t="str">
            <v>Contract Funded Programs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Q30" t="str">
            <v>Contract Funded Programs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B31" t="str">
            <v>Contract/Grant Funded Programs</v>
          </cell>
          <cell r="C31">
            <v>5093</v>
          </cell>
          <cell r="D31">
            <v>4929</v>
          </cell>
          <cell r="E31">
            <v>5093</v>
          </cell>
          <cell r="F31">
            <v>5093</v>
          </cell>
          <cell r="G31">
            <v>4600</v>
          </cell>
          <cell r="H31">
            <v>5093</v>
          </cell>
          <cell r="I31">
            <v>4929</v>
          </cell>
          <cell r="J31">
            <v>5093</v>
          </cell>
          <cell r="K31">
            <v>4929</v>
          </cell>
          <cell r="L31">
            <v>5093</v>
          </cell>
          <cell r="M31">
            <v>5093</v>
          </cell>
          <cell r="N31">
            <v>4929</v>
          </cell>
          <cell r="Q31" t="str">
            <v>Contract/Grant Funded Programs</v>
          </cell>
          <cell r="R31">
            <v>5093</v>
          </cell>
          <cell r="S31">
            <v>10022</v>
          </cell>
          <cell r="T31">
            <v>15115</v>
          </cell>
          <cell r="U31">
            <v>20208</v>
          </cell>
          <cell r="V31">
            <v>24808</v>
          </cell>
          <cell r="W31">
            <v>29901</v>
          </cell>
          <cell r="X31">
            <v>34830</v>
          </cell>
          <cell r="Y31">
            <v>39923</v>
          </cell>
          <cell r="Z31">
            <v>44852</v>
          </cell>
          <cell r="AA31">
            <v>49945</v>
          </cell>
          <cell r="AB31">
            <v>55038</v>
          </cell>
          <cell r="AC31">
            <v>59967</v>
          </cell>
        </row>
        <row r="32">
          <cell r="B32" t="str">
            <v>Assets Released From Restriction</v>
          </cell>
          <cell r="C32">
            <v>849</v>
          </cell>
          <cell r="D32">
            <v>822</v>
          </cell>
          <cell r="E32">
            <v>849</v>
          </cell>
          <cell r="F32">
            <v>849</v>
          </cell>
          <cell r="G32">
            <v>767</v>
          </cell>
          <cell r="H32">
            <v>849</v>
          </cell>
          <cell r="I32">
            <v>822</v>
          </cell>
          <cell r="J32">
            <v>849</v>
          </cell>
          <cell r="K32">
            <v>822</v>
          </cell>
          <cell r="L32">
            <v>849</v>
          </cell>
          <cell r="M32">
            <v>849</v>
          </cell>
          <cell r="N32">
            <v>822</v>
          </cell>
          <cell r="Q32" t="str">
            <v>Assets Released From Restriction</v>
          </cell>
          <cell r="R32">
            <v>849</v>
          </cell>
          <cell r="S32">
            <v>1671</v>
          </cell>
          <cell r="T32">
            <v>2520</v>
          </cell>
          <cell r="U32">
            <v>3369</v>
          </cell>
          <cell r="V32">
            <v>4136</v>
          </cell>
          <cell r="W32">
            <v>4985</v>
          </cell>
          <cell r="X32">
            <v>5807</v>
          </cell>
          <cell r="Y32">
            <v>6656</v>
          </cell>
          <cell r="Z32">
            <v>7478</v>
          </cell>
          <cell r="AA32">
            <v>8327</v>
          </cell>
          <cell r="AB32">
            <v>9176</v>
          </cell>
          <cell r="AC32">
            <v>9998</v>
          </cell>
        </row>
        <row r="34">
          <cell r="B34" t="str">
            <v>NET OPERATING REVENUE</v>
          </cell>
          <cell r="C34">
            <v>4168437</v>
          </cell>
          <cell r="D34">
            <v>4033975</v>
          </cell>
          <cell r="E34">
            <v>4168437</v>
          </cell>
          <cell r="F34">
            <v>4168437</v>
          </cell>
          <cell r="G34">
            <v>3765033</v>
          </cell>
          <cell r="H34">
            <v>4168437</v>
          </cell>
          <cell r="I34">
            <v>4018846</v>
          </cell>
          <cell r="J34">
            <v>4168437</v>
          </cell>
          <cell r="K34">
            <v>4033975</v>
          </cell>
          <cell r="L34">
            <v>4168437</v>
          </cell>
          <cell r="M34">
            <v>4168437</v>
          </cell>
          <cell r="N34">
            <v>4033988</v>
          </cell>
          <cell r="Q34" t="str">
            <v>NET OPERATING REVENUE</v>
          </cell>
          <cell r="R34">
            <v>4168437</v>
          </cell>
          <cell r="S34">
            <v>8202412</v>
          </cell>
          <cell r="T34">
            <v>12370849</v>
          </cell>
          <cell r="U34">
            <v>16539286</v>
          </cell>
          <cell r="V34">
            <v>20304319</v>
          </cell>
          <cell r="W34">
            <v>24472756</v>
          </cell>
          <cell r="X34">
            <v>28491602</v>
          </cell>
          <cell r="Y34">
            <v>32660039</v>
          </cell>
          <cell r="Z34">
            <v>36694014</v>
          </cell>
          <cell r="AA34">
            <v>40862451</v>
          </cell>
          <cell r="AB34">
            <v>45030888</v>
          </cell>
          <cell r="AC34">
            <v>49064876</v>
          </cell>
        </row>
        <row r="36">
          <cell r="B36" t="str">
            <v>OPERATING EXPENSES</v>
          </cell>
          <cell r="Q36" t="str">
            <v>OPERATING EXPENSES</v>
          </cell>
        </row>
        <row r="37">
          <cell r="B37" t="str">
            <v>Salaries and Wages</v>
          </cell>
          <cell r="C37">
            <v>1914289</v>
          </cell>
          <cell r="D37">
            <v>1852536</v>
          </cell>
          <cell r="E37">
            <v>1914289</v>
          </cell>
          <cell r="F37">
            <v>1914289</v>
          </cell>
          <cell r="G37">
            <v>1729032</v>
          </cell>
          <cell r="H37">
            <v>1914289</v>
          </cell>
          <cell r="I37">
            <v>1839190</v>
          </cell>
          <cell r="J37">
            <v>1914289</v>
          </cell>
          <cell r="K37">
            <v>1852536</v>
          </cell>
          <cell r="L37">
            <v>1914289</v>
          </cell>
          <cell r="M37">
            <v>1914289</v>
          </cell>
          <cell r="N37">
            <v>1852536</v>
          </cell>
          <cell r="Q37" t="str">
            <v>Salaries and Wages</v>
          </cell>
          <cell r="R37">
            <v>1914289</v>
          </cell>
          <cell r="S37">
            <v>3766825</v>
          </cell>
          <cell r="T37">
            <v>5681114</v>
          </cell>
          <cell r="U37">
            <v>7595403</v>
          </cell>
          <cell r="V37">
            <v>9324435</v>
          </cell>
          <cell r="W37">
            <v>11238724</v>
          </cell>
          <cell r="X37">
            <v>13077914</v>
          </cell>
          <cell r="Y37">
            <v>14992203</v>
          </cell>
          <cell r="Z37">
            <v>16844739</v>
          </cell>
          <cell r="AA37">
            <v>18759028</v>
          </cell>
          <cell r="AB37">
            <v>20673317</v>
          </cell>
          <cell r="AC37">
            <v>22525853</v>
          </cell>
        </row>
        <row r="38">
          <cell r="B38" t="str">
            <v>Employee Benefits</v>
          </cell>
          <cell r="C38">
            <v>578395</v>
          </cell>
          <cell r="D38">
            <v>579741</v>
          </cell>
          <cell r="E38">
            <v>598395</v>
          </cell>
          <cell r="F38">
            <v>571728</v>
          </cell>
          <cell r="G38">
            <v>515755</v>
          </cell>
          <cell r="H38">
            <v>571728</v>
          </cell>
          <cell r="I38">
            <v>550806</v>
          </cell>
          <cell r="J38">
            <v>578395</v>
          </cell>
          <cell r="K38">
            <v>559741</v>
          </cell>
          <cell r="L38">
            <v>578395</v>
          </cell>
          <cell r="M38">
            <v>578395</v>
          </cell>
          <cell r="N38">
            <v>559741</v>
          </cell>
          <cell r="Q38" t="str">
            <v>Employee Benefits</v>
          </cell>
          <cell r="R38">
            <v>578395</v>
          </cell>
          <cell r="S38">
            <v>1158136</v>
          </cell>
          <cell r="T38">
            <v>1756531</v>
          </cell>
          <cell r="U38">
            <v>2328259</v>
          </cell>
          <cell r="V38">
            <v>2844014</v>
          </cell>
          <cell r="W38">
            <v>3415742</v>
          </cell>
          <cell r="X38">
            <v>3966548</v>
          </cell>
          <cell r="Y38">
            <v>4544943</v>
          </cell>
          <cell r="Z38">
            <v>5104684</v>
          </cell>
          <cell r="AA38">
            <v>5683079</v>
          </cell>
          <cell r="AB38">
            <v>6261474</v>
          </cell>
          <cell r="AC38">
            <v>6821215</v>
          </cell>
        </row>
        <row r="39">
          <cell r="B39" t="str">
            <v>Supplies</v>
          </cell>
          <cell r="C39">
            <v>310366</v>
          </cell>
          <cell r="D39">
            <v>300354</v>
          </cell>
          <cell r="E39">
            <v>310366</v>
          </cell>
          <cell r="F39">
            <v>310366</v>
          </cell>
          <cell r="G39">
            <v>280339</v>
          </cell>
          <cell r="H39">
            <v>310366</v>
          </cell>
          <cell r="I39">
            <v>300016</v>
          </cell>
          <cell r="J39">
            <v>310366</v>
          </cell>
          <cell r="K39">
            <v>300354</v>
          </cell>
          <cell r="L39">
            <v>310366</v>
          </cell>
          <cell r="M39">
            <v>310366</v>
          </cell>
          <cell r="N39">
            <v>300355</v>
          </cell>
          <cell r="Q39" t="str">
            <v>Supplies</v>
          </cell>
          <cell r="R39">
            <v>310366</v>
          </cell>
          <cell r="S39">
            <v>610720</v>
          </cell>
          <cell r="T39">
            <v>921086</v>
          </cell>
          <cell r="U39">
            <v>1231452</v>
          </cell>
          <cell r="V39">
            <v>1511791</v>
          </cell>
          <cell r="W39">
            <v>1822157</v>
          </cell>
          <cell r="X39">
            <v>2122173</v>
          </cell>
          <cell r="Y39">
            <v>2432539</v>
          </cell>
          <cell r="Z39">
            <v>2732893</v>
          </cell>
          <cell r="AA39">
            <v>3043259</v>
          </cell>
          <cell r="AB39">
            <v>3353625</v>
          </cell>
          <cell r="AC39">
            <v>3653980</v>
          </cell>
        </row>
        <row r="40">
          <cell r="B40" t="str">
            <v>Other Expenses</v>
          </cell>
          <cell r="C40">
            <v>643382</v>
          </cell>
          <cell r="D40">
            <v>622630</v>
          </cell>
          <cell r="E40">
            <v>643382</v>
          </cell>
          <cell r="F40">
            <v>643382</v>
          </cell>
          <cell r="G40">
            <v>581114</v>
          </cell>
          <cell r="H40">
            <v>643382</v>
          </cell>
          <cell r="I40">
            <v>620208</v>
          </cell>
          <cell r="J40">
            <v>643382</v>
          </cell>
          <cell r="K40">
            <v>622630</v>
          </cell>
          <cell r="L40">
            <v>643382</v>
          </cell>
          <cell r="M40">
            <v>643382</v>
          </cell>
          <cell r="N40">
            <v>622630</v>
          </cell>
          <cell r="Q40" t="str">
            <v>Other Expenses</v>
          </cell>
          <cell r="R40">
            <v>643382</v>
          </cell>
          <cell r="S40">
            <v>1266012</v>
          </cell>
          <cell r="T40">
            <v>1909394</v>
          </cell>
          <cell r="U40">
            <v>2552776</v>
          </cell>
          <cell r="V40">
            <v>3133890</v>
          </cell>
          <cell r="W40">
            <v>3777272</v>
          </cell>
          <cell r="X40">
            <v>4397480</v>
          </cell>
          <cell r="Y40">
            <v>5040862</v>
          </cell>
          <cell r="Z40">
            <v>5663492</v>
          </cell>
          <cell r="AA40">
            <v>6306874</v>
          </cell>
          <cell r="AB40">
            <v>6950256</v>
          </cell>
          <cell r="AC40">
            <v>7572886</v>
          </cell>
        </row>
        <row r="41">
          <cell r="B41" t="str">
            <v>Medicaid Tax</v>
          </cell>
          <cell r="C41">
            <v>145120</v>
          </cell>
          <cell r="D41">
            <v>140438</v>
          </cell>
          <cell r="E41">
            <v>145120</v>
          </cell>
          <cell r="F41">
            <v>145120</v>
          </cell>
          <cell r="G41">
            <v>131076</v>
          </cell>
          <cell r="H41">
            <v>145120</v>
          </cell>
          <cell r="I41">
            <v>140438</v>
          </cell>
          <cell r="J41">
            <v>145120</v>
          </cell>
          <cell r="K41">
            <v>140438</v>
          </cell>
          <cell r="L41">
            <v>145120</v>
          </cell>
          <cell r="M41">
            <v>145120</v>
          </cell>
          <cell r="N41">
            <v>140438</v>
          </cell>
          <cell r="Q41" t="str">
            <v>Medicaid Tax</v>
          </cell>
          <cell r="R41">
            <v>145120</v>
          </cell>
          <cell r="S41">
            <v>285558</v>
          </cell>
          <cell r="T41">
            <v>430678</v>
          </cell>
          <cell r="U41">
            <v>575798</v>
          </cell>
          <cell r="V41">
            <v>706874</v>
          </cell>
          <cell r="W41">
            <v>851994</v>
          </cell>
          <cell r="X41">
            <v>992432</v>
          </cell>
          <cell r="Y41">
            <v>1137552</v>
          </cell>
          <cell r="Z41">
            <v>1277990</v>
          </cell>
          <cell r="AA41">
            <v>1423110</v>
          </cell>
          <cell r="AB41">
            <v>1568230</v>
          </cell>
          <cell r="AC41">
            <v>1708668</v>
          </cell>
        </row>
        <row r="42">
          <cell r="B42" t="str">
            <v>Physicians Fee</v>
          </cell>
          <cell r="C42">
            <v>177972</v>
          </cell>
          <cell r="D42">
            <v>172231</v>
          </cell>
          <cell r="E42">
            <v>177972</v>
          </cell>
          <cell r="F42">
            <v>177972</v>
          </cell>
          <cell r="G42">
            <v>160748</v>
          </cell>
          <cell r="H42">
            <v>177972</v>
          </cell>
          <cell r="I42">
            <v>172231</v>
          </cell>
          <cell r="J42">
            <v>177972</v>
          </cell>
          <cell r="K42">
            <v>172231</v>
          </cell>
          <cell r="L42">
            <v>177972</v>
          </cell>
          <cell r="M42">
            <v>177972</v>
          </cell>
          <cell r="N42">
            <v>172231</v>
          </cell>
          <cell r="Q42" t="str">
            <v>Physicians Fee</v>
          </cell>
          <cell r="R42">
            <v>177972</v>
          </cell>
          <cell r="S42">
            <v>350203</v>
          </cell>
          <cell r="T42">
            <v>528175</v>
          </cell>
          <cell r="U42">
            <v>706147</v>
          </cell>
          <cell r="V42">
            <v>866895</v>
          </cell>
          <cell r="W42">
            <v>1044867</v>
          </cell>
          <cell r="X42">
            <v>1217098</v>
          </cell>
          <cell r="Y42">
            <v>1395070</v>
          </cell>
          <cell r="Z42">
            <v>1567301</v>
          </cell>
          <cell r="AA42">
            <v>1745273</v>
          </cell>
          <cell r="AB42">
            <v>1923245</v>
          </cell>
          <cell r="AC42">
            <v>2095476</v>
          </cell>
        </row>
        <row r="43">
          <cell r="B43" t="str">
            <v>Provision for Bad Debts</v>
          </cell>
          <cell r="C43">
            <v>135315</v>
          </cell>
          <cell r="D43">
            <v>130950</v>
          </cell>
          <cell r="E43">
            <v>135315</v>
          </cell>
          <cell r="F43">
            <v>135315</v>
          </cell>
          <cell r="G43">
            <v>122220</v>
          </cell>
          <cell r="H43">
            <v>135115</v>
          </cell>
          <cell r="I43">
            <v>131578</v>
          </cell>
          <cell r="J43">
            <v>135315</v>
          </cell>
          <cell r="K43">
            <v>130950</v>
          </cell>
          <cell r="L43">
            <v>135315</v>
          </cell>
          <cell r="M43">
            <v>135315</v>
          </cell>
          <cell r="N43">
            <v>130950</v>
          </cell>
          <cell r="Q43" t="str">
            <v>Provision for Bad Debts</v>
          </cell>
          <cell r="R43">
            <v>135315</v>
          </cell>
          <cell r="S43">
            <v>266265</v>
          </cell>
          <cell r="T43">
            <v>401580</v>
          </cell>
          <cell r="U43">
            <v>536895</v>
          </cell>
          <cell r="V43">
            <v>659115</v>
          </cell>
          <cell r="W43">
            <v>794230</v>
          </cell>
          <cell r="X43">
            <v>925808</v>
          </cell>
          <cell r="Y43">
            <v>1061123</v>
          </cell>
          <cell r="Z43">
            <v>1192073</v>
          </cell>
          <cell r="AA43">
            <v>1327388</v>
          </cell>
          <cell r="AB43">
            <v>1462703</v>
          </cell>
          <cell r="AC43">
            <v>1593653</v>
          </cell>
        </row>
        <row r="44">
          <cell r="B44" t="str">
            <v>Interest Expense</v>
          </cell>
          <cell r="C44">
            <v>42048</v>
          </cell>
          <cell r="D44">
            <v>40691</v>
          </cell>
          <cell r="E44">
            <v>42048</v>
          </cell>
          <cell r="F44">
            <v>42048</v>
          </cell>
          <cell r="G44">
            <v>37979</v>
          </cell>
          <cell r="H44">
            <v>42048</v>
          </cell>
          <cell r="I44">
            <v>40691</v>
          </cell>
          <cell r="J44">
            <v>42048</v>
          </cell>
          <cell r="K44">
            <v>40691</v>
          </cell>
          <cell r="L44">
            <v>42048</v>
          </cell>
          <cell r="M44">
            <v>42048</v>
          </cell>
          <cell r="N44">
            <v>40691</v>
          </cell>
          <cell r="Q44" t="str">
            <v>Interest Expense</v>
          </cell>
          <cell r="R44">
            <v>42048</v>
          </cell>
          <cell r="S44">
            <v>82739</v>
          </cell>
          <cell r="T44">
            <v>124787</v>
          </cell>
          <cell r="U44">
            <v>166835</v>
          </cell>
          <cell r="V44">
            <v>204814</v>
          </cell>
          <cell r="W44">
            <v>246862</v>
          </cell>
          <cell r="X44">
            <v>287553</v>
          </cell>
          <cell r="Y44">
            <v>329601</v>
          </cell>
          <cell r="Z44">
            <v>370292</v>
          </cell>
          <cell r="AA44">
            <v>412340</v>
          </cell>
          <cell r="AB44">
            <v>454388</v>
          </cell>
          <cell r="AC44">
            <v>495079</v>
          </cell>
        </row>
        <row r="45">
          <cell r="B45" t="str">
            <v>Depreciation</v>
          </cell>
          <cell r="C45">
            <v>166969</v>
          </cell>
          <cell r="D45">
            <v>161581</v>
          </cell>
          <cell r="E45">
            <v>166969</v>
          </cell>
          <cell r="F45">
            <v>166969</v>
          </cell>
          <cell r="G45">
            <v>150809</v>
          </cell>
          <cell r="H45">
            <v>166969</v>
          </cell>
          <cell r="I45">
            <v>161581</v>
          </cell>
          <cell r="J45">
            <v>166969</v>
          </cell>
          <cell r="K45">
            <v>161581</v>
          </cell>
          <cell r="L45">
            <v>166969</v>
          </cell>
          <cell r="M45">
            <v>166969</v>
          </cell>
          <cell r="N45">
            <v>161581</v>
          </cell>
          <cell r="Q45" t="str">
            <v>Depreciation</v>
          </cell>
          <cell r="R45">
            <v>166969</v>
          </cell>
          <cell r="S45">
            <v>328550</v>
          </cell>
          <cell r="T45">
            <v>495519</v>
          </cell>
          <cell r="U45">
            <v>662488</v>
          </cell>
          <cell r="V45">
            <v>813297</v>
          </cell>
          <cell r="W45">
            <v>980266</v>
          </cell>
          <cell r="X45">
            <v>1141847</v>
          </cell>
          <cell r="Y45">
            <v>1308816</v>
          </cell>
          <cell r="Z45">
            <v>1470397</v>
          </cell>
          <cell r="AA45">
            <v>1637366</v>
          </cell>
          <cell r="AB45">
            <v>1804335</v>
          </cell>
          <cell r="AC45">
            <v>1965916</v>
          </cell>
        </row>
        <row r="46">
          <cell r="B46" t="str">
            <v>Other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Q46" t="str">
            <v>Other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8">
          <cell r="B48" t="str">
            <v>TOTAL OPERATING EXPENSES</v>
          </cell>
          <cell r="C48">
            <v>4113856</v>
          </cell>
          <cell r="D48">
            <v>4001152</v>
          </cell>
          <cell r="E48">
            <v>4133856</v>
          </cell>
          <cell r="F48">
            <v>4107189</v>
          </cell>
          <cell r="G48">
            <v>3709072</v>
          </cell>
          <cell r="H48">
            <v>4106989</v>
          </cell>
          <cell r="I48">
            <v>3956739</v>
          </cell>
          <cell r="J48">
            <v>4113856</v>
          </cell>
          <cell r="K48">
            <v>3981152</v>
          </cell>
          <cell r="L48">
            <v>4113856</v>
          </cell>
          <cell r="M48">
            <v>4113856</v>
          </cell>
          <cell r="N48">
            <v>3981153</v>
          </cell>
          <cell r="Q48" t="str">
            <v>TOTAL OPERATING EXPENSES</v>
          </cell>
          <cell r="R48">
            <v>4113856</v>
          </cell>
          <cell r="S48">
            <v>8115008</v>
          </cell>
          <cell r="T48">
            <v>12248864</v>
          </cell>
          <cell r="U48">
            <v>16356053</v>
          </cell>
          <cell r="V48">
            <v>20065125</v>
          </cell>
          <cell r="W48">
            <v>24172114</v>
          </cell>
          <cell r="X48">
            <v>28128853</v>
          </cell>
          <cell r="Y48">
            <v>32242709</v>
          </cell>
          <cell r="Z48">
            <v>36223861</v>
          </cell>
          <cell r="AA48">
            <v>40337717</v>
          </cell>
          <cell r="AB48">
            <v>44451573</v>
          </cell>
          <cell r="AC48">
            <v>48432726</v>
          </cell>
        </row>
        <row r="50">
          <cell r="B50" t="str">
            <v>NET OPERATING INCOME</v>
          </cell>
          <cell r="C50">
            <v>54581</v>
          </cell>
          <cell r="D50">
            <v>32823</v>
          </cell>
          <cell r="E50">
            <v>34581</v>
          </cell>
          <cell r="F50">
            <v>61248</v>
          </cell>
          <cell r="G50">
            <v>55961</v>
          </cell>
          <cell r="H50">
            <v>61448</v>
          </cell>
          <cell r="I50">
            <v>62107</v>
          </cell>
          <cell r="J50">
            <v>54581</v>
          </cell>
          <cell r="K50">
            <v>52823</v>
          </cell>
          <cell r="L50">
            <v>54581</v>
          </cell>
          <cell r="M50">
            <v>54581</v>
          </cell>
          <cell r="N50">
            <v>52835</v>
          </cell>
          <cell r="Q50" t="str">
            <v>NET OPERATING INCOME</v>
          </cell>
          <cell r="R50">
            <v>54581</v>
          </cell>
          <cell r="S50">
            <v>87404</v>
          </cell>
          <cell r="T50">
            <v>121985</v>
          </cell>
          <cell r="U50">
            <v>183233</v>
          </cell>
          <cell r="V50">
            <v>239194</v>
          </cell>
          <cell r="W50">
            <v>300642</v>
          </cell>
          <cell r="X50">
            <v>362749</v>
          </cell>
          <cell r="Y50">
            <v>417330</v>
          </cell>
          <cell r="Z50">
            <v>470153</v>
          </cell>
          <cell r="AA50">
            <v>524734</v>
          </cell>
          <cell r="AB50">
            <v>579315</v>
          </cell>
          <cell r="AC50">
            <v>632150</v>
          </cell>
        </row>
        <row r="52">
          <cell r="B52" t="str">
            <v>Non Operating Income</v>
          </cell>
          <cell r="C52">
            <v>20009</v>
          </cell>
          <cell r="D52">
            <v>19365</v>
          </cell>
          <cell r="E52">
            <v>20009</v>
          </cell>
          <cell r="F52">
            <v>20009</v>
          </cell>
          <cell r="G52">
            <v>18073</v>
          </cell>
          <cell r="H52">
            <v>20009</v>
          </cell>
          <cell r="I52">
            <v>19365</v>
          </cell>
          <cell r="J52">
            <v>20009</v>
          </cell>
          <cell r="K52">
            <v>19365</v>
          </cell>
          <cell r="L52">
            <v>20009</v>
          </cell>
          <cell r="M52">
            <v>20009</v>
          </cell>
          <cell r="N52">
            <v>19365</v>
          </cell>
          <cell r="Q52" t="str">
            <v>Non Operating Income</v>
          </cell>
          <cell r="R52">
            <v>20009</v>
          </cell>
          <cell r="S52">
            <v>39374</v>
          </cell>
          <cell r="T52">
            <v>59383</v>
          </cell>
          <cell r="U52">
            <v>79392</v>
          </cell>
          <cell r="V52">
            <v>97465</v>
          </cell>
          <cell r="W52">
            <v>117474</v>
          </cell>
          <cell r="X52">
            <v>136839</v>
          </cell>
          <cell r="Y52">
            <v>156848</v>
          </cell>
          <cell r="Z52">
            <v>176213</v>
          </cell>
          <cell r="AA52">
            <v>196222</v>
          </cell>
          <cell r="AB52">
            <v>216231</v>
          </cell>
          <cell r="AC52">
            <v>235596</v>
          </cell>
        </row>
        <row r="54">
          <cell r="B54" t="str">
            <v>EXCESS OF REVENUES OVER EXPENSES</v>
          </cell>
          <cell r="C54">
            <v>74590</v>
          </cell>
          <cell r="D54">
            <v>52188</v>
          </cell>
          <cell r="E54">
            <v>54590</v>
          </cell>
          <cell r="F54">
            <v>81257</v>
          </cell>
          <cell r="G54">
            <v>74034</v>
          </cell>
          <cell r="H54">
            <v>81457</v>
          </cell>
          <cell r="I54">
            <v>81472</v>
          </cell>
          <cell r="J54">
            <v>74590</v>
          </cell>
          <cell r="K54">
            <v>72188</v>
          </cell>
          <cell r="L54">
            <v>74590</v>
          </cell>
          <cell r="M54">
            <v>74590</v>
          </cell>
          <cell r="N54">
            <v>72200</v>
          </cell>
          <cell r="Q54" t="str">
            <v>EXCESS OF REVENUES OVER EXPENSES</v>
          </cell>
          <cell r="R54">
            <v>74590</v>
          </cell>
          <cell r="S54">
            <v>126778</v>
          </cell>
          <cell r="T54">
            <v>181368</v>
          </cell>
          <cell r="U54">
            <v>262625</v>
          </cell>
          <cell r="V54">
            <v>336659</v>
          </cell>
          <cell r="W54">
            <v>418116</v>
          </cell>
          <cell r="X54">
            <v>499588</v>
          </cell>
          <cell r="Y54">
            <v>574178</v>
          </cell>
          <cell r="Z54">
            <v>646366</v>
          </cell>
          <cell r="AA54">
            <v>720956</v>
          </cell>
          <cell r="AB54">
            <v>795546</v>
          </cell>
          <cell r="AC54">
            <v>867746</v>
          </cell>
        </row>
        <row r="56">
          <cell r="B56" t="str">
            <v>Unrealized Gains/(Losses) on Investments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Q56" t="str">
            <v>Unrealized Gains/(Losses) on Investments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</row>
        <row r="57">
          <cell r="B57" t="str">
            <v>Equity in income of subsidiary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Q57" t="str">
            <v>Equity in income of subsidiary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</row>
        <row r="58">
          <cell r="B58" t="str">
            <v>Equity in income of subsidiary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Q58" t="str">
            <v>Equity in income of subsidiary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59">
          <cell r="B59" t="str">
            <v>Excess of additional pension liability over unrecognized pension cost</v>
          </cell>
          <cell r="C59">
            <v>-21</v>
          </cell>
          <cell r="D59">
            <v>-21</v>
          </cell>
          <cell r="E59">
            <v>-21</v>
          </cell>
          <cell r="F59">
            <v>-21</v>
          </cell>
          <cell r="G59">
            <v>-19</v>
          </cell>
          <cell r="H59">
            <v>-21</v>
          </cell>
          <cell r="I59">
            <v>-21</v>
          </cell>
          <cell r="J59">
            <v>-21</v>
          </cell>
          <cell r="K59">
            <v>-21</v>
          </cell>
          <cell r="L59">
            <v>-21</v>
          </cell>
          <cell r="M59">
            <v>-21</v>
          </cell>
          <cell r="N59">
            <v>-21</v>
          </cell>
          <cell r="Q59" t="str">
            <v>Excess of additional pension liability over unrecognized pension cost</v>
          </cell>
          <cell r="R59">
            <v>-21</v>
          </cell>
          <cell r="S59">
            <v>-42</v>
          </cell>
          <cell r="T59">
            <v>-63</v>
          </cell>
          <cell r="U59">
            <v>-84</v>
          </cell>
          <cell r="V59">
            <v>-103</v>
          </cell>
          <cell r="W59">
            <v>-124</v>
          </cell>
          <cell r="X59">
            <v>-145</v>
          </cell>
          <cell r="Y59">
            <v>-166</v>
          </cell>
          <cell r="Z59">
            <v>-187</v>
          </cell>
          <cell r="AA59">
            <v>-208</v>
          </cell>
          <cell r="AB59">
            <v>-229</v>
          </cell>
          <cell r="AC59">
            <v>-250</v>
          </cell>
        </row>
        <row r="60">
          <cell r="B60" t="str">
            <v>Assets Released from Restrictions for Capital Acquisitions</v>
          </cell>
          <cell r="Q60" t="str">
            <v>Assets Released from Restrictions for Capital Acquisitions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</row>
        <row r="62">
          <cell r="B62" t="str">
            <v>INCREASE IN UNRESTRICTED NET ASSETS</v>
          </cell>
          <cell r="C62">
            <v>74569</v>
          </cell>
          <cell r="D62">
            <v>52167</v>
          </cell>
          <cell r="E62">
            <v>54569</v>
          </cell>
          <cell r="F62">
            <v>81236</v>
          </cell>
          <cell r="G62">
            <v>74015</v>
          </cell>
          <cell r="H62">
            <v>81436</v>
          </cell>
          <cell r="I62">
            <v>81451</v>
          </cell>
          <cell r="J62">
            <v>74569</v>
          </cell>
          <cell r="K62">
            <v>72167</v>
          </cell>
          <cell r="L62">
            <v>74569</v>
          </cell>
          <cell r="M62">
            <v>74569</v>
          </cell>
          <cell r="N62">
            <v>72179</v>
          </cell>
          <cell r="Q62" t="str">
            <v>INCREASE IN UNRESTRICTED NET ASSETS</v>
          </cell>
          <cell r="R62">
            <v>74569</v>
          </cell>
          <cell r="S62">
            <v>126736</v>
          </cell>
          <cell r="T62">
            <v>181305</v>
          </cell>
          <cell r="U62">
            <v>262541</v>
          </cell>
          <cell r="V62">
            <v>336556</v>
          </cell>
          <cell r="W62">
            <v>417992</v>
          </cell>
          <cell r="X62">
            <v>499443</v>
          </cell>
          <cell r="Y62">
            <v>574012</v>
          </cell>
          <cell r="Z62">
            <v>646179</v>
          </cell>
          <cell r="AA62">
            <v>720748</v>
          </cell>
          <cell r="AB62">
            <v>795317</v>
          </cell>
          <cell r="AC62">
            <v>867496</v>
          </cell>
        </row>
      </sheetData>
      <sheetData sheetId="14" refreshError="1">
        <row r="10">
          <cell r="B10" t="str">
            <v>Acute</v>
          </cell>
          <cell r="C10">
            <v>522191</v>
          </cell>
          <cell r="D10">
            <v>409260</v>
          </cell>
          <cell r="E10">
            <v>493372</v>
          </cell>
          <cell r="F10">
            <v>640901</v>
          </cell>
          <cell r="G10">
            <v>504538</v>
          </cell>
          <cell r="H10">
            <v>556916</v>
          </cell>
          <cell r="I10">
            <v>567219</v>
          </cell>
          <cell r="J10">
            <v>480945</v>
          </cell>
          <cell r="K10">
            <v>356328</v>
          </cell>
          <cell r="L10">
            <v>330221</v>
          </cell>
          <cell r="M10">
            <v>425565</v>
          </cell>
          <cell r="N10">
            <v>450502</v>
          </cell>
          <cell r="O10">
            <v>5737958</v>
          </cell>
          <cell r="Q10" t="str">
            <v>Acute</v>
          </cell>
          <cell r="R10">
            <v>522191</v>
          </cell>
          <cell r="S10">
            <v>931451</v>
          </cell>
          <cell r="T10">
            <v>1424823</v>
          </cell>
          <cell r="U10">
            <v>2065724</v>
          </cell>
          <cell r="V10">
            <v>2570262</v>
          </cell>
          <cell r="W10">
            <v>3127178</v>
          </cell>
          <cell r="X10">
            <v>3694397</v>
          </cell>
          <cell r="Y10">
            <v>4175342</v>
          </cell>
          <cell r="Z10">
            <v>4531670</v>
          </cell>
          <cell r="AA10">
            <v>4861891</v>
          </cell>
          <cell r="AB10">
            <v>5287456</v>
          </cell>
          <cell r="AC10">
            <v>5737958</v>
          </cell>
        </row>
        <row r="11">
          <cell r="B11" t="str">
            <v>Transitional Care</v>
          </cell>
          <cell r="C11">
            <v>473807</v>
          </cell>
          <cell r="D11">
            <v>458725</v>
          </cell>
          <cell r="E11">
            <v>454383</v>
          </cell>
          <cell r="F11">
            <v>458452</v>
          </cell>
          <cell r="G11">
            <v>336485</v>
          </cell>
          <cell r="H11">
            <v>533152</v>
          </cell>
          <cell r="I11">
            <v>504532</v>
          </cell>
          <cell r="J11">
            <v>520814</v>
          </cell>
          <cell r="K11">
            <v>429337</v>
          </cell>
          <cell r="L11">
            <v>483556</v>
          </cell>
          <cell r="M11">
            <v>420797</v>
          </cell>
          <cell r="N11">
            <v>442324</v>
          </cell>
          <cell r="O11">
            <v>5516364</v>
          </cell>
          <cell r="Q11" t="str">
            <v>Transitional Care</v>
          </cell>
          <cell r="R11">
            <v>473807</v>
          </cell>
          <cell r="S11">
            <v>932532</v>
          </cell>
          <cell r="T11">
            <v>1386915</v>
          </cell>
          <cell r="U11">
            <v>1845367</v>
          </cell>
          <cell r="V11">
            <v>2181852</v>
          </cell>
          <cell r="W11">
            <v>2715004</v>
          </cell>
          <cell r="X11">
            <v>3219536</v>
          </cell>
          <cell r="Y11">
            <v>3740350</v>
          </cell>
          <cell r="Z11">
            <v>4169687</v>
          </cell>
          <cell r="AA11">
            <v>4653243</v>
          </cell>
          <cell r="AB11">
            <v>5074040</v>
          </cell>
          <cell r="AC11">
            <v>5516364</v>
          </cell>
        </row>
        <row r="12">
          <cell r="B12" t="str">
            <v>Rehabilitation</v>
          </cell>
          <cell r="C12">
            <v>615022</v>
          </cell>
          <cell r="D12">
            <v>644589</v>
          </cell>
          <cell r="E12">
            <v>613161</v>
          </cell>
          <cell r="F12">
            <v>692739</v>
          </cell>
          <cell r="G12">
            <v>584066</v>
          </cell>
          <cell r="H12">
            <v>591642</v>
          </cell>
          <cell r="I12">
            <v>600757</v>
          </cell>
          <cell r="J12">
            <v>689041</v>
          </cell>
          <cell r="K12">
            <v>678120</v>
          </cell>
          <cell r="L12">
            <v>637107</v>
          </cell>
          <cell r="M12">
            <v>602281</v>
          </cell>
          <cell r="N12">
            <v>623537</v>
          </cell>
          <cell r="O12">
            <v>7572062</v>
          </cell>
          <cell r="Q12" t="str">
            <v>Rehabilitation</v>
          </cell>
          <cell r="R12">
            <v>615022</v>
          </cell>
          <cell r="S12">
            <v>1259611</v>
          </cell>
          <cell r="T12">
            <v>1872772</v>
          </cell>
          <cell r="U12">
            <v>2565511</v>
          </cell>
          <cell r="V12">
            <v>3149577</v>
          </cell>
          <cell r="W12">
            <v>3741219</v>
          </cell>
          <cell r="X12">
            <v>4341976</v>
          </cell>
          <cell r="Y12">
            <v>5031017</v>
          </cell>
          <cell r="Z12">
            <v>5709137</v>
          </cell>
          <cell r="AA12">
            <v>6346244</v>
          </cell>
          <cell r="AB12">
            <v>6948525</v>
          </cell>
          <cell r="AC12">
            <v>7572062</v>
          </cell>
        </row>
        <row r="13">
          <cell r="B13" t="str">
            <v>SNF/NF</v>
          </cell>
          <cell r="C13">
            <v>188798</v>
          </cell>
          <cell r="D13">
            <v>181323</v>
          </cell>
          <cell r="E13">
            <v>196853</v>
          </cell>
          <cell r="F13">
            <v>194521</v>
          </cell>
          <cell r="G13">
            <v>182938</v>
          </cell>
          <cell r="H13">
            <v>202066</v>
          </cell>
          <cell r="I13">
            <v>182780</v>
          </cell>
          <cell r="J13">
            <v>193043</v>
          </cell>
          <cell r="K13">
            <v>186464</v>
          </cell>
          <cell r="L13">
            <v>210265</v>
          </cell>
          <cell r="M13">
            <v>205932</v>
          </cell>
          <cell r="N13">
            <v>181612</v>
          </cell>
          <cell r="O13">
            <v>2306595</v>
          </cell>
          <cell r="Q13" t="str">
            <v>SNF/NF</v>
          </cell>
          <cell r="R13">
            <v>188798</v>
          </cell>
          <cell r="S13">
            <v>370121</v>
          </cell>
          <cell r="T13">
            <v>566974</v>
          </cell>
          <cell r="U13">
            <v>761495</v>
          </cell>
          <cell r="V13">
            <v>944433</v>
          </cell>
          <cell r="W13">
            <v>1146499</v>
          </cell>
          <cell r="X13">
            <v>1329279</v>
          </cell>
          <cell r="Y13">
            <v>1522322</v>
          </cell>
          <cell r="Z13">
            <v>1708786</v>
          </cell>
          <cell r="AA13">
            <v>1919051</v>
          </cell>
          <cell r="AB13">
            <v>2124983</v>
          </cell>
          <cell r="AC13">
            <v>2306595</v>
          </cell>
        </row>
        <row r="14">
          <cell r="B14" t="str">
            <v>Outpatient</v>
          </cell>
          <cell r="C14">
            <v>2588758</v>
          </cell>
          <cell r="D14">
            <v>2515462</v>
          </cell>
          <cell r="E14">
            <v>2458669</v>
          </cell>
          <cell r="F14">
            <v>2107578</v>
          </cell>
          <cell r="G14">
            <v>2294888</v>
          </cell>
          <cell r="H14">
            <v>3046253</v>
          </cell>
          <cell r="I14">
            <v>2581913</v>
          </cell>
          <cell r="J14">
            <v>2485282</v>
          </cell>
          <cell r="K14">
            <v>2694930</v>
          </cell>
          <cell r="L14">
            <v>2718915</v>
          </cell>
          <cell r="M14">
            <v>2914827</v>
          </cell>
          <cell r="N14">
            <v>2433411</v>
          </cell>
          <cell r="O14">
            <v>30840886</v>
          </cell>
          <cell r="Q14" t="str">
            <v>Outpatient</v>
          </cell>
          <cell r="R14">
            <v>2588758</v>
          </cell>
          <cell r="S14">
            <v>5104220</v>
          </cell>
          <cell r="T14">
            <v>7562889</v>
          </cell>
          <cell r="U14">
            <v>9670467</v>
          </cell>
          <cell r="V14">
            <v>11965355</v>
          </cell>
          <cell r="W14">
            <v>15011608</v>
          </cell>
          <cell r="X14">
            <v>17593521</v>
          </cell>
          <cell r="Y14">
            <v>20078803</v>
          </cell>
          <cell r="Z14">
            <v>22773733</v>
          </cell>
          <cell r="AA14">
            <v>25492648</v>
          </cell>
          <cell r="AB14">
            <v>28407475</v>
          </cell>
          <cell r="AC14">
            <v>30840886</v>
          </cell>
        </row>
        <row r="15">
          <cell r="B15" t="str">
            <v>Hospital Based Physician Services</v>
          </cell>
          <cell r="C15">
            <v>229113</v>
          </cell>
          <cell r="D15">
            <v>250945</v>
          </cell>
          <cell r="E15">
            <v>219501</v>
          </cell>
          <cell r="F15">
            <v>211039</v>
          </cell>
          <cell r="G15">
            <v>231582</v>
          </cell>
          <cell r="H15">
            <v>265080</v>
          </cell>
          <cell r="I15">
            <v>242089</v>
          </cell>
          <cell r="J15">
            <v>282732</v>
          </cell>
          <cell r="K15">
            <v>245408</v>
          </cell>
          <cell r="L15">
            <v>251282</v>
          </cell>
          <cell r="M15">
            <v>265483</v>
          </cell>
          <cell r="N15">
            <v>236816</v>
          </cell>
          <cell r="O15">
            <v>2931070</v>
          </cell>
          <cell r="Q15" t="str">
            <v>Hospital Based Physician Services</v>
          </cell>
          <cell r="R15">
            <v>229113</v>
          </cell>
          <cell r="S15">
            <v>480058</v>
          </cell>
          <cell r="T15">
            <v>699559</v>
          </cell>
          <cell r="U15">
            <v>910598</v>
          </cell>
          <cell r="V15">
            <v>1142180</v>
          </cell>
          <cell r="W15">
            <v>1407260</v>
          </cell>
          <cell r="X15">
            <v>1649349</v>
          </cell>
          <cell r="Y15">
            <v>1932081</v>
          </cell>
          <cell r="Z15">
            <v>2177489</v>
          </cell>
          <cell r="AA15">
            <v>2428771</v>
          </cell>
          <cell r="AB15">
            <v>2694254</v>
          </cell>
          <cell r="AC15">
            <v>2931070</v>
          </cell>
        </row>
        <row r="16">
          <cell r="B16" t="str">
            <v>Physician Practice</v>
          </cell>
          <cell r="C16">
            <v>935691</v>
          </cell>
          <cell r="D16">
            <v>929840</v>
          </cell>
          <cell r="E16">
            <v>899823</v>
          </cell>
          <cell r="F16">
            <v>869145</v>
          </cell>
          <cell r="G16">
            <v>1130810</v>
          </cell>
          <cell r="H16">
            <v>1000763</v>
          </cell>
          <cell r="I16">
            <v>964175</v>
          </cell>
          <cell r="J16">
            <v>886267</v>
          </cell>
          <cell r="K16">
            <v>937506</v>
          </cell>
          <cell r="L16">
            <v>893842</v>
          </cell>
          <cell r="M16">
            <v>970993</v>
          </cell>
          <cell r="N16">
            <v>1163185</v>
          </cell>
          <cell r="O16">
            <v>11582040</v>
          </cell>
          <cell r="Q16" t="str">
            <v>Physician Practice</v>
          </cell>
          <cell r="R16">
            <v>935691</v>
          </cell>
          <cell r="S16">
            <v>1865531</v>
          </cell>
          <cell r="T16">
            <v>2765354</v>
          </cell>
          <cell r="U16">
            <v>3634499</v>
          </cell>
          <cell r="V16">
            <v>4765309</v>
          </cell>
          <cell r="W16">
            <v>5766072</v>
          </cell>
          <cell r="X16">
            <v>6730247</v>
          </cell>
          <cell r="Y16">
            <v>7616514</v>
          </cell>
          <cell r="Z16">
            <v>8554020</v>
          </cell>
          <cell r="AA16">
            <v>9447862</v>
          </cell>
          <cell r="AB16">
            <v>10418855</v>
          </cell>
          <cell r="AC16">
            <v>11582040</v>
          </cell>
        </row>
        <row r="18">
          <cell r="C18">
            <v>5553380</v>
          </cell>
          <cell r="D18">
            <v>5390144</v>
          </cell>
          <cell r="E18">
            <v>5335762</v>
          </cell>
          <cell r="F18">
            <v>5174375</v>
          </cell>
          <cell r="G18">
            <v>5265307</v>
          </cell>
          <cell r="H18">
            <v>6195872</v>
          </cell>
          <cell r="I18">
            <v>5643465</v>
          </cell>
          <cell r="J18">
            <v>5538124</v>
          </cell>
          <cell r="K18">
            <v>5528093</v>
          </cell>
          <cell r="L18">
            <v>5525188</v>
          </cell>
          <cell r="M18">
            <v>5805878</v>
          </cell>
          <cell r="N18">
            <v>5531387</v>
          </cell>
          <cell r="O18">
            <v>66486975</v>
          </cell>
          <cell r="Q18" t="str">
            <v>TOTAL GROSS PATIENT SERVICE REVENUE</v>
          </cell>
          <cell r="R18">
            <v>5553380</v>
          </cell>
          <cell r="S18">
            <v>10943524</v>
          </cell>
          <cell r="T18">
            <v>16279286</v>
          </cell>
          <cell r="U18">
            <v>21453661</v>
          </cell>
          <cell r="V18">
            <v>26718968</v>
          </cell>
          <cell r="W18">
            <v>32914840</v>
          </cell>
          <cell r="X18">
            <v>38558305</v>
          </cell>
          <cell r="Y18">
            <v>44096429</v>
          </cell>
          <cell r="Z18">
            <v>49624522</v>
          </cell>
          <cell r="AA18">
            <v>55149710</v>
          </cell>
          <cell r="AB18">
            <v>60955588</v>
          </cell>
          <cell r="AC18">
            <v>66486975</v>
          </cell>
        </row>
        <row r="20">
          <cell r="B20" t="str">
            <v xml:space="preserve">Contractual Allowance </v>
          </cell>
          <cell r="C20">
            <v>-1580789</v>
          </cell>
          <cell r="D20">
            <v>-1684643</v>
          </cell>
          <cell r="E20">
            <v>-1606575</v>
          </cell>
          <cell r="F20">
            <v>-1252726</v>
          </cell>
          <cell r="G20">
            <v>-1505381</v>
          </cell>
          <cell r="H20">
            <v>-1856210</v>
          </cell>
          <cell r="I20">
            <v>-1656649</v>
          </cell>
          <cell r="J20">
            <v>-1771794</v>
          </cell>
          <cell r="K20">
            <v>-1752309</v>
          </cell>
          <cell r="L20">
            <v>-1708763</v>
          </cell>
          <cell r="M20">
            <v>-1385284</v>
          </cell>
          <cell r="N20">
            <v>-1646686</v>
          </cell>
          <cell r="O20">
            <v>-19407809</v>
          </cell>
          <cell r="Q20" t="str">
            <v xml:space="preserve">Contractual Allowance </v>
          </cell>
          <cell r="R20">
            <v>-1580789</v>
          </cell>
          <cell r="S20">
            <v>-3265432</v>
          </cell>
          <cell r="T20">
            <v>-4872007</v>
          </cell>
          <cell r="U20">
            <v>-6124733</v>
          </cell>
          <cell r="V20">
            <v>-7630114</v>
          </cell>
          <cell r="W20">
            <v>-9486324</v>
          </cell>
          <cell r="X20">
            <v>-11142973</v>
          </cell>
          <cell r="Y20">
            <v>-12914767</v>
          </cell>
          <cell r="Z20">
            <v>-14667076</v>
          </cell>
          <cell r="AA20">
            <v>-16375839</v>
          </cell>
          <cell r="AB20">
            <v>-17761123</v>
          </cell>
          <cell r="AC20">
            <v>-19407809</v>
          </cell>
        </row>
        <row r="21">
          <cell r="B21" t="str">
            <v xml:space="preserve"> Employee Write-offs</v>
          </cell>
          <cell r="C21">
            <v>-17605</v>
          </cell>
          <cell r="D21">
            <v>-8619</v>
          </cell>
          <cell r="E21">
            <v>-32580</v>
          </cell>
          <cell r="F21">
            <v>-34715</v>
          </cell>
          <cell r="G21">
            <v>-35299</v>
          </cell>
          <cell r="H21">
            <v>-33022</v>
          </cell>
          <cell r="I21">
            <v>-42773</v>
          </cell>
          <cell r="J21">
            <v>-15458</v>
          </cell>
          <cell r="K21">
            <v>-20831</v>
          </cell>
          <cell r="L21">
            <v>-18920</v>
          </cell>
          <cell r="M21">
            <v>-12605</v>
          </cell>
          <cell r="N21">
            <v>-32765</v>
          </cell>
          <cell r="O21">
            <v>-305192</v>
          </cell>
          <cell r="Q21" t="str">
            <v xml:space="preserve"> Employee Write-offs</v>
          </cell>
          <cell r="R21">
            <v>-17605</v>
          </cell>
          <cell r="S21">
            <v>-26224</v>
          </cell>
          <cell r="T21">
            <v>-58804</v>
          </cell>
          <cell r="U21">
            <v>-93519</v>
          </cell>
          <cell r="V21">
            <v>-128818</v>
          </cell>
          <cell r="W21">
            <v>-161840</v>
          </cell>
          <cell r="X21">
            <v>-204613</v>
          </cell>
          <cell r="Y21">
            <v>-220071</v>
          </cell>
          <cell r="Z21">
            <v>-240902</v>
          </cell>
          <cell r="AA21">
            <v>-259822</v>
          </cell>
          <cell r="AB21">
            <v>-272427</v>
          </cell>
          <cell r="AC21">
            <v>-305192</v>
          </cell>
        </row>
        <row r="22">
          <cell r="B22" t="str">
            <v xml:space="preserve"> Charity Care</v>
          </cell>
          <cell r="C22">
            <v>-8248</v>
          </cell>
          <cell r="D22">
            <v>-73007</v>
          </cell>
          <cell r="E22">
            <v>-59623</v>
          </cell>
          <cell r="F22">
            <v>-32254</v>
          </cell>
          <cell r="G22">
            <v>-72565</v>
          </cell>
          <cell r="H22">
            <v>-73118</v>
          </cell>
          <cell r="I22">
            <v>-25418</v>
          </cell>
          <cell r="J22">
            <v>-21616</v>
          </cell>
          <cell r="K22">
            <v>-44574</v>
          </cell>
          <cell r="L22">
            <v>-41980</v>
          </cell>
          <cell r="M22">
            <v>-54974</v>
          </cell>
          <cell r="N22">
            <v>-48439</v>
          </cell>
          <cell r="O22">
            <v>-555816</v>
          </cell>
          <cell r="Q22" t="str">
            <v xml:space="preserve"> Charity Care</v>
          </cell>
          <cell r="R22">
            <v>-8248</v>
          </cell>
          <cell r="S22">
            <v>-81255</v>
          </cell>
          <cell r="T22">
            <v>-140878</v>
          </cell>
          <cell r="U22">
            <v>-173132</v>
          </cell>
          <cell r="V22">
            <v>-245697</v>
          </cell>
          <cell r="W22">
            <v>-318815</v>
          </cell>
          <cell r="X22">
            <v>-344233</v>
          </cell>
          <cell r="Y22">
            <v>-365849</v>
          </cell>
          <cell r="Z22">
            <v>-410423</v>
          </cell>
          <cell r="AA22">
            <v>-452403</v>
          </cell>
          <cell r="AB22">
            <v>-507377</v>
          </cell>
          <cell r="AC22">
            <v>-555816</v>
          </cell>
        </row>
        <row r="23">
          <cell r="B23" t="str">
            <v>Medicaid DSH Rev</v>
          </cell>
          <cell r="C23">
            <v>41670</v>
          </cell>
          <cell r="D23">
            <v>41670</v>
          </cell>
          <cell r="E23">
            <v>41670</v>
          </cell>
          <cell r="F23">
            <v>41670</v>
          </cell>
          <cell r="G23">
            <v>41670</v>
          </cell>
          <cell r="H23">
            <v>41670</v>
          </cell>
          <cell r="I23">
            <v>41670</v>
          </cell>
          <cell r="J23">
            <v>41670</v>
          </cell>
          <cell r="K23">
            <v>41672</v>
          </cell>
          <cell r="L23">
            <v>39716</v>
          </cell>
          <cell r="M23">
            <v>39716</v>
          </cell>
          <cell r="N23">
            <v>37422</v>
          </cell>
          <cell r="Q23" t="str">
            <v>Medicaid DSH Rev</v>
          </cell>
          <cell r="R23">
            <v>41670</v>
          </cell>
          <cell r="S23">
            <v>83340</v>
          </cell>
          <cell r="T23">
            <v>125010</v>
          </cell>
          <cell r="U23">
            <v>166680</v>
          </cell>
          <cell r="V23">
            <v>208350</v>
          </cell>
          <cell r="W23">
            <v>250020</v>
          </cell>
          <cell r="X23">
            <v>291690</v>
          </cell>
          <cell r="Y23">
            <v>333360</v>
          </cell>
          <cell r="Z23">
            <v>375032</v>
          </cell>
          <cell r="AA23">
            <v>414748</v>
          </cell>
          <cell r="AB23">
            <v>454464</v>
          </cell>
          <cell r="AC23">
            <v>491886</v>
          </cell>
        </row>
        <row r="24">
          <cell r="B24" t="str">
            <v xml:space="preserve"> Courtesy Allowance</v>
          </cell>
          <cell r="C24">
            <v>-2287</v>
          </cell>
          <cell r="D24">
            <v>-12213</v>
          </cell>
          <cell r="E24">
            <v>7026</v>
          </cell>
          <cell r="F24">
            <v>-2062</v>
          </cell>
          <cell r="G24">
            <v>-117</v>
          </cell>
          <cell r="H24">
            <v>-1404</v>
          </cell>
          <cell r="I24">
            <v>-928</v>
          </cell>
          <cell r="J24">
            <v>-3060</v>
          </cell>
          <cell r="K24">
            <v>-465</v>
          </cell>
          <cell r="L24">
            <v>-1452</v>
          </cell>
          <cell r="M24">
            <v>-794</v>
          </cell>
          <cell r="N24">
            <v>-973</v>
          </cell>
          <cell r="O24">
            <v>-18729</v>
          </cell>
          <cell r="Q24" t="str">
            <v xml:space="preserve"> Courtesy Allowance</v>
          </cell>
          <cell r="R24">
            <v>-2287</v>
          </cell>
          <cell r="S24">
            <v>-14500</v>
          </cell>
          <cell r="T24">
            <v>-7474</v>
          </cell>
          <cell r="U24">
            <v>-9536</v>
          </cell>
          <cell r="V24">
            <v>-9653</v>
          </cell>
          <cell r="W24">
            <v>-11057</v>
          </cell>
          <cell r="X24">
            <v>-11985</v>
          </cell>
          <cell r="Y24">
            <v>-15045</v>
          </cell>
          <cell r="Z24">
            <v>-15510</v>
          </cell>
          <cell r="AA24">
            <v>-16962</v>
          </cell>
          <cell r="AB24">
            <v>-17756</v>
          </cell>
          <cell r="AC24">
            <v>-18729</v>
          </cell>
        </row>
        <row r="26">
          <cell r="C26">
            <v>-1567259</v>
          </cell>
          <cell r="D26">
            <v>-1736812</v>
          </cell>
          <cell r="E26">
            <v>-1650082</v>
          </cell>
          <cell r="F26">
            <v>-1280087</v>
          </cell>
          <cell r="G26">
            <v>-1571692</v>
          </cell>
          <cell r="H26">
            <v>-1922084</v>
          </cell>
          <cell r="I26">
            <v>-1684098</v>
          </cell>
          <cell r="J26">
            <v>-1770258</v>
          </cell>
          <cell r="K26">
            <v>-1776507</v>
          </cell>
          <cell r="L26">
            <v>-1731399</v>
          </cell>
          <cell r="M26">
            <v>-1413941</v>
          </cell>
          <cell r="N26">
            <v>-1691441</v>
          </cell>
          <cell r="O26">
            <v>-19795660</v>
          </cell>
          <cell r="Q26" t="str">
            <v>TOTAL REVENUE DEDUCTIONS</v>
          </cell>
          <cell r="R26">
            <v>-1567259</v>
          </cell>
          <cell r="S26">
            <v>-3304071</v>
          </cell>
          <cell r="T26">
            <v>-4954153</v>
          </cell>
          <cell r="U26">
            <v>-6234240</v>
          </cell>
          <cell r="V26">
            <v>-7805932</v>
          </cell>
          <cell r="W26">
            <v>-9728016</v>
          </cell>
          <cell r="X26">
            <v>-11412114</v>
          </cell>
          <cell r="Y26">
            <v>-13182372</v>
          </cell>
          <cell r="Z26">
            <v>-14958879</v>
          </cell>
          <cell r="AA26">
            <v>-16690278</v>
          </cell>
          <cell r="AB26">
            <v>-18104219</v>
          </cell>
          <cell r="AC26">
            <v>-19795660</v>
          </cell>
        </row>
        <row r="28">
          <cell r="C28">
            <v>3986121</v>
          </cell>
          <cell r="D28">
            <v>3653332</v>
          </cell>
          <cell r="E28">
            <v>3685680</v>
          </cell>
          <cell r="F28">
            <v>3894288</v>
          </cell>
          <cell r="G28">
            <v>3693615</v>
          </cell>
          <cell r="H28">
            <v>4273788</v>
          </cell>
          <cell r="I28">
            <v>3959367</v>
          </cell>
          <cell r="J28">
            <v>3767866</v>
          </cell>
          <cell r="K28">
            <v>3751586</v>
          </cell>
          <cell r="L28">
            <v>3793789</v>
          </cell>
          <cell r="M28">
            <v>4391937</v>
          </cell>
          <cell r="N28">
            <v>3839946</v>
          </cell>
          <cell r="O28">
            <v>46691315</v>
          </cell>
          <cell r="Q28" t="str">
            <v>NET PATIENT REVENUE</v>
          </cell>
          <cell r="R28">
            <v>3986121</v>
          </cell>
          <cell r="S28">
            <v>7639453</v>
          </cell>
          <cell r="T28">
            <v>11325133</v>
          </cell>
          <cell r="U28">
            <v>15219421</v>
          </cell>
          <cell r="V28">
            <v>18913036</v>
          </cell>
          <cell r="W28">
            <v>23186824</v>
          </cell>
          <cell r="X28">
            <v>27146191</v>
          </cell>
          <cell r="Y28">
            <v>30914057</v>
          </cell>
          <cell r="Z28">
            <v>34665643</v>
          </cell>
          <cell r="AA28">
            <v>38459432</v>
          </cell>
          <cell r="AB28">
            <v>42851369</v>
          </cell>
          <cell r="AC28">
            <v>46691315</v>
          </cell>
        </row>
        <row r="30">
          <cell r="B30" t="str">
            <v>Other Operating Revenue</v>
          </cell>
          <cell r="C30">
            <v>68942</v>
          </cell>
          <cell r="D30">
            <v>94868</v>
          </cell>
          <cell r="E30">
            <v>70649</v>
          </cell>
          <cell r="F30">
            <v>56618</v>
          </cell>
          <cell r="G30">
            <v>84550</v>
          </cell>
          <cell r="H30">
            <v>55590</v>
          </cell>
          <cell r="I30">
            <v>71123</v>
          </cell>
          <cell r="J30">
            <v>79656</v>
          </cell>
          <cell r="K30">
            <v>75961</v>
          </cell>
          <cell r="L30">
            <v>25864</v>
          </cell>
          <cell r="M30">
            <v>-4649</v>
          </cell>
          <cell r="N30">
            <v>16406</v>
          </cell>
          <cell r="O30">
            <v>695578</v>
          </cell>
          <cell r="Q30" t="str">
            <v>Other Operating Revenue</v>
          </cell>
          <cell r="R30">
            <v>68942</v>
          </cell>
          <cell r="S30">
            <v>163810</v>
          </cell>
          <cell r="T30">
            <v>234459</v>
          </cell>
          <cell r="U30">
            <v>291077</v>
          </cell>
          <cell r="V30">
            <v>375627</v>
          </cell>
          <cell r="W30">
            <v>431217</v>
          </cell>
          <cell r="X30">
            <v>502340</v>
          </cell>
          <cell r="Y30">
            <v>581996</v>
          </cell>
          <cell r="Z30">
            <v>657957</v>
          </cell>
          <cell r="AA30">
            <v>683821</v>
          </cell>
          <cell r="AB30">
            <v>679172</v>
          </cell>
          <cell r="AC30">
            <v>695578</v>
          </cell>
        </row>
        <row r="31">
          <cell r="B31" t="str">
            <v>Contract Funded Programs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Q31" t="str">
            <v>Contract Funded Programs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2">
          <cell r="B32" t="str">
            <v>Contract/Grant Funded Programs</v>
          </cell>
          <cell r="C32">
            <v>2615</v>
          </cell>
          <cell r="D32">
            <v>12497</v>
          </cell>
          <cell r="E32">
            <v>3129</v>
          </cell>
          <cell r="F32">
            <v>3640</v>
          </cell>
          <cell r="G32">
            <v>2209</v>
          </cell>
          <cell r="H32">
            <v>3024</v>
          </cell>
          <cell r="I32">
            <v>24913</v>
          </cell>
          <cell r="J32">
            <v>9194</v>
          </cell>
          <cell r="K32">
            <v>15217</v>
          </cell>
          <cell r="L32">
            <v>2214</v>
          </cell>
          <cell r="M32">
            <v>4226</v>
          </cell>
          <cell r="N32">
            <v>-11888</v>
          </cell>
          <cell r="O32">
            <v>70990</v>
          </cell>
          <cell r="Q32" t="str">
            <v>Contract/Grant Funded Programs</v>
          </cell>
          <cell r="R32">
            <v>2615</v>
          </cell>
          <cell r="S32">
            <v>15112</v>
          </cell>
          <cell r="T32">
            <v>18241</v>
          </cell>
          <cell r="U32">
            <v>21881</v>
          </cell>
          <cell r="V32">
            <v>24090</v>
          </cell>
          <cell r="W32">
            <v>27114</v>
          </cell>
          <cell r="X32">
            <v>52027</v>
          </cell>
          <cell r="Y32">
            <v>61221</v>
          </cell>
          <cell r="Z32">
            <v>76438</v>
          </cell>
          <cell r="AA32">
            <v>78652</v>
          </cell>
          <cell r="AB32">
            <v>82878</v>
          </cell>
          <cell r="AC32">
            <v>70990</v>
          </cell>
        </row>
        <row r="33">
          <cell r="B33" t="str">
            <v>DSH Payments</v>
          </cell>
          <cell r="O33">
            <v>0</v>
          </cell>
          <cell r="Q33" t="str">
            <v>DSH Payments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1291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</row>
        <row r="34">
          <cell r="B34" t="str">
            <v>Assets Released From Restriction</v>
          </cell>
          <cell r="C34">
            <v>723</v>
          </cell>
          <cell r="D34">
            <v>537</v>
          </cell>
          <cell r="E34">
            <v>921</v>
          </cell>
          <cell r="F34">
            <v>348</v>
          </cell>
          <cell r="G34">
            <v>1135</v>
          </cell>
          <cell r="H34">
            <v>1856</v>
          </cell>
          <cell r="I34">
            <v>2177</v>
          </cell>
          <cell r="J34">
            <v>840</v>
          </cell>
          <cell r="K34">
            <v>1573</v>
          </cell>
          <cell r="L34">
            <v>1234</v>
          </cell>
          <cell r="M34">
            <v>1640</v>
          </cell>
          <cell r="N34">
            <v>12563</v>
          </cell>
          <cell r="O34">
            <v>25547</v>
          </cell>
          <cell r="Q34" t="str">
            <v>Assets Released From Restriction</v>
          </cell>
          <cell r="R34">
            <v>723</v>
          </cell>
          <cell r="S34">
            <v>1260</v>
          </cell>
          <cell r="T34">
            <v>2181</v>
          </cell>
          <cell r="U34">
            <v>2529</v>
          </cell>
          <cell r="V34">
            <v>3664</v>
          </cell>
          <cell r="W34">
            <v>5520</v>
          </cell>
          <cell r="X34">
            <v>7697</v>
          </cell>
          <cell r="Y34">
            <v>8537</v>
          </cell>
          <cell r="Z34">
            <v>10110</v>
          </cell>
          <cell r="AA34">
            <v>11344</v>
          </cell>
          <cell r="AB34">
            <v>12984</v>
          </cell>
          <cell r="AC34">
            <v>25547</v>
          </cell>
        </row>
        <row r="36">
          <cell r="C36">
            <v>4058401</v>
          </cell>
          <cell r="D36">
            <v>3761234</v>
          </cell>
          <cell r="E36">
            <v>3760379</v>
          </cell>
          <cell r="F36">
            <v>3954894</v>
          </cell>
          <cell r="G36">
            <v>3781509</v>
          </cell>
          <cell r="H36">
            <v>4334258</v>
          </cell>
          <cell r="I36">
            <v>4057580</v>
          </cell>
          <cell r="J36">
            <v>3857556</v>
          </cell>
          <cell r="K36">
            <v>3844337</v>
          </cell>
          <cell r="L36">
            <v>3823101</v>
          </cell>
          <cell r="M36">
            <v>4393154</v>
          </cell>
          <cell r="N36">
            <v>3857027</v>
          </cell>
          <cell r="O36">
            <v>47483430</v>
          </cell>
          <cell r="Q36" t="str">
            <v>NET OPERATING REVENUE</v>
          </cell>
          <cell r="R36">
            <v>4058401</v>
          </cell>
          <cell r="S36">
            <v>7819635</v>
          </cell>
          <cell r="T36">
            <v>11580014</v>
          </cell>
          <cell r="U36">
            <v>15534908</v>
          </cell>
          <cell r="V36">
            <v>19316417</v>
          </cell>
          <cell r="W36">
            <v>23650675</v>
          </cell>
          <cell r="X36">
            <v>27708255</v>
          </cell>
          <cell r="Y36">
            <v>31565811</v>
          </cell>
          <cell r="Z36">
            <v>35410148</v>
          </cell>
          <cell r="AA36">
            <v>39233249</v>
          </cell>
          <cell r="AB36">
            <v>43626403</v>
          </cell>
          <cell r="AC36">
            <v>47483430</v>
          </cell>
        </row>
        <row r="38">
          <cell r="Q38" t="str">
            <v>OPERATING EXPENSES</v>
          </cell>
        </row>
        <row r="39">
          <cell r="B39" t="str">
            <v>Salaries and Wages</v>
          </cell>
          <cell r="C39">
            <v>1947409</v>
          </cell>
          <cell r="D39">
            <v>1796902</v>
          </cell>
          <cell r="E39">
            <v>1898467</v>
          </cell>
          <cell r="F39">
            <v>1924479</v>
          </cell>
          <cell r="G39">
            <v>1843320</v>
          </cell>
          <cell r="H39">
            <v>1926399</v>
          </cell>
          <cell r="I39">
            <v>1893740</v>
          </cell>
          <cell r="J39">
            <v>1943711</v>
          </cell>
          <cell r="K39">
            <v>1852338</v>
          </cell>
          <cell r="L39">
            <v>1954035</v>
          </cell>
          <cell r="M39">
            <v>1908171</v>
          </cell>
          <cell r="N39">
            <v>1966184</v>
          </cell>
          <cell r="O39">
            <v>22855155</v>
          </cell>
          <cell r="Q39" t="str">
            <v>Salaries and Wages</v>
          </cell>
          <cell r="R39">
            <v>1947409</v>
          </cell>
          <cell r="S39">
            <v>3744311</v>
          </cell>
          <cell r="T39">
            <v>5642778</v>
          </cell>
          <cell r="U39">
            <v>7567257</v>
          </cell>
          <cell r="V39">
            <v>9410577</v>
          </cell>
          <cell r="W39">
            <v>11336976</v>
          </cell>
          <cell r="X39">
            <v>13230716</v>
          </cell>
          <cell r="Y39">
            <v>15174427</v>
          </cell>
          <cell r="Z39">
            <v>17026765</v>
          </cell>
          <cell r="AA39">
            <v>18980800</v>
          </cell>
          <cell r="AB39">
            <v>20888971</v>
          </cell>
          <cell r="AC39">
            <v>22855155</v>
          </cell>
        </row>
        <row r="40">
          <cell r="B40" t="str">
            <v>Employee Benefits</v>
          </cell>
          <cell r="C40">
            <v>616710</v>
          </cell>
          <cell r="D40">
            <v>582305</v>
          </cell>
          <cell r="E40">
            <v>557583</v>
          </cell>
          <cell r="F40">
            <v>597122</v>
          </cell>
          <cell r="G40">
            <v>594506</v>
          </cell>
          <cell r="H40">
            <v>616080</v>
          </cell>
          <cell r="I40">
            <v>597900</v>
          </cell>
          <cell r="J40">
            <v>604978</v>
          </cell>
          <cell r="K40">
            <v>583147</v>
          </cell>
          <cell r="L40">
            <v>618517</v>
          </cell>
          <cell r="M40">
            <v>675028</v>
          </cell>
          <cell r="N40">
            <v>597571</v>
          </cell>
          <cell r="O40">
            <v>7241447</v>
          </cell>
          <cell r="Q40" t="str">
            <v>Employee Benefits</v>
          </cell>
          <cell r="R40">
            <v>616710</v>
          </cell>
          <cell r="S40">
            <v>1199015</v>
          </cell>
          <cell r="T40">
            <v>1756598</v>
          </cell>
          <cell r="U40">
            <v>2353720</v>
          </cell>
          <cell r="V40">
            <v>2948226</v>
          </cell>
          <cell r="W40">
            <v>3564306</v>
          </cell>
          <cell r="X40">
            <v>4162206</v>
          </cell>
          <cell r="Y40">
            <v>4767184</v>
          </cell>
          <cell r="Z40">
            <v>5350331</v>
          </cell>
          <cell r="AA40">
            <v>5968848</v>
          </cell>
          <cell r="AB40">
            <v>6643876</v>
          </cell>
          <cell r="AC40">
            <v>7241447</v>
          </cell>
        </row>
        <row r="41">
          <cell r="B41" t="str">
            <v>Supplies</v>
          </cell>
          <cell r="C41">
            <v>328307</v>
          </cell>
          <cell r="D41">
            <v>291857</v>
          </cell>
          <cell r="E41">
            <v>270400</v>
          </cell>
          <cell r="F41">
            <v>298003</v>
          </cell>
          <cell r="G41">
            <v>271056</v>
          </cell>
          <cell r="H41">
            <v>349813</v>
          </cell>
          <cell r="I41">
            <v>325799</v>
          </cell>
          <cell r="J41">
            <v>253655</v>
          </cell>
          <cell r="K41">
            <v>299084</v>
          </cell>
          <cell r="L41">
            <v>268796</v>
          </cell>
          <cell r="M41">
            <v>306376</v>
          </cell>
          <cell r="N41">
            <v>354538</v>
          </cell>
          <cell r="O41">
            <v>3617684</v>
          </cell>
          <cell r="Q41" t="str">
            <v>Supplies</v>
          </cell>
          <cell r="R41">
            <v>328307</v>
          </cell>
          <cell r="S41">
            <v>620164</v>
          </cell>
          <cell r="T41">
            <v>890564</v>
          </cell>
          <cell r="U41">
            <v>1188567</v>
          </cell>
          <cell r="V41">
            <v>1459623</v>
          </cell>
          <cell r="W41">
            <v>1809436</v>
          </cell>
          <cell r="X41">
            <v>2135235</v>
          </cell>
          <cell r="Y41">
            <v>2388890</v>
          </cell>
          <cell r="Z41">
            <v>2687974</v>
          </cell>
          <cell r="AA41">
            <v>2956770</v>
          </cell>
          <cell r="AB41">
            <v>3263146</v>
          </cell>
          <cell r="AC41">
            <v>3617684</v>
          </cell>
        </row>
        <row r="42">
          <cell r="B42" t="str">
            <v>Other Expenses</v>
          </cell>
          <cell r="C42">
            <v>645763</v>
          </cell>
          <cell r="D42">
            <v>663423</v>
          </cell>
          <cell r="E42">
            <v>642328</v>
          </cell>
          <cell r="F42">
            <v>674014</v>
          </cell>
          <cell r="G42">
            <v>616103</v>
          </cell>
          <cell r="H42">
            <v>665262</v>
          </cell>
          <cell r="I42">
            <v>658133</v>
          </cell>
          <cell r="J42">
            <v>606749</v>
          </cell>
          <cell r="K42">
            <v>621317</v>
          </cell>
          <cell r="L42">
            <v>625947</v>
          </cell>
          <cell r="M42">
            <v>622799</v>
          </cell>
          <cell r="N42">
            <v>558362</v>
          </cell>
          <cell r="O42">
            <v>7600200</v>
          </cell>
          <cell r="Q42" t="str">
            <v>Other Expenses</v>
          </cell>
          <cell r="R42">
            <v>645763</v>
          </cell>
          <cell r="S42">
            <v>1309186</v>
          </cell>
          <cell r="T42">
            <v>1951514</v>
          </cell>
          <cell r="U42">
            <v>2625528</v>
          </cell>
          <cell r="V42">
            <v>3241631</v>
          </cell>
          <cell r="W42">
            <v>3906893</v>
          </cell>
          <cell r="X42">
            <v>4565026</v>
          </cell>
          <cell r="Y42">
            <v>5171775</v>
          </cell>
          <cell r="Z42">
            <v>5793092</v>
          </cell>
          <cell r="AA42">
            <v>6419039</v>
          </cell>
          <cell r="AB42">
            <v>7041838</v>
          </cell>
          <cell r="AC42">
            <v>7600200</v>
          </cell>
        </row>
        <row r="43">
          <cell r="B43" t="str">
            <v>Medicaid Tax</v>
          </cell>
          <cell r="C43">
            <v>85215</v>
          </cell>
          <cell r="D43">
            <v>101879</v>
          </cell>
          <cell r="E43">
            <v>101879</v>
          </cell>
          <cell r="F43">
            <v>101879</v>
          </cell>
          <cell r="G43">
            <v>101879</v>
          </cell>
          <cell r="H43">
            <v>101879</v>
          </cell>
          <cell r="I43">
            <v>101879</v>
          </cell>
          <cell r="J43">
            <v>101879</v>
          </cell>
          <cell r="K43">
            <v>101879</v>
          </cell>
          <cell r="L43">
            <v>142418</v>
          </cell>
          <cell r="M43">
            <v>142389</v>
          </cell>
          <cell r="N43">
            <v>101879</v>
          </cell>
          <cell r="O43">
            <v>1286933</v>
          </cell>
          <cell r="Q43" t="str">
            <v>Medicaid Tax</v>
          </cell>
          <cell r="R43">
            <v>85215</v>
          </cell>
          <cell r="S43">
            <v>187094</v>
          </cell>
          <cell r="T43">
            <v>288973</v>
          </cell>
          <cell r="U43">
            <v>390852</v>
          </cell>
          <cell r="V43">
            <v>492731</v>
          </cell>
          <cell r="W43">
            <v>594610</v>
          </cell>
          <cell r="X43">
            <v>696489</v>
          </cell>
          <cell r="Y43">
            <v>798368</v>
          </cell>
          <cell r="Z43">
            <v>900247</v>
          </cell>
          <cell r="AA43">
            <v>1042665</v>
          </cell>
          <cell r="AB43">
            <v>1185054</v>
          </cell>
          <cell r="AC43">
            <v>1286933</v>
          </cell>
        </row>
        <row r="44">
          <cell r="B44" t="str">
            <v>Physicians Fee</v>
          </cell>
          <cell r="C44">
            <v>156720</v>
          </cell>
          <cell r="D44">
            <v>158656</v>
          </cell>
          <cell r="E44">
            <v>165010</v>
          </cell>
          <cell r="F44">
            <v>163340</v>
          </cell>
          <cell r="G44">
            <v>161197</v>
          </cell>
          <cell r="H44">
            <v>160967</v>
          </cell>
          <cell r="I44">
            <v>155319</v>
          </cell>
          <cell r="J44">
            <v>162525</v>
          </cell>
          <cell r="K44">
            <v>166097</v>
          </cell>
          <cell r="L44">
            <v>163492</v>
          </cell>
          <cell r="M44">
            <v>164084</v>
          </cell>
          <cell r="N44">
            <v>200842</v>
          </cell>
          <cell r="O44">
            <v>1978249</v>
          </cell>
          <cell r="Q44" t="str">
            <v>Physicians Fee</v>
          </cell>
          <cell r="R44">
            <v>156720</v>
          </cell>
          <cell r="S44">
            <v>315376</v>
          </cell>
          <cell r="T44">
            <v>480386</v>
          </cell>
          <cell r="U44">
            <v>643726</v>
          </cell>
          <cell r="V44">
            <v>804923</v>
          </cell>
          <cell r="W44">
            <v>965890</v>
          </cell>
          <cell r="X44">
            <v>1121209</v>
          </cell>
          <cell r="Y44">
            <v>1283734</v>
          </cell>
          <cell r="Z44">
            <v>1449831</v>
          </cell>
          <cell r="AA44">
            <v>1613323</v>
          </cell>
          <cell r="AB44">
            <v>1777407</v>
          </cell>
          <cell r="AC44">
            <v>1978249</v>
          </cell>
        </row>
        <row r="45">
          <cell r="B45" t="str">
            <v>Provision for Bad Debts</v>
          </cell>
          <cell r="C45">
            <v>102875</v>
          </cell>
          <cell r="D45">
            <v>108234</v>
          </cell>
          <cell r="E45">
            <v>108767</v>
          </cell>
          <cell r="F45">
            <v>173820</v>
          </cell>
          <cell r="G45">
            <v>33126</v>
          </cell>
          <cell r="H45">
            <v>117888</v>
          </cell>
          <cell r="I45">
            <v>71160</v>
          </cell>
          <cell r="J45">
            <v>50810</v>
          </cell>
          <cell r="K45">
            <v>133410</v>
          </cell>
          <cell r="L45">
            <v>94134</v>
          </cell>
          <cell r="M45">
            <v>148194</v>
          </cell>
          <cell r="N45">
            <v>132505</v>
          </cell>
          <cell r="O45">
            <v>1274923</v>
          </cell>
          <cell r="Q45" t="str">
            <v>Provision for Bad Debts</v>
          </cell>
          <cell r="R45">
            <v>102875</v>
          </cell>
          <cell r="S45">
            <v>211109</v>
          </cell>
          <cell r="T45">
            <v>319876</v>
          </cell>
          <cell r="U45">
            <v>493696</v>
          </cell>
          <cell r="V45">
            <v>526822</v>
          </cell>
          <cell r="W45">
            <v>644710</v>
          </cell>
          <cell r="X45">
            <v>715870</v>
          </cell>
          <cell r="Y45">
            <v>766680</v>
          </cell>
          <cell r="Z45">
            <v>900090</v>
          </cell>
          <cell r="AA45">
            <v>994224</v>
          </cell>
          <cell r="AB45">
            <v>1142418</v>
          </cell>
          <cell r="AC45">
            <v>1274923</v>
          </cell>
        </row>
        <row r="46">
          <cell r="B46" t="str">
            <v>Interest Expense</v>
          </cell>
          <cell r="C46">
            <v>23261</v>
          </cell>
          <cell r="D46">
            <v>21222</v>
          </cell>
          <cell r="E46">
            <v>23096</v>
          </cell>
          <cell r="F46">
            <v>16894</v>
          </cell>
          <cell r="G46">
            <v>16228</v>
          </cell>
          <cell r="H46">
            <v>40321</v>
          </cell>
          <cell r="I46">
            <v>40520</v>
          </cell>
          <cell r="J46">
            <v>40864</v>
          </cell>
          <cell r="K46">
            <v>40374</v>
          </cell>
          <cell r="L46">
            <v>41876</v>
          </cell>
          <cell r="M46">
            <v>40785</v>
          </cell>
          <cell r="N46">
            <v>23549</v>
          </cell>
          <cell r="O46">
            <v>368990</v>
          </cell>
          <cell r="Q46" t="str">
            <v>Interest Expense</v>
          </cell>
          <cell r="R46">
            <v>23261</v>
          </cell>
          <cell r="S46">
            <v>44483</v>
          </cell>
          <cell r="T46">
            <v>67579</v>
          </cell>
          <cell r="U46">
            <v>84473</v>
          </cell>
          <cell r="V46">
            <v>100701</v>
          </cell>
          <cell r="W46">
            <v>141022</v>
          </cell>
          <cell r="X46">
            <v>181542</v>
          </cell>
          <cell r="Y46">
            <v>222406</v>
          </cell>
          <cell r="Z46">
            <v>262780</v>
          </cell>
          <cell r="AA46">
            <v>304656</v>
          </cell>
          <cell r="AB46">
            <v>345441</v>
          </cell>
          <cell r="AC46">
            <v>368990</v>
          </cell>
        </row>
        <row r="47">
          <cell r="B47" t="str">
            <v>Depreciation</v>
          </cell>
          <cell r="C47">
            <v>165761</v>
          </cell>
          <cell r="D47">
            <v>165629</v>
          </cell>
          <cell r="E47">
            <v>165677</v>
          </cell>
          <cell r="F47">
            <v>166084</v>
          </cell>
          <cell r="G47">
            <v>165874</v>
          </cell>
          <cell r="H47">
            <v>164668</v>
          </cell>
          <cell r="I47">
            <v>163547</v>
          </cell>
          <cell r="J47">
            <v>163469</v>
          </cell>
          <cell r="K47">
            <v>163782</v>
          </cell>
          <cell r="L47">
            <v>164116</v>
          </cell>
          <cell r="M47">
            <v>158673</v>
          </cell>
          <cell r="N47">
            <v>164978</v>
          </cell>
          <cell r="O47">
            <v>1972258</v>
          </cell>
          <cell r="Q47" t="str">
            <v>Depreciation</v>
          </cell>
          <cell r="R47">
            <v>165761</v>
          </cell>
          <cell r="S47">
            <v>331390</v>
          </cell>
          <cell r="T47">
            <v>497067</v>
          </cell>
          <cell r="U47">
            <v>663151</v>
          </cell>
          <cell r="V47">
            <v>829025</v>
          </cell>
          <cell r="W47">
            <v>993693</v>
          </cell>
          <cell r="X47">
            <v>1157240</v>
          </cell>
          <cell r="Y47">
            <v>1320709</v>
          </cell>
          <cell r="Z47">
            <v>1484491</v>
          </cell>
          <cell r="AA47">
            <v>1648607</v>
          </cell>
          <cell r="AB47">
            <v>1807280</v>
          </cell>
          <cell r="AC47">
            <v>1972258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</row>
        <row r="50">
          <cell r="C50">
            <v>4072021</v>
          </cell>
          <cell r="D50">
            <v>3890107</v>
          </cell>
          <cell r="E50">
            <v>3933207</v>
          </cell>
          <cell r="F50">
            <v>4115635</v>
          </cell>
          <cell r="G50">
            <v>3803289</v>
          </cell>
          <cell r="H50">
            <v>4143277</v>
          </cell>
          <cell r="I50">
            <v>4007997</v>
          </cell>
          <cell r="J50">
            <v>3928640</v>
          </cell>
          <cell r="K50">
            <v>3961428</v>
          </cell>
          <cell r="L50">
            <v>4073331</v>
          </cell>
          <cell r="M50">
            <v>4166499</v>
          </cell>
          <cell r="N50">
            <v>4100408</v>
          </cell>
          <cell r="O50">
            <v>48195839</v>
          </cell>
          <cell r="Q50" t="str">
            <v>TOTAL OPERATING EXPENSES</v>
          </cell>
          <cell r="R50">
            <v>4072021</v>
          </cell>
          <cell r="S50">
            <v>7962128</v>
          </cell>
          <cell r="T50">
            <v>11895335</v>
          </cell>
          <cell r="U50">
            <v>16010970</v>
          </cell>
          <cell r="V50">
            <v>19814259</v>
          </cell>
          <cell r="W50">
            <v>23957536</v>
          </cell>
          <cell r="X50">
            <v>27965533</v>
          </cell>
          <cell r="Y50">
            <v>31894173</v>
          </cell>
          <cell r="Z50">
            <v>35855601</v>
          </cell>
          <cell r="AA50">
            <v>39928932</v>
          </cell>
          <cell r="AB50">
            <v>44095431</v>
          </cell>
          <cell r="AC50">
            <v>48195839</v>
          </cell>
        </row>
        <row r="52">
          <cell r="C52">
            <v>-13620</v>
          </cell>
          <cell r="D52">
            <v>-128873</v>
          </cell>
          <cell r="E52">
            <v>-172828</v>
          </cell>
          <cell r="F52">
            <v>-160741</v>
          </cell>
          <cell r="G52">
            <v>-21780</v>
          </cell>
          <cell r="H52">
            <v>190981</v>
          </cell>
          <cell r="I52">
            <v>49583</v>
          </cell>
          <cell r="J52">
            <v>-71084</v>
          </cell>
          <cell r="K52">
            <v>-117091</v>
          </cell>
          <cell r="L52">
            <v>-250230</v>
          </cell>
          <cell r="M52">
            <v>226655</v>
          </cell>
          <cell r="N52">
            <v>-243381</v>
          </cell>
          <cell r="O52">
            <v>-712409</v>
          </cell>
          <cell r="Q52" t="str">
            <v xml:space="preserve">NET OPERATING INCOME </v>
          </cell>
          <cell r="R52">
            <v>-13620</v>
          </cell>
          <cell r="S52">
            <v>-142493</v>
          </cell>
          <cell r="T52">
            <v>-315321</v>
          </cell>
          <cell r="U52">
            <v>-476062</v>
          </cell>
          <cell r="V52">
            <v>-497842</v>
          </cell>
          <cell r="W52">
            <v>-306861</v>
          </cell>
          <cell r="X52">
            <v>-257278</v>
          </cell>
          <cell r="Y52">
            <v>-328362</v>
          </cell>
          <cell r="Z52">
            <v>-445453</v>
          </cell>
          <cell r="AA52">
            <v>-695683</v>
          </cell>
          <cell r="AB52">
            <v>-469028</v>
          </cell>
          <cell r="AC52">
            <v>-712409</v>
          </cell>
        </row>
        <row r="53">
          <cell r="B53" t="str">
            <v>Medicare Prior Years Settlement</v>
          </cell>
          <cell r="Q53" t="str">
            <v>Medicare Prior Years Settlement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4">
          <cell r="Q54" t="str">
            <v>NET OPERATING INCOME AFTER MEDICARE SETTLEMENT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</row>
        <row r="55">
          <cell r="B55" t="str">
            <v>Non Operating Income</v>
          </cell>
          <cell r="C55">
            <v>25484</v>
          </cell>
          <cell r="D55">
            <v>37353</v>
          </cell>
          <cell r="E55">
            <v>91166</v>
          </cell>
          <cell r="F55">
            <v>27075</v>
          </cell>
          <cell r="G55">
            <v>2361</v>
          </cell>
          <cell r="H55">
            <v>-109979</v>
          </cell>
          <cell r="I55">
            <v>28429</v>
          </cell>
          <cell r="J55">
            <v>44491</v>
          </cell>
          <cell r="K55">
            <v>11767</v>
          </cell>
          <cell r="L55">
            <v>24022</v>
          </cell>
          <cell r="M55">
            <v>11778</v>
          </cell>
          <cell r="N55">
            <v>-11567</v>
          </cell>
          <cell r="O55">
            <v>182380</v>
          </cell>
          <cell r="Q55" t="str">
            <v>Non Operating Income</v>
          </cell>
          <cell r="R55">
            <v>25484</v>
          </cell>
          <cell r="S55">
            <v>62837</v>
          </cell>
          <cell r="T55">
            <v>154003</v>
          </cell>
          <cell r="U55">
            <v>181078</v>
          </cell>
          <cell r="V55">
            <v>183439</v>
          </cell>
          <cell r="W55">
            <v>73460</v>
          </cell>
          <cell r="X55">
            <v>101889</v>
          </cell>
          <cell r="Y55">
            <v>146380</v>
          </cell>
          <cell r="Z55">
            <v>158147</v>
          </cell>
          <cell r="AA55">
            <v>182169</v>
          </cell>
          <cell r="AB55">
            <v>193947</v>
          </cell>
          <cell r="AC55">
            <v>182380</v>
          </cell>
        </row>
        <row r="57">
          <cell r="C57">
            <v>11864</v>
          </cell>
          <cell r="D57">
            <v>-91520</v>
          </cell>
          <cell r="E57">
            <v>-81662</v>
          </cell>
          <cell r="F57">
            <v>-133666</v>
          </cell>
          <cell r="G57">
            <v>-19419</v>
          </cell>
          <cell r="H57">
            <v>81002</v>
          </cell>
          <cell r="I57">
            <v>78012</v>
          </cell>
          <cell r="J57">
            <v>-26593</v>
          </cell>
          <cell r="K57">
            <v>-105324</v>
          </cell>
          <cell r="L57">
            <v>-226208</v>
          </cell>
          <cell r="M57">
            <v>238433</v>
          </cell>
          <cell r="N57">
            <v>-254948</v>
          </cell>
          <cell r="O57">
            <v>-530029</v>
          </cell>
          <cell r="Q57" t="str">
            <v>EXCESS OF REVENUES OVER EXPENSES</v>
          </cell>
          <cell r="R57">
            <v>11864</v>
          </cell>
          <cell r="S57">
            <v>-79656</v>
          </cell>
          <cell r="T57">
            <v>-161318</v>
          </cell>
          <cell r="U57">
            <v>-294984</v>
          </cell>
          <cell r="V57">
            <v>-314403</v>
          </cell>
          <cell r="W57">
            <v>-233401</v>
          </cell>
          <cell r="X57">
            <v>-155389</v>
          </cell>
          <cell r="Y57">
            <v>-181982</v>
          </cell>
          <cell r="Z57">
            <v>-287306</v>
          </cell>
          <cell r="AA57">
            <v>-513514</v>
          </cell>
          <cell r="AB57">
            <v>-275081</v>
          </cell>
          <cell r="AC57">
            <v>-530029</v>
          </cell>
        </row>
        <row r="59">
          <cell r="B59" t="str">
            <v>Unrealized Gains/(Losses) on Investments</v>
          </cell>
          <cell r="C59">
            <v>-94280</v>
          </cell>
          <cell r="D59">
            <v>150819</v>
          </cell>
          <cell r="E59">
            <v>55859</v>
          </cell>
          <cell r="F59">
            <v>107195</v>
          </cell>
          <cell r="G59">
            <v>-113941</v>
          </cell>
          <cell r="H59">
            <v>213371</v>
          </cell>
          <cell r="I59">
            <v>107501</v>
          </cell>
          <cell r="J59">
            <v>-276535</v>
          </cell>
          <cell r="K59">
            <v>-149512</v>
          </cell>
          <cell r="L59">
            <v>246248</v>
          </cell>
          <cell r="M59">
            <v>-125903</v>
          </cell>
          <cell r="N59">
            <v>165706</v>
          </cell>
          <cell r="O59">
            <v>286528</v>
          </cell>
          <cell r="Q59" t="str">
            <v>Unrealized Gains/(Losses) on Investments</v>
          </cell>
          <cell r="R59">
            <v>-94280</v>
          </cell>
          <cell r="S59">
            <v>56539</v>
          </cell>
          <cell r="T59">
            <v>112398</v>
          </cell>
          <cell r="U59">
            <v>219593</v>
          </cell>
          <cell r="V59">
            <v>105652</v>
          </cell>
          <cell r="W59">
            <v>319023</v>
          </cell>
          <cell r="X59">
            <v>426524</v>
          </cell>
          <cell r="Y59">
            <v>149989</v>
          </cell>
          <cell r="Z59">
            <v>477</v>
          </cell>
          <cell r="AA59">
            <v>246725</v>
          </cell>
          <cell r="AB59">
            <v>120822</v>
          </cell>
          <cell r="AC59">
            <v>286528</v>
          </cell>
        </row>
        <row r="60">
          <cell r="B60" t="str">
            <v>Unrealized Gains/(Losses) on Derivactives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H60">
            <v>-37196</v>
          </cell>
          <cell r="I60">
            <v>-63851</v>
          </cell>
          <cell r="J60">
            <v>-71752</v>
          </cell>
          <cell r="K60">
            <v>-162197</v>
          </cell>
          <cell r="L60">
            <v>-70943</v>
          </cell>
          <cell r="M60">
            <v>-110092</v>
          </cell>
          <cell r="N60">
            <v>-124062</v>
          </cell>
          <cell r="O60">
            <v>-640093</v>
          </cell>
          <cell r="Q60" t="str">
            <v>Unrealized Gains/(Losses) on Derivactives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-37196</v>
          </cell>
          <cell r="X60">
            <v>-101047</v>
          </cell>
          <cell r="Y60">
            <v>-172799</v>
          </cell>
          <cell r="Z60">
            <v>-334996</v>
          </cell>
          <cell r="AA60">
            <v>-405939</v>
          </cell>
          <cell r="AB60">
            <v>-516031</v>
          </cell>
          <cell r="AC60">
            <v>-640093</v>
          </cell>
        </row>
        <row r="61">
          <cell r="B61" t="str">
            <v>Equity in income of subsidiary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7570</v>
          </cell>
          <cell r="O61">
            <v>7570</v>
          </cell>
          <cell r="Q61" t="str">
            <v>Equity in income of subsidiary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7570</v>
          </cell>
        </row>
        <row r="62">
          <cell r="B62" t="str">
            <v>Excess of additional pension liability over unrecognized pension cost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-3340826</v>
          </cell>
          <cell r="O62">
            <v>-3340826</v>
          </cell>
          <cell r="Q62" t="str">
            <v>Excess of additional pension liability over unrecognized pension cost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-3340826</v>
          </cell>
        </row>
        <row r="63">
          <cell r="B63" t="str">
            <v>Other extradordinary expenses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-243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-243</v>
          </cell>
          <cell r="Q63" t="str">
            <v>Other extradordinary expenses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-243</v>
          </cell>
          <cell r="W63">
            <v>-243</v>
          </cell>
          <cell r="X63">
            <v>-243</v>
          </cell>
          <cell r="Y63">
            <v>-243</v>
          </cell>
          <cell r="Z63">
            <v>-243</v>
          </cell>
          <cell r="AA63">
            <v>-243</v>
          </cell>
          <cell r="AB63">
            <v>-243</v>
          </cell>
          <cell r="AC63">
            <v>-243</v>
          </cell>
        </row>
        <row r="64">
          <cell r="B64" t="str">
            <v>Assets Released from Restrictions for Capital Acquisitions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33900</v>
          </cell>
          <cell r="O64">
            <v>33900</v>
          </cell>
          <cell r="Q64" t="str">
            <v>Assets Released from Restrictions for Capital Acquisitions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33900</v>
          </cell>
        </row>
        <row r="66">
          <cell r="Q66" t="str">
            <v>INCREASE IN UNRESTRICTED NET ASSETS</v>
          </cell>
          <cell r="R66">
            <v>-82416</v>
          </cell>
          <cell r="S66">
            <v>-23117</v>
          </cell>
          <cell r="T66">
            <v>-48920</v>
          </cell>
          <cell r="U66">
            <v>-75391</v>
          </cell>
          <cell r="V66">
            <v>-208994</v>
          </cell>
          <cell r="W66">
            <v>48183</v>
          </cell>
          <cell r="X66">
            <v>169845</v>
          </cell>
          <cell r="Y66">
            <v>-205035</v>
          </cell>
          <cell r="Z66">
            <v>-622068</v>
          </cell>
          <cell r="AA66">
            <v>-672971</v>
          </cell>
          <cell r="AB66">
            <v>-670533</v>
          </cell>
          <cell r="AC66">
            <v>-4183193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Model w.o Inc w. ACO CAs"/>
      <sheetName val="Price Sensitivity Analysis"/>
      <sheetName val="NPSR Rate Argumentation"/>
      <sheetName val="MCR-MCD CA Calc"/>
      <sheetName val="Statistics Projections"/>
      <sheetName val="Stats Data"/>
      <sheetName val="Revenue Data - FY19 MAR-YTD "/>
    </sheetNames>
    <sheetDataSet>
      <sheetData sheetId="0"/>
      <sheetData sheetId="1">
        <row r="13">
          <cell r="M13">
            <v>1.04</v>
          </cell>
        </row>
        <row r="14">
          <cell r="M14">
            <v>1.03</v>
          </cell>
        </row>
      </sheetData>
      <sheetData sheetId="2"/>
      <sheetData sheetId="3"/>
      <sheetData sheetId="4">
        <row r="3">
          <cell r="J3">
            <v>630</v>
          </cell>
          <cell r="L3">
            <v>1348</v>
          </cell>
        </row>
        <row r="5">
          <cell r="J5">
            <v>2978</v>
          </cell>
          <cell r="L5">
            <v>5850</v>
          </cell>
        </row>
        <row r="12">
          <cell r="J12">
            <v>1487</v>
          </cell>
          <cell r="L12">
            <v>3000</v>
          </cell>
        </row>
        <row r="15">
          <cell r="J15">
            <v>1047</v>
          </cell>
          <cell r="L15">
            <v>2112</v>
          </cell>
        </row>
        <row r="17">
          <cell r="J17">
            <v>1831</v>
          </cell>
          <cell r="L17">
            <v>3659</v>
          </cell>
        </row>
        <row r="19">
          <cell r="J19">
            <v>13</v>
          </cell>
          <cell r="L19">
            <v>25</v>
          </cell>
        </row>
        <row r="22">
          <cell r="J22">
            <v>2339</v>
          </cell>
          <cell r="L22">
            <v>4755</v>
          </cell>
        </row>
        <row r="23">
          <cell r="J23">
            <v>2335</v>
          </cell>
          <cell r="L23">
            <v>4729</v>
          </cell>
        </row>
        <row r="25">
          <cell r="J25">
            <v>18</v>
          </cell>
          <cell r="L25">
            <v>46</v>
          </cell>
        </row>
        <row r="26">
          <cell r="J26">
            <v>813</v>
          </cell>
          <cell r="L26">
            <v>1710</v>
          </cell>
        </row>
        <row r="28">
          <cell r="J28">
            <v>2</v>
          </cell>
          <cell r="L28">
            <v>3</v>
          </cell>
        </row>
        <row r="31">
          <cell r="J31">
            <v>1575</v>
          </cell>
          <cell r="L31">
            <v>7574</v>
          </cell>
        </row>
        <row r="32">
          <cell r="J32">
            <v>36580</v>
          </cell>
          <cell r="L32">
            <v>78042</v>
          </cell>
        </row>
        <row r="33">
          <cell r="J33">
            <v>755</v>
          </cell>
          <cell r="L33">
            <v>1613.6730135142573</v>
          </cell>
        </row>
        <row r="35">
          <cell r="J35">
            <v>61</v>
          </cell>
          <cell r="L35">
            <v>178</v>
          </cell>
        </row>
        <row r="41">
          <cell r="J41">
            <v>179</v>
          </cell>
          <cell r="L41">
            <v>340</v>
          </cell>
        </row>
        <row r="47">
          <cell r="J47">
            <v>5836</v>
          </cell>
          <cell r="L47">
            <v>11561</v>
          </cell>
        </row>
        <row r="53">
          <cell r="J53">
            <v>49</v>
          </cell>
          <cell r="L53">
            <v>91</v>
          </cell>
        </row>
        <row r="59">
          <cell r="J59">
            <v>132</v>
          </cell>
          <cell r="L59">
            <v>262</v>
          </cell>
        </row>
        <row r="66">
          <cell r="J66">
            <v>1610</v>
          </cell>
          <cell r="L66">
            <v>3625</v>
          </cell>
        </row>
        <row r="67">
          <cell r="J67">
            <v>25187</v>
          </cell>
          <cell r="L67">
            <v>50450</v>
          </cell>
        </row>
        <row r="68">
          <cell r="J68">
            <v>973</v>
          </cell>
          <cell r="L68">
            <v>2220</v>
          </cell>
        </row>
        <row r="69">
          <cell r="J69">
            <v>1625</v>
          </cell>
          <cell r="L69">
            <v>3675</v>
          </cell>
        </row>
        <row r="72">
          <cell r="J72">
            <v>31046.82</v>
          </cell>
          <cell r="L72">
            <v>62000</v>
          </cell>
        </row>
        <row r="73">
          <cell r="J73">
            <v>31885</v>
          </cell>
          <cell r="L73">
            <v>63000</v>
          </cell>
        </row>
        <row r="74">
          <cell r="J74">
            <v>33199.370000000003</v>
          </cell>
          <cell r="L74">
            <v>65000</v>
          </cell>
        </row>
        <row r="75">
          <cell r="J75">
            <v>59513.49</v>
          </cell>
          <cell r="L75">
            <v>119000</v>
          </cell>
        </row>
        <row r="78">
          <cell r="J78">
            <v>962</v>
          </cell>
          <cell r="L78">
            <v>2065</v>
          </cell>
        </row>
        <row r="79">
          <cell r="J79">
            <v>549</v>
          </cell>
          <cell r="L79">
            <v>1136</v>
          </cell>
        </row>
        <row r="80">
          <cell r="J80">
            <v>377</v>
          </cell>
          <cell r="L80">
            <v>737</v>
          </cell>
        </row>
        <row r="81">
          <cell r="J81">
            <v>2432</v>
          </cell>
          <cell r="L81">
            <v>4612</v>
          </cell>
        </row>
        <row r="84">
          <cell r="J84">
            <v>161</v>
          </cell>
          <cell r="L84">
            <v>350</v>
          </cell>
        </row>
        <row r="85">
          <cell r="J85">
            <v>11868</v>
          </cell>
          <cell r="L85">
            <v>23000</v>
          </cell>
        </row>
        <row r="86">
          <cell r="J86">
            <v>5563</v>
          </cell>
          <cell r="L86">
            <v>11500</v>
          </cell>
        </row>
        <row r="87">
          <cell r="J87">
            <v>2025</v>
          </cell>
          <cell r="L87">
            <v>4500</v>
          </cell>
        </row>
        <row r="90">
          <cell r="J90">
            <v>121</v>
          </cell>
          <cell r="L90">
            <v>250</v>
          </cell>
        </row>
        <row r="91">
          <cell r="J91">
            <v>613</v>
          </cell>
          <cell r="L91">
            <v>1000</v>
          </cell>
        </row>
        <row r="92">
          <cell r="J92">
            <v>5614</v>
          </cell>
          <cell r="L92">
            <v>11357</v>
          </cell>
        </row>
        <row r="93">
          <cell r="J93">
            <v>2161</v>
          </cell>
          <cell r="L93">
            <v>4650</v>
          </cell>
        </row>
        <row r="96">
          <cell r="J96">
            <v>10</v>
          </cell>
          <cell r="L96">
            <v>20</v>
          </cell>
        </row>
        <row r="97">
          <cell r="J97">
            <v>133</v>
          </cell>
          <cell r="L97">
            <v>200</v>
          </cell>
        </row>
        <row r="98">
          <cell r="J98">
            <v>438</v>
          </cell>
          <cell r="L98">
            <v>850</v>
          </cell>
        </row>
        <row r="99">
          <cell r="J99">
            <v>81</v>
          </cell>
          <cell r="L99">
            <v>171</v>
          </cell>
        </row>
        <row r="102">
          <cell r="J102">
            <v>459</v>
          </cell>
          <cell r="L102">
            <v>1000</v>
          </cell>
        </row>
        <row r="105">
          <cell r="J105">
            <v>708</v>
          </cell>
          <cell r="L105">
            <v>1200</v>
          </cell>
        </row>
        <row r="110">
          <cell r="J110">
            <v>6819</v>
          </cell>
          <cell r="L110">
            <v>16097.971999999998</v>
          </cell>
        </row>
        <row r="114">
          <cell r="J114">
            <v>1846</v>
          </cell>
          <cell r="L114">
            <v>3454</v>
          </cell>
        </row>
        <row r="116">
          <cell r="J116">
            <v>583</v>
          </cell>
          <cell r="L116">
            <v>2013</v>
          </cell>
        </row>
        <row r="118">
          <cell r="J118">
            <v>261</v>
          </cell>
          <cell r="L118">
            <v>462</v>
          </cell>
        </row>
        <row r="122">
          <cell r="J122">
            <v>154</v>
          </cell>
          <cell r="L122">
            <v>737</v>
          </cell>
        </row>
        <row r="124">
          <cell r="J124">
            <v>2178</v>
          </cell>
          <cell r="L124">
            <v>4264</v>
          </cell>
        </row>
        <row r="126">
          <cell r="J126">
            <v>570</v>
          </cell>
          <cell r="L126">
            <v>1260</v>
          </cell>
        </row>
        <row r="128">
          <cell r="J128">
            <v>194</v>
          </cell>
          <cell r="L128">
            <v>396</v>
          </cell>
        </row>
        <row r="138">
          <cell r="J138">
            <v>1275</v>
          </cell>
          <cell r="L138">
            <v>2241</v>
          </cell>
        </row>
        <row r="142">
          <cell r="J142">
            <v>0</v>
          </cell>
          <cell r="L142">
            <v>0</v>
          </cell>
        </row>
        <row r="146">
          <cell r="J146">
            <v>3100</v>
          </cell>
          <cell r="L146">
            <v>6740</v>
          </cell>
        </row>
        <row r="148">
          <cell r="J148">
            <v>5238</v>
          </cell>
          <cell r="L148">
            <v>11514.259999999998</v>
          </cell>
        </row>
      </sheetData>
      <sheetData sheetId="5"/>
      <sheetData sheetId="6">
        <row r="3">
          <cell r="C3" t="str">
            <v>41001101</v>
          </cell>
          <cell r="D3">
            <v>-0.11</v>
          </cell>
          <cell r="E3">
            <v>-85489</v>
          </cell>
          <cell r="F3">
            <v>-69088</v>
          </cell>
          <cell r="G3">
            <v>-72074</v>
          </cell>
          <cell r="H3">
            <v>-865625</v>
          </cell>
          <cell r="I3"/>
          <cell r="J3">
            <v>-3675</v>
          </cell>
          <cell r="K3"/>
          <cell r="L3">
            <v>-85489</v>
          </cell>
          <cell r="M3">
            <v>-69088</v>
          </cell>
          <cell r="N3">
            <v>-72074</v>
          </cell>
          <cell r="O3">
            <v>-865625</v>
          </cell>
          <cell r="P3">
            <v>-3675.11</v>
          </cell>
          <cell r="Q3">
            <v>-1095951.1100000001</v>
          </cell>
          <cell r="R3"/>
          <cell r="S3">
            <v>7.8004392002486309E-2</v>
          </cell>
          <cell r="T3">
            <v>6.3039308386666992E-2</v>
          </cell>
          <cell r="U3">
            <v>6.5763882478297772E-2</v>
          </cell>
          <cell r="V3">
            <v>0.78983906499259804</v>
          </cell>
          <cell r="W3">
            <v>3.3533521399508413E-3</v>
          </cell>
        </row>
        <row r="4">
          <cell r="C4" t="str">
            <v>41001210</v>
          </cell>
          <cell r="D4"/>
          <cell r="E4">
            <v>-8718</v>
          </cell>
          <cell r="F4">
            <v>-4593</v>
          </cell>
          <cell r="G4">
            <v>-19048</v>
          </cell>
          <cell r="H4">
            <v>-3649</v>
          </cell>
          <cell r="I4"/>
          <cell r="J4">
            <v>0</v>
          </cell>
          <cell r="K4"/>
          <cell r="L4">
            <v>-8718</v>
          </cell>
          <cell r="M4">
            <v>-4593</v>
          </cell>
          <cell r="N4">
            <v>-19048</v>
          </cell>
          <cell r="O4">
            <v>-3649</v>
          </cell>
          <cell r="P4">
            <v>0</v>
          </cell>
          <cell r="Q4">
            <v>-36008</v>
          </cell>
          <cell r="R4"/>
          <cell r="S4">
            <v>0.24211286380804264</v>
          </cell>
          <cell r="T4">
            <v>0.12755498778049323</v>
          </cell>
          <cell r="U4">
            <v>0.52899355698733619</v>
          </cell>
          <cell r="V4">
            <v>0.10133859142412797</v>
          </cell>
          <cell r="W4">
            <v>0</v>
          </cell>
        </row>
        <row r="5">
          <cell r="C5" t="str">
            <v>41001211</v>
          </cell>
          <cell r="D5"/>
          <cell r="E5">
            <v>-54879.96</v>
          </cell>
          <cell r="F5">
            <v>-71101.69</v>
          </cell>
          <cell r="G5">
            <v>-11955.39</v>
          </cell>
          <cell r="H5">
            <v>-58089.04</v>
          </cell>
          <cell r="I5"/>
          <cell r="J5"/>
          <cell r="K5"/>
          <cell r="L5">
            <v>-54879.96</v>
          </cell>
          <cell r="M5">
            <v>-71101.69</v>
          </cell>
          <cell r="N5">
            <v>-11955.39</v>
          </cell>
          <cell r="O5">
            <v>-58089.04</v>
          </cell>
          <cell r="P5">
            <v>0</v>
          </cell>
          <cell r="Q5">
            <v>-196026.08</v>
          </cell>
          <cell r="R5"/>
          <cell r="S5">
            <v>0.27996254375948343</v>
          </cell>
          <cell r="T5">
            <v>0.36271546112639708</v>
          </cell>
          <cell r="U5">
            <v>6.0988772514351156E-2</v>
          </cell>
          <cell r="V5">
            <v>0.29633322259976841</v>
          </cell>
          <cell r="W5">
            <v>0</v>
          </cell>
        </row>
        <row r="6">
          <cell r="C6" t="str">
            <v>41001215</v>
          </cell>
          <cell r="D6"/>
          <cell r="E6">
            <v>-8790.08</v>
          </cell>
          <cell r="F6">
            <v>-10712.91</v>
          </cell>
          <cell r="G6">
            <v>-2261.64</v>
          </cell>
          <cell r="H6">
            <v>-11876.11</v>
          </cell>
          <cell r="I6"/>
          <cell r="J6"/>
          <cell r="K6"/>
          <cell r="L6">
            <v>-8790.08</v>
          </cell>
          <cell r="M6">
            <v>-10712.91</v>
          </cell>
          <cell r="N6">
            <v>-2261.64</v>
          </cell>
          <cell r="O6">
            <v>-11876.11</v>
          </cell>
          <cell r="P6">
            <v>0</v>
          </cell>
          <cell r="Q6">
            <v>-33640.74</v>
          </cell>
          <cell r="R6"/>
          <cell r="S6">
            <v>0.26129270640301017</v>
          </cell>
          <cell r="T6">
            <v>0.31845048592866865</v>
          </cell>
          <cell r="U6">
            <v>6.7229198882069782E-2</v>
          </cell>
          <cell r="V6">
            <v>0.35302760878625145</v>
          </cell>
          <cell r="W6">
            <v>0</v>
          </cell>
        </row>
        <row r="7">
          <cell r="C7" t="str">
            <v>41001216</v>
          </cell>
          <cell r="D7"/>
          <cell r="E7">
            <v>-66453</v>
          </cell>
          <cell r="F7">
            <v>-17244</v>
          </cell>
          <cell r="G7">
            <v>-40718</v>
          </cell>
          <cell r="H7">
            <v>-209981</v>
          </cell>
          <cell r="I7"/>
          <cell r="J7">
            <v>-7921</v>
          </cell>
          <cell r="K7"/>
          <cell r="L7">
            <v>-66453</v>
          </cell>
          <cell r="M7">
            <v>-17244</v>
          </cell>
          <cell r="N7">
            <v>-40718</v>
          </cell>
          <cell r="O7">
            <v>-209981</v>
          </cell>
          <cell r="P7">
            <v>-7921</v>
          </cell>
          <cell r="Q7">
            <v>-342317</v>
          </cell>
          <cell r="R7"/>
          <cell r="S7">
            <v>0.19412708103892007</v>
          </cell>
          <cell r="T7">
            <v>5.0374360607273377E-2</v>
          </cell>
          <cell r="U7">
            <v>0.11894822635159807</v>
          </cell>
          <cell r="V7">
            <v>0.61341096118510041</v>
          </cell>
          <cell r="W7">
            <v>2.313937081710812E-2</v>
          </cell>
        </row>
        <row r="8">
          <cell r="C8" t="str">
            <v>41001217</v>
          </cell>
          <cell r="D8"/>
          <cell r="E8">
            <v>-35284</v>
          </cell>
          <cell r="F8">
            <v>-10652</v>
          </cell>
          <cell r="G8">
            <v>-26359</v>
          </cell>
          <cell r="H8">
            <v>-200654</v>
          </cell>
          <cell r="I8"/>
          <cell r="J8">
            <v>-2756</v>
          </cell>
          <cell r="K8"/>
          <cell r="L8">
            <v>-35284</v>
          </cell>
          <cell r="M8">
            <v>-10652</v>
          </cell>
          <cell r="N8">
            <v>-26359</v>
          </cell>
          <cell r="O8">
            <v>-200654</v>
          </cell>
          <cell r="P8">
            <v>-2756</v>
          </cell>
          <cell r="Q8">
            <v>-275705</v>
          </cell>
          <cell r="R8"/>
          <cell r="S8">
            <v>0.12797736711340019</v>
          </cell>
          <cell r="T8">
            <v>3.8635498086723126E-2</v>
          </cell>
          <cell r="U8">
            <v>9.5605810558386684E-2</v>
          </cell>
          <cell r="V8">
            <v>0.72778513265990818</v>
          </cell>
          <cell r="W8">
            <v>9.9961915815817634E-3</v>
          </cell>
        </row>
        <row r="9">
          <cell r="C9" t="str">
            <v>41001219</v>
          </cell>
          <cell r="D9"/>
          <cell r="E9">
            <v>-9220.9</v>
          </cell>
          <cell r="F9">
            <v>-10990.65</v>
          </cell>
          <cell r="G9">
            <v>-7162.1</v>
          </cell>
          <cell r="H9">
            <v>-86424.6</v>
          </cell>
          <cell r="I9"/>
          <cell r="J9">
            <v>-179.65</v>
          </cell>
          <cell r="K9"/>
          <cell r="L9">
            <v>-9220.9</v>
          </cell>
          <cell r="M9">
            <v>-10990.65</v>
          </cell>
          <cell r="N9">
            <v>-7162.1</v>
          </cell>
          <cell r="O9">
            <v>-86424.6</v>
          </cell>
          <cell r="P9">
            <v>-179.65</v>
          </cell>
          <cell r="Q9">
            <v>-113977.9</v>
          </cell>
          <cell r="R9"/>
          <cell r="S9">
            <v>8.0900771114400249E-2</v>
          </cell>
          <cell r="T9">
            <v>9.6427904005952039E-2</v>
          </cell>
          <cell r="U9">
            <v>6.2837620275509556E-2</v>
          </cell>
          <cell r="V9">
            <v>0.75825752185292072</v>
          </cell>
          <cell r="W9">
            <v>1.5761827512175608E-3</v>
          </cell>
        </row>
        <row r="10">
          <cell r="C10" t="str">
            <v>41001220</v>
          </cell>
          <cell r="D10"/>
          <cell r="E10">
            <v>-5975</v>
          </cell>
          <cell r="F10">
            <v>-11507</v>
          </cell>
          <cell r="G10">
            <v>-4276</v>
          </cell>
          <cell r="H10">
            <v>-115059</v>
          </cell>
          <cell r="I10"/>
          <cell r="J10">
            <v>0</v>
          </cell>
          <cell r="K10"/>
          <cell r="L10">
            <v>-5975</v>
          </cell>
          <cell r="M10">
            <v>-11507</v>
          </cell>
          <cell r="N10">
            <v>-4276</v>
          </cell>
          <cell r="O10">
            <v>-115059</v>
          </cell>
          <cell r="P10">
            <v>0</v>
          </cell>
          <cell r="Q10">
            <v>-136817</v>
          </cell>
          <cell r="R10"/>
          <cell r="S10">
            <v>4.3671473574190343E-2</v>
          </cell>
          <cell r="T10">
            <v>8.4105045425641553E-2</v>
          </cell>
          <cell r="U10">
            <v>3.1253426109328519E-2</v>
          </cell>
          <cell r="V10">
            <v>0.84097005489083954</v>
          </cell>
          <cell r="W10">
            <v>0</v>
          </cell>
        </row>
        <row r="11">
          <cell r="C11" t="str">
            <v>41001222</v>
          </cell>
          <cell r="D11"/>
          <cell r="E11">
            <v>-3620</v>
          </cell>
          <cell r="F11">
            <v>-783</v>
          </cell>
          <cell r="G11">
            <v>-732</v>
          </cell>
          <cell r="H11">
            <v>-57365.02</v>
          </cell>
          <cell r="I11"/>
          <cell r="J11"/>
          <cell r="K11"/>
          <cell r="L11">
            <v>-3620</v>
          </cell>
          <cell r="M11">
            <v>-783</v>
          </cell>
          <cell r="N11">
            <v>-732</v>
          </cell>
          <cell r="O11">
            <v>-57365.02</v>
          </cell>
          <cell r="P11">
            <v>0</v>
          </cell>
          <cell r="Q11">
            <v>-62500.02</v>
          </cell>
          <cell r="R11"/>
          <cell r="S11">
            <v>5.7919981465605931E-2</v>
          </cell>
          <cell r="T11">
            <v>1.2527995991041284E-2</v>
          </cell>
          <cell r="U11">
            <v>1.17119962521612E-2</v>
          </cell>
          <cell r="V11">
            <v>0.91784002629119155</v>
          </cell>
          <cell r="W11">
            <v>0</v>
          </cell>
        </row>
        <row r="12">
          <cell r="C12" t="str">
            <v>41001223</v>
          </cell>
          <cell r="D12"/>
          <cell r="E12">
            <v>-2037</v>
          </cell>
          <cell r="F12">
            <v>-713</v>
          </cell>
          <cell r="G12">
            <v>-662</v>
          </cell>
          <cell r="H12">
            <v>-49610</v>
          </cell>
          <cell r="I12"/>
          <cell r="J12"/>
          <cell r="K12"/>
          <cell r="L12">
            <v>-2037</v>
          </cell>
          <cell r="M12">
            <v>-713</v>
          </cell>
          <cell r="N12">
            <v>-662</v>
          </cell>
          <cell r="O12">
            <v>-49610</v>
          </cell>
          <cell r="P12">
            <v>0</v>
          </cell>
          <cell r="Q12">
            <v>-53022</v>
          </cell>
          <cell r="R12"/>
          <cell r="S12">
            <v>3.8418015163517033E-2</v>
          </cell>
          <cell r="T12">
            <v>1.3447248312021425E-2</v>
          </cell>
          <cell r="U12">
            <v>1.2485383425747803E-2</v>
          </cell>
          <cell r="V12">
            <v>0.93564935309871378</v>
          </cell>
          <cell r="W12">
            <v>0</v>
          </cell>
        </row>
        <row r="13">
          <cell r="C13" t="str">
            <v>41001224</v>
          </cell>
          <cell r="D13"/>
          <cell r="E13"/>
          <cell r="F13"/>
          <cell r="G13"/>
          <cell r="H13">
            <v>-3381</v>
          </cell>
          <cell r="I13"/>
          <cell r="J13"/>
          <cell r="K13"/>
          <cell r="L13">
            <v>0</v>
          </cell>
          <cell r="M13">
            <v>0</v>
          </cell>
          <cell r="N13">
            <v>0</v>
          </cell>
          <cell r="O13">
            <v>-3381</v>
          </cell>
          <cell r="P13">
            <v>0</v>
          </cell>
          <cell r="Q13">
            <v>-3381</v>
          </cell>
          <cell r="R13"/>
          <cell r="S13">
            <v>0</v>
          </cell>
          <cell r="T13">
            <v>0</v>
          </cell>
          <cell r="U13">
            <v>0</v>
          </cell>
          <cell r="V13">
            <v>1</v>
          </cell>
          <cell r="W13">
            <v>0</v>
          </cell>
        </row>
        <row r="14">
          <cell r="C14"/>
          <cell r="D14"/>
          <cell r="E14"/>
          <cell r="F14"/>
          <cell r="G14"/>
          <cell r="H14"/>
          <cell r="I14"/>
          <cell r="J14"/>
          <cell r="K14"/>
          <cell r="L14">
            <v>-280466.94</v>
          </cell>
          <cell r="M14">
            <v>-207385.25</v>
          </cell>
          <cell r="N14">
            <v>-185248.13</v>
          </cell>
          <cell r="O14">
            <v>-1661713.77</v>
          </cell>
          <cell r="P14">
            <v>-14531.76</v>
          </cell>
          <cell r="Q14">
            <v>-2349345.85</v>
          </cell>
          <cell r="R14"/>
          <cell r="S14"/>
          <cell r="T14"/>
          <cell r="U14"/>
          <cell r="V14"/>
          <cell r="W14"/>
        </row>
        <row r="15">
          <cell r="C15" t="str">
            <v>42001210</v>
          </cell>
          <cell r="D15"/>
          <cell r="E15">
            <v>-379177</v>
          </cell>
          <cell r="F15">
            <v>-315630</v>
          </cell>
          <cell r="G15">
            <v>-424341</v>
          </cell>
          <cell r="H15">
            <v>-1330966</v>
          </cell>
          <cell r="I15">
            <v>486</v>
          </cell>
          <cell r="J15">
            <v>-84186</v>
          </cell>
          <cell r="K15"/>
          <cell r="L15">
            <v>-379177</v>
          </cell>
          <cell r="M15">
            <v>-315630</v>
          </cell>
          <cell r="N15">
            <v>-424341</v>
          </cell>
          <cell r="O15">
            <v>-1330966</v>
          </cell>
          <cell r="P15">
            <v>-83700</v>
          </cell>
          <cell r="Q15">
            <v>-2533814</v>
          </cell>
          <cell r="R15"/>
          <cell r="S15">
            <v>0.14964673807943282</v>
          </cell>
          <cell r="T15">
            <v>0.12456715449516026</v>
          </cell>
          <cell r="U15">
            <v>0.16747125084950987</v>
          </cell>
          <cell r="V15">
            <v>0.52528165050789044</v>
          </cell>
          <cell r="W15">
            <v>3.3033206068006568E-2</v>
          </cell>
        </row>
        <row r="16">
          <cell r="C16" t="str">
            <v>42001211</v>
          </cell>
          <cell r="D16"/>
          <cell r="E16">
            <v>-729091.16</v>
          </cell>
          <cell r="F16">
            <v>-800042.6</v>
          </cell>
          <cell r="G16">
            <v>-276585.44</v>
          </cell>
          <cell r="H16">
            <v>-1904622.31</v>
          </cell>
          <cell r="I16"/>
          <cell r="J16">
            <v>-21645.25</v>
          </cell>
          <cell r="K16"/>
          <cell r="L16">
            <v>-729091.16</v>
          </cell>
          <cell r="M16">
            <v>-800042.6</v>
          </cell>
          <cell r="N16">
            <v>-276585.44</v>
          </cell>
          <cell r="O16">
            <v>-1904622.31</v>
          </cell>
          <cell r="P16">
            <v>-21645.25</v>
          </cell>
          <cell r="Q16">
            <v>-3731986.76</v>
          </cell>
          <cell r="R16"/>
          <cell r="S16">
            <v>0.19536274024723499</v>
          </cell>
          <cell r="T16">
            <v>0.21437444756636811</v>
          </cell>
          <cell r="U16">
            <v>7.4112117160887253E-2</v>
          </cell>
          <cell r="V16">
            <v>0.51035076823262904</v>
          </cell>
          <cell r="W16">
            <v>5.7999267928806912E-3</v>
          </cell>
        </row>
        <row r="17">
          <cell r="C17" t="str">
            <v>42001215</v>
          </cell>
          <cell r="D17"/>
          <cell r="E17">
            <v>-190182.12</v>
          </cell>
          <cell r="F17">
            <v>-183950.23</v>
          </cell>
          <cell r="G17">
            <v>-47841.57</v>
          </cell>
          <cell r="H17">
            <v>-371842.6</v>
          </cell>
          <cell r="I17"/>
          <cell r="J17">
            <v>-3782.27</v>
          </cell>
          <cell r="K17"/>
          <cell r="L17">
            <v>-190182.12</v>
          </cell>
          <cell r="M17">
            <v>-183950.23</v>
          </cell>
          <cell r="N17">
            <v>-47841.57</v>
          </cell>
          <cell r="O17">
            <v>-371842.6</v>
          </cell>
          <cell r="P17">
            <v>-3782.27</v>
          </cell>
          <cell r="Q17">
            <v>-797598.79</v>
          </cell>
          <cell r="R17"/>
          <cell r="S17">
            <v>0.2384433406675554</v>
          </cell>
          <cell r="T17">
            <v>0.23063002640713634</v>
          </cell>
          <cell r="U17">
            <v>5.9981999220435123E-2</v>
          </cell>
          <cell r="V17">
            <v>0.46620256281983574</v>
          </cell>
          <cell r="W17">
            <v>4.7420708850373257E-3</v>
          </cell>
        </row>
        <row r="18">
          <cell r="C18" t="str">
            <v>42001216</v>
          </cell>
          <cell r="D18"/>
          <cell r="E18">
            <v>-1312801</v>
          </cell>
          <cell r="F18">
            <v>-1246322.42</v>
          </cell>
          <cell r="G18">
            <v>-1026539.84</v>
          </cell>
          <cell r="H18">
            <v>-3607646.06</v>
          </cell>
          <cell r="I18">
            <v>459</v>
          </cell>
          <cell r="J18">
            <v>-137433</v>
          </cell>
          <cell r="K18"/>
          <cell r="L18">
            <v>-1312801</v>
          </cell>
          <cell r="M18">
            <v>-1246322.42</v>
          </cell>
          <cell r="N18">
            <v>-1026539.84</v>
          </cell>
          <cell r="O18">
            <v>-3607646.06</v>
          </cell>
          <cell r="P18">
            <v>-136974</v>
          </cell>
          <cell r="Q18">
            <v>-7330283.3200000003</v>
          </cell>
          <cell r="R18"/>
          <cell r="S18">
            <v>0.17909280483308795</v>
          </cell>
          <cell r="T18">
            <v>0.17002377201431279</v>
          </cell>
          <cell r="U18">
            <v>0.14004095001337546</v>
          </cell>
          <cell r="V18">
            <v>0.4921564286822136</v>
          </cell>
          <cell r="W18">
            <v>1.8686044457010154E-2</v>
          </cell>
        </row>
        <row r="19">
          <cell r="C19" t="str">
            <v>42001217</v>
          </cell>
          <cell r="D19">
            <v>0</v>
          </cell>
          <cell r="E19">
            <v>-1089866</v>
          </cell>
          <cell r="F19">
            <v>-1052516</v>
          </cell>
          <cell r="G19">
            <v>-675001</v>
          </cell>
          <cell r="H19">
            <v>-2564907</v>
          </cell>
          <cell r="I19"/>
          <cell r="J19">
            <v>-86548</v>
          </cell>
          <cell r="K19"/>
          <cell r="L19">
            <v>-1089866</v>
          </cell>
          <cell r="M19">
            <v>-1052516</v>
          </cell>
          <cell r="N19">
            <v>-675001</v>
          </cell>
          <cell r="O19">
            <v>-2564907</v>
          </cell>
          <cell r="P19">
            <v>-86548</v>
          </cell>
          <cell r="Q19">
            <v>-5468838</v>
          </cell>
          <cell r="R19"/>
          <cell r="S19">
            <v>0.19928657605143907</v>
          </cell>
          <cell r="T19">
            <v>0.19245697166381598</v>
          </cell>
          <cell r="U19">
            <v>0.12342676817269044</v>
          </cell>
          <cell r="V19">
            <v>0.46900401876961795</v>
          </cell>
          <cell r="W19">
            <v>1.5825665342436547E-2</v>
          </cell>
        </row>
        <row r="20">
          <cell r="C20" t="str">
            <v>42001219</v>
          </cell>
          <cell r="D20"/>
          <cell r="E20">
            <v>-569735.06000000006</v>
          </cell>
          <cell r="F20">
            <v>-675415.42</v>
          </cell>
          <cell r="G20">
            <v>-202871.3</v>
          </cell>
          <cell r="H20">
            <v>-3181064.18</v>
          </cell>
          <cell r="I20">
            <v>6.05</v>
          </cell>
          <cell r="J20">
            <v>-109029.5</v>
          </cell>
          <cell r="K20"/>
          <cell r="L20">
            <v>-569735.06000000006</v>
          </cell>
          <cell r="M20">
            <v>-675415.42</v>
          </cell>
          <cell r="N20">
            <v>-202871.3</v>
          </cell>
          <cell r="O20">
            <v>-3181064.18</v>
          </cell>
          <cell r="P20">
            <v>-109023.45</v>
          </cell>
          <cell r="Q20">
            <v>-4738109.41</v>
          </cell>
          <cell r="R20"/>
          <cell r="S20">
            <v>0.1202452308926315</v>
          </cell>
          <cell r="T20">
            <v>0.14254956176708466</v>
          </cell>
          <cell r="U20">
            <v>4.2816930223652218E-2</v>
          </cell>
          <cell r="V20">
            <v>0.67137837156867175</v>
          </cell>
          <cell r="W20">
            <v>2.3009905547959897E-2</v>
          </cell>
        </row>
        <row r="21">
          <cell r="C21" t="str">
            <v>42001220</v>
          </cell>
          <cell r="D21">
            <v>-572</v>
          </cell>
          <cell r="E21">
            <v>-21111</v>
          </cell>
          <cell r="F21">
            <v>-21822</v>
          </cell>
          <cell r="G21">
            <v>-12190</v>
          </cell>
          <cell r="H21">
            <v>-67588</v>
          </cell>
          <cell r="I21"/>
          <cell r="J21">
            <v>-1508</v>
          </cell>
          <cell r="K21"/>
          <cell r="L21">
            <v>-21111</v>
          </cell>
          <cell r="M21">
            <v>-21822</v>
          </cell>
          <cell r="N21">
            <v>-12190</v>
          </cell>
          <cell r="O21">
            <v>-67588</v>
          </cell>
          <cell r="P21">
            <v>-2080</v>
          </cell>
          <cell r="Q21">
            <v>-124791</v>
          </cell>
          <cell r="R21"/>
          <cell r="S21">
            <v>0.16917085366733178</v>
          </cell>
          <cell r="T21">
            <v>0.17486837993124504</v>
          </cell>
          <cell r="U21">
            <v>9.7683326521944697E-2</v>
          </cell>
          <cell r="V21">
            <v>0.54160957120305153</v>
          </cell>
          <cell r="W21">
            <v>1.6667868676426986E-2</v>
          </cell>
        </row>
        <row r="22">
          <cell r="C22" t="str">
            <v>42001222</v>
          </cell>
          <cell r="D22">
            <v>-6341.02</v>
          </cell>
          <cell r="E22">
            <v>-297332.06</v>
          </cell>
          <cell r="F22">
            <v>-429740.12</v>
          </cell>
          <cell r="G22">
            <v>-284997.11</v>
          </cell>
          <cell r="H22">
            <v>-1304395.5</v>
          </cell>
          <cell r="I22"/>
          <cell r="J22">
            <v>-26462.99</v>
          </cell>
          <cell r="K22"/>
          <cell r="L22">
            <v>-297332.06</v>
          </cell>
          <cell r="M22">
            <v>-429740.12</v>
          </cell>
          <cell r="N22">
            <v>-284997.11</v>
          </cell>
          <cell r="O22">
            <v>-1304395.5</v>
          </cell>
          <cell r="P22">
            <v>-32804.01</v>
          </cell>
          <cell r="Q22">
            <v>-2349268.7999999998</v>
          </cell>
          <cell r="R22"/>
          <cell r="S22">
            <v>0.12656366099954167</v>
          </cell>
          <cell r="T22">
            <v>0.18292505310588555</v>
          </cell>
          <cell r="U22">
            <v>0.1213131124033146</v>
          </cell>
          <cell r="V22">
            <v>0.55523467557224615</v>
          </cell>
          <cell r="W22">
            <v>1.396349791901208E-2</v>
          </cell>
        </row>
        <row r="23">
          <cell r="C23" t="str">
            <v>42001223</v>
          </cell>
          <cell r="D23"/>
          <cell r="E23">
            <v>-20544.09</v>
          </cell>
          <cell r="F23">
            <v>-22608.02</v>
          </cell>
          <cell r="G23">
            <v>-18538.04</v>
          </cell>
          <cell r="H23">
            <v>-54056.71</v>
          </cell>
          <cell r="I23"/>
          <cell r="J23">
            <v>-4733.0200000000004</v>
          </cell>
          <cell r="K23"/>
          <cell r="L23">
            <v>-20544.09</v>
          </cell>
          <cell r="M23">
            <v>-22608.02</v>
          </cell>
          <cell r="N23">
            <v>-18538.04</v>
          </cell>
          <cell r="O23">
            <v>-54056.71</v>
          </cell>
          <cell r="P23">
            <v>-4733.0200000000004</v>
          </cell>
          <cell r="Q23">
            <v>-120479.88</v>
          </cell>
          <cell r="R23"/>
          <cell r="S23">
            <v>0.17051884513829196</v>
          </cell>
          <cell r="T23">
            <v>0.187649755295241</v>
          </cell>
          <cell r="U23">
            <v>0.15386834714642811</v>
          </cell>
          <cell r="V23">
            <v>0.44867831873670522</v>
          </cell>
          <cell r="W23">
            <v>3.9284733683333684E-2</v>
          </cell>
        </row>
        <row r="24">
          <cell r="C24" t="str">
            <v>42001224</v>
          </cell>
          <cell r="D24"/>
          <cell r="E24">
            <v>-9945.09</v>
          </cell>
          <cell r="F24">
            <v>-334</v>
          </cell>
          <cell r="G24">
            <v>-2004</v>
          </cell>
          <cell r="H24">
            <v>-35273.39</v>
          </cell>
          <cell r="I24"/>
          <cell r="J24">
            <v>-334</v>
          </cell>
          <cell r="K24"/>
          <cell r="L24">
            <v>-9945.09</v>
          </cell>
          <cell r="M24">
            <v>-334</v>
          </cell>
          <cell r="N24">
            <v>-2004</v>
          </cell>
          <cell r="O24">
            <v>-35273.39</v>
          </cell>
          <cell r="P24">
            <v>-334</v>
          </cell>
          <cell r="Q24">
            <v>-47890.479999999996</v>
          </cell>
          <cell r="R24"/>
          <cell r="S24">
            <v>0.20766319318578558</v>
          </cell>
          <cell r="T24">
            <v>6.9742462385008466E-3</v>
          </cell>
          <cell r="U24">
            <v>4.1845477431005078E-2</v>
          </cell>
          <cell r="V24">
            <v>0.7365428369062077</v>
          </cell>
          <cell r="W24">
            <v>6.9742462385008466E-3</v>
          </cell>
        </row>
        <row r="25">
          <cell r="C25" t="str">
            <v>42001225</v>
          </cell>
          <cell r="D25"/>
          <cell r="E25">
            <v>-23984</v>
          </cell>
          <cell r="F25">
            <v>-47830</v>
          </cell>
          <cell r="G25">
            <v>-501</v>
          </cell>
          <cell r="H25">
            <v>-82145</v>
          </cell>
          <cell r="I25"/>
          <cell r="J25">
            <v>0</v>
          </cell>
          <cell r="K25"/>
          <cell r="L25">
            <v>-23984</v>
          </cell>
          <cell r="M25">
            <v>-47830</v>
          </cell>
          <cell r="N25">
            <v>-501</v>
          </cell>
          <cell r="O25">
            <v>-82145</v>
          </cell>
          <cell r="P25">
            <v>0</v>
          </cell>
          <cell r="Q25">
            <v>-154460</v>
          </cell>
          <cell r="R25"/>
          <cell r="S25">
            <v>0.15527644697656351</v>
          </cell>
          <cell r="T25">
            <v>0.30965945875954942</v>
          </cell>
          <cell r="U25">
            <v>3.2435582027709438E-3</v>
          </cell>
          <cell r="V25">
            <v>0.53182053606111612</v>
          </cell>
          <cell r="W25">
            <v>0</v>
          </cell>
        </row>
        <row r="26">
          <cell r="C26" t="str">
            <v>42001245</v>
          </cell>
          <cell r="D26"/>
          <cell r="E26">
            <v>-5902</v>
          </cell>
          <cell r="F26">
            <v>-6397</v>
          </cell>
          <cell r="G26">
            <v>-5527</v>
          </cell>
          <cell r="H26">
            <v>-64905</v>
          </cell>
          <cell r="I26"/>
          <cell r="J26">
            <v>-1314</v>
          </cell>
          <cell r="K26"/>
          <cell r="L26">
            <v>-5902</v>
          </cell>
          <cell r="M26">
            <v>-6397</v>
          </cell>
          <cell r="N26">
            <v>-5527</v>
          </cell>
          <cell r="O26">
            <v>-64905</v>
          </cell>
          <cell r="P26">
            <v>-1314</v>
          </cell>
          <cell r="Q26">
            <v>-84045</v>
          </cell>
          <cell r="R26"/>
          <cell r="S26">
            <v>7.0224284609435417E-2</v>
          </cell>
          <cell r="T26">
            <v>7.6113986554821822E-2</v>
          </cell>
          <cell r="U26">
            <v>6.5762389196263912E-2</v>
          </cell>
          <cell r="V26">
            <v>0.77226485811172585</v>
          </cell>
          <cell r="W26">
            <v>1.5634481527752989E-2</v>
          </cell>
        </row>
        <row r="27">
          <cell r="C27"/>
          <cell r="D27"/>
          <cell r="E27"/>
          <cell r="F27"/>
          <cell r="G27"/>
          <cell r="H27"/>
          <cell r="I27"/>
          <cell r="J27"/>
          <cell r="K27"/>
          <cell r="L27">
            <v>-4649670.5799999991</v>
          </cell>
          <cell r="M27">
            <v>-4802607.8099999996</v>
          </cell>
          <cell r="N27">
            <v>-2976937.2999999993</v>
          </cell>
          <cell r="O27">
            <v>-14569411.750000002</v>
          </cell>
          <cell r="P27">
            <v>-482938.00000000006</v>
          </cell>
          <cell r="Q27">
            <v>-27481565.440000001</v>
          </cell>
          <cell r="R27"/>
          <cell r="S27"/>
          <cell r="T27"/>
          <cell r="U27"/>
          <cell r="V27"/>
          <cell r="W27"/>
        </row>
        <row r="28">
          <cell r="C28" t="str">
            <v>43001104</v>
          </cell>
          <cell r="D28">
            <v>-12190.78</v>
          </cell>
          <cell r="E28">
            <v>-421629</v>
          </cell>
          <cell r="F28">
            <v>-556928</v>
          </cell>
          <cell r="G28">
            <v>-289134</v>
          </cell>
          <cell r="H28">
            <v>-2342059</v>
          </cell>
          <cell r="I28"/>
          <cell r="J28"/>
          <cell r="K28"/>
          <cell r="L28">
            <v>-421629</v>
          </cell>
          <cell r="M28">
            <v>-556928</v>
          </cell>
          <cell r="N28">
            <v>-289134</v>
          </cell>
          <cell r="O28">
            <v>-2342059</v>
          </cell>
          <cell r="P28">
            <v>-12190.78</v>
          </cell>
          <cell r="Q28">
            <v>-3621940.78</v>
          </cell>
          <cell r="R28"/>
          <cell r="S28">
            <v>0.11640968906178527</v>
          </cell>
          <cell r="T28">
            <v>0.15376507619210716</v>
          </cell>
          <cell r="U28">
            <v>7.982847251301553E-2</v>
          </cell>
          <cell r="V28">
            <v>0.64663094795271614</v>
          </cell>
          <cell r="W28">
            <v>3.3658142803759485E-3</v>
          </cell>
        </row>
        <row r="29">
          <cell r="C29" t="str">
            <v>43001210</v>
          </cell>
          <cell r="D29"/>
          <cell r="E29">
            <v>-621</v>
          </cell>
          <cell r="F29"/>
          <cell r="G29"/>
          <cell r="H29">
            <v>-1242</v>
          </cell>
          <cell r="I29"/>
          <cell r="J29"/>
          <cell r="K29"/>
          <cell r="L29">
            <v>-621</v>
          </cell>
          <cell r="M29">
            <v>0</v>
          </cell>
          <cell r="N29">
            <v>0</v>
          </cell>
          <cell r="O29">
            <v>-1242</v>
          </cell>
          <cell r="P29">
            <v>0</v>
          </cell>
          <cell r="Q29">
            <v>-1863</v>
          </cell>
          <cell r="R29"/>
          <cell r="S29">
            <v>0.33333333333333331</v>
          </cell>
          <cell r="T29">
            <v>0</v>
          </cell>
          <cell r="U29">
            <v>0</v>
          </cell>
          <cell r="V29">
            <v>0.66666666666666663</v>
          </cell>
          <cell r="W29">
            <v>0</v>
          </cell>
        </row>
        <row r="30">
          <cell r="C30" t="str">
            <v>43001211</v>
          </cell>
          <cell r="D30"/>
          <cell r="E30"/>
          <cell r="F30"/>
          <cell r="G30"/>
          <cell r="H30">
            <v>-2121.8000000000002</v>
          </cell>
          <cell r="I30"/>
          <cell r="J30"/>
          <cell r="K30"/>
          <cell r="L30">
            <v>0</v>
          </cell>
          <cell r="M30">
            <v>0</v>
          </cell>
          <cell r="N30">
            <v>0</v>
          </cell>
          <cell r="O30">
            <v>-2121.8000000000002</v>
          </cell>
          <cell r="P30">
            <v>0</v>
          </cell>
          <cell r="Q30">
            <v>-2121.8000000000002</v>
          </cell>
          <cell r="R30"/>
          <cell r="S30">
            <v>0</v>
          </cell>
          <cell r="T30">
            <v>0</v>
          </cell>
          <cell r="U30">
            <v>0</v>
          </cell>
          <cell r="V30">
            <v>1</v>
          </cell>
          <cell r="W30">
            <v>0</v>
          </cell>
        </row>
        <row r="31">
          <cell r="C31" t="str">
            <v>43001215</v>
          </cell>
          <cell r="D31"/>
          <cell r="E31"/>
          <cell r="F31"/>
          <cell r="G31"/>
          <cell r="H31">
            <v>-464.86</v>
          </cell>
          <cell r="I31"/>
          <cell r="J31"/>
          <cell r="K31"/>
          <cell r="L31">
            <v>0</v>
          </cell>
          <cell r="M31">
            <v>0</v>
          </cell>
          <cell r="N31">
            <v>0</v>
          </cell>
          <cell r="O31">
            <v>-464.86</v>
          </cell>
          <cell r="P31">
            <v>0</v>
          </cell>
          <cell r="Q31">
            <v>-464.86</v>
          </cell>
          <cell r="R31"/>
          <cell r="S31">
            <v>0</v>
          </cell>
          <cell r="T31">
            <v>0</v>
          </cell>
          <cell r="U31">
            <v>0</v>
          </cell>
          <cell r="V31">
            <v>1</v>
          </cell>
          <cell r="W31">
            <v>0</v>
          </cell>
        </row>
        <row r="32">
          <cell r="C32" t="str">
            <v>43001216</v>
          </cell>
          <cell r="D32"/>
          <cell r="E32">
            <v>-6129</v>
          </cell>
          <cell r="F32">
            <v>-5793</v>
          </cell>
          <cell r="G32">
            <v>-14025</v>
          </cell>
          <cell r="H32">
            <v>-45078</v>
          </cell>
          <cell r="I32"/>
          <cell r="J32"/>
          <cell r="K32"/>
          <cell r="L32">
            <v>-6129</v>
          </cell>
          <cell r="M32">
            <v>-5793</v>
          </cell>
          <cell r="N32">
            <v>-14025</v>
          </cell>
          <cell r="O32">
            <v>-45078</v>
          </cell>
          <cell r="P32">
            <v>0</v>
          </cell>
          <cell r="Q32">
            <v>-71025</v>
          </cell>
          <cell r="R32"/>
          <cell r="S32">
            <v>8.6293558606124601E-2</v>
          </cell>
          <cell r="T32">
            <v>8.1562829989440339E-2</v>
          </cell>
          <cell r="U32">
            <v>0.19746568109820486</v>
          </cell>
          <cell r="V32">
            <v>0.63467793030623021</v>
          </cell>
          <cell r="W32">
            <v>0</v>
          </cell>
        </row>
        <row r="33">
          <cell r="C33" t="str">
            <v>43001217</v>
          </cell>
          <cell r="D33"/>
          <cell r="E33">
            <v>-12568</v>
          </cell>
          <cell r="F33">
            <v>-15108</v>
          </cell>
          <cell r="G33">
            <v>-16260</v>
          </cell>
          <cell r="H33">
            <v>-100366</v>
          </cell>
          <cell r="I33"/>
          <cell r="J33"/>
          <cell r="K33"/>
          <cell r="L33">
            <v>-12568</v>
          </cell>
          <cell r="M33">
            <v>-15108</v>
          </cell>
          <cell r="N33">
            <v>-16260</v>
          </cell>
          <cell r="O33">
            <v>-100366</v>
          </cell>
          <cell r="P33">
            <v>0</v>
          </cell>
          <cell r="Q33">
            <v>-144302</v>
          </cell>
          <cell r="R33"/>
          <cell r="S33">
            <v>8.7095119956757353E-2</v>
          </cell>
          <cell r="T33">
            <v>0.10469709359537636</v>
          </cell>
          <cell r="U33">
            <v>0.11268035093068703</v>
          </cell>
          <cell r="V33">
            <v>0.69552743551717922</v>
          </cell>
          <cell r="W33">
            <v>0</v>
          </cell>
        </row>
        <row r="34">
          <cell r="C34" t="str">
            <v>43001219</v>
          </cell>
          <cell r="D34"/>
          <cell r="E34">
            <v>-14857.5</v>
          </cell>
          <cell r="F34">
            <v>-25036.9</v>
          </cell>
          <cell r="G34">
            <v>-10565.05</v>
          </cell>
          <cell r="H34">
            <v>-111260.7</v>
          </cell>
          <cell r="I34"/>
          <cell r="J34"/>
          <cell r="K34"/>
          <cell r="L34">
            <v>-14857.5</v>
          </cell>
          <cell r="M34">
            <v>-25036.9</v>
          </cell>
          <cell r="N34">
            <v>-10565.05</v>
          </cell>
          <cell r="O34">
            <v>-111260.7</v>
          </cell>
          <cell r="P34">
            <v>0</v>
          </cell>
          <cell r="Q34">
            <v>-161720.15</v>
          </cell>
          <cell r="R34"/>
          <cell r="S34">
            <v>9.1871668434638482E-2</v>
          </cell>
          <cell r="T34">
            <v>0.15481620564907961</v>
          </cell>
          <cell r="U34">
            <v>6.5329212222471969E-2</v>
          </cell>
          <cell r="V34">
            <v>0.68798291369380993</v>
          </cell>
          <cell r="W34">
            <v>0</v>
          </cell>
        </row>
        <row r="35">
          <cell r="C35" t="str">
            <v>43001220</v>
          </cell>
          <cell r="D35">
            <v>-684</v>
          </cell>
          <cell r="E35">
            <v>-3673</v>
          </cell>
          <cell r="F35">
            <v>-8291</v>
          </cell>
          <cell r="G35"/>
          <cell r="H35">
            <v>-36195</v>
          </cell>
          <cell r="I35"/>
          <cell r="J35"/>
          <cell r="K35"/>
          <cell r="L35">
            <v>-3673</v>
          </cell>
          <cell r="M35">
            <v>-8291</v>
          </cell>
          <cell r="N35">
            <v>0</v>
          </cell>
          <cell r="O35">
            <v>-36195</v>
          </cell>
          <cell r="P35">
            <v>-684</v>
          </cell>
          <cell r="Q35">
            <v>-48843</v>
          </cell>
          <cell r="R35"/>
          <cell r="S35">
            <v>7.5200131032082382E-2</v>
          </cell>
          <cell r="T35">
            <v>0.16974796797903488</v>
          </cell>
          <cell r="U35">
            <v>0</v>
          </cell>
          <cell r="V35">
            <v>0.74104784718383387</v>
          </cell>
          <cell r="W35">
            <v>1.400405380504883E-2</v>
          </cell>
        </row>
        <row r="36">
          <cell r="C36" t="str">
            <v>43001222</v>
          </cell>
          <cell r="D36"/>
          <cell r="E36">
            <v>-125628</v>
          </cell>
          <cell r="F36">
            <v>-163069</v>
          </cell>
          <cell r="G36">
            <v>-91457</v>
          </cell>
          <cell r="H36">
            <v>-711857</v>
          </cell>
          <cell r="I36"/>
          <cell r="J36"/>
          <cell r="K36"/>
          <cell r="L36">
            <v>-125628</v>
          </cell>
          <cell r="M36">
            <v>-163069</v>
          </cell>
          <cell r="N36">
            <v>-91457</v>
          </cell>
          <cell r="O36">
            <v>-711857</v>
          </cell>
          <cell r="P36">
            <v>0</v>
          </cell>
          <cell r="Q36">
            <v>-1092011</v>
          </cell>
          <cell r="R36"/>
          <cell r="S36">
            <v>0.11504279718794042</v>
          </cell>
          <cell r="T36">
            <v>0.14932908184990812</v>
          </cell>
          <cell r="U36">
            <v>8.3750987856349435E-2</v>
          </cell>
          <cell r="V36">
            <v>0.65187713310580209</v>
          </cell>
          <cell r="W36">
            <v>0</v>
          </cell>
        </row>
        <row r="37">
          <cell r="C37" t="str">
            <v>43001223</v>
          </cell>
          <cell r="D37"/>
          <cell r="E37">
            <v>-125785</v>
          </cell>
          <cell r="F37">
            <v>-176556</v>
          </cell>
          <cell r="G37">
            <v>-90100</v>
          </cell>
          <cell r="H37">
            <v>-727013</v>
          </cell>
          <cell r="I37"/>
          <cell r="J37"/>
          <cell r="K37"/>
          <cell r="L37">
            <v>-125785</v>
          </cell>
          <cell r="M37">
            <v>-176556</v>
          </cell>
          <cell r="N37">
            <v>-90100</v>
          </cell>
          <cell r="O37">
            <v>-727013</v>
          </cell>
          <cell r="P37">
            <v>0</v>
          </cell>
          <cell r="Q37">
            <v>-1119454</v>
          </cell>
          <cell r="R37"/>
          <cell r="S37">
            <v>0.11236281258542111</v>
          </cell>
          <cell r="T37">
            <v>0.15771617234830551</v>
          </cell>
          <cell r="U37">
            <v>8.0485665333278542E-2</v>
          </cell>
          <cell r="V37">
            <v>0.64943534973299488</v>
          </cell>
          <cell r="W37">
            <v>0</v>
          </cell>
        </row>
        <row r="38">
          <cell r="C38" t="str">
            <v>43001224</v>
          </cell>
          <cell r="D38"/>
          <cell r="E38">
            <v>-15755</v>
          </cell>
          <cell r="F38">
            <v>-29309</v>
          </cell>
          <cell r="G38">
            <v>-4509</v>
          </cell>
          <cell r="H38">
            <v>-109282</v>
          </cell>
          <cell r="I38"/>
          <cell r="J38"/>
          <cell r="K38"/>
          <cell r="L38">
            <v>-15755</v>
          </cell>
          <cell r="M38">
            <v>-29309</v>
          </cell>
          <cell r="N38">
            <v>-4509</v>
          </cell>
          <cell r="O38">
            <v>-109282</v>
          </cell>
          <cell r="P38">
            <v>0</v>
          </cell>
          <cell r="Q38">
            <v>-158855</v>
          </cell>
          <cell r="R38"/>
          <cell r="S38">
            <v>9.9178496112807282E-2</v>
          </cell>
          <cell r="T38">
            <v>0.18450158949985837</v>
          </cell>
          <cell r="U38">
            <v>2.838437568852098E-2</v>
          </cell>
          <cell r="V38">
            <v>0.68793553869881341</v>
          </cell>
          <cell r="W38">
            <v>0</v>
          </cell>
        </row>
        <row r="39">
          <cell r="C39" t="str">
            <v>43001263</v>
          </cell>
          <cell r="D39"/>
          <cell r="E39">
            <v>-500</v>
          </cell>
          <cell r="F39">
            <v>-200</v>
          </cell>
          <cell r="G39">
            <v>-196</v>
          </cell>
          <cell r="H39">
            <v>-885</v>
          </cell>
          <cell r="I39"/>
          <cell r="J39">
            <v>-150</v>
          </cell>
          <cell r="K39"/>
          <cell r="L39">
            <v>-500</v>
          </cell>
          <cell r="M39">
            <v>-200</v>
          </cell>
          <cell r="N39">
            <v>-196</v>
          </cell>
          <cell r="O39">
            <v>-885</v>
          </cell>
          <cell r="P39">
            <v>-150</v>
          </cell>
          <cell r="Q39">
            <v>-1931</v>
          </cell>
          <cell r="R39"/>
          <cell r="S39">
            <v>0.25893319523562919</v>
          </cell>
          <cell r="T39">
            <v>0.10357327809425168</v>
          </cell>
          <cell r="U39">
            <v>0.10150181253236665</v>
          </cell>
          <cell r="V39">
            <v>0.45831175556706372</v>
          </cell>
          <cell r="W39">
            <v>7.7679958570688767E-2</v>
          </cell>
        </row>
        <row r="40">
          <cell r="C40"/>
          <cell r="D40"/>
          <cell r="E40"/>
          <cell r="F40"/>
          <cell r="G40"/>
          <cell r="H40"/>
          <cell r="I40"/>
          <cell r="J40"/>
          <cell r="K40"/>
          <cell r="L40">
            <v>-727145.5</v>
          </cell>
          <cell r="M40">
            <v>-980290.9</v>
          </cell>
          <cell r="N40">
            <v>-516246.05</v>
          </cell>
          <cell r="O40">
            <v>-4187824.36</v>
          </cell>
          <cell r="P40">
            <v>-13024.78</v>
          </cell>
          <cell r="Q40">
            <v>-6424531.5899999999</v>
          </cell>
          <cell r="R40"/>
          <cell r="S40"/>
          <cell r="T40"/>
          <cell r="U40"/>
          <cell r="V40"/>
          <cell r="W40"/>
        </row>
        <row r="41">
          <cell r="C41" t="str">
            <v>45001101</v>
          </cell>
          <cell r="D41"/>
          <cell r="E41">
            <v>-107058</v>
          </cell>
          <cell r="F41">
            <v>-130118</v>
          </cell>
          <cell r="G41">
            <v>-87400</v>
          </cell>
          <cell r="H41">
            <v>-1960057</v>
          </cell>
          <cell r="I41"/>
          <cell r="J41">
            <v>0</v>
          </cell>
          <cell r="K41"/>
          <cell r="L41">
            <v>-107058</v>
          </cell>
          <cell r="M41">
            <v>-130118</v>
          </cell>
          <cell r="N41">
            <v>-87400</v>
          </cell>
          <cell r="O41">
            <v>-1960057</v>
          </cell>
          <cell r="P41">
            <v>0</v>
          </cell>
          <cell r="Q41">
            <v>-2284633</v>
          </cell>
          <cell r="R41"/>
          <cell r="S41">
            <v>4.6860042728963471E-2</v>
          </cell>
          <cell r="T41">
            <v>5.6953567597071389E-2</v>
          </cell>
          <cell r="U41">
            <v>3.8255597288492288E-2</v>
          </cell>
          <cell r="V41">
            <v>0.85793079238547287</v>
          </cell>
          <cell r="W41">
            <v>0</v>
          </cell>
        </row>
        <row r="42">
          <cell r="C42" t="str">
            <v>45001210</v>
          </cell>
          <cell r="D42"/>
          <cell r="E42"/>
          <cell r="F42">
            <v>-621</v>
          </cell>
          <cell r="G42">
            <v>-621</v>
          </cell>
          <cell r="H42">
            <v>-621</v>
          </cell>
          <cell r="I42"/>
          <cell r="J42"/>
          <cell r="K42"/>
          <cell r="L42">
            <v>0</v>
          </cell>
          <cell r="M42">
            <v>-621</v>
          </cell>
          <cell r="N42">
            <v>-621</v>
          </cell>
          <cell r="O42">
            <v>-621</v>
          </cell>
          <cell r="P42">
            <v>0</v>
          </cell>
          <cell r="Q42">
            <v>-1863</v>
          </cell>
          <cell r="R42"/>
          <cell r="S42">
            <v>0</v>
          </cell>
          <cell r="T42">
            <v>0.33333333333333331</v>
          </cell>
          <cell r="U42">
            <v>0.33333333333333331</v>
          </cell>
          <cell r="V42">
            <v>0.33333333333333331</v>
          </cell>
          <cell r="W42">
            <v>0</v>
          </cell>
        </row>
        <row r="43">
          <cell r="C43" t="str">
            <v>45001211</v>
          </cell>
          <cell r="D43"/>
          <cell r="E43"/>
          <cell r="F43"/>
          <cell r="G43"/>
          <cell r="H43">
            <v>-3491.39</v>
          </cell>
          <cell r="I43"/>
          <cell r="J43"/>
          <cell r="K43"/>
          <cell r="L43">
            <v>0</v>
          </cell>
          <cell r="M43">
            <v>0</v>
          </cell>
          <cell r="N43">
            <v>0</v>
          </cell>
          <cell r="O43">
            <v>-3491.39</v>
          </cell>
          <cell r="P43">
            <v>0</v>
          </cell>
          <cell r="Q43">
            <v>-3491.39</v>
          </cell>
          <cell r="R43"/>
          <cell r="S43">
            <v>0</v>
          </cell>
          <cell r="T43">
            <v>0</v>
          </cell>
          <cell r="U43">
            <v>0</v>
          </cell>
          <cell r="V43">
            <v>1</v>
          </cell>
          <cell r="W43">
            <v>0</v>
          </cell>
        </row>
        <row r="44">
          <cell r="C44" t="str">
            <v>45001215</v>
          </cell>
          <cell r="D44"/>
          <cell r="E44"/>
          <cell r="F44"/>
          <cell r="G44"/>
          <cell r="H44">
            <v>-1288.93</v>
          </cell>
          <cell r="I44"/>
          <cell r="J44"/>
          <cell r="K44"/>
          <cell r="L44">
            <v>0</v>
          </cell>
          <cell r="M44">
            <v>0</v>
          </cell>
          <cell r="N44">
            <v>0</v>
          </cell>
          <cell r="O44">
            <v>-1288.93</v>
          </cell>
          <cell r="P44">
            <v>0</v>
          </cell>
          <cell r="Q44">
            <v>-1288.93</v>
          </cell>
          <cell r="R44"/>
          <cell r="S44">
            <v>0</v>
          </cell>
          <cell r="T44">
            <v>0</v>
          </cell>
          <cell r="U44">
            <v>0</v>
          </cell>
          <cell r="V44">
            <v>1</v>
          </cell>
          <cell r="W44">
            <v>0</v>
          </cell>
        </row>
        <row r="45">
          <cell r="C45" t="str">
            <v>45001216</v>
          </cell>
          <cell r="D45"/>
          <cell r="E45">
            <v>-10806</v>
          </cell>
          <cell r="F45">
            <v>-17972</v>
          </cell>
          <cell r="G45">
            <v>-17474</v>
          </cell>
          <cell r="H45">
            <v>-179552</v>
          </cell>
          <cell r="I45"/>
          <cell r="J45"/>
          <cell r="K45"/>
          <cell r="L45">
            <v>-10806</v>
          </cell>
          <cell r="M45">
            <v>-17972</v>
          </cell>
          <cell r="N45">
            <v>-17474</v>
          </cell>
          <cell r="O45">
            <v>-179552</v>
          </cell>
          <cell r="P45">
            <v>0</v>
          </cell>
          <cell r="Q45">
            <v>-225804</v>
          </cell>
          <cell r="R45"/>
          <cell r="S45">
            <v>4.7855662432906412E-2</v>
          </cell>
          <cell r="T45">
            <v>7.9591149846769765E-2</v>
          </cell>
          <cell r="U45">
            <v>7.738569733042816E-2</v>
          </cell>
          <cell r="V45">
            <v>0.79516749038989565</v>
          </cell>
          <cell r="W45">
            <v>0</v>
          </cell>
        </row>
        <row r="46">
          <cell r="C46" t="str">
            <v>45001217</v>
          </cell>
          <cell r="D46"/>
          <cell r="E46">
            <v>-6432</v>
          </cell>
          <cell r="F46">
            <v>-16599</v>
          </cell>
          <cell r="G46">
            <v>-10975</v>
          </cell>
          <cell r="H46">
            <v>-199319.3</v>
          </cell>
          <cell r="I46"/>
          <cell r="J46">
            <v>0</v>
          </cell>
          <cell r="K46"/>
          <cell r="L46">
            <v>-6432</v>
          </cell>
          <cell r="M46">
            <v>-16599</v>
          </cell>
          <cell r="N46">
            <v>-10975</v>
          </cell>
          <cell r="O46">
            <v>-199319.3</v>
          </cell>
          <cell r="P46">
            <v>0</v>
          </cell>
          <cell r="Q46">
            <v>-233325.3</v>
          </cell>
          <cell r="R46"/>
          <cell r="S46">
            <v>2.756666336655305E-2</v>
          </cell>
          <cell r="T46">
            <v>7.1141020712284522E-2</v>
          </cell>
          <cell r="U46">
            <v>4.703733371391787E-2</v>
          </cell>
          <cell r="V46">
            <v>0.85425498220724461</v>
          </cell>
          <cell r="W46">
            <v>0</v>
          </cell>
        </row>
        <row r="47">
          <cell r="C47" t="str">
            <v>45001219</v>
          </cell>
          <cell r="D47"/>
          <cell r="E47">
            <v>-9904.9</v>
          </cell>
          <cell r="F47">
            <v>-29927.9</v>
          </cell>
          <cell r="G47">
            <v>-15572.15</v>
          </cell>
          <cell r="H47">
            <v>-514837.25</v>
          </cell>
          <cell r="I47"/>
          <cell r="J47">
            <v>0</v>
          </cell>
          <cell r="K47"/>
          <cell r="L47">
            <v>-9904.9</v>
          </cell>
          <cell r="M47">
            <v>-29927.9</v>
          </cell>
          <cell r="N47">
            <v>-15572.15</v>
          </cell>
          <cell r="O47">
            <v>-514837.25</v>
          </cell>
          <cell r="P47">
            <v>0</v>
          </cell>
          <cell r="Q47">
            <v>-570242.19999999995</v>
          </cell>
          <cell r="R47"/>
          <cell r="S47">
            <v>1.7369636971799E-2</v>
          </cell>
          <cell r="T47">
            <v>5.2482787138517638E-2</v>
          </cell>
          <cell r="U47">
            <v>2.7307957916829027E-2</v>
          </cell>
          <cell r="V47">
            <v>0.90283961797285439</v>
          </cell>
          <cell r="W47">
            <v>0</v>
          </cell>
        </row>
        <row r="48">
          <cell r="C48" t="str">
            <v>45001220</v>
          </cell>
          <cell r="D48"/>
          <cell r="E48">
            <v>-4803</v>
          </cell>
          <cell r="F48">
            <v>-13459</v>
          </cell>
          <cell r="G48">
            <v>-308</v>
          </cell>
          <cell r="H48">
            <v>-324141</v>
          </cell>
          <cell r="I48"/>
          <cell r="J48">
            <v>0</v>
          </cell>
          <cell r="K48"/>
          <cell r="L48">
            <v>-4803</v>
          </cell>
          <cell r="M48">
            <v>-13459</v>
          </cell>
          <cell r="N48">
            <v>-308</v>
          </cell>
          <cell r="O48">
            <v>-324141</v>
          </cell>
          <cell r="P48">
            <v>0</v>
          </cell>
          <cell r="Q48">
            <v>-342711</v>
          </cell>
          <cell r="R48"/>
          <cell r="S48">
            <v>1.4014723776009524E-2</v>
          </cell>
          <cell r="T48">
            <v>3.9272156423342114E-2</v>
          </cell>
          <cell r="U48">
            <v>8.9871641120360885E-4</v>
          </cell>
          <cell r="V48">
            <v>0.94581440338944478</v>
          </cell>
          <cell r="W48">
            <v>0</v>
          </cell>
        </row>
        <row r="49">
          <cell r="C49" t="str">
            <v>45001222</v>
          </cell>
          <cell r="D49"/>
          <cell r="E49">
            <v>-18566</v>
          </cell>
          <cell r="F49">
            <v>-36392.07</v>
          </cell>
          <cell r="G49">
            <v>-13462</v>
          </cell>
          <cell r="H49">
            <v>-357986</v>
          </cell>
          <cell r="I49"/>
          <cell r="J49">
            <v>0</v>
          </cell>
          <cell r="K49"/>
          <cell r="L49">
            <v>-18566</v>
          </cell>
          <cell r="M49">
            <v>-36392.07</v>
          </cell>
          <cell r="N49">
            <v>-13462</v>
          </cell>
          <cell r="O49">
            <v>-357986</v>
          </cell>
          <cell r="P49">
            <v>0</v>
          </cell>
          <cell r="Q49">
            <v>-426406.07</v>
          </cell>
          <cell r="R49"/>
          <cell r="S49">
            <v>4.3540655976121542E-2</v>
          </cell>
          <cell r="T49">
            <v>8.5346041157434743E-2</v>
          </cell>
          <cell r="U49">
            <v>3.1570845133607035E-2</v>
          </cell>
          <cell r="V49">
            <v>0.83954245773283664</v>
          </cell>
          <cell r="W49">
            <v>0</v>
          </cell>
        </row>
        <row r="50">
          <cell r="C50" t="str">
            <v>45001223</v>
          </cell>
          <cell r="D50"/>
          <cell r="E50">
            <v>-19692</v>
          </cell>
          <cell r="F50">
            <v>-30914.05</v>
          </cell>
          <cell r="G50">
            <v>-12893</v>
          </cell>
          <cell r="H50">
            <v>-391224.97</v>
          </cell>
          <cell r="I50"/>
          <cell r="J50">
            <v>0</v>
          </cell>
          <cell r="K50"/>
          <cell r="L50">
            <v>-19692</v>
          </cell>
          <cell r="M50">
            <v>-30914.05</v>
          </cell>
          <cell r="N50">
            <v>-12893</v>
          </cell>
          <cell r="O50">
            <v>-391224.97</v>
          </cell>
          <cell r="P50">
            <v>0</v>
          </cell>
          <cell r="Q50">
            <v>-454724.01999999996</v>
          </cell>
          <cell r="R50"/>
          <cell r="S50">
            <v>4.3305387738259357E-2</v>
          </cell>
          <cell r="T50">
            <v>6.7984202813829803E-2</v>
          </cell>
          <cell r="U50">
            <v>2.8353461512765483E-2</v>
          </cell>
          <cell r="V50">
            <v>0.86035694793514539</v>
          </cell>
          <cell r="W50">
            <v>0</v>
          </cell>
        </row>
        <row r="51">
          <cell r="C51" t="str">
            <v>45001224</v>
          </cell>
          <cell r="D51"/>
          <cell r="E51">
            <v>-2205</v>
          </cell>
          <cell r="F51"/>
          <cell r="G51">
            <v>-9958</v>
          </cell>
          <cell r="H51">
            <v>-17901</v>
          </cell>
          <cell r="I51"/>
          <cell r="J51"/>
          <cell r="K51"/>
          <cell r="L51">
            <v>-2205</v>
          </cell>
          <cell r="M51">
            <v>0</v>
          </cell>
          <cell r="N51">
            <v>-9958</v>
          </cell>
          <cell r="O51">
            <v>-17901</v>
          </cell>
          <cell r="P51">
            <v>0</v>
          </cell>
          <cell r="Q51">
            <v>-30064</v>
          </cell>
          <cell r="R51"/>
          <cell r="S51">
            <v>7.3343533794571578E-2</v>
          </cell>
          <cell r="T51">
            <v>0</v>
          </cell>
          <cell r="U51">
            <v>0.33122671633847789</v>
          </cell>
          <cell r="V51">
            <v>0.59542974986695052</v>
          </cell>
          <cell r="W51">
            <v>0</v>
          </cell>
        </row>
        <row r="52">
          <cell r="C52"/>
          <cell r="D52"/>
          <cell r="E52"/>
          <cell r="F52"/>
          <cell r="G52"/>
          <cell r="H52"/>
          <cell r="I52"/>
          <cell r="J52"/>
          <cell r="K52"/>
          <cell r="L52">
            <v>-179466.9</v>
          </cell>
          <cell r="M52">
            <v>-276003.02</v>
          </cell>
          <cell r="N52">
            <v>-168663.15</v>
          </cell>
          <cell r="O52">
            <v>-3950419.84</v>
          </cell>
          <cell r="P52">
            <v>0</v>
          </cell>
          <cell r="Q52">
            <v>-4574552.91</v>
          </cell>
          <cell r="R52"/>
          <cell r="S52"/>
          <cell r="T52"/>
          <cell r="U52"/>
          <cell r="V52"/>
          <cell r="W52"/>
        </row>
        <row r="53">
          <cell r="C53" t="str">
            <v>46001104</v>
          </cell>
          <cell r="D53"/>
          <cell r="E53">
            <v>-33104</v>
          </cell>
          <cell r="F53">
            <v>-36139</v>
          </cell>
          <cell r="G53">
            <v>-26276.5</v>
          </cell>
          <cell r="H53">
            <v>-167179.70000000001</v>
          </cell>
          <cell r="I53"/>
          <cell r="J53"/>
          <cell r="K53"/>
          <cell r="L53">
            <v>-33104</v>
          </cell>
          <cell r="M53">
            <v>-36139</v>
          </cell>
          <cell r="N53">
            <v>-26276.5</v>
          </cell>
          <cell r="O53">
            <v>-167179.70000000001</v>
          </cell>
          <cell r="P53">
            <v>0</v>
          </cell>
          <cell r="Q53">
            <v>-262699.2</v>
          </cell>
          <cell r="R53"/>
          <cell r="S53">
            <v>0.12601484892226547</v>
          </cell>
          <cell r="T53">
            <v>0.13756798650319452</v>
          </cell>
          <cell r="U53">
            <v>0.10002504765907166</v>
          </cell>
          <cell r="V53">
            <v>0.63639211691546838</v>
          </cell>
          <cell r="W53">
            <v>0</v>
          </cell>
        </row>
        <row r="54">
          <cell r="C54" t="str">
            <v>46001172</v>
          </cell>
          <cell r="D54"/>
          <cell r="E54">
            <v>-34282</v>
          </cell>
          <cell r="F54">
            <v>-26870</v>
          </cell>
          <cell r="G54">
            <v>-27970</v>
          </cell>
          <cell r="H54">
            <v>-378198.1</v>
          </cell>
          <cell r="I54"/>
          <cell r="J54">
            <v>-1245</v>
          </cell>
          <cell r="K54"/>
          <cell r="L54">
            <v>-34282</v>
          </cell>
          <cell r="M54">
            <v>-26870</v>
          </cell>
          <cell r="N54">
            <v>-27970</v>
          </cell>
          <cell r="O54">
            <v>-378198.1</v>
          </cell>
          <cell r="P54">
            <v>-1245</v>
          </cell>
          <cell r="Q54">
            <v>-468565.1</v>
          </cell>
          <cell r="R54"/>
          <cell r="S54">
            <v>7.3163793035375457E-2</v>
          </cell>
          <cell r="T54">
            <v>5.734528670615887E-2</v>
          </cell>
          <cell r="U54">
            <v>5.9692879388584426E-2</v>
          </cell>
          <cell r="V54">
            <v>0.80714099278840867</v>
          </cell>
          <cell r="W54">
            <v>2.6570480814725639E-3</v>
          </cell>
        </row>
        <row r="55">
          <cell r="C55" t="str">
            <v>46001210</v>
          </cell>
          <cell r="D55"/>
          <cell r="E55">
            <v>-183625</v>
          </cell>
          <cell r="F55">
            <v>-172353.57</v>
          </cell>
          <cell r="G55">
            <v>-235974.16</v>
          </cell>
          <cell r="H55">
            <v>-508633</v>
          </cell>
          <cell r="I55">
            <v>655</v>
          </cell>
          <cell r="J55">
            <v>-46697</v>
          </cell>
          <cell r="K55"/>
          <cell r="L55">
            <v>-183625</v>
          </cell>
          <cell r="M55">
            <v>-172353.57</v>
          </cell>
          <cell r="N55">
            <v>-235974.16</v>
          </cell>
          <cell r="O55">
            <v>-508633</v>
          </cell>
          <cell r="P55">
            <v>-46042</v>
          </cell>
          <cell r="Q55">
            <v>-1146627.73</v>
          </cell>
          <cell r="R55"/>
          <cell r="S55">
            <v>0.16014351929200246</v>
          </cell>
          <cell r="T55">
            <v>0.15031345003316815</v>
          </cell>
          <cell r="U55">
            <v>0.20579840677671385</v>
          </cell>
          <cell r="V55">
            <v>0.4435903534270883</v>
          </cell>
          <cell r="W55">
            <v>4.0154270471027244E-2</v>
          </cell>
        </row>
        <row r="56">
          <cell r="C56" t="str">
            <v>46001215</v>
          </cell>
          <cell r="D56"/>
          <cell r="E56">
            <v>-113220</v>
          </cell>
          <cell r="F56">
            <v>-101714</v>
          </cell>
          <cell r="G56">
            <v>-24683</v>
          </cell>
          <cell r="H56">
            <v>-222950</v>
          </cell>
          <cell r="I56"/>
          <cell r="J56">
            <v>-2348</v>
          </cell>
          <cell r="K56"/>
          <cell r="L56">
            <v>-113220</v>
          </cell>
          <cell r="M56">
            <v>-101714</v>
          </cell>
          <cell r="N56">
            <v>-24683</v>
          </cell>
          <cell r="O56">
            <v>-222950</v>
          </cell>
          <cell r="P56">
            <v>-2348</v>
          </cell>
          <cell r="Q56">
            <v>-464915</v>
          </cell>
          <cell r="R56"/>
          <cell r="S56">
            <v>0.24352838690943507</v>
          </cell>
          <cell r="T56">
            <v>0.21877977694847445</v>
          </cell>
          <cell r="U56">
            <v>5.3091425314304767E-2</v>
          </cell>
          <cell r="V56">
            <v>0.4795500252734371</v>
          </cell>
          <cell r="W56">
            <v>5.0503855543486444E-3</v>
          </cell>
        </row>
        <row r="57">
          <cell r="C57" t="str">
            <v>46001225</v>
          </cell>
          <cell r="D57"/>
          <cell r="E57">
            <v>-250</v>
          </cell>
          <cell r="F57">
            <v>0</v>
          </cell>
          <cell r="G57">
            <v>-361</v>
          </cell>
          <cell r="H57">
            <v>-676</v>
          </cell>
          <cell r="I57"/>
          <cell r="J57"/>
          <cell r="K57"/>
          <cell r="L57">
            <v>-250</v>
          </cell>
          <cell r="M57">
            <v>0</v>
          </cell>
          <cell r="N57">
            <v>-361</v>
          </cell>
          <cell r="O57">
            <v>-676</v>
          </cell>
          <cell r="P57">
            <v>0</v>
          </cell>
          <cell r="Q57">
            <v>-1287</v>
          </cell>
          <cell r="R57"/>
          <cell r="S57">
            <v>0.19425019425019424</v>
          </cell>
          <cell r="T57">
            <v>0</v>
          </cell>
          <cell r="U57">
            <v>0.28049728049728051</v>
          </cell>
          <cell r="V57">
            <v>0.5252525252525253</v>
          </cell>
          <cell r="W57">
            <v>0</v>
          </cell>
        </row>
        <row r="58">
          <cell r="C58" t="str">
            <v>46001330</v>
          </cell>
          <cell r="D58">
            <v>-1641.8</v>
          </cell>
          <cell r="E58">
            <v>-354151.89</v>
          </cell>
          <cell r="F58">
            <v>-425989.12</v>
          </cell>
          <cell r="G58">
            <v>-202134.59</v>
          </cell>
          <cell r="H58">
            <v>-870197.27</v>
          </cell>
          <cell r="I58">
            <v>791</v>
          </cell>
          <cell r="J58">
            <v>-27290.39</v>
          </cell>
          <cell r="K58"/>
          <cell r="L58">
            <v>-354151.89</v>
          </cell>
          <cell r="M58">
            <v>-425989.12</v>
          </cell>
          <cell r="N58">
            <v>-202134.59</v>
          </cell>
          <cell r="O58">
            <v>-870197.27</v>
          </cell>
          <cell r="P58">
            <v>-28141.19</v>
          </cell>
          <cell r="Q58">
            <v>-1880614.06</v>
          </cell>
          <cell r="R58"/>
          <cell r="S58">
            <v>0.18831715530192303</v>
          </cell>
          <cell r="T58">
            <v>0.2265159710653232</v>
          </cell>
          <cell r="U58">
            <v>0.10748329192008699</v>
          </cell>
          <cell r="V58">
            <v>0.46271975122848968</v>
          </cell>
          <cell r="W58">
            <v>1.4963830484177066E-2</v>
          </cell>
        </row>
        <row r="59">
          <cell r="C59" t="str">
            <v>46001331</v>
          </cell>
          <cell r="D59">
            <v>2826</v>
          </cell>
          <cell r="E59">
            <v>-301146</v>
          </cell>
          <cell r="F59">
            <v>-283484.51</v>
          </cell>
          <cell r="G59">
            <v>-79827</v>
          </cell>
          <cell r="H59">
            <v>-507406</v>
          </cell>
          <cell r="I59"/>
          <cell r="J59">
            <v>-7984</v>
          </cell>
          <cell r="K59"/>
          <cell r="L59">
            <v>-301146</v>
          </cell>
          <cell r="M59">
            <v>-283484.51</v>
          </cell>
          <cell r="N59">
            <v>-79827</v>
          </cell>
          <cell r="O59">
            <v>-507406</v>
          </cell>
          <cell r="P59">
            <v>-5158</v>
          </cell>
          <cell r="Q59">
            <v>-1177021.51</v>
          </cell>
          <cell r="R59"/>
          <cell r="S59">
            <v>0.25585428765868518</v>
          </cell>
          <cell r="T59">
            <v>0.24084904786489417</v>
          </cell>
          <cell r="U59">
            <v>6.7821190455559302E-2</v>
          </cell>
          <cell r="V59">
            <v>0.43109322615522971</v>
          </cell>
          <cell r="W59">
            <v>4.3822478656316147E-3</v>
          </cell>
        </row>
        <row r="60">
          <cell r="C60" t="str">
            <v>46001335</v>
          </cell>
          <cell r="D60">
            <v>-496</v>
          </cell>
          <cell r="E60">
            <v>-34492.01</v>
          </cell>
          <cell r="F60">
            <v>-38132</v>
          </cell>
          <cell r="G60">
            <v>-46664.01</v>
          </cell>
          <cell r="H60">
            <v>-39178</v>
          </cell>
          <cell r="I60"/>
          <cell r="J60">
            <v>-2629</v>
          </cell>
          <cell r="K60"/>
          <cell r="L60">
            <v>-34492.01</v>
          </cell>
          <cell r="M60">
            <v>-38132</v>
          </cell>
          <cell r="N60">
            <v>-46664.01</v>
          </cell>
          <cell r="O60">
            <v>-39178</v>
          </cell>
          <cell r="P60">
            <v>-3125</v>
          </cell>
          <cell r="Q60">
            <v>-161591.02000000002</v>
          </cell>
          <cell r="R60"/>
          <cell r="S60">
            <v>0.21345251734904575</v>
          </cell>
          <cell r="T60">
            <v>0.23597845969410922</v>
          </cell>
          <cell r="U60">
            <v>0.28877848533909867</v>
          </cell>
          <cell r="V60">
            <v>0.24245159167879499</v>
          </cell>
          <cell r="W60">
            <v>1.9338945938951309E-2</v>
          </cell>
        </row>
        <row r="61">
          <cell r="C61" t="str">
            <v>46001375</v>
          </cell>
          <cell r="D61">
            <v>-2835.8</v>
          </cell>
          <cell r="E61">
            <v>-19092</v>
          </cell>
          <cell r="F61">
            <v>-11929</v>
          </cell>
          <cell r="G61">
            <v>-5491</v>
          </cell>
          <cell r="H61">
            <v>-49615</v>
          </cell>
          <cell r="I61"/>
          <cell r="J61">
            <v>0</v>
          </cell>
          <cell r="K61"/>
          <cell r="L61">
            <v>-19092</v>
          </cell>
          <cell r="M61">
            <v>-11929</v>
          </cell>
          <cell r="N61">
            <v>-5491</v>
          </cell>
          <cell r="O61">
            <v>-49615</v>
          </cell>
          <cell r="P61">
            <v>-2835.8</v>
          </cell>
          <cell r="Q61">
            <v>-88962.8</v>
          </cell>
          <cell r="R61"/>
          <cell r="S61">
            <v>0.21460655464980868</v>
          </cell>
          <cell r="T61">
            <v>0.13408975436924198</v>
          </cell>
          <cell r="U61">
            <v>6.1722427801283231E-2</v>
          </cell>
          <cell r="V61">
            <v>0.55770501827730246</v>
          </cell>
          <cell r="W61">
            <v>3.1876244902363689E-2</v>
          </cell>
        </row>
        <row r="62">
          <cell r="C62" t="str">
            <v>46001376</v>
          </cell>
          <cell r="D62">
            <v>-89.6</v>
          </cell>
          <cell r="E62">
            <v>-55328</v>
          </cell>
          <cell r="F62">
            <v>-32287</v>
          </cell>
          <cell r="G62">
            <v>-25425</v>
          </cell>
          <cell r="H62">
            <v>-97066</v>
          </cell>
          <cell r="I62"/>
          <cell r="J62"/>
          <cell r="K62"/>
          <cell r="L62">
            <v>-55328</v>
          </cell>
          <cell r="M62">
            <v>-32287</v>
          </cell>
          <cell r="N62">
            <v>-25425</v>
          </cell>
          <cell r="O62">
            <v>-97066</v>
          </cell>
          <cell r="P62">
            <v>-89.6</v>
          </cell>
          <cell r="Q62">
            <v>-210195.6</v>
          </cell>
          <cell r="R62"/>
          <cell r="S62">
            <v>0.2632214946459393</v>
          </cell>
          <cell r="T62">
            <v>0.15360454738348472</v>
          </cell>
          <cell r="U62">
            <v>0.12095876412256013</v>
          </cell>
          <cell r="V62">
            <v>0.46178892422105883</v>
          </cell>
          <cell r="W62">
            <v>4.2626962695698671E-4</v>
          </cell>
        </row>
        <row r="63">
          <cell r="C63" t="str">
            <v>46001381</v>
          </cell>
          <cell r="D63"/>
          <cell r="E63">
            <v>-136115.24</v>
          </cell>
          <cell r="F63">
            <v>-164564.66</v>
          </cell>
          <cell r="G63">
            <v>-273768.17</v>
          </cell>
          <cell r="H63">
            <v>-3489</v>
          </cell>
          <cell r="I63"/>
          <cell r="J63">
            <v>-7084.41</v>
          </cell>
          <cell r="K63"/>
          <cell r="L63">
            <v>-136115.24</v>
          </cell>
          <cell r="M63">
            <v>-164564.66</v>
          </cell>
          <cell r="N63">
            <v>-273768.17</v>
          </cell>
          <cell r="O63">
            <v>-3489</v>
          </cell>
          <cell r="P63">
            <v>-7084.41</v>
          </cell>
          <cell r="Q63">
            <v>-585021.4800000001</v>
          </cell>
          <cell r="R63"/>
          <cell r="S63">
            <v>0.23266708087368002</v>
          </cell>
          <cell r="T63">
            <v>0.28129678247027778</v>
          </cell>
          <cell r="U63">
            <v>0.46796259515120697</v>
          </cell>
          <cell r="V63">
            <v>5.9638835825310196E-3</v>
          </cell>
          <cell r="W63">
            <v>1.2109657922303979E-2</v>
          </cell>
        </row>
        <row r="64">
          <cell r="C64" t="str">
            <v>46001382</v>
          </cell>
          <cell r="D64">
            <v>-775.6</v>
          </cell>
          <cell r="E64">
            <v>-70896</v>
          </cell>
          <cell r="F64">
            <v>-81412</v>
          </cell>
          <cell r="G64">
            <v>-34524</v>
          </cell>
          <cell r="H64">
            <v>-84188</v>
          </cell>
          <cell r="I64"/>
          <cell r="J64">
            <v>-918</v>
          </cell>
          <cell r="K64"/>
          <cell r="L64">
            <v>-70896</v>
          </cell>
          <cell r="M64">
            <v>-81412</v>
          </cell>
          <cell r="N64">
            <v>-34524</v>
          </cell>
          <cell r="O64">
            <v>-84188</v>
          </cell>
          <cell r="P64">
            <v>-1693.6</v>
          </cell>
          <cell r="Q64">
            <v>-272713.59999999998</v>
          </cell>
          <cell r="R64"/>
          <cell r="S64">
            <v>0.25996503291365008</v>
          </cell>
          <cell r="T64">
            <v>0.298525632751722</v>
          </cell>
          <cell r="U64">
            <v>0.12659434659657606</v>
          </cell>
          <cell r="V64">
            <v>0.30870480973446141</v>
          </cell>
          <cell r="W64">
            <v>6.2101780035905803E-3</v>
          </cell>
        </row>
        <row r="65">
          <cell r="C65" t="str">
            <v>46001383</v>
          </cell>
          <cell r="D65"/>
          <cell r="E65">
            <v>-5604</v>
          </cell>
          <cell r="F65">
            <v>-5685</v>
          </cell>
          <cell r="G65">
            <v>-2448</v>
          </cell>
          <cell r="H65">
            <v>-36018.9</v>
          </cell>
          <cell r="I65"/>
          <cell r="J65">
            <v>0</v>
          </cell>
          <cell r="K65"/>
          <cell r="L65">
            <v>-5604</v>
          </cell>
          <cell r="M65">
            <v>-5685</v>
          </cell>
          <cell r="N65">
            <v>-2448</v>
          </cell>
          <cell r="O65">
            <v>-36018.9</v>
          </cell>
          <cell r="P65">
            <v>0</v>
          </cell>
          <cell r="Q65">
            <v>-49755.9</v>
          </cell>
          <cell r="R65"/>
          <cell r="S65">
            <v>0.11262985897149885</v>
          </cell>
          <cell r="T65">
            <v>0.11425780661187919</v>
          </cell>
          <cell r="U65">
            <v>4.9200195353716843E-2</v>
          </cell>
          <cell r="V65">
            <v>0.72391213906290508</v>
          </cell>
          <cell r="W65">
            <v>0</v>
          </cell>
        </row>
        <row r="66">
          <cell r="C66" t="str">
            <v>46001388</v>
          </cell>
          <cell r="D66">
            <v>-294</v>
          </cell>
          <cell r="E66">
            <v>-2415</v>
          </cell>
          <cell r="F66">
            <v>-2243</v>
          </cell>
          <cell r="G66">
            <v>-2110</v>
          </cell>
          <cell r="H66">
            <v>-6242</v>
          </cell>
          <cell r="I66"/>
          <cell r="J66">
            <v>192</v>
          </cell>
          <cell r="K66"/>
          <cell r="L66">
            <v>-2415</v>
          </cell>
          <cell r="M66">
            <v>-2243</v>
          </cell>
          <cell r="N66">
            <v>-2110</v>
          </cell>
          <cell r="O66">
            <v>-6242</v>
          </cell>
          <cell r="P66">
            <v>-102</v>
          </cell>
          <cell r="Q66">
            <v>-13112</v>
          </cell>
          <cell r="R66"/>
          <cell r="S66">
            <v>0.18418242830994508</v>
          </cell>
          <cell r="T66">
            <v>0.17106467358145211</v>
          </cell>
          <cell r="U66">
            <v>0.16092129347162903</v>
          </cell>
          <cell r="V66">
            <v>0.47605247101891396</v>
          </cell>
          <cell r="W66">
            <v>7.7791336180597923E-3</v>
          </cell>
        </row>
        <row r="67">
          <cell r="C67" t="str">
            <v>46001391</v>
          </cell>
          <cell r="D67">
            <v>-216</v>
          </cell>
          <cell r="E67">
            <v>-47220</v>
          </cell>
          <cell r="F67">
            <v>-46488</v>
          </cell>
          <cell r="G67">
            <v>-32401</v>
          </cell>
          <cell r="H67">
            <v>-162133.4</v>
          </cell>
          <cell r="I67"/>
          <cell r="J67">
            <v>-1322</v>
          </cell>
          <cell r="K67"/>
          <cell r="L67">
            <v>-47220</v>
          </cell>
          <cell r="M67">
            <v>-46488</v>
          </cell>
          <cell r="N67">
            <v>-32401</v>
          </cell>
          <cell r="O67">
            <v>-162133.4</v>
          </cell>
          <cell r="P67">
            <v>-1538</v>
          </cell>
          <cell r="Q67">
            <v>-289780.40000000002</v>
          </cell>
          <cell r="R67"/>
          <cell r="S67">
            <v>0.16295097943132109</v>
          </cell>
          <cell r="T67">
            <v>0.16042492867012398</v>
          </cell>
          <cell r="U67">
            <v>0.11181225507315194</v>
          </cell>
          <cell r="V67">
            <v>0.55950436951567462</v>
          </cell>
          <cell r="W67">
            <v>5.3074673097283321E-3</v>
          </cell>
        </row>
        <row r="68">
          <cell r="C68" t="str">
            <v>46001394</v>
          </cell>
          <cell r="D68">
            <v>1916.02</v>
          </cell>
          <cell r="E68">
            <v>-201590</v>
          </cell>
          <cell r="F68">
            <v>-228011.8</v>
          </cell>
          <cell r="G68">
            <v>-24055</v>
          </cell>
          <cell r="H68">
            <v>-1213861.6000000001</v>
          </cell>
          <cell r="I68"/>
          <cell r="J68">
            <v>-4995</v>
          </cell>
          <cell r="K68"/>
          <cell r="L68">
            <v>-201590</v>
          </cell>
          <cell r="M68">
            <v>-228011.8</v>
          </cell>
          <cell r="N68">
            <v>-24055</v>
          </cell>
          <cell r="O68">
            <v>-1213861.6000000001</v>
          </cell>
          <cell r="P68">
            <v>-3078.98</v>
          </cell>
          <cell r="Q68">
            <v>-1670597.3800000001</v>
          </cell>
          <cell r="R68"/>
          <cell r="S68">
            <v>0.12066940988498377</v>
          </cell>
          <cell r="T68">
            <v>0.13648518950748023</v>
          </cell>
          <cell r="U68">
            <v>1.4399040898771191E-2</v>
          </cell>
          <cell r="V68">
            <v>0.72660331838901848</v>
          </cell>
          <cell r="W68">
            <v>1.8430413197463532E-3</v>
          </cell>
        </row>
        <row r="69">
          <cell r="C69" t="str">
            <v>46001395</v>
          </cell>
          <cell r="D69">
            <v>834</v>
          </cell>
          <cell r="E69">
            <v>-386748.14</v>
          </cell>
          <cell r="F69">
            <v>-257075.86</v>
          </cell>
          <cell r="G69">
            <v>-251713.1</v>
          </cell>
          <cell r="H69">
            <v>-403170.45</v>
          </cell>
          <cell r="I69"/>
          <cell r="J69">
            <v>-13520.21</v>
          </cell>
          <cell r="K69"/>
          <cell r="L69">
            <v>-386748.14</v>
          </cell>
          <cell r="M69">
            <v>-257075.86</v>
          </cell>
          <cell r="N69">
            <v>-251713.1</v>
          </cell>
          <cell r="O69">
            <v>-403170.45</v>
          </cell>
          <cell r="P69">
            <v>-12686.21</v>
          </cell>
          <cell r="Q69">
            <v>-1311393.76</v>
          </cell>
          <cell r="R69"/>
          <cell r="S69">
            <v>0.29491381749444956</v>
          </cell>
          <cell r="T69">
            <v>0.19603254784436369</v>
          </cell>
          <cell r="U69">
            <v>0.19194318874904515</v>
          </cell>
          <cell r="V69">
            <v>0.30743660851337284</v>
          </cell>
          <cell r="W69">
            <v>9.6738373987687726E-3</v>
          </cell>
        </row>
        <row r="70">
          <cell r="C70"/>
          <cell r="D70"/>
          <cell r="E70"/>
          <cell r="F70"/>
          <cell r="G70"/>
          <cell r="H70"/>
          <cell r="I70"/>
          <cell r="J70"/>
          <cell r="K70"/>
          <cell r="L70">
            <v>-1979279.2799999998</v>
          </cell>
          <cell r="M70">
            <v>-1914378.52</v>
          </cell>
          <cell r="N70">
            <v>-1295825.53</v>
          </cell>
          <cell r="O70">
            <v>-4750202.4200000009</v>
          </cell>
          <cell r="P70">
            <v>-115167.79000000001</v>
          </cell>
          <cell r="Q70">
            <v>-10054853.539999999</v>
          </cell>
          <cell r="R70"/>
          <cell r="S70"/>
          <cell r="T70"/>
          <cell r="U70"/>
          <cell r="V70"/>
          <cell r="W70"/>
        </row>
        <row r="71">
          <cell r="C71" t="str">
            <v>REV TOTAL</v>
          </cell>
          <cell r="D71">
            <v>-20560.689999999995</v>
          </cell>
          <cell r="E71">
            <v>-7816029.1999999993</v>
          </cell>
          <cell r="F71">
            <v>-8180665.5000000009</v>
          </cell>
          <cell r="G71">
            <v>-5142920.1599999992</v>
          </cell>
          <cell r="H71">
            <v>-29119572.140000001</v>
          </cell>
          <cell r="I71">
            <v>2397.0500000000002</v>
          </cell>
          <cell r="J71">
            <v>-607498.68999999994</v>
          </cell>
          <cell r="K71"/>
          <cell r="L71">
            <v>-7816029.1999999993</v>
          </cell>
          <cell r="M71">
            <v>-8180665.5000000009</v>
          </cell>
          <cell r="N71">
            <v>-5142920.1599999992</v>
          </cell>
          <cell r="O71">
            <v>-29119572.140000001</v>
          </cell>
          <cell r="P71">
            <v>-625662.32999999996</v>
          </cell>
          <cell r="Q71">
            <v>-50884849.330000006</v>
          </cell>
          <cell r="R71"/>
          <cell r="S71">
            <v>0.15360228639592197</v>
          </cell>
          <cell r="T71">
            <v>0.16076819736551631</v>
          </cell>
          <cell r="U71">
            <v>0.10106977278535255</v>
          </cell>
          <cell r="V71">
            <v>0.57226409281774315</v>
          </cell>
          <cell r="W71">
            <v>1.2295650635465876E-2</v>
          </cell>
        </row>
        <row r="72">
          <cell r="C72" t="str">
            <v>51001650</v>
          </cell>
          <cell r="D72">
            <v>86488.29</v>
          </cell>
          <cell r="E72">
            <v>56410.68</v>
          </cell>
          <cell r="F72">
            <v>59221.63</v>
          </cell>
          <cell r="G72">
            <v>88708.38</v>
          </cell>
          <cell r="H72">
            <v>1138630.77</v>
          </cell>
          <cell r="I72"/>
          <cell r="J72">
            <v>5696.94</v>
          </cell>
          <cell r="K72"/>
          <cell r="L72">
            <v>56410.68</v>
          </cell>
          <cell r="M72">
            <v>59221.63</v>
          </cell>
          <cell r="N72">
            <v>88708.38</v>
          </cell>
          <cell r="O72">
            <v>1138630.77</v>
          </cell>
          <cell r="P72">
            <v>92185.23</v>
          </cell>
          <cell r="Q72">
            <v>1435156.69</v>
          </cell>
          <cell r="R72"/>
          <cell r="S72">
            <v>3.9306286479422678E-2</v>
          </cell>
          <cell r="T72">
            <v>4.1264922786932764E-2</v>
          </cell>
          <cell r="U72">
            <v>6.1810937173696352E-2</v>
          </cell>
          <cell r="V72">
            <v>0.79338428893084845</v>
          </cell>
          <cell r="W72">
            <v>6.4233564629099835E-2</v>
          </cell>
        </row>
        <row r="73">
          <cell r="C73" t="str">
            <v>52001650</v>
          </cell>
          <cell r="D73">
            <v>1074587.01</v>
          </cell>
          <cell r="E73">
            <v>1419902.2</v>
          </cell>
          <cell r="F73">
            <v>1453355.13</v>
          </cell>
          <cell r="G73">
            <v>2906139.64</v>
          </cell>
          <cell r="H73">
            <v>10734348.470000001</v>
          </cell>
          <cell r="I73"/>
          <cell r="J73">
            <v>12571.41</v>
          </cell>
          <cell r="K73"/>
          <cell r="L73">
            <v>1419902.2</v>
          </cell>
          <cell r="M73">
            <v>1453355.13</v>
          </cell>
          <cell r="N73">
            <v>2906139.64</v>
          </cell>
          <cell r="O73">
            <v>10734348.470000001</v>
          </cell>
          <cell r="P73">
            <v>1087158.42</v>
          </cell>
          <cell r="Q73">
            <v>17600903.859999999</v>
          </cell>
          <cell r="R73"/>
          <cell r="S73">
            <v>8.067211839199262E-2</v>
          </cell>
          <cell r="T73">
            <v>8.2572755442571907E-2</v>
          </cell>
          <cell r="U73">
            <v>0.16511309095918214</v>
          </cell>
          <cell r="V73">
            <v>0.60987484252982005</v>
          </cell>
          <cell r="W73">
            <v>6.176719267643338E-2</v>
          </cell>
        </row>
        <row r="74">
          <cell r="C74" t="str">
            <v>53001650</v>
          </cell>
          <cell r="D74">
            <v>287728.44</v>
          </cell>
          <cell r="E74">
            <v>122624.46</v>
          </cell>
          <cell r="F74">
            <v>227031.75</v>
          </cell>
          <cell r="G74">
            <v>551626.51</v>
          </cell>
          <cell r="H74">
            <v>846532.19</v>
          </cell>
          <cell r="I74"/>
          <cell r="J74">
            <v>1128.26</v>
          </cell>
          <cell r="K74"/>
          <cell r="L74">
            <v>122624.46</v>
          </cell>
          <cell r="M74">
            <v>227031.75</v>
          </cell>
          <cell r="N74">
            <v>551626.51</v>
          </cell>
          <cell r="O74">
            <v>846532.19</v>
          </cell>
          <cell r="P74">
            <v>288856.7</v>
          </cell>
          <cell r="Q74">
            <v>2036671.6099999999</v>
          </cell>
          <cell r="R74"/>
          <cell r="S74">
            <v>6.0208263029698741E-2</v>
          </cell>
          <cell r="T74">
            <v>0.11147194711473393</v>
          </cell>
          <cell r="U74">
            <v>0.27084705619282434</v>
          </cell>
          <cell r="V74">
            <v>0.41564491096333395</v>
          </cell>
          <cell r="W74">
            <v>0.14182782269940908</v>
          </cell>
        </row>
        <row r="75">
          <cell r="C75" t="str">
            <v>55001650</v>
          </cell>
          <cell r="D75">
            <v>200356.3</v>
          </cell>
          <cell r="E75">
            <v>16952.25</v>
          </cell>
          <cell r="F75">
            <v>30190.36</v>
          </cell>
          <cell r="G75">
            <v>465450.85</v>
          </cell>
          <cell r="H75">
            <v>-282134.28999999998</v>
          </cell>
          <cell r="I75"/>
          <cell r="J75">
            <v>993.32</v>
          </cell>
          <cell r="K75"/>
          <cell r="L75">
            <v>16952.25</v>
          </cell>
          <cell r="M75">
            <v>30190.36</v>
          </cell>
          <cell r="N75">
            <v>465450.85</v>
          </cell>
          <cell r="O75">
            <v>-282134.28999999998</v>
          </cell>
          <cell r="P75">
            <v>201349.62</v>
          </cell>
          <cell r="Q75">
            <v>431808.79</v>
          </cell>
          <cell r="R75"/>
          <cell r="S75">
            <v>3.9258695961237842E-2</v>
          </cell>
          <cell r="T75">
            <v>6.9916038531776997E-2</v>
          </cell>
          <cell r="U75">
            <v>1.0779096229143459</v>
          </cell>
          <cell r="V75">
            <v>-0.65337782957127855</v>
          </cell>
          <cell r="W75">
            <v>0.46629347216391775</v>
          </cell>
        </row>
        <row r="76">
          <cell r="C76" t="str">
            <v>56001650</v>
          </cell>
          <cell r="D76">
            <v>412754.92</v>
          </cell>
          <cell r="E76">
            <v>667628.85</v>
          </cell>
          <cell r="F76">
            <v>540205.02</v>
          </cell>
          <cell r="G76">
            <v>729813.95</v>
          </cell>
          <cell r="H76">
            <v>1117178.8999999999</v>
          </cell>
          <cell r="I76">
            <v>-4340.16</v>
          </cell>
          <cell r="J76"/>
          <cell r="K76"/>
          <cell r="L76">
            <v>667628.85</v>
          </cell>
          <cell r="M76">
            <v>540205.02</v>
          </cell>
          <cell r="N76">
            <v>729813.95</v>
          </cell>
          <cell r="O76">
            <v>1117178.8999999999</v>
          </cell>
          <cell r="P76">
            <v>408414.76</v>
          </cell>
          <cell r="Q76">
            <v>3463241.4799999995</v>
          </cell>
          <cell r="R76"/>
          <cell r="S76"/>
          <cell r="T76"/>
          <cell r="U76"/>
          <cell r="V76"/>
          <cell r="W76"/>
        </row>
        <row r="77">
          <cell r="C77" t="str">
            <v>57001650</v>
          </cell>
          <cell r="D77"/>
          <cell r="E77"/>
          <cell r="F77"/>
          <cell r="G77"/>
          <cell r="H77"/>
          <cell r="I77"/>
          <cell r="J77">
            <v>333031.5</v>
          </cell>
          <cell r="K77"/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333031.5</v>
          </cell>
          <cell r="Q77">
            <v>333031.5</v>
          </cell>
          <cell r="R77"/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1</v>
          </cell>
        </row>
        <row r="78">
          <cell r="C78" t="str">
            <v>57101650</v>
          </cell>
          <cell r="D78">
            <v>1303305.0900000001</v>
          </cell>
          <cell r="E78"/>
          <cell r="F78"/>
          <cell r="G78"/>
          <cell r="H78"/>
          <cell r="I78"/>
          <cell r="J78"/>
          <cell r="K78"/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1303305.0900000001</v>
          </cell>
          <cell r="Q78">
            <v>1303305.0900000001</v>
          </cell>
          <cell r="R78"/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1</v>
          </cell>
        </row>
        <row r="79">
          <cell r="C79" t="str">
            <v>57151650</v>
          </cell>
          <cell r="D79">
            <v>-247529.26</v>
          </cell>
          <cell r="E79"/>
          <cell r="F79"/>
          <cell r="G79"/>
          <cell r="H79"/>
          <cell r="I79"/>
          <cell r="J79"/>
          <cell r="K79"/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-247529.26</v>
          </cell>
          <cell r="Q79">
            <v>-247529.26</v>
          </cell>
          <cell r="R79"/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1</v>
          </cell>
        </row>
        <row r="80">
          <cell r="C80" t="str">
            <v>58001650</v>
          </cell>
          <cell r="D80">
            <v>-60012.03</v>
          </cell>
          <cell r="E80">
            <v>3881</v>
          </cell>
          <cell r="F80">
            <v>189571.75</v>
          </cell>
          <cell r="G80">
            <v>31955.01</v>
          </cell>
          <cell r="H80">
            <v>46461.82</v>
          </cell>
          <cell r="I80"/>
          <cell r="J80">
            <v>36290.25</v>
          </cell>
          <cell r="K80"/>
          <cell r="L80">
            <v>3881</v>
          </cell>
          <cell r="M80">
            <v>189571.75</v>
          </cell>
          <cell r="N80">
            <v>31955.01</v>
          </cell>
          <cell r="O80">
            <v>46461.82</v>
          </cell>
          <cell r="P80">
            <v>-23721.78</v>
          </cell>
          <cell r="Q80">
            <v>248147.80000000002</v>
          </cell>
          <cell r="R80"/>
          <cell r="S80">
            <v>1.5639872688776608E-2</v>
          </cell>
          <cell r="T80">
            <v>0.76394693001509584</v>
          </cell>
          <cell r="U80">
            <v>0.12877410156366487</v>
          </cell>
          <cell r="V80">
            <v>0.1872344626871566</v>
          </cell>
          <cell r="W80">
            <v>-9.5595366954693922E-2</v>
          </cell>
        </row>
        <row r="81">
          <cell r="C81" t="str">
            <v>CA TOTAL</v>
          </cell>
          <cell r="D81">
            <v>3057678.7600000002</v>
          </cell>
          <cell r="E81">
            <v>2287399.44</v>
          </cell>
          <cell r="F81">
            <v>2499575.6399999997</v>
          </cell>
          <cell r="G81">
            <v>4773694.34</v>
          </cell>
          <cell r="H81">
            <v>13601017.860000001</v>
          </cell>
          <cell r="I81">
            <v>-4340.16</v>
          </cell>
          <cell r="J81">
            <v>389711.68</v>
          </cell>
          <cell r="K81"/>
          <cell r="L81">
            <v>2283518.44</v>
          </cell>
          <cell r="M81">
            <v>2310003.8899999997</v>
          </cell>
          <cell r="N81">
            <v>4741739.33</v>
          </cell>
          <cell r="O81">
            <v>13554556.040000001</v>
          </cell>
          <cell r="P81">
            <v>3466772.0599999996</v>
          </cell>
          <cell r="Q81">
            <v>26356589.759999998</v>
          </cell>
          <cell r="R81"/>
          <cell r="S81">
            <v>8.6639374091771734E-2</v>
          </cell>
          <cell r="T81">
            <v>8.7644263200763947E-2</v>
          </cell>
          <cell r="U81">
            <v>0.17990716451474639</v>
          </cell>
          <cell r="V81">
            <v>0.51427579073871821</v>
          </cell>
          <cell r="W81">
            <v>0.13153340745399983</v>
          </cell>
        </row>
        <row r="82">
          <cell r="C82" t="str">
            <v>NET TOTAL</v>
          </cell>
          <cell r="D82">
            <v>3037118.0700000008</v>
          </cell>
          <cell r="E82">
            <v>-5528629.7599999998</v>
          </cell>
          <cell r="F82">
            <v>-5681089.8600000013</v>
          </cell>
          <cell r="G82">
            <v>-369225.81999999937</v>
          </cell>
          <cell r="H82">
            <v>-15518554.279999997</v>
          </cell>
          <cell r="I82">
            <v>-1943.1099999999997</v>
          </cell>
          <cell r="J82">
            <v>-217787.01</v>
          </cell>
          <cell r="K82"/>
          <cell r="L82">
            <v>-5528629.7599999998</v>
          </cell>
          <cell r="M82">
            <v>-5681089.8600000013</v>
          </cell>
          <cell r="N82">
            <v>-369225.81999999937</v>
          </cell>
          <cell r="O82">
            <v>-15518554.279999997</v>
          </cell>
          <cell r="P82">
            <v>2817387.9500000007</v>
          </cell>
          <cell r="Q82">
            <v>-24280111.770000011</v>
          </cell>
          <cell r="R82"/>
          <cell r="S82">
            <v>0.22770198969310582</v>
          </cell>
          <cell r="T82">
            <v>0.2339812070807448</v>
          </cell>
          <cell r="U82">
            <v>1.5206924230728086E-2</v>
          </cell>
          <cell r="V82">
            <v>0.63914673980926207</v>
          </cell>
          <cell r="W82">
            <v>-0.11603686081384128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BF2FF-6421-4518-B5A7-972418768F4E}">
  <sheetPr>
    <pageSetUpPr fitToPage="1"/>
  </sheetPr>
  <dimension ref="B2:H18"/>
  <sheetViews>
    <sheetView showGridLines="0" tabSelected="1" workbookViewId="0">
      <selection activeCell="F26" sqref="F26"/>
    </sheetView>
  </sheetViews>
  <sheetFormatPr defaultRowHeight="15"/>
  <cols>
    <col min="2" max="2" width="24.28515625" customWidth="1"/>
    <col min="3" max="3" width="19.42578125" customWidth="1"/>
    <col min="4" max="8" width="17.7109375" customWidth="1"/>
  </cols>
  <sheetData>
    <row r="2" spans="2:8" ht="15.75">
      <c r="B2" s="4" t="s">
        <v>16</v>
      </c>
    </row>
    <row r="4" spans="2:8" ht="18.75">
      <c r="D4" s="94" t="s">
        <v>15</v>
      </c>
      <c r="E4" s="94"/>
    </row>
    <row r="5" spans="2:8">
      <c r="B5" s="1"/>
      <c r="C5" s="1"/>
      <c r="D5" s="1"/>
      <c r="E5" s="1"/>
      <c r="F5" s="1"/>
      <c r="G5" s="1"/>
      <c r="H5" s="1"/>
    </row>
    <row r="6" spans="2:8" ht="15.75">
      <c r="B6" s="95" t="s">
        <v>14</v>
      </c>
      <c r="C6" s="96"/>
      <c r="D6" s="96"/>
      <c r="E6" s="96"/>
      <c r="F6" s="96"/>
      <c r="G6" s="96"/>
      <c r="H6" s="97"/>
    </row>
    <row r="7" spans="2:8">
      <c r="B7" s="1"/>
      <c r="C7" s="1"/>
      <c r="D7" s="1"/>
      <c r="E7" s="1"/>
      <c r="F7" s="1"/>
      <c r="G7" s="1"/>
      <c r="H7" s="1"/>
    </row>
    <row r="8" spans="2:8" ht="42.75" customHeight="1">
      <c r="B8" s="2" t="s">
        <v>7</v>
      </c>
      <c r="C8" s="3" t="s">
        <v>8</v>
      </c>
      <c r="D8" s="3" t="s">
        <v>9</v>
      </c>
      <c r="E8" s="3" t="s">
        <v>10</v>
      </c>
      <c r="F8" s="3" t="s">
        <v>11</v>
      </c>
      <c r="G8" s="3" t="s">
        <v>12</v>
      </c>
      <c r="H8" s="3" t="s">
        <v>13</v>
      </c>
    </row>
    <row r="9" spans="2:8">
      <c r="B9" s="2"/>
      <c r="C9" s="5"/>
      <c r="D9" s="2"/>
      <c r="E9" s="2"/>
      <c r="F9" s="2"/>
      <c r="G9" s="2"/>
      <c r="H9" s="2"/>
    </row>
    <row r="10" spans="2:8">
      <c r="B10" s="2" t="s">
        <v>4</v>
      </c>
      <c r="C10" s="6">
        <v>0.04</v>
      </c>
      <c r="D10" s="93">
        <f>'NPR Change'!U22</f>
        <v>9.5557410913745481E-3</v>
      </c>
      <c r="E10" s="7">
        <v>3.7999999999999999E-2</v>
      </c>
      <c r="F10" s="7">
        <v>0</v>
      </c>
      <c r="G10" s="7">
        <v>0</v>
      </c>
      <c r="H10" s="5">
        <v>0</v>
      </c>
    </row>
    <row r="11" spans="2:8">
      <c r="B11" s="2" t="s">
        <v>0</v>
      </c>
      <c r="C11" s="6">
        <v>0.04</v>
      </c>
      <c r="D11" s="93">
        <f>'NPR Change'!U47</f>
        <v>1.9210367628462975E-2</v>
      </c>
      <c r="E11" s="7">
        <v>3.4000000000000002E-2</v>
      </c>
      <c r="F11" s="7">
        <v>0</v>
      </c>
      <c r="G11" s="7">
        <v>0</v>
      </c>
      <c r="H11" s="5">
        <v>0</v>
      </c>
    </row>
    <row r="12" spans="2:8">
      <c r="B12" s="2" t="s">
        <v>1</v>
      </c>
      <c r="C12" s="6">
        <v>0.03</v>
      </c>
      <c r="D12" s="93">
        <f>'NPR Change'!U119</f>
        <v>1.391728076772987E-2</v>
      </c>
      <c r="E12" s="7">
        <v>0.03</v>
      </c>
      <c r="F12" s="7">
        <v>0</v>
      </c>
      <c r="G12" s="7">
        <v>0</v>
      </c>
      <c r="H12" s="5">
        <v>0</v>
      </c>
    </row>
    <row r="13" spans="2:8">
      <c r="B13" s="2" t="s">
        <v>2</v>
      </c>
      <c r="C13" s="6">
        <v>0.03</v>
      </c>
      <c r="D13" s="93">
        <f>'NPR Change'!U119</f>
        <v>1.391728076772987E-2</v>
      </c>
      <c r="E13" s="7">
        <v>0.03</v>
      </c>
      <c r="F13" s="7">
        <v>0</v>
      </c>
      <c r="G13" s="7">
        <v>0</v>
      </c>
      <c r="H13" s="5">
        <v>0</v>
      </c>
    </row>
    <row r="14" spans="2:8">
      <c r="B14" s="2" t="s">
        <v>6</v>
      </c>
      <c r="C14" s="6">
        <v>0.03</v>
      </c>
      <c r="D14" s="93">
        <f>'NPR Change'!U119</f>
        <v>1.391728076772987E-2</v>
      </c>
      <c r="E14" s="7">
        <v>0.03</v>
      </c>
      <c r="F14" s="7">
        <v>0</v>
      </c>
      <c r="G14" s="7">
        <v>0</v>
      </c>
      <c r="H14" s="5">
        <v>0</v>
      </c>
    </row>
    <row r="15" spans="2:8">
      <c r="B15" s="2" t="s">
        <v>5</v>
      </c>
      <c r="C15" s="6"/>
      <c r="D15" s="93"/>
      <c r="E15" s="7"/>
      <c r="F15" s="7">
        <v>0</v>
      </c>
      <c r="G15" s="7">
        <v>0</v>
      </c>
      <c r="H15" s="5">
        <v>0</v>
      </c>
    </row>
    <row r="16" spans="2:8">
      <c r="B16" s="2" t="s">
        <v>18</v>
      </c>
      <c r="C16" s="6">
        <v>0.04</v>
      </c>
      <c r="D16" s="93">
        <f>'NPR Change'!U60</f>
        <v>1.7900443428610292E-2</v>
      </c>
      <c r="E16" s="7">
        <v>3.9E-2</v>
      </c>
      <c r="F16" s="7">
        <v>0</v>
      </c>
      <c r="G16" s="7"/>
      <c r="H16" s="5"/>
    </row>
    <row r="17" spans="2:8">
      <c r="B17" s="2" t="s">
        <v>17</v>
      </c>
      <c r="C17" s="6">
        <v>1.6E-2</v>
      </c>
      <c r="D17" s="93">
        <f>'NPR Change'!U84</f>
        <v>2.8542178992812216E-3</v>
      </c>
      <c r="E17" s="7">
        <v>0.03</v>
      </c>
      <c r="F17" s="7">
        <v>0</v>
      </c>
      <c r="G17" s="7">
        <v>0</v>
      </c>
      <c r="H17" s="5">
        <v>0</v>
      </c>
    </row>
    <row r="18" spans="2:8" ht="30">
      <c r="B18" s="3" t="s">
        <v>3</v>
      </c>
      <c r="C18" s="6">
        <v>3.2000000000000001E-2</v>
      </c>
      <c r="D18" s="6">
        <f>'NPR Change'!U120</f>
        <v>1.582878684207302E-2</v>
      </c>
      <c r="E18" s="6">
        <v>3.1E-2</v>
      </c>
      <c r="F18" s="7">
        <v>0</v>
      </c>
      <c r="G18" s="7">
        <v>0</v>
      </c>
      <c r="H18" s="5">
        <v>0</v>
      </c>
    </row>
  </sheetData>
  <mergeCells count="2">
    <mergeCell ref="D4:E4"/>
    <mergeCell ref="B6:H6"/>
  </mergeCells>
  <pageMargins left="0.7" right="0.7" top="0.75" bottom="0.75" header="0.3" footer="0.3"/>
  <pageSetup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ACEBB-5663-4655-9905-4AEC7B12B429}">
  <sheetPr>
    <tabColor theme="9" tint="0.59999389629810485"/>
  </sheetPr>
  <dimension ref="A1:U197"/>
  <sheetViews>
    <sheetView zoomScale="55" zoomScaleNormal="55" workbookViewId="0">
      <pane xSplit="2" ySplit="6" topLeftCell="C85" activePane="bottomRight" state="frozen"/>
      <selection pane="topRight" activeCell="C1" sqref="C1"/>
      <selection pane="bottomLeft" activeCell="A7" sqref="A7"/>
      <selection pane="bottomRight" activeCell="U121" sqref="U121"/>
    </sheetView>
  </sheetViews>
  <sheetFormatPr defaultColWidth="8.7109375" defaultRowHeight="15"/>
  <cols>
    <col min="1" max="1" width="6.7109375" style="9" customWidth="1"/>
    <col min="2" max="2" width="8" style="9" bestFit="1" customWidth="1"/>
    <col min="3" max="3" width="16.28515625" style="9" customWidth="1"/>
    <col min="4" max="4" width="15.42578125" style="9" customWidth="1"/>
    <col min="5" max="5" width="15.7109375" style="9" customWidth="1"/>
    <col min="6" max="6" width="16.28515625" style="9" customWidth="1"/>
    <col min="7" max="7" width="14.42578125" style="9" customWidth="1"/>
    <col min="8" max="10" width="16.5703125" style="9" customWidth="1"/>
    <col min="11" max="11" width="8.7109375" style="9"/>
    <col min="12" max="12" width="7.42578125" style="9" bestFit="1" customWidth="1"/>
    <col min="13" max="13" width="7.7109375" style="9" bestFit="1" customWidth="1"/>
    <col min="14" max="14" width="13.28515625" style="9" bestFit="1" customWidth="1"/>
    <col min="15" max="15" width="12.7109375" style="9" bestFit="1" customWidth="1"/>
    <col min="16" max="16" width="14.7109375" style="9" bestFit="1" customWidth="1"/>
    <col min="17" max="17" width="12.28515625" style="9" bestFit="1" customWidth="1"/>
    <col min="18" max="18" width="11.5703125" style="9" bestFit="1" customWidth="1"/>
    <col min="19" max="19" width="16.28515625" style="9" bestFit="1" customWidth="1"/>
    <col min="20" max="20" width="14.5703125" style="9" bestFit="1" customWidth="1"/>
    <col min="21" max="21" width="10.85546875" style="9" customWidth="1"/>
    <col min="22" max="16384" width="8.7109375" style="9"/>
  </cols>
  <sheetData>
    <row r="1" spans="1:19">
      <c r="A1" s="8" t="s">
        <v>19</v>
      </c>
      <c r="Q1" s="9" t="s">
        <v>21</v>
      </c>
    </row>
    <row r="2" spans="1:19" ht="55.15" customHeight="1">
      <c r="A2" s="8" t="s">
        <v>22</v>
      </c>
      <c r="C2" s="98" t="s">
        <v>359</v>
      </c>
      <c r="D2" s="98"/>
      <c r="E2" s="98"/>
      <c r="F2" s="98"/>
      <c r="G2" s="98"/>
      <c r="H2" s="98"/>
      <c r="I2" s="86"/>
      <c r="J2" s="86"/>
      <c r="L2" s="98" t="s">
        <v>360</v>
      </c>
      <c r="M2" s="98"/>
      <c r="N2" s="98"/>
      <c r="O2" s="98"/>
      <c r="P2" s="98"/>
      <c r="Q2" s="98"/>
      <c r="R2" s="98"/>
      <c r="S2" s="98"/>
    </row>
    <row r="3" spans="1:19" ht="21" customHeight="1">
      <c r="A3" s="8" t="s">
        <v>31</v>
      </c>
      <c r="C3" s="98"/>
      <c r="D3" s="98"/>
      <c r="E3" s="98"/>
      <c r="F3" s="98"/>
      <c r="G3" s="98"/>
      <c r="H3" s="98"/>
      <c r="I3" s="86"/>
      <c r="J3" s="86"/>
      <c r="L3" s="98"/>
      <c r="M3" s="98"/>
      <c r="N3" s="98"/>
      <c r="O3" s="98"/>
      <c r="P3" s="98"/>
      <c r="Q3" s="98"/>
      <c r="R3" s="98"/>
      <c r="S3" s="98"/>
    </row>
    <row r="4" spans="1:19" ht="21" customHeight="1">
      <c r="C4" s="98"/>
      <c r="D4" s="98"/>
      <c r="E4" s="98"/>
      <c r="F4" s="98"/>
      <c r="G4" s="98"/>
      <c r="H4" s="98"/>
      <c r="I4" s="86"/>
      <c r="J4" s="86"/>
      <c r="L4" s="98"/>
      <c r="M4" s="98"/>
      <c r="N4" s="98"/>
      <c r="O4" s="98"/>
      <c r="P4" s="98"/>
      <c r="Q4" s="98"/>
      <c r="R4" s="98"/>
      <c r="S4" s="98"/>
    </row>
    <row r="5" spans="1:19" ht="21" customHeight="1">
      <c r="A5" s="8"/>
      <c r="B5" s="8"/>
      <c r="C5" s="98"/>
      <c r="D5" s="98"/>
      <c r="E5" s="98"/>
      <c r="F5" s="98"/>
      <c r="G5" s="98"/>
      <c r="H5" s="98"/>
      <c r="I5" s="86"/>
      <c r="J5" s="86"/>
      <c r="L5" s="98"/>
      <c r="M5" s="98"/>
      <c r="N5" s="98"/>
      <c r="O5" s="98"/>
      <c r="P5" s="98"/>
      <c r="Q5" s="98"/>
      <c r="R5" s="98"/>
      <c r="S5" s="98"/>
    </row>
    <row r="6" spans="1:19" ht="21" customHeight="1">
      <c r="A6" s="13" t="s">
        <v>32</v>
      </c>
      <c r="B6" s="13" t="s">
        <v>33</v>
      </c>
      <c r="C6" s="13" t="s">
        <v>47</v>
      </c>
      <c r="D6" s="13" t="s">
        <v>48</v>
      </c>
      <c r="E6" s="13" t="s">
        <v>49</v>
      </c>
      <c r="F6" s="13" t="s">
        <v>50</v>
      </c>
      <c r="G6" s="13" t="s">
        <v>51</v>
      </c>
      <c r="H6" s="13" t="s">
        <v>29</v>
      </c>
      <c r="I6" s="13"/>
      <c r="J6" s="13"/>
      <c r="L6" s="13" t="s">
        <v>32</v>
      </c>
      <c r="M6" s="13" t="s">
        <v>33</v>
      </c>
      <c r="N6" s="13" t="s">
        <v>47</v>
      </c>
      <c r="O6" s="13" t="s">
        <v>48</v>
      </c>
      <c r="P6" s="13" t="s">
        <v>49</v>
      </c>
      <c r="Q6" s="13" t="s">
        <v>50</v>
      </c>
      <c r="R6" s="13" t="s">
        <v>51</v>
      </c>
      <c r="S6" s="13" t="s">
        <v>29</v>
      </c>
    </row>
    <row r="7" spans="1:19">
      <c r="A7" s="10" t="s">
        <v>316</v>
      </c>
      <c r="B7" s="10" t="s">
        <v>322</v>
      </c>
      <c r="C7" s="18">
        <v>1028691.1626984129</v>
      </c>
      <c r="D7" s="18">
        <v>38893.143895873014</v>
      </c>
      <c r="E7" s="18">
        <v>119574.35989904763</v>
      </c>
      <c r="F7" s="18">
        <v>79974.075530158734</v>
      </c>
      <c r="G7" s="18">
        <v>0</v>
      </c>
      <c r="H7" s="26">
        <v>1267132.7420234922</v>
      </c>
      <c r="I7" s="26"/>
      <c r="J7" s="26"/>
      <c r="L7" s="10" t="s">
        <v>316</v>
      </c>
      <c r="M7" s="10" t="s">
        <v>322</v>
      </c>
      <c r="N7" s="18">
        <v>1028691.1626984129</v>
      </c>
      <c r="O7" s="18">
        <v>38893.143895873014</v>
      </c>
      <c r="P7" s="18">
        <v>124357.33429500952</v>
      </c>
      <c r="Q7" s="18">
        <v>83173.038551365069</v>
      </c>
      <c r="R7" s="18">
        <v>0</v>
      </c>
      <c r="S7" s="26">
        <f>SUM(N7:R7)</f>
        <v>1275114.6794406604</v>
      </c>
    </row>
    <row r="8" spans="1:19">
      <c r="A8" s="10" t="s">
        <v>316</v>
      </c>
      <c r="B8" s="10" t="s">
        <v>323</v>
      </c>
      <c r="L8" s="10" t="s">
        <v>316</v>
      </c>
      <c r="M8" s="10" t="s">
        <v>323</v>
      </c>
      <c r="S8" s="26">
        <f t="shared" ref="S8:S19" si="0">SUM(N8:R8)</f>
        <v>0</v>
      </c>
    </row>
    <row r="9" spans="1:19">
      <c r="A9" s="10" t="s">
        <v>316</v>
      </c>
      <c r="B9" s="10" t="s">
        <v>324</v>
      </c>
      <c r="L9" s="10" t="s">
        <v>316</v>
      </c>
      <c r="M9" s="10" t="s">
        <v>324</v>
      </c>
      <c r="S9" s="26">
        <f t="shared" si="0"/>
        <v>0</v>
      </c>
    </row>
    <row r="10" spans="1:19">
      <c r="A10" s="10" t="s">
        <v>316</v>
      </c>
      <c r="B10" s="10" t="s">
        <v>325</v>
      </c>
      <c r="C10" s="18">
        <v>3897.4126923076924</v>
      </c>
      <c r="D10" s="18">
        <v>9238.2800000000007</v>
      </c>
      <c r="E10" s="18">
        <v>10959.531923076922</v>
      </c>
      <c r="F10" s="18">
        <v>4778.4865384615387</v>
      </c>
      <c r="G10" s="18">
        <v>0</v>
      </c>
      <c r="H10" s="26">
        <v>28873.711153846154</v>
      </c>
      <c r="I10" s="26"/>
      <c r="J10" s="26"/>
      <c r="L10" s="10" t="s">
        <v>316</v>
      </c>
      <c r="M10" s="10" t="s">
        <v>325</v>
      </c>
      <c r="N10" s="18">
        <v>3897.4126923076924</v>
      </c>
      <c r="O10" s="18">
        <v>9238.2800000000007</v>
      </c>
      <c r="P10" s="18">
        <v>11397.913200000001</v>
      </c>
      <c r="Q10" s="18">
        <v>4969.6259999999993</v>
      </c>
      <c r="R10" s="18">
        <v>0</v>
      </c>
      <c r="S10" s="26">
        <f t="shared" si="0"/>
        <v>29503.231892307693</v>
      </c>
    </row>
    <row r="11" spans="1:19">
      <c r="A11" s="10" t="s">
        <v>316</v>
      </c>
      <c r="B11" s="10" t="s">
        <v>326</v>
      </c>
      <c r="C11" s="18">
        <v>84320.681456666251</v>
      </c>
      <c r="D11" s="18">
        <v>7880.3020325131129</v>
      </c>
      <c r="E11" s="18">
        <v>93761.879460163109</v>
      </c>
      <c r="F11" s="18">
        <v>100533.59704649344</v>
      </c>
      <c r="G11" s="18">
        <v>0</v>
      </c>
      <c r="H11" s="26">
        <v>286496.4599958359</v>
      </c>
      <c r="I11" s="26"/>
      <c r="J11" s="26"/>
      <c r="L11" s="10" t="s">
        <v>316</v>
      </c>
      <c r="M11" s="10" t="s">
        <v>326</v>
      </c>
      <c r="N11" s="18">
        <v>84320.681456666251</v>
      </c>
      <c r="O11" s="18">
        <v>7880.3020325131129</v>
      </c>
      <c r="P11" s="18">
        <v>97512.354638569654</v>
      </c>
      <c r="Q11" s="18">
        <v>104554.94092835319</v>
      </c>
      <c r="R11" s="18">
        <v>0</v>
      </c>
      <c r="S11" s="26">
        <f t="shared" si="0"/>
        <v>294268.27905610221</v>
      </c>
    </row>
    <row r="12" spans="1:19">
      <c r="A12" s="10" t="s">
        <v>316</v>
      </c>
      <c r="B12" s="10" t="s">
        <v>327</v>
      </c>
      <c r="C12" s="18">
        <v>31719.390206702225</v>
      </c>
      <c r="D12" s="18">
        <v>2742.9210126933331</v>
      </c>
      <c r="E12" s="18">
        <v>27632.237645653335</v>
      </c>
      <c r="F12" s="18">
        <v>27870.801881866664</v>
      </c>
      <c r="G12" s="18">
        <v>0</v>
      </c>
      <c r="H12" s="26">
        <v>89965.350746915559</v>
      </c>
      <c r="I12" s="26"/>
      <c r="J12" s="26"/>
      <c r="L12" s="10" t="s">
        <v>316</v>
      </c>
      <c r="M12" s="10" t="s">
        <v>327</v>
      </c>
      <c r="N12" s="18">
        <v>31719.390206702225</v>
      </c>
      <c r="O12" s="18">
        <v>2742.9210126933331</v>
      </c>
      <c r="P12" s="18">
        <v>28737.527151479469</v>
      </c>
      <c r="Q12" s="18">
        <v>28985.63395714133</v>
      </c>
      <c r="R12" s="18">
        <v>0</v>
      </c>
      <c r="S12" s="26">
        <f t="shared" si="0"/>
        <v>92185.47232801636</v>
      </c>
    </row>
    <row r="13" spans="1:19">
      <c r="A13" s="10" t="s">
        <v>316</v>
      </c>
      <c r="B13" s="10" t="s">
        <v>328</v>
      </c>
      <c r="C13" s="18">
        <v>221519.39729608945</v>
      </c>
      <c r="D13" s="18">
        <v>19505.514324022344</v>
      </c>
      <c r="E13" s="18">
        <v>82512.351251396671</v>
      </c>
      <c r="F13" s="18">
        <v>17719.895865921786</v>
      </c>
      <c r="G13" s="18">
        <v>0</v>
      </c>
      <c r="H13" s="26">
        <v>341257.15873743029</v>
      </c>
      <c r="I13" s="26"/>
      <c r="J13" s="26"/>
      <c r="L13" s="10" t="s">
        <v>316</v>
      </c>
      <c r="M13" s="10" t="s">
        <v>328</v>
      </c>
      <c r="N13" s="18">
        <v>221519.39729608945</v>
      </c>
      <c r="O13" s="18">
        <v>19505.514324022344</v>
      </c>
      <c r="P13" s="18">
        <v>85812.845301452529</v>
      </c>
      <c r="Q13" s="18">
        <v>18428.691700558662</v>
      </c>
      <c r="R13" s="18">
        <v>0</v>
      </c>
      <c r="S13" s="26">
        <f t="shared" si="0"/>
        <v>345266.44862212299</v>
      </c>
    </row>
    <row r="14" spans="1:19">
      <c r="A14" s="10" t="s">
        <v>316</v>
      </c>
      <c r="B14" s="10" t="s">
        <v>329</v>
      </c>
      <c r="C14" s="18">
        <v>250920.3195962733</v>
      </c>
      <c r="D14" s="18">
        <v>14967.737127329192</v>
      </c>
      <c r="E14" s="18">
        <v>51932.4047515528</v>
      </c>
      <c r="F14" s="18">
        <v>12975.095341614904</v>
      </c>
      <c r="G14" s="18">
        <v>0</v>
      </c>
      <c r="H14" s="26">
        <v>330795.55681677017</v>
      </c>
      <c r="I14" s="26"/>
      <c r="J14" s="26"/>
      <c r="L14" s="10" t="s">
        <v>316</v>
      </c>
      <c r="M14" s="10" t="s">
        <v>329</v>
      </c>
      <c r="N14" s="18">
        <v>250920.3195962733</v>
      </c>
      <c r="O14" s="18">
        <v>14967.737127329192</v>
      </c>
      <c r="P14" s="18">
        <v>54009.700941614909</v>
      </c>
      <c r="Q14" s="18">
        <v>13494.0991552795</v>
      </c>
      <c r="R14" s="18">
        <v>0</v>
      </c>
      <c r="S14" s="26">
        <f t="shared" si="0"/>
        <v>333391.85682049691</v>
      </c>
    </row>
    <row r="15" spans="1:19">
      <c r="A15" s="10" t="s">
        <v>316</v>
      </c>
      <c r="B15" s="10" t="s">
        <v>330</v>
      </c>
      <c r="C15" s="18">
        <v>95825.337236548497</v>
      </c>
      <c r="D15" s="18">
        <v>3605.9737880308376</v>
      </c>
      <c r="E15" s="18">
        <v>12033.415145990584</v>
      </c>
      <c r="F15" s="18">
        <v>11870.192055135249</v>
      </c>
      <c r="G15" s="18">
        <v>0</v>
      </c>
      <c r="H15" s="26">
        <v>123334.91822570517</v>
      </c>
      <c r="I15" s="26"/>
      <c r="J15" s="26"/>
      <c r="L15" s="10" t="s">
        <v>316</v>
      </c>
      <c r="M15" s="10" t="s">
        <v>330</v>
      </c>
      <c r="N15" s="18">
        <v>95825.337236548497</v>
      </c>
      <c r="O15" s="18">
        <v>3605.9737880308376</v>
      </c>
      <c r="P15" s="18">
        <v>12033.415145990584</v>
      </c>
      <c r="Q15" s="18">
        <v>11870.192055135249</v>
      </c>
      <c r="R15" s="18">
        <v>0</v>
      </c>
      <c r="S15" s="26">
        <f t="shared" si="0"/>
        <v>123334.91822570517</v>
      </c>
    </row>
    <row r="16" spans="1:19">
      <c r="A16" s="10" t="s">
        <v>316</v>
      </c>
      <c r="B16" s="10" t="s">
        <v>331</v>
      </c>
      <c r="C16" s="18">
        <v>137172.52643058231</v>
      </c>
      <c r="D16" s="18">
        <v>2314.8531516329112</v>
      </c>
      <c r="E16" s="18">
        <v>8384.1118120354204</v>
      </c>
      <c r="F16" s="18">
        <v>13362.879283233075</v>
      </c>
      <c r="G16" s="18">
        <v>0</v>
      </c>
      <c r="H16" s="26">
        <v>161234.3706774837</v>
      </c>
      <c r="I16" s="26"/>
      <c r="J16" s="26"/>
      <c r="L16" s="10" t="s">
        <v>316</v>
      </c>
      <c r="M16" s="10" t="s">
        <v>331</v>
      </c>
      <c r="N16" s="18">
        <v>137172.52643058231</v>
      </c>
      <c r="O16" s="18">
        <v>2314.8531516329112</v>
      </c>
      <c r="P16" s="18">
        <v>8719.5470265655949</v>
      </c>
      <c r="Q16" s="18">
        <v>13897.507205618085</v>
      </c>
      <c r="R16" s="18">
        <v>0</v>
      </c>
      <c r="S16" s="26">
        <f t="shared" si="0"/>
        <v>162104.43381439889</v>
      </c>
    </row>
    <row r="17" spans="1:21">
      <c r="A17" s="10" t="s">
        <v>316</v>
      </c>
      <c r="B17" s="10" t="s">
        <v>332</v>
      </c>
      <c r="C17" s="18">
        <v>69262.225796311104</v>
      </c>
      <c r="D17" s="18">
        <v>401.32811234300408</v>
      </c>
      <c r="E17" s="18">
        <v>5144.3495982881295</v>
      </c>
      <c r="F17" s="18">
        <v>920.87873907880339</v>
      </c>
      <c r="G17" s="18">
        <v>0</v>
      </c>
      <c r="H17" s="26">
        <v>75728.782246021045</v>
      </c>
      <c r="I17" s="90"/>
      <c r="J17" s="26"/>
      <c r="L17" s="10" t="s">
        <v>316</v>
      </c>
      <c r="M17" s="10" t="s">
        <v>332</v>
      </c>
      <c r="N17" s="18">
        <v>69262.225796311104</v>
      </c>
      <c r="O17" s="18">
        <v>401.32811234300408</v>
      </c>
      <c r="P17" s="18">
        <v>5350.1500858239733</v>
      </c>
      <c r="Q17" s="18">
        <v>957.71863299403742</v>
      </c>
      <c r="R17" s="18">
        <v>0</v>
      </c>
      <c r="S17" s="26">
        <f t="shared" si="0"/>
        <v>75971.422627472115</v>
      </c>
    </row>
    <row r="18" spans="1:21">
      <c r="A18" s="10" t="s">
        <v>316</v>
      </c>
      <c r="B18" s="10" t="s">
        <v>333</v>
      </c>
      <c r="C18" s="18">
        <v>56928.714735392859</v>
      </c>
      <c r="D18" s="18">
        <v>344.95254083210739</v>
      </c>
      <c r="E18" s="18">
        <v>2751.2229809324435</v>
      </c>
      <c r="F18" s="18">
        <v>796.97201444683321</v>
      </c>
      <c r="G18" s="18">
        <v>0</v>
      </c>
      <c r="H18" s="26">
        <v>60821.862271604237</v>
      </c>
      <c r="I18" s="90"/>
      <c r="J18" s="26"/>
      <c r="L18" s="10" t="s">
        <v>316</v>
      </c>
      <c r="M18" s="10" t="s">
        <v>333</v>
      </c>
      <c r="N18" s="18">
        <v>56928.714735392859</v>
      </c>
      <c r="O18" s="18">
        <v>344.95254083210739</v>
      </c>
      <c r="P18" s="18">
        <v>2861.2844570979973</v>
      </c>
      <c r="Q18" s="18">
        <v>828.854532505375</v>
      </c>
      <c r="R18" s="18">
        <v>0</v>
      </c>
      <c r="S18" s="26">
        <f t="shared" si="0"/>
        <v>60963.806265828338</v>
      </c>
    </row>
    <row r="19" spans="1:21">
      <c r="A19" s="10" t="s">
        <v>316</v>
      </c>
      <c r="B19" s="10" t="s">
        <v>334</v>
      </c>
      <c r="C19" s="18">
        <v>3755.6147999999998</v>
      </c>
      <c r="D19" s="18">
        <v>0</v>
      </c>
      <c r="E19" s="18">
        <v>0</v>
      </c>
      <c r="F19" s="18">
        <v>0</v>
      </c>
      <c r="G19" s="18">
        <v>0</v>
      </c>
      <c r="H19" s="26">
        <v>3755.6147999999998</v>
      </c>
      <c r="I19" s="90"/>
      <c r="J19" s="26"/>
      <c r="L19" s="10" t="s">
        <v>316</v>
      </c>
      <c r="M19" s="10" t="s">
        <v>334</v>
      </c>
      <c r="N19" s="18">
        <v>3755.6147999999998</v>
      </c>
      <c r="O19" s="18">
        <v>0</v>
      </c>
      <c r="P19" s="18">
        <v>0</v>
      </c>
      <c r="Q19" s="18">
        <v>0</v>
      </c>
      <c r="R19" s="18">
        <v>0</v>
      </c>
      <c r="S19" s="26">
        <f t="shared" si="0"/>
        <v>3755.6147999999998</v>
      </c>
    </row>
    <row r="20" spans="1:21">
      <c r="A20" s="10" t="s">
        <v>316</v>
      </c>
      <c r="B20" s="10" t="s">
        <v>335</v>
      </c>
      <c r="I20" s="90"/>
      <c r="L20" s="10" t="s">
        <v>316</v>
      </c>
      <c r="M20" s="10" t="s">
        <v>335</v>
      </c>
    </row>
    <row r="21" spans="1:21">
      <c r="A21" s="10" t="s">
        <v>316</v>
      </c>
      <c r="B21" s="10" t="s">
        <v>336</v>
      </c>
      <c r="I21" s="90"/>
      <c r="L21" s="10" t="s">
        <v>316</v>
      </c>
      <c r="M21" s="10" t="s">
        <v>336</v>
      </c>
    </row>
    <row r="22" spans="1:21">
      <c r="A22" s="36" t="s">
        <v>316</v>
      </c>
      <c r="B22" s="36" t="s">
        <v>337</v>
      </c>
      <c r="C22" s="39"/>
      <c r="D22" s="39"/>
      <c r="E22" s="39"/>
      <c r="F22" s="39"/>
      <c r="G22" s="39"/>
      <c r="H22" s="39"/>
      <c r="I22" s="91">
        <f>SUM(H7:H22)</f>
        <v>2769396.5276951049</v>
      </c>
      <c r="J22" s="85"/>
      <c r="L22" s="36" t="s">
        <v>316</v>
      </c>
      <c r="M22" s="36" t="s">
        <v>337</v>
      </c>
      <c r="N22" s="39"/>
      <c r="O22" s="39"/>
      <c r="P22" s="39"/>
      <c r="Q22" s="39"/>
      <c r="R22" s="39"/>
      <c r="S22" s="39"/>
      <c r="T22" s="88">
        <f>SUM(S7:S22)</f>
        <v>2795860.1638931111</v>
      </c>
      <c r="U22" s="89">
        <f>(T22-I22)/I22</f>
        <v>9.5557410913745481E-3</v>
      </c>
    </row>
    <row r="23" spans="1:21">
      <c r="A23" s="10" t="s">
        <v>317</v>
      </c>
      <c r="B23" s="10" t="s">
        <v>322</v>
      </c>
      <c r="I23" s="90"/>
      <c r="L23" s="10" t="s">
        <v>317</v>
      </c>
      <c r="M23" s="10" t="s">
        <v>322</v>
      </c>
    </row>
    <row r="24" spans="1:21">
      <c r="A24" s="10" t="s">
        <v>317</v>
      </c>
      <c r="B24" s="10" t="s">
        <v>324</v>
      </c>
      <c r="I24" s="90"/>
      <c r="L24" s="10" t="s">
        <v>317</v>
      </c>
      <c r="M24" s="10" t="s">
        <v>324</v>
      </c>
    </row>
    <row r="25" spans="1:21">
      <c r="A25" s="10" t="s">
        <v>317</v>
      </c>
      <c r="B25" s="10" t="s">
        <v>325</v>
      </c>
      <c r="C25" s="18">
        <v>841803.63397335727</v>
      </c>
      <c r="D25" s="18">
        <v>203876.28634100454</v>
      </c>
      <c r="E25" s="18">
        <v>525184.73308141704</v>
      </c>
      <c r="F25" s="18">
        <v>430432.48660337733</v>
      </c>
      <c r="G25" s="18">
        <v>0</v>
      </c>
      <c r="H25" s="26">
        <v>2001297.1399991564</v>
      </c>
      <c r="I25" s="90"/>
      <c r="J25" s="26"/>
      <c r="L25" s="10" t="s">
        <v>317</v>
      </c>
      <c r="M25" s="10" t="s">
        <v>325</v>
      </c>
      <c r="N25" s="18">
        <v>841803.63397335727</v>
      </c>
      <c r="O25" s="18">
        <v>203876.28634100454</v>
      </c>
      <c r="P25" s="18">
        <v>546521.87828509416</v>
      </c>
      <c r="Q25" s="18">
        <v>447920.04838597076</v>
      </c>
      <c r="R25" s="18">
        <v>0</v>
      </c>
      <c r="S25" s="26">
        <f>SUM(N25:R25)</f>
        <v>2040121.8469854267</v>
      </c>
    </row>
    <row r="26" spans="1:21">
      <c r="A26" s="10" t="s">
        <v>317</v>
      </c>
      <c r="B26" s="10" t="s">
        <v>326</v>
      </c>
      <c r="C26" s="18">
        <v>1246677.3132868593</v>
      </c>
      <c r="D26" s="18">
        <v>137525.23234288738</v>
      </c>
      <c r="E26" s="18">
        <v>1045089.0408988427</v>
      </c>
      <c r="F26" s="18">
        <v>1129122.9470090645</v>
      </c>
      <c r="G26" s="18">
        <v>0</v>
      </c>
      <c r="H26" s="26">
        <v>3558414.5335376542</v>
      </c>
      <c r="I26" s="90"/>
      <c r="J26" s="26"/>
      <c r="L26" s="10" t="s">
        <v>317</v>
      </c>
      <c r="M26" s="10" t="s">
        <v>326</v>
      </c>
      <c r="N26" s="18">
        <v>1246677.3132868593</v>
      </c>
      <c r="O26" s="18">
        <v>137525.23234288738</v>
      </c>
      <c r="P26" s="18">
        <v>1086893.6042779554</v>
      </c>
      <c r="Q26" s="18">
        <v>1174288.9471811205</v>
      </c>
      <c r="R26" s="18">
        <v>0</v>
      </c>
      <c r="S26" s="26">
        <f t="shared" ref="S26:S37" si="1">SUM(N26:R26)</f>
        <v>3645385.0970888226</v>
      </c>
    </row>
    <row r="27" spans="1:21">
      <c r="A27" s="10" t="s">
        <v>317</v>
      </c>
      <c r="B27" s="10" t="s">
        <v>327</v>
      </c>
      <c r="C27" s="18">
        <v>246830.67402592613</v>
      </c>
      <c r="D27" s="18">
        <v>24124.220718724904</v>
      </c>
      <c r="E27" s="18">
        <v>276462.31619459274</v>
      </c>
      <c r="F27" s="18">
        <v>263283.26383751986</v>
      </c>
      <c r="G27" s="18">
        <v>0</v>
      </c>
      <c r="H27" s="26">
        <v>810700.4747767637</v>
      </c>
      <c r="I27" s="90"/>
      <c r="J27" s="26"/>
      <c r="L27" s="10" t="s">
        <v>317</v>
      </c>
      <c r="M27" s="10" t="s">
        <v>327</v>
      </c>
      <c r="N27" s="18">
        <v>246830.67402592613</v>
      </c>
      <c r="O27" s="18">
        <v>24124.220718724904</v>
      </c>
      <c r="P27" s="18">
        <v>287622.26290336531</v>
      </c>
      <c r="Q27" s="18">
        <v>273911.21210252063</v>
      </c>
      <c r="R27" s="18">
        <v>0</v>
      </c>
      <c r="S27" s="26">
        <f t="shared" si="1"/>
        <v>832488.36975053698</v>
      </c>
    </row>
    <row r="28" spans="1:21">
      <c r="A28" s="10" t="s">
        <v>317</v>
      </c>
      <c r="B28" s="10" t="s">
        <v>328</v>
      </c>
      <c r="C28" s="18">
        <v>2224052.7299979362</v>
      </c>
      <c r="D28" s="18">
        <v>480734.01190541207</v>
      </c>
      <c r="E28" s="18">
        <v>1772337.0949771428</v>
      </c>
      <c r="F28" s="18">
        <v>1656664.2331635058</v>
      </c>
      <c r="G28" s="18">
        <v>0</v>
      </c>
      <c r="H28" s="26">
        <v>6133788.0700439969</v>
      </c>
      <c r="I28" s="90"/>
      <c r="J28" s="26"/>
      <c r="L28" s="10" t="s">
        <v>317</v>
      </c>
      <c r="M28" s="10" t="s">
        <v>328</v>
      </c>
      <c r="N28" s="18">
        <v>2224052.7299979362</v>
      </c>
      <c r="O28" s="18">
        <v>480734.01190541207</v>
      </c>
      <c r="P28" s="18">
        <v>1843227.756695746</v>
      </c>
      <c r="Q28" s="18">
        <v>1722928.1645946864</v>
      </c>
      <c r="R28" s="18">
        <v>0</v>
      </c>
      <c r="S28" s="26">
        <f t="shared" si="1"/>
        <v>6270942.6631937809</v>
      </c>
    </row>
    <row r="29" spans="1:21">
      <c r="A29" s="10" t="s">
        <v>317</v>
      </c>
      <c r="B29" s="10" t="s">
        <v>329</v>
      </c>
      <c r="C29" s="18">
        <v>1598811.1021422241</v>
      </c>
      <c r="D29" s="18">
        <v>319622.85953979439</v>
      </c>
      <c r="E29" s="18">
        <v>1487732.6996746056</v>
      </c>
      <c r="F29" s="18">
        <v>1414611.4563671856</v>
      </c>
      <c r="G29" s="18">
        <v>0</v>
      </c>
      <c r="H29" s="26">
        <v>4820778.1177238096</v>
      </c>
      <c r="I29" s="90"/>
      <c r="J29" s="26"/>
      <c r="L29" s="10" t="s">
        <v>317</v>
      </c>
      <c r="M29" s="10" t="s">
        <v>329</v>
      </c>
      <c r="N29" s="18">
        <v>1598811.1021422241</v>
      </c>
      <c r="O29" s="18">
        <v>319622.85953979439</v>
      </c>
      <c r="P29" s="18">
        <v>1547206.3782688836</v>
      </c>
      <c r="Q29" s="18">
        <v>1471162.0363942073</v>
      </c>
      <c r="R29" s="18">
        <v>0</v>
      </c>
      <c r="S29" s="26">
        <f t="shared" si="1"/>
        <v>4936802.3763451092</v>
      </c>
    </row>
    <row r="30" spans="1:21">
      <c r="A30" s="10" t="s">
        <v>317</v>
      </c>
      <c r="B30" s="10" t="s">
        <v>330</v>
      </c>
      <c r="C30" s="18">
        <v>1955988.4841217354</v>
      </c>
      <c r="D30" s="18">
        <v>94759.412233744952</v>
      </c>
      <c r="E30" s="18">
        <v>767172.59345188946</v>
      </c>
      <c r="F30" s="18">
        <v>895463.24701258366</v>
      </c>
      <c r="G30" s="18">
        <v>0</v>
      </c>
      <c r="H30" s="26">
        <v>3713383.7368199537</v>
      </c>
      <c r="I30" s="90"/>
      <c r="J30" s="26"/>
      <c r="L30" s="10" t="s">
        <v>317</v>
      </c>
      <c r="M30" s="10" t="s">
        <v>330</v>
      </c>
      <c r="N30" s="18">
        <v>1955988.4841217354</v>
      </c>
      <c r="O30" s="18">
        <v>94759.412233744952</v>
      </c>
      <c r="P30" s="18">
        <v>767172.59345188946</v>
      </c>
      <c r="Q30" s="18">
        <v>895463.24701258366</v>
      </c>
      <c r="R30" s="18">
        <v>0</v>
      </c>
      <c r="S30" s="26">
        <f t="shared" si="1"/>
        <v>3713383.7368199537</v>
      </c>
    </row>
    <row r="31" spans="1:21">
      <c r="A31" s="10" t="s">
        <v>317</v>
      </c>
      <c r="B31" s="10" t="s">
        <v>331</v>
      </c>
      <c r="C31" s="18">
        <v>43523.397749165386</v>
      </c>
      <c r="D31" s="18">
        <v>5962.9996831386898</v>
      </c>
      <c r="E31" s="18">
        <v>29770.647079993269</v>
      </c>
      <c r="F31" s="18">
        <v>30299.166387783735</v>
      </c>
      <c r="G31" s="18">
        <v>0</v>
      </c>
      <c r="H31" s="26">
        <v>109556.21090008109</v>
      </c>
      <c r="I31" s="90"/>
      <c r="J31" s="26"/>
      <c r="L31" s="10" t="s">
        <v>317</v>
      </c>
      <c r="M31" s="10" t="s">
        <v>331</v>
      </c>
      <c r="N31" s="18">
        <v>43523.397749165386</v>
      </c>
      <c r="O31" s="18">
        <v>5962.9996831386898</v>
      </c>
      <c r="P31" s="18">
        <v>30961.158636709384</v>
      </c>
      <c r="Q31" s="18">
        <v>31510.813136562741</v>
      </c>
      <c r="R31" s="18">
        <v>0</v>
      </c>
      <c r="S31" s="26">
        <f t="shared" si="1"/>
        <v>111958.36920557619</v>
      </c>
    </row>
    <row r="32" spans="1:21">
      <c r="A32" s="10" t="s">
        <v>317</v>
      </c>
      <c r="B32" s="10" t="s">
        <v>332</v>
      </c>
      <c r="C32" s="18">
        <v>786682.53996173618</v>
      </c>
      <c r="D32" s="18">
        <v>130568.54345960388</v>
      </c>
      <c r="E32" s="18">
        <v>392697.58555357164</v>
      </c>
      <c r="F32" s="18">
        <v>558829.15011023101</v>
      </c>
      <c r="G32" s="18">
        <v>0</v>
      </c>
      <c r="H32" s="26">
        <v>1868777.8190851428</v>
      </c>
      <c r="I32" s="90"/>
      <c r="J32" s="26"/>
      <c r="L32" s="10" t="s">
        <v>317</v>
      </c>
      <c r="M32" s="10" t="s">
        <v>332</v>
      </c>
      <c r="N32" s="18">
        <v>786682.53996173618</v>
      </c>
      <c r="O32" s="18">
        <v>130568.54345960388</v>
      </c>
      <c r="P32" s="18">
        <v>408409.45661992318</v>
      </c>
      <c r="Q32" s="18">
        <v>581187.96227932943</v>
      </c>
      <c r="R32" s="18">
        <v>0</v>
      </c>
      <c r="S32" s="26">
        <f t="shared" si="1"/>
        <v>1906848.5023205928</v>
      </c>
    </row>
    <row r="33" spans="1:21">
      <c r="A33" s="10" t="s">
        <v>317</v>
      </c>
      <c r="B33" s="10" t="s">
        <v>333</v>
      </c>
      <c r="C33" s="18">
        <v>27442.62328111615</v>
      </c>
      <c r="D33" s="18">
        <v>7149.0397617447843</v>
      </c>
      <c r="E33" s="18">
        <v>22839.636860701554</v>
      </c>
      <c r="F33" s="18">
        <v>24746.938229742595</v>
      </c>
      <c r="G33" s="18">
        <v>0</v>
      </c>
      <c r="H33" s="26">
        <v>82178.238133305087</v>
      </c>
      <c r="I33" s="90"/>
      <c r="J33" s="26"/>
      <c r="L33" s="10" t="s">
        <v>317</v>
      </c>
      <c r="M33" s="10" t="s">
        <v>333</v>
      </c>
      <c r="N33" s="18">
        <v>27442.62328111615</v>
      </c>
      <c r="O33" s="18">
        <v>7149.0397617447843</v>
      </c>
      <c r="P33" s="18">
        <v>23753.036401380876</v>
      </c>
      <c r="Q33" s="18">
        <v>25736.614298155015</v>
      </c>
      <c r="R33" s="18">
        <v>0</v>
      </c>
      <c r="S33" s="26">
        <f t="shared" si="1"/>
        <v>84081.313742396829</v>
      </c>
    </row>
    <row r="34" spans="1:21">
      <c r="A34" s="10" t="s">
        <v>317</v>
      </c>
      <c r="B34" s="10" t="s">
        <v>334</v>
      </c>
      <c r="C34" s="18">
        <v>16506.940814948779</v>
      </c>
      <c r="D34" s="18">
        <v>712.40177859148639</v>
      </c>
      <c r="E34" s="18">
        <v>10191.881922698625</v>
      </c>
      <c r="F34" s="18">
        <v>337.01465978206943</v>
      </c>
      <c r="G34" s="18">
        <v>0</v>
      </c>
      <c r="H34" s="26">
        <v>27748.239176020965</v>
      </c>
      <c r="I34" s="90"/>
      <c r="J34" s="26"/>
      <c r="L34" s="10" t="s">
        <v>317</v>
      </c>
      <c r="M34" s="10" t="s">
        <v>334</v>
      </c>
      <c r="N34" s="18">
        <v>16506.940814948779</v>
      </c>
      <c r="O34" s="18">
        <v>712.40177859148639</v>
      </c>
      <c r="P34" s="18">
        <v>10599.46662522823</v>
      </c>
      <c r="Q34" s="18">
        <v>350.49225115304756</v>
      </c>
      <c r="R34" s="18">
        <v>0</v>
      </c>
      <c r="S34" s="26">
        <f t="shared" si="1"/>
        <v>28169.301469921542</v>
      </c>
    </row>
    <row r="35" spans="1:21">
      <c r="A35" s="10" t="s">
        <v>317</v>
      </c>
      <c r="B35" s="10" t="s">
        <v>338</v>
      </c>
      <c r="C35" s="18">
        <v>55693.263377185038</v>
      </c>
      <c r="D35" s="18">
        <v>258.02818182053613</v>
      </c>
      <c r="E35" s="18">
        <v>35609.790592774829</v>
      </c>
      <c r="F35" s="18">
        <v>69920.551497475084</v>
      </c>
      <c r="G35" s="18">
        <v>0</v>
      </c>
      <c r="H35" s="26">
        <v>161481.6336492555</v>
      </c>
      <c r="I35" s="90"/>
      <c r="J35" s="26"/>
      <c r="L35" s="10" t="s">
        <v>317</v>
      </c>
      <c r="M35" s="10" t="s">
        <v>338</v>
      </c>
      <c r="N35" s="18">
        <v>55693.263377185038</v>
      </c>
      <c r="O35" s="18">
        <v>258.02818182053613</v>
      </c>
      <c r="P35" s="18">
        <v>37034.139888126374</v>
      </c>
      <c r="Q35" s="18">
        <v>72717.290444775354</v>
      </c>
      <c r="R35" s="18">
        <v>0</v>
      </c>
      <c r="S35" s="26">
        <f t="shared" si="1"/>
        <v>165702.72189190728</v>
      </c>
    </row>
    <row r="36" spans="1:21">
      <c r="A36" s="10" t="s">
        <v>317</v>
      </c>
      <c r="B36" s="10" t="s">
        <v>335</v>
      </c>
      <c r="C36" s="18">
        <v>34235.321614278066</v>
      </c>
      <c r="D36" s="18">
        <v>2214.591385871855</v>
      </c>
      <c r="E36" s="18">
        <v>6817.4464426914155</v>
      </c>
      <c r="F36" s="18">
        <v>7275.377630126718</v>
      </c>
      <c r="G36" s="18">
        <v>0</v>
      </c>
      <c r="H36" s="26">
        <v>50542.737072968055</v>
      </c>
      <c r="I36" s="90"/>
      <c r="J36" s="26"/>
      <c r="L36" s="10" t="s">
        <v>317</v>
      </c>
      <c r="M36" s="10" t="s">
        <v>335</v>
      </c>
      <c r="N36" s="18">
        <v>34235.321614278066</v>
      </c>
      <c r="O36" s="18">
        <v>2214.591385871855</v>
      </c>
      <c r="P36" s="18">
        <v>7090.2361874709968</v>
      </c>
      <c r="Q36" s="18">
        <v>7566.4907945029454</v>
      </c>
      <c r="R36" s="18">
        <v>0</v>
      </c>
      <c r="S36" s="26">
        <f t="shared" si="1"/>
        <v>51106.639982123867</v>
      </c>
    </row>
    <row r="37" spans="1:21">
      <c r="A37" s="10" t="s">
        <v>317</v>
      </c>
      <c r="B37" s="10" t="s">
        <v>339</v>
      </c>
      <c r="I37" s="90"/>
      <c r="L37" s="10" t="s">
        <v>317</v>
      </c>
      <c r="M37" s="10" t="s">
        <v>339</v>
      </c>
      <c r="S37" s="26">
        <f t="shared" si="1"/>
        <v>0</v>
      </c>
    </row>
    <row r="38" spans="1:21">
      <c r="A38" s="10" t="s">
        <v>317</v>
      </c>
      <c r="B38" s="10" t="s">
        <v>336</v>
      </c>
      <c r="I38" s="90"/>
      <c r="L38" s="10" t="s">
        <v>317</v>
      </c>
      <c r="M38" s="10" t="s">
        <v>336</v>
      </c>
    </row>
    <row r="39" spans="1:21">
      <c r="A39" s="10" t="s">
        <v>317</v>
      </c>
      <c r="B39" s="10" t="s">
        <v>340</v>
      </c>
      <c r="I39" s="90"/>
      <c r="L39" s="10" t="s">
        <v>317</v>
      </c>
      <c r="M39" s="10" t="s">
        <v>340</v>
      </c>
    </row>
    <row r="40" spans="1:21">
      <c r="A40" s="10" t="s">
        <v>317</v>
      </c>
      <c r="B40" s="10" t="s">
        <v>341</v>
      </c>
      <c r="I40" s="90"/>
      <c r="L40" s="10" t="s">
        <v>317</v>
      </c>
      <c r="M40" s="10" t="s">
        <v>341</v>
      </c>
    </row>
    <row r="41" spans="1:21">
      <c r="A41" s="10" t="s">
        <v>317</v>
      </c>
      <c r="B41" s="10" t="s">
        <v>342</v>
      </c>
      <c r="I41" s="90"/>
      <c r="L41" s="10" t="s">
        <v>317</v>
      </c>
      <c r="M41" s="10" t="s">
        <v>342</v>
      </c>
    </row>
    <row r="42" spans="1:21">
      <c r="A42" s="10" t="s">
        <v>317</v>
      </c>
      <c r="B42" s="10" t="s">
        <v>343</v>
      </c>
      <c r="I42" s="90"/>
      <c r="L42" s="10" t="s">
        <v>317</v>
      </c>
      <c r="M42" s="10" t="s">
        <v>343</v>
      </c>
    </row>
    <row r="43" spans="1:21">
      <c r="A43" s="10" t="s">
        <v>317</v>
      </c>
      <c r="B43" s="10" t="s">
        <v>344</v>
      </c>
      <c r="I43" s="90"/>
      <c r="L43" s="10" t="s">
        <v>317</v>
      </c>
      <c r="M43" s="10" t="s">
        <v>344</v>
      </c>
    </row>
    <row r="44" spans="1:21">
      <c r="A44" s="10" t="s">
        <v>317</v>
      </c>
      <c r="B44" s="10" t="s">
        <v>345</v>
      </c>
      <c r="I44" s="90"/>
      <c r="L44" s="10" t="s">
        <v>317</v>
      </c>
      <c r="M44" s="10" t="s">
        <v>345</v>
      </c>
    </row>
    <row r="45" spans="1:21">
      <c r="A45" s="10" t="s">
        <v>317</v>
      </c>
      <c r="B45" s="10" t="s">
        <v>346</v>
      </c>
      <c r="I45" s="90"/>
      <c r="L45" s="10" t="s">
        <v>317</v>
      </c>
      <c r="M45" s="10" t="s">
        <v>346</v>
      </c>
    </row>
    <row r="46" spans="1:21">
      <c r="A46" s="10" t="s">
        <v>317</v>
      </c>
      <c r="B46" s="10" t="s">
        <v>337</v>
      </c>
      <c r="I46" s="90"/>
      <c r="L46" s="10" t="s">
        <v>317</v>
      </c>
      <c r="M46" s="10" t="s">
        <v>337</v>
      </c>
    </row>
    <row r="47" spans="1:21">
      <c r="A47" s="36" t="s">
        <v>317</v>
      </c>
      <c r="B47" s="36" t="s">
        <v>347</v>
      </c>
      <c r="C47" s="39"/>
      <c r="D47" s="39"/>
      <c r="E47" s="39"/>
      <c r="F47" s="39"/>
      <c r="G47" s="39"/>
      <c r="H47" s="39"/>
      <c r="I47" s="91">
        <f>SUM(H25:H47)</f>
        <v>23338646.950918101</v>
      </c>
      <c r="J47" s="85"/>
      <c r="L47" s="36" t="s">
        <v>317</v>
      </c>
      <c r="M47" s="36" t="s">
        <v>347</v>
      </c>
      <c r="N47" s="39"/>
      <c r="O47" s="39"/>
      <c r="P47" s="39"/>
      <c r="Q47" s="39"/>
      <c r="R47" s="39"/>
      <c r="S47" s="39"/>
      <c r="T47" s="91">
        <f>SUM(S25:S47)</f>
        <v>23786990.938796144</v>
      </c>
      <c r="U47" s="89">
        <f>(T47-I47)/I47</f>
        <v>1.9210367628462975E-2</v>
      </c>
    </row>
    <row r="48" spans="1:21">
      <c r="A48" s="10" t="s">
        <v>318</v>
      </c>
      <c r="B48" s="10" t="s">
        <v>322</v>
      </c>
      <c r="I48" s="90"/>
      <c r="L48" s="10" t="s">
        <v>318</v>
      </c>
      <c r="M48" s="10" t="s">
        <v>322</v>
      </c>
      <c r="T48" s="90"/>
    </row>
    <row r="49" spans="1:21">
      <c r="A49" s="10" t="s">
        <v>318</v>
      </c>
      <c r="B49" s="10" t="s">
        <v>323</v>
      </c>
      <c r="C49" s="18">
        <v>1797418.376127837</v>
      </c>
      <c r="D49" s="18">
        <v>219271.57088353386</v>
      </c>
      <c r="E49" s="18">
        <v>699218.85306318011</v>
      </c>
      <c r="F49" s="18">
        <v>1045842.4494408568</v>
      </c>
      <c r="G49" s="18">
        <v>0</v>
      </c>
      <c r="H49" s="26">
        <v>3761751.2495154082</v>
      </c>
      <c r="I49" s="90"/>
      <c r="J49" s="26"/>
      <c r="L49" s="10" t="s">
        <v>318</v>
      </c>
      <c r="M49" s="10" t="s">
        <v>323</v>
      </c>
      <c r="N49" s="18">
        <v>1797418.376127837</v>
      </c>
      <c r="O49" s="18">
        <v>219271.57088353386</v>
      </c>
      <c r="P49" s="18">
        <v>727187.72201222461</v>
      </c>
      <c r="Q49" s="18">
        <v>1087676.3191679309</v>
      </c>
      <c r="R49" s="18">
        <v>0</v>
      </c>
      <c r="S49" s="26">
        <f t="shared" ref="S49:S59" si="2">SUM(N49:R49)</f>
        <v>3831553.9881915264</v>
      </c>
      <c r="T49" s="90"/>
    </row>
    <row r="50" spans="1:21">
      <c r="A50" s="10" t="s">
        <v>318</v>
      </c>
      <c r="B50" s="10" t="s">
        <v>348</v>
      </c>
      <c r="I50" s="90"/>
      <c r="L50" s="10" t="s">
        <v>318</v>
      </c>
      <c r="M50" s="10" t="s">
        <v>348</v>
      </c>
      <c r="S50" s="26">
        <f t="shared" si="2"/>
        <v>0</v>
      </c>
      <c r="T50" s="90"/>
    </row>
    <row r="51" spans="1:21">
      <c r="A51" s="10" t="s">
        <v>318</v>
      </c>
      <c r="B51" s="10" t="s">
        <v>326</v>
      </c>
      <c r="I51" s="90"/>
      <c r="L51" s="10" t="s">
        <v>318</v>
      </c>
      <c r="M51" s="10" t="s">
        <v>326</v>
      </c>
      <c r="S51" s="26">
        <f t="shared" si="2"/>
        <v>0</v>
      </c>
      <c r="T51" s="90"/>
    </row>
    <row r="52" spans="1:21">
      <c r="A52" s="10" t="s">
        <v>318</v>
      </c>
      <c r="B52" s="10" t="s">
        <v>327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26">
        <v>0</v>
      </c>
      <c r="I52" s="90"/>
      <c r="J52" s="26"/>
      <c r="L52" s="10" t="s">
        <v>318</v>
      </c>
      <c r="M52" s="10" t="s">
        <v>327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26">
        <f t="shared" si="2"/>
        <v>0</v>
      </c>
      <c r="T52" s="90"/>
    </row>
    <row r="53" spans="1:21">
      <c r="A53" s="10" t="s">
        <v>318</v>
      </c>
      <c r="B53" s="10" t="s">
        <v>328</v>
      </c>
      <c r="C53" s="18">
        <v>31845.679569441854</v>
      </c>
      <c r="D53" s="18">
        <v>9790.8538785079199</v>
      </c>
      <c r="E53" s="18">
        <v>9356.3576030470977</v>
      </c>
      <c r="F53" s="18">
        <v>10013.946724204096</v>
      </c>
      <c r="G53" s="18">
        <v>0</v>
      </c>
      <c r="H53" s="26">
        <v>61006.837775200969</v>
      </c>
      <c r="I53" s="90"/>
      <c r="J53" s="26"/>
      <c r="L53" s="10" t="s">
        <v>318</v>
      </c>
      <c r="M53" s="10" t="s">
        <v>328</v>
      </c>
      <c r="N53" s="18">
        <v>31845.679569441854</v>
      </c>
      <c r="O53" s="18">
        <v>9790.8538785079199</v>
      </c>
      <c r="P53" s="18">
        <v>9730.6144891412878</v>
      </c>
      <c r="Q53" s="18">
        <v>10414.50735661229</v>
      </c>
      <c r="R53" s="18">
        <v>0</v>
      </c>
      <c r="S53" s="26">
        <f t="shared" si="2"/>
        <v>61781.655293703356</v>
      </c>
      <c r="T53" s="90"/>
    </row>
    <row r="54" spans="1:21">
      <c r="A54" s="10" t="s">
        <v>318</v>
      </c>
      <c r="B54" s="10" t="s">
        <v>329</v>
      </c>
      <c r="C54" s="18">
        <v>87112.039816443837</v>
      </c>
      <c r="D54" s="18">
        <v>13945.815842183752</v>
      </c>
      <c r="E54" s="18">
        <v>23571.599232077173</v>
      </c>
      <c r="F54" s="18">
        <v>32085.913602392757</v>
      </c>
      <c r="G54" s="18">
        <v>0</v>
      </c>
      <c r="H54" s="26">
        <v>156715.36849309754</v>
      </c>
      <c r="I54" s="90"/>
      <c r="J54" s="26"/>
      <c r="L54" s="10" t="s">
        <v>318</v>
      </c>
      <c r="M54" s="10" t="s">
        <v>329</v>
      </c>
      <c r="N54" s="18">
        <v>87112.039816443837</v>
      </c>
      <c r="O54" s="18">
        <v>13945.815842183752</v>
      </c>
      <c r="P54" s="18">
        <v>24514.081758179378</v>
      </c>
      <c r="Q54" s="18">
        <v>33368.830921940935</v>
      </c>
      <c r="R54" s="18">
        <v>0</v>
      </c>
      <c r="S54" s="26">
        <f t="shared" si="2"/>
        <v>158940.7683387479</v>
      </c>
      <c r="T54" s="90"/>
    </row>
    <row r="55" spans="1:21">
      <c r="A55" s="10" t="s">
        <v>318</v>
      </c>
      <c r="B55" s="10" t="s">
        <v>330</v>
      </c>
      <c r="C55" s="18">
        <v>82843.889101846609</v>
      </c>
      <c r="D55" s="18">
        <v>7773.5977642999342</v>
      </c>
      <c r="E55" s="18">
        <v>23905.384800533517</v>
      </c>
      <c r="F55" s="18">
        <v>45615.780661259589</v>
      </c>
      <c r="G55" s="18">
        <v>0</v>
      </c>
      <c r="H55" s="26">
        <v>160138.65232793964</v>
      </c>
      <c r="I55" s="90"/>
      <c r="J55" s="26"/>
      <c r="L55" s="10" t="s">
        <v>318</v>
      </c>
      <c r="M55" s="10" t="s">
        <v>330</v>
      </c>
      <c r="N55" s="18">
        <v>82843.889101846609</v>
      </c>
      <c r="O55" s="18">
        <v>7773.5977642999342</v>
      </c>
      <c r="P55" s="18">
        <v>23905.384800533517</v>
      </c>
      <c r="Q55" s="18">
        <v>45615.780661259589</v>
      </c>
      <c r="R55" s="18">
        <v>0</v>
      </c>
      <c r="S55" s="26">
        <f t="shared" si="2"/>
        <v>160138.65232793964</v>
      </c>
      <c r="T55" s="90"/>
    </row>
    <row r="56" spans="1:21">
      <c r="A56" s="10" t="s">
        <v>318</v>
      </c>
      <c r="B56" s="10" t="s">
        <v>331</v>
      </c>
      <c r="C56" s="18">
        <v>26916.908947160489</v>
      </c>
      <c r="D56" s="18">
        <v>0</v>
      </c>
      <c r="E56" s="18">
        <v>5902.4027749794241</v>
      </c>
      <c r="F56" s="18">
        <v>15086.878260696845</v>
      </c>
      <c r="G56" s="18">
        <v>0</v>
      </c>
      <c r="H56" s="26">
        <v>47906.18998283676</v>
      </c>
      <c r="I56" s="90"/>
      <c r="J56" s="26"/>
      <c r="L56" s="10" t="s">
        <v>318</v>
      </c>
      <c r="M56" s="10" t="s">
        <v>331</v>
      </c>
      <c r="N56" s="18">
        <v>26916.908947160489</v>
      </c>
      <c r="O56" s="18">
        <v>0</v>
      </c>
      <c r="P56" s="18">
        <v>6138.3895484773666</v>
      </c>
      <c r="Q56" s="18">
        <v>15690.073918233196</v>
      </c>
      <c r="R56" s="18">
        <v>0</v>
      </c>
      <c r="S56" s="26">
        <f t="shared" si="2"/>
        <v>48745.372413871053</v>
      </c>
      <c r="T56" s="90"/>
    </row>
    <row r="57" spans="1:21">
      <c r="A57" s="10" t="s">
        <v>318</v>
      </c>
      <c r="B57" s="10" t="s">
        <v>332</v>
      </c>
      <c r="C57" s="18">
        <v>559789.04498293519</v>
      </c>
      <c r="D57" s="18">
        <v>71069.0326269012</v>
      </c>
      <c r="E57" s="18">
        <v>213476.16398479504</v>
      </c>
      <c r="F57" s="18">
        <v>313775.41266318742</v>
      </c>
      <c r="G57" s="18">
        <v>0</v>
      </c>
      <c r="H57" s="26">
        <v>1158109.6542578188</v>
      </c>
      <c r="I57" s="90"/>
      <c r="J57" s="26"/>
      <c r="L57" s="10" t="s">
        <v>318</v>
      </c>
      <c r="M57" s="10" t="s">
        <v>332</v>
      </c>
      <c r="N57" s="18">
        <v>559789.04498293519</v>
      </c>
      <c r="O57" s="18">
        <v>71069.0326269012</v>
      </c>
      <c r="P57" s="18">
        <v>222013.03554506321</v>
      </c>
      <c r="Q57" s="18">
        <v>326323.23227299913</v>
      </c>
      <c r="R57" s="18">
        <v>0</v>
      </c>
      <c r="S57" s="26">
        <f t="shared" si="2"/>
        <v>1179194.3454278987</v>
      </c>
      <c r="T57" s="90"/>
    </row>
    <row r="58" spans="1:21">
      <c r="A58" s="10" t="s">
        <v>318</v>
      </c>
      <c r="B58" s="10" t="s">
        <v>333</v>
      </c>
      <c r="C58" s="18">
        <v>559455.06781729148</v>
      </c>
      <c r="D58" s="18">
        <v>68514.050581821139</v>
      </c>
      <c r="E58" s="18">
        <v>209162.19891944292</v>
      </c>
      <c r="F58" s="18">
        <v>332446.20747066679</v>
      </c>
      <c r="G58" s="18">
        <v>0</v>
      </c>
      <c r="H58" s="26">
        <v>1169577.5247892223</v>
      </c>
      <c r="I58" s="90"/>
      <c r="J58" s="26"/>
      <c r="L58" s="10" t="s">
        <v>318</v>
      </c>
      <c r="M58" s="10" t="s">
        <v>333</v>
      </c>
      <c r="N58" s="18">
        <v>559455.06781729148</v>
      </c>
      <c r="O58" s="18">
        <v>68514.050581821139</v>
      </c>
      <c r="P58" s="18">
        <v>217532.88270769344</v>
      </c>
      <c r="Q58" s="18">
        <v>345750.72470043571</v>
      </c>
      <c r="R58" s="18">
        <v>0</v>
      </c>
      <c r="S58" s="26">
        <f t="shared" si="2"/>
        <v>1191252.7258072419</v>
      </c>
      <c r="T58" s="90"/>
    </row>
    <row r="59" spans="1:21">
      <c r="A59" s="10" t="s">
        <v>318</v>
      </c>
      <c r="B59" s="10" t="s">
        <v>334</v>
      </c>
      <c r="C59" s="18">
        <v>80673.479116416856</v>
      </c>
      <c r="D59" s="18">
        <v>3289.2297139013567</v>
      </c>
      <c r="E59" s="18">
        <v>25132.278805073813</v>
      </c>
      <c r="F59" s="18">
        <v>52941.838562094992</v>
      </c>
      <c r="G59" s="18">
        <v>0</v>
      </c>
      <c r="H59" s="26">
        <v>162036.82619748701</v>
      </c>
      <c r="I59" s="90"/>
      <c r="J59" s="26"/>
      <c r="L59" s="10" t="s">
        <v>318</v>
      </c>
      <c r="M59" s="10" t="s">
        <v>334</v>
      </c>
      <c r="N59" s="18">
        <v>80673.479116416856</v>
      </c>
      <c r="O59" s="18">
        <v>3289.2297139013567</v>
      </c>
      <c r="P59" s="18">
        <v>26137.763986119422</v>
      </c>
      <c r="Q59" s="18">
        <v>55059.920831688018</v>
      </c>
      <c r="R59" s="18">
        <v>0</v>
      </c>
      <c r="S59" s="26">
        <f t="shared" si="2"/>
        <v>165160.39364812564</v>
      </c>
      <c r="T59" s="90"/>
    </row>
    <row r="60" spans="1:21">
      <c r="A60" s="36" t="s">
        <v>318</v>
      </c>
      <c r="B60" s="36" t="s">
        <v>349</v>
      </c>
      <c r="C60" s="39"/>
      <c r="D60" s="39"/>
      <c r="E60" s="39"/>
      <c r="F60" s="39"/>
      <c r="G60" s="39"/>
      <c r="H60" s="39"/>
      <c r="I60" s="91">
        <f>SUM(H48:H60)</f>
        <v>6677242.303339011</v>
      </c>
      <c r="J60" s="85"/>
      <c r="L60" s="36" t="s">
        <v>318</v>
      </c>
      <c r="M60" s="36" t="s">
        <v>349</v>
      </c>
      <c r="N60" s="39"/>
      <c r="O60" s="39"/>
      <c r="P60" s="39"/>
      <c r="Q60" s="39"/>
      <c r="R60" s="39"/>
      <c r="S60" s="39"/>
      <c r="T60" s="91">
        <f>SUM(S48:S60)</f>
        <v>6796767.9014490545</v>
      </c>
      <c r="U60" s="89">
        <f>(T60-I60)/I60</f>
        <v>1.7900443428610292E-2</v>
      </c>
    </row>
    <row r="61" spans="1:21">
      <c r="A61" s="10" t="s">
        <v>319</v>
      </c>
      <c r="B61" s="10" t="s">
        <v>322</v>
      </c>
      <c r="I61" s="90"/>
      <c r="L61" s="10" t="s">
        <v>319</v>
      </c>
      <c r="M61" s="10" t="s">
        <v>322</v>
      </c>
      <c r="T61" s="90"/>
    </row>
    <row r="62" spans="1:21">
      <c r="A62" s="10" t="s">
        <v>319</v>
      </c>
      <c r="B62" s="10" t="s">
        <v>348</v>
      </c>
      <c r="I62" s="90"/>
      <c r="L62" s="10" t="s">
        <v>319</v>
      </c>
      <c r="M62" s="10" t="s">
        <v>348</v>
      </c>
      <c r="T62" s="90"/>
    </row>
    <row r="63" spans="1:21">
      <c r="A63" s="10" t="s">
        <v>319</v>
      </c>
      <c r="B63" s="10" t="s">
        <v>328</v>
      </c>
      <c r="I63" s="90"/>
      <c r="L63" s="10" t="s">
        <v>319</v>
      </c>
      <c r="M63" s="10" t="s">
        <v>328</v>
      </c>
      <c r="T63" s="90"/>
    </row>
    <row r="64" spans="1:21">
      <c r="A64" s="10" t="s">
        <v>319</v>
      </c>
      <c r="B64" s="10" t="s">
        <v>329</v>
      </c>
      <c r="I64" s="90"/>
      <c r="L64" s="10" t="s">
        <v>319</v>
      </c>
      <c r="M64" s="10" t="s">
        <v>329</v>
      </c>
      <c r="T64" s="90"/>
    </row>
    <row r="65" spans="1:20">
      <c r="A65" s="10" t="s">
        <v>319</v>
      </c>
      <c r="B65" s="10" t="s">
        <v>330</v>
      </c>
      <c r="I65" s="90"/>
      <c r="L65" s="10" t="s">
        <v>319</v>
      </c>
      <c r="M65" s="10" t="s">
        <v>330</v>
      </c>
      <c r="T65" s="90"/>
    </row>
    <row r="66" spans="1:20">
      <c r="A66" s="10" t="s">
        <v>319</v>
      </c>
      <c r="B66" s="10" t="s">
        <v>331</v>
      </c>
      <c r="I66" s="90"/>
      <c r="L66" s="10" t="s">
        <v>319</v>
      </c>
      <c r="M66" s="10" t="s">
        <v>331</v>
      </c>
      <c r="T66" s="90"/>
    </row>
    <row r="67" spans="1:20">
      <c r="A67" s="10" t="s">
        <v>319</v>
      </c>
      <c r="B67" s="10" t="s">
        <v>332</v>
      </c>
      <c r="I67" s="90"/>
      <c r="L67" s="10" t="s">
        <v>319</v>
      </c>
      <c r="M67" s="10" t="s">
        <v>332</v>
      </c>
      <c r="T67" s="90"/>
    </row>
    <row r="68" spans="1:20">
      <c r="A68" s="10" t="s">
        <v>319</v>
      </c>
      <c r="B68" s="10" t="s">
        <v>333</v>
      </c>
      <c r="I68" s="90"/>
      <c r="L68" s="10" t="s">
        <v>319</v>
      </c>
      <c r="M68" s="10" t="s">
        <v>333</v>
      </c>
      <c r="T68" s="90"/>
    </row>
    <row r="69" spans="1:20">
      <c r="A69" s="36" t="s">
        <v>319</v>
      </c>
      <c r="B69" s="36" t="s">
        <v>334</v>
      </c>
      <c r="C69" s="39"/>
      <c r="D69" s="39"/>
      <c r="E69" s="39"/>
      <c r="F69" s="39"/>
      <c r="G69" s="39"/>
      <c r="H69" s="39"/>
      <c r="I69" s="91"/>
      <c r="J69" s="85"/>
      <c r="L69" s="36" t="s">
        <v>319</v>
      </c>
      <c r="M69" s="36" t="s">
        <v>334</v>
      </c>
      <c r="N69" s="39"/>
      <c r="O69" s="39"/>
      <c r="P69" s="39"/>
      <c r="Q69" s="39"/>
      <c r="R69" s="39"/>
      <c r="S69" s="39"/>
      <c r="T69" s="91"/>
    </row>
    <row r="70" spans="1:20">
      <c r="A70" s="10" t="s">
        <v>320</v>
      </c>
      <c r="B70" s="10" t="s">
        <v>322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26">
        <v>0</v>
      </c>
      <c r="I70" s="90"/>
      <c r="J70" s="26"/>
      <c r="L70" s="10" t="s">
        <v>320</v>
      </c>
      <c r="M70" s="10" t="s">
        <v>322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26">
        <v>0</v>
      </c>
      <c r="T70" s="90"/>
    </row>
    <row r="71" spans="1:20">
      <c r="A71" s="10" t="s">
        <v>320</v>
      </c>
      <c r="B71" s="10" t="s">
        <v>323</v>
      </c>
      <c r="I71" s="90"/>
      <c r="L71" s="10" t="s">
        <v>320</v>
      </c>
      <c r="M71" s="10" t="s">
        <v>323</v>
      </c>
      <c r="T71" s="90"/>
    </row>
    <row r="72" spans="1:20">
      <c r="A72" s="10" t="s">
        <v>320</v>
      </c>
      <c r="B72" s="10" t="s">
        <v>348</v>
      </c>
      <c r="I72" s="90"/>
      <c r="L72" s="10" t="s">
        <v>320</v>
      </c>
      <c r="M72" s="10" t="s">
        <v>348</v>
      </c>
      <c r="T72" s="90"/>
    </row>
    <row r="73" spans="1:20">
      <c r="A73" s="10" t="s">
        <v>320</v>
      </c>
      <c r="B73" s="10" t="s">
        <v>324</v>
      </c>
      <c r="I73" s="90"/>
      <c r="L73" s="10" t="s">
        <v>320</v>
      </c>
      <c r="M73" s="10" t="s">
        <v>324</v>
      </c>
      <c r="T73" s="90"/>
    </row>
    <row r="74" spans="1:20">
      <c r="A74" s="10" t="s">
        <v>320</v>
      </c>
      <c r="B74" s="10" t="s">
        <v>325</v>
      </c>
      <c r="I74" s="90"/>
      <c r="L74" s="10" t="s">
        <v>320</v>
      </c>
      <c r="M74" s="10" t="s">
        <v>325</v>
      </c>
      <c r="S74" s="26">
        <f t="shared" ref="S74:S83" si="3">SUM(N74:R74)</f>
        <v>0</v>
      </c>
      <c r="T74" s="90"/>
    </row>
    <row r="75" spans="1:20">
      <c r="A75" s="10" t="s">
        <v>320</v>
      </c>
      <c r="B75" s="10" t="s">
        <v>326</v>
      </c>
      <c r="C75" s="18">
        <v>5174.2548000000006</v>
      </c>
      <c r="D75" s="18">
        <v>0</v>
      </c>
      <c r="E75" s="18">
        <v>0</v>
      </c>
      <c r="F75" s="18">
        <v>0</v>
      </c>
      <c r="G75" s="18">
        <v>0</v>
      </c>
      <c r="H75" s="26">
        <v>5174.2548000000006</v>
      </c>
      <c r="I75" s="90"/>
      <c r="J75" s="26"/>
      <c r="L75" s="10" t="s">
        <v>320</v>
      </c>
      <c r="M75" s="10" t="s">
        <v>326</v>
      </c>
      <c r="N75" s="18">
        <v>5174.2548000000006</v>
      </c>
      <c r="O75" s="18">
        <v>0</v>
      </c>
      <c r="P75" s="18">
        <v>0</v>
      </c>
      <c r="Q75" s="18">
        <v>0</v>
      </c>
      <c r="R75" s="18">
        <v>0</v>
      </c>
      <c r="S75" s="26">
        <f t="shared" si="3"/>
        <v>5174.2548000000006</v>
      </c>
      <c r="T75" s="90"/>
    </row>
    <row r="76" spans="1:20">
      <c r="A76" s="10" t="s">
        <v>320</v>
      </c>
      <c r="B76" s="10" t="s">
        <v>327</v>
      </c>
      <c r="C76" s="18"/>
      <c r="H76" s="26">
        <v>0</v>
      </c>
      <c r="I76" s="90"/>
      <c r="J76" s="26"/>
      <c r="L76" s="10" t="s">
        <v>320</v>
      </c>
      <c r="M76" s="10" t="s">
        <v>327</v>
      </c>
      <c r="N76" s="18"/>
      <c r="S76" s="26">
        <f t="shared" si="3"/>
        <v>0</v>
      </c>
      <c r="T76" s="90"/>
    </row>
    <row r="77" spans="1:20">
      <c r="A77" s="10" t="s">
        <v>320</v>
      </c>
      <c r="B77" s="10" t="s">
        <v>328</v>
      </c>
      <c r="C77" s="18">
        <v>352107.66145651846</v>
      </c>
      <c r="D77" s="18">
        <v>4571.2610687949564</v>
      </c>
      <c r="E77" s="18">
        <v>18595.691984018707</v>
      </c>
      <c r="F77" s="18">
        <v>29689.616500071781</v>
      </c>
      <c r="G77" s="18">
        <v>0</v>
      </c>
      <c r="H77" s="26">
        <v>404964.23100940388</v>
      </c>
      <c r="I77" s="90"/>
      <c r="J77" s="26"/>
      <c r="L77" s="10" t="s">
        <v>320</v>
      </c>
      <c r="M77" s="10" t="s">
        <v>328</v>
      </c>
      <c r="N77" s="18">
        <v>352107.66145651846</v>
      </c>
      <c r="O77" s="18">
        <v>4571.2610687949564</v>
      </c>
      <c r="P77" s="18">
        <v>19339.458787990643</v>
      </c>
      <c r="Q77" s="18">
        <v>30877.103967297444</v>
      </c>
      <c r="R77" s="18">
        <v>0</v>
      </c>
      <c r="S77" s="26">
        <f t="shared" si="3"/>
        <v>406895.48528060142</v>
      </c>
      <c r="T77" s="90"/>
    </row>
    <row r="78" spans="1:20">
      <c r="A78" s="10" t="s">
        <v>320</v>
      </c>
      <c r="B78" s="10" t="s">
        <v>329</v>
      </c>
      <c r="C78" s="18">
        <v>445344.15569080849</v>
      </c>
      <c r="D78" s="18">
        <v>3271.2173327646005</v>
      </c>
      <c r="E78" s="18">
        <v>12611.14713722001</v>
      </c>
      <c r="F78" s="18">
        <v>31242.895706830979</v>
      </c>
      <c r="G78" s="18">
        <v>0</v>
      </c>
      <c r="H78" s="26">
        <v>492469.41586762405</v>
      </c>
      <c r="I78" s="90"/>
      <c r="J78" s="26"/>
      <c r="L78" s="10" t="s">
        <v>320</v>
      </c>
      <c r="M78" s="10" t="s">
        <v>329</v>
      </c>
      <c r="N78" s="18">
        <v>445344.15569080849</v>
      </c>
      <c r="O78" s="18">
        <v>3271.2173327646005</v>
      </c>
      <c r="P78" s="18">
        <v>13116.19029113431</v>
      </c>
      <c r="Q78" s="18">
        <v>32494.091209785973</v>
      </c>
      <c r="R78" s="18">
        <v>0</v>
      </c>
      <c r="S78" s="26">
        <f t="shared" si="3"/>
        <v>494225.65452449332</v>
      </c>
      <c r="T78" s="90"/>
    </row>
    <row r="79" spans="1:20">
      <c r="A79" s="10" t="s">
        <v>320</v>
      </c>
      <c r="B79" s="10" t="s">
        <v>330</v>
      </c>
      <c r="C79" s="18">
        <v>1016904.1586260365</v>
      </c>
      <c r="D79" s="18">
        <v>4103.1472766964644</v>
      </c>
      <c r="E79" s="18">
        <v>17168.102979691786</v>
      </c>
      <c r="F79" s="18">
        <v>49797.696686817297</v>
      </c>
      <c r="G79" s="18">
        <v>0</v>
      </c>
      <c r="H79" s="26">
        <v>1087973.105569242</v>
      </c>
      <c r="I79" s="90"/>
      <c r="J79" s="26"/>
      <c r="L79" s="10" t="s">
        <v>320</v>
      </c>
      <c r="M79" s="10" t="s">
        <v>330</v>
      </c>
      <c r="N79" s="18">
        <v>1016904.1586260365</v>
      </c>
      <c r="O79" s="18">
        <v>4103.1472766964644</v>
      </c>
      <c r="P79" s="18">
        <v>17168.102979691786</v>
      </c>
      <c r="Q79" s="18">
        <v>49797.696686817297</v>
      </c>
      <c r="R79" s="18">
        <v>0</v>
      </c>
      <c r="S79" s="26">
        <f t="shared" si="3"/>
        <v>1087973.105569242</v>
      </c>
      <c r="T79" s="90"/>
    </row>
    <row r="80" spans="1:20">
      <c r="A80" s="10" t="s">
        <v>320</v>
      </c>
      <c r="B80" s="10" t="s">
        <v>331</v>
      </c>
      <c r="C80" s="18">
        <v>607330.09345873434</v>
      </c>
      <c r="D80" s="18">
        <v>76.983918972475351</v>
      </c>
      <c r="E80" s="18">
        <v>7897.0624610562245</v>
      </c>
      <c r="F80" s="18">
        <v>21243.524733078677</v>
      </c>
      <c r="G80" s="18">
        <v>0</v>
      </c>
      <c r="H80" s="26">
        <v>636547.66457184171</v>
      </c>
      <c r="I80" s="90"/>
      <c r="J80" s="26"/>
      <c r="L80" s="10" t="s">
        <v>320</v>
      </c>
      <c r="M80" s="10" t="s">
        <v>331</v>
      </c>
      <c r="N80" s="18">
        <v>607330.09345873434</v>
      </c>
      <c r="O80" s="18">
        <v>76.983918972475351</v>
      </c>
      <c r="P80" s="18">
        <v>8212.5638920507372</v>
      </c>
      <c r="Q80" s="18">
        <v>22092.240630376677</v>
      </c>
      <c r="R80" s="18">
        <v>0</v>
      </c>
      <c r="S80" s="26">
        <f t="shared" si="3"/>
        <v>637711.88190013426</v>
      </c>
      <c r="T80" s="90"/>
    </row>
    <row r="81" spans="1:21">
      <c r="A81" s="10" t="s">
        <v>320</v>
      </c>
      <c r="B81" s="10" t="s">
        <v>332</v>
      </c>
      <c r="C81" s="18">
        <v>785974.79637407593</v>
      </c>
      <c r="D81" s="18">
        <v>3942.8533931376737</v>
      </c>
      <c r="E81" s="18">
        <v>35770.340656571796</v>
      </c>
      <c r="F81" s="18">
        <v>67308.867955581547</v>
      </c>
      <c r="G81" s="18">
        <v>0</v>
      </c>
      <c r="H81" s="26">
        <v>892996.85837936692</v>
      </c>
      <c r="I81" s="90"/>
      <c r="J81" s="26"/>
      <c r="L81" s="10" t="s">
        <v>320</v>
      </c>
      <c r="M81" s="10" t="s">
        <v>332</v>
      </c>
      <c r="N81" s="18">
        <v>785974.79637407593</v>
      </c>
      <c r="O81" s="18">
        <v>3942.8533931376737</v>
      </c>
      <c r="P81" s="18">
        <v>37200.678636000659</v>
      </c>
      <c r="Q81" s="18">
        <v>70000.327651578133</v>
      </c>
      <c r="R81" s="18">
        <v>0</v>
      </c>
      <c r="S81" s="26">
        <f t="shared" si="3"/>
        <v>897118.65605479234</v>
      </c>
      <c r="T81" s="90"/>
    </row>
    <row r="82" spans="1:21">
      <c r="A82" s="10" t="s">
        <v>320</v>
      </c>
      <c r="B82" s="10" t="s">
        <v>333</v>
      </c>
      <c r="C82" s="18">
        <v>831717.01073665102</v>
      </c>
      <c r="D82" s="18">
        <v>3656.4653851410808</v>
      </c>
      <c r="E82" s="18">
        <v>36736.772437690895</v>
      </c>
      <c r="F82" s="18">
        <v>55364.052671064528</v>
      </c>
      <c r="G82" s="18">
        <v>0</v>
      </c>
      <c r="H82" s="26">
        <v>927474.30123054748</v>
      </c>
      <c r="I82" s="90"/>
      <c r="J82" s="26"/>
      <c r="L82" s="10" t="s">
        <v>320</v>
      </c>
      <c r="M82" s="10" t="s">
        <v>333</v>
      </c>
      <c r="N82" s="18">
        <v>831717.01073665102</v>
      </c>
      <c r="O82" s="18">
        <v>3656.4653851410808</v>
      </c>
      <c r="P82" s="18">
        <v>38206.802016273519</v>
      </c>
      <c r="Q82" s="18">
        <v>57579.456736696884</v>
      </c>
      <c r="R82" s="18">
        <v>0</v>
      </c>
      <c r="S82" s="26">
        <f t="shared" si="3"/>
        <v>931159.73487476248</v>
      </c>
      <c r="T82" s="90"/>
    </row>
    <row r="83" spans="1:21">
      <c r="A83" s="10" t="s">
        <v>320</v>
      </c>
      <c r="B83" s="10" t="s">
        <v>334</v>
      </c>
      <c r="C83" s="18">
        <v>37337.458322634382</v>
      </c>
      <c r="D83" s="18">
        <v>2770.7544912980316</v>
      </c>
      <c r="E83" s="18">
        <v>4035.8796302754126</v>
      </c>
      <c r="F83" s="18">
        <v>0</v>
      </c>
      <c r="G83" s="18">
        <v>0</v>
      </c>
      <c r="H83" s="26">
        <v>44144.092444207825</v>
      </c>
      <c r="I83" s="90"/>
      <c r="J83" s="26"/>
      <c r="L83" s="10" t="s">
        <v>320</v>
      </c>
      <c r="M83" s="10" t="s">
        <v>334</v>
      </c>
      <c r="N83" s="18">
        <v>37337.458322634382</v>
      </c>
      <c r="O83" s="18">
        <v>2770.7544912980316</v>
      </c>
      <c r="P83" s="18">
        <v>4197.3539607786715</v>
      </c>
      <c r="Q83" s="18">
        <v>0</v>
      </c>
      <c r="R83" s="18">
        <v>0</v>
      </c>
      <c r="S83" s="26">
        <f t="shared" si="3"/>
        <v>44305.566774711086</v>
      </c>
      <c r="T83" s="90"/>
    </row>
    <row r="84" spans="1:21">
      <c r="A84" s="36" t="s">
        <v>320</v>
      </c>
      <c r="B84" s="36" t="s">
        <v>335</v>
      </c>
      <c r="C84" s="43"/>
      <c r="D84" s="39"/>
      <c r="E84" s="39"/>
      <c r="F84" s="39"/>
      <c r="G84" s="39"/>
      <c r="H84" s="39"/>
      <c r="I84" s="91">
        <f>SUM(H70:H84)</f>
        <v>4491743.9238722334</v>
      </c>
      <c r="J84" s="85"/>
      <c r="L84" s="36" t="s">
        <v>320</v>
      </c>
      <c r="M84" s="36" t="s">
        <v>335</v>
      </c>
      <c r="N84" s="43"/>
      <c r="O84" s="39"/>
      <c r="P84" s="39"/>
      <c r="Q84" s="39"/>
      <c r="R84" s="39"/>
      <c r="S84" s="39"/>
      <c r="T84" s="91">
        <f>SUM(S70:S84)</f>
        <v>4504564.3397787372</v>
      </c>
      <c r="U84" s="89">
        <f>(T84-I84)/I84</f>
        <v>2.8542178992812216E-3</v>
      </c>
    </row>
    <row r="85" spans="1:21">
      <c r="A85" s="10" t="s">
        <v>321</v>
      </c>
      <c r="B85" s="10" t="s">
        <v>322</v>
      </c>
      <c r="I85" s="90"/>
      <c r="L85" s="10" t="s">
        <v>321</v>
      </c>
      <c r="M85" s="10" t="s">
        <v>322</v>
      </c>
      <c r="T85" s="90"/>
    </row>
    <row r="86" spans="1:21">
      <c r="A86" s="10" t="s">
        <v>321</v>
      </c>
      <c r="B86" s="10" t="s">
        <v>323</v>
      </c>
      <c r="C86" s="18">
        <v>121911.5848874385</v>
      </c>
      <c r="D86" s="18">
        <v>18000.656017098067</v>
      </c>
      <c r="E86" s="18">
        <v>30517.560025054358</v>
      </c>
      <c r="F86" s="18">
        <v>39205.776789301475</v>
      </c>
      <c r="G86" s="18">
        <v>0</v>
      </c>
      <c r="H86" s="26">
        <v>209635.5777188924</v>
      </c>
      <c r="I86" s="90"/>
      <c r="J86" s="26"/>
      <c r="L86" s="10" t="s">
        <v>321</v>
      </c>
      <c r="M86" s="10" t="s">
        <v>323</v>
      </c>
      <c r="N86" s="18">
        <v>121911.5848874385</v>
      </c>
      <c r="O86" s="18">
        <v>18000.656017098067</v>
      </c>
      <c r="P86" s="18">
        <v>31432.19894493961</v>
      </c>
      <c r="Q86" s="18">
        <v>40380.809436288626</v>
      </c>
      <c r="R86" s="18">
        <v>0</v>
      </c>
      <c r="S86" s="26">
        <f t="shared" ref="S86:S119" si="4">SUM(N86:R86)</f>
        <v>211725.24928576482</v>
      </c>
      <c r="T86" s="90"/>
    </row>
    <row r="87" spans="1:21">
      <c r="A87" s="10" t="s">
        <v>321</v>
      </c>
      <c r="B87" s="10" t="s">
        <v>348</v>
      </c>
      <c r="C87" s="18"/>
      <c r="D87" s="18"/>
      <c r="E87" s="18"/>
      <c r="F87" s="18"/>
      <c r="G87" s="18"/>
      <c r="H87" s="26"/>
      <c r="I87" s="90"/>
      <c r="J87" s="26"/>
      <c r="L87" s="10" t="s">
        <v>321</v>
      </c>
      <c r="M87" s="10" t="s">
        <v>348</v>
      </c>
      <c r="N87" s="18"/>
      <c r="O87" s="18"/>
      <c r="P87" s="18"/>
      <c r="Q87" s="18"/>
      <c r="R87" s="18"/>
      <c r="S87" s="26">
        <f t="shared" si="4"/>
        <v>0</v>
      </c>
      <c r="T87" s="90"/>
    </row>
    <row r="88" spans="1:21">
      <c r="A88" s="10" t="s">
        <v>321</v>
      </c>
      <c r="B88" s="10" t="s">
        <v>324</v>
      </c>
      <c r="C88" s="18">
        <v>273216.78248243668</v>
      </c>
      <c r="D88" s="18">
        <v>18981.908526542586</v>
      </c>
      <c r="E88" s="18">
        <v>31308.486878384796</v>
      </c>
      <c r="F88" s="18">
        <v>28878.071848580574</v>
      </c>
      <c r="G88" s="18">
        <v>0</v>
      </c>
      <c r="H88" s="26">
        <v>352385.24973594461</v>
      </c>
      <c r="I88" s="90"/>
      <c r="J88" s="26"/>
      <c r="L88" s="10" t="s">
        <v>321</v>
      </c>
      <c r="M88" s="10" t="s">
        <v>324</v>
      </c>
      <c r="N88" s="18">
        <v>273216.78248243668</v>
      </c>
      <c r="O88" s="18">
        <v>18981.908526542586</v>
      </c>
      <c r="P88" s="18">
        <v>32246.848389686467</v>
      </c>
      <c r="Q88" s="18">
        <v>29743.590238165245</v>
      </c>
      <c r="R88" s="18">
        <v>0</v>
      </c>
      <c r="S88" s="26">
        <f t="shared" si="4"/>
        <v>354189.129636831</v>
      </c>
      <c r="T88" s="90"/>
    </row>
    <row r="89" spans="1:21">
      <c r="A89" s="10" t="s">
        <v>321</v>
      </c>
      <c r="B89" s="10" t="s">
        <v>325</v>
      </c>
      <c r="C89" s="18">
        <v>372386.7915592473</v>
      </c>
      <c r="D89" s="18">
        <v>162298.14772867365</v>
      </c>
      <c r="E89" s="18">
        <v>169953.23742872718</v>
      </c>
      <c r="F89" s="18">
        <v>187725.1734832848</v>
      </c>
      <c r="G89" s="18">
        <v>0</v>
      </c>
      <c r="H89" s="26">
        <v>892363.35019993293</v>
      </c>
      <c r="I89" s="90"/>
      <c r="J89" s="26"/>
      <c r="L89" s="10" t="s">
        <v>321</v>
      </c>
      <c r="M89" s="10" t="s">
        <v>325</v>
      </c>
      <c r="N89" s="18">
        <v>372386.7915592473</v>
      </c>
      <c r="O89" s="18">
        <v>162298.14772867365</v>
      </c>
      <c r="P89" s="18">
        <v>175051.21158122414</v>
      </c>
      <c r="Q89" s="18">
        <v>193356.2405736786</v>
      </c>
      <c r="R89" s="18">
        <v>0</v>
      </c>
      <c r="S89" s="26">
        <f t="shared" si="4"/>
        <v>903092.39144282369</v>
      </c>
      <c r="T89" s="90"/>
    </row>
    <row r="90" spans="1:21">
      <c r="A90" s="10" t="s">
        <v>321</v>
      </c>
      <c r="B90" s="10" t="s">
        <v>326</v>
      </c>
      <c r="I90" s="90"/>
      <c r="L90" s="10" t="s">
        <v>321</v>
      </c>
      <c r="M90" s="10" t="s">
        <v>326</v>
      </c>
      <c r="S90" s="26">
        <f t="shared" si="4"/>
        <v>0</v>
      </c>
      <c r="T90" s="90"/>
    </row>
    <row r="91" spans="1:21">
      <c r="A91" s="10" t="s">
        <v>321</v>
      </c>
      <c r="B91" s="10" t="s">
        <v>327</v>
      </c>
      <c r="C91" s="18">
        <v>172259.56065161439</v>
      </c>
      <c r="D91" s="18">
        <v>17915.675254795307</v>
      </c>
      <c r="E91" s="18">
        <v>110587.72083051984</v>
      </c>
      <c r="F91" s="18">
        <v>116914.69161875635</v>
      </c>
      <c r="G91" s="18">
        <v>0</v>
      </c>
      <c r="H91" s="26">
        <v>417677.64835568587</v>
      </c>
      <c r="I91" s="90"/>
      <c r="J91" s="26"/>
      <c r="L91" s="10" t="s">
        <v>321</v>
      </c>
      <c r="M91" s="10" t="s">
        <v>327</v>
      </c>
      <c r="N91" s="18">
        <v>172259.56065161439</v>
      </c>
      <c r="O91" s="18">
        <v>17915.675254795307</v>
      </c>
      <c r="P91" s="18">
        <v>113904.74185059147</v>
      </c>
      <c r="Q91" s="18">
        <v>120421.4868284066</v>
      </c>
      <c r="R91" s="18">
        <v>0</v>
      </c>
      <c r="S91" s="26">
        <f t="shared" si="4"/>
        <v>424501.46458540775</v>
      </c>
      <c r="T91" s="90"/>
    </row>
    <row r="92" spans="1:21">
      <c r="A92" s="10" t="s">
        <v>321</v>
      </c>
      <c r="B92" s="10" t="s">
        <v>328</v>
      </c>
      <c r="I92" s="90"/>
      <c r="L92" s="10" t="s">
        <v>321</v>
      </c>
      <c r="M92" s="10" t="s">
        <v>328</v>
      </c>
      <c r="S92" s="26">
        <f t="shared" si="4"/>
        <v>0</v>
      </c>
      <c r="T92" s="90"/>
    </row>
    <row r="93" spans="1:21">
      <c r="A93" s="10" t="s">
        <v>321</v>
      </c>
      <c r="B93" s="10" t="s">
        <v>329</v>
      </c>
      <c r="I93" s="90"/>
      <c r="L93" s="10" t="s">
        <v>321</v>
      </c>
      <c r="M93" s="10" t="s">
        <v>329</v>
      </c>
      <c r="S93" s="26">
        <f t="shared" si="4"/>
        <v>0</v>
      </c>
      <c r="T93" s="90"/>
    </row>
    <row r="94" spans="1:21">
      <c r="A94" s="10" t="s">
        <v>321</v>
      </c>
      <c r="B94" s="10" t="s">
        <v>330</v>
      </c>
      <c r="I94" s="90"/>
      <c r="L94" s="10" t="s">
        <v>321</v>
      </c>
      <c r="M94" s="10" t="s">
        <v>330</v>
      </c>
      <c r="S94" s="26">
        <f t="shared" si="4"/>
        <v>0</v>
      </c>
      <c r="T94" s="90"/>
    </row>
    <row r="95" spans="1:21">
      <c r="A95" s="10" t="s">
        <v>321</v>
      </c>
      <c r="B95" s="10" t="s">
        <v>331</v>
      </c>
      <c r="I95" s="90"/>
      <c r="L95" s="10" t="s">
        <v>321</v>
      </c>
      <c r="M95" s="10" t="s">
        <v>331</v>
      </c>
      <c r="S95" s="26">
        <f t="shared" si="4"/>
        <v>0</v>
      </c>
      <c r="T95" s="90"/>
    </row>
    <row r="96" spans="1:21">
      <c r="A96" s="10" t="s">
        <v>321</v>
      </c>
      <c r="B96" s="10" t="s">
        <v>332</v>
      </c>
      <c r="I96" s="90"/>
      <c r="L96" s="10" t="s">
        <v>321</v>
      </c>
      <c r="M96" s="10" t="s">
        <v>332</v>
      </c>
      <c r="S96" s="26">
        <f t="shared" si="4"/>
        <v>0</v>
      </c>
      <c r="T96" s="90"/>
    </row>
    <row r="97" spans="1:20">
      <c r="A97" s="10" t="s">
        <v>321</v>
      </c>
      <c r="B97" s="10" t="s">
        <v>333</v>
      </c>
      <c r="I97" s="90"/>
      <c r="L97" s="10" t="s">
        <v>321</v>
      </c>
      <c r="M97" s="10" t="s">
        <v>333</v>
      </c>
      <c r="S97" s="26">
        <f t="shared" si="4"/>
        <v>0</v>
      </c>
      <c r="T97" s="90"/>
    </row>
    <row r="98" spans="1:20">
      <c r="A98" s="10" t="s">
        <v>321</v>
      </c>
      <c r="B98" s="10" t="s">
        <v>338</v>
      </c>
      <c r="I98" s="90"/>
      <c r="L98" s="10" t="s">
        <v>321</v>
      </c>
      <c r="M98" s="10" t="s">
        <v>338</v>
      </c>
      <c r="S98" s="26">
        <f t="shared" si="4"/>
        <v>0</v>
      </c>
      <c r="T98" s="90"/>
    </row>
    <row r="99" spans="1:20">
      <c r="A99" s="10" t="s">
        <v>321</v>
      </c>
      <c r="B99" s="10" t="s">
        <v>335</v>
      </c>
      <c r="I99" s="90"/>
      <c r="L99" s="10" t="s">
        <v>321</v>
      </c>
      <c r="M99" s="10" t="s">
        <v>335</v>
      </c>
      <c r="S99" s="26">
        <f t="shared" si="4"/>
        <v>0</v>
      </c>
      <c r="T99" s="90"/>
    </row>
    <row r="100" spans="1:20">
      <c r="A100" s="10" t="s">
        <v>321</v>
      </c>
      <c r="B100" s="10" t="s">
        <v>339</v>
      </c>
      <c r="C100" s="18">
        <v>742636.04048560001</v>
      </c>
      <c r="D100" s="18">
        <v>162053.46567751438</v>
      </c>
      <c r="E100" s="18">
        <v>382081.28675970394</v>
      </c>
      <c r="F100" s="18">
        <v>540840.6285181659</v>
      </c>
      <c r="G100" s="18">
        <v>0</v>
      </c>
      <c r="H100" s="26">
        <v>1827611.4214409841</v>
      </c>
      <c r="I100" s="90"/>
      <c r="J100" s="26"/>
      <c r="L100" s="10" t="s">
        <v>321</v>
      </c>
      <c r="M100" s="10" t="s">
        <v>339</v>
      </c>
      <c r="N100" s="18">
        <v>742636.04048560001</v>
      </c>
      <c r="O100" s="18">
        <v>162053.46567751438</v>
      </c>
      <c r="P100" s="18">
        <v>393538.59935806773</v>
      </c>
      <c r="Q100" s="18">
        <v>557058.59145317157</v>
      </c>
      <c r="R100" s="18">
        <v>0</v>
      </c>
      <c r="S100" s="26">
        <f t="shared" si="4"/>
        <v>1855286.6969743536</v>
      </c>
      <c r="T100" s="90"/>
    </row>
    <row r="101" spans="1:20">
      <c r="A101" s="10" t="s">
        <v>321</v>
      </c>
      <c r="B101" s="10" t="s">
        <v>336</v>
      </c>
      <c r="C101" s="18">
        <v>343207.64507473516</v>
      </c>
      <c r="D101" s="18">
        <v>50723.655367055311</v>
      </c>
      <c r="E101" s="18">
        <v>257505.40686532282</v>
      </c>
      <c r="F101" s="18">
        <v>285261.51516446687</v>
      </c>
      <c r="G101" s="18">
        <v>0</v>
      </c>
      <c r="H101" s="26">
        <v>936698.22247158014</v>
      </c>
      <c r="I101" s="90"/>
      <c r="J101" s="26"/>
      <c r="L101" s="10" t="s">
        <v>321</v>
      </c>
      <c r="M101" s="10" t="s">
        <v>336</v>
      </c>
      <c r="N101" s="18">
        <v>343207.64507473516</v>
      </c>
      <c r="O101" s="18">
        <v>50723.655367055311</v>
      </c>
      <c r="P101" s="18">
        <v>265227.21703025902</v>
      </c>
      <c r="Q101" s="18">
        <v>293815.64726707595</v>
      </c>
      <c r="R101" s="18">
        <v>0</v>
      </c>
      <c r="S101" s="26">
        <f t="shared" si="4"/>
        <v>952974.16473912541</v>
      </c>
      <c r="T101" s="90"/>
    </row>
    <row r="102" spans="1:20">
      <c r="A102" s="10" t="s">
        <v>321</v>
      </c>
      <c r="B102" s="10" t="s">
        <v>340</v>
      </c>
      <c r="C102" s="18">
        <v>48901.630288111752</v>
      </c>
      <c r="D102" s="18">
        <v>54717.029532236178</v>
      </c>
      <c r="E102" s="18">
        <v>54426.132899524426</v>
      </c>
      <c r="F102" s="18">
        <v>70808.135143553271</v>
      </c>
      <c r="G102" s="18">
        <v>0</v>
      </c>
      <c r="H102" s="26">
        <v>228852.92786342563</v>
      </c>
      <c r="I102" s="90"/>
      <c r="J102" s="26"/>
      <c r="L102" s="10" t="s">
        <v>321</v>
      </c>
      <c r="M102" s="10" t="s">
        <v>340</v>
      </c>
      <c r="N102" s="18">
        <v>48901.630288111752</v>
      </c>
      <c r="O102" s="18">
        <v>54717.029532236178</v>
      </c>
      <c r="P102" s="18">
        <v>56059.879068749236</v>
      </c>
      <c r="Q102" s="18">
        <v>72933.630992289996</v>
      </c>
      <c r="R102" s="18">
        <v>0</v>
      </c>
      <c r="S102" s="26">
        <f t="shared" si="4"/>
        <v>232612.16988138715</v>
      </c>
      <c r="T102" s="90"/>
    </row>
    <row r="103" spans="1:20">
      <c r="A103" s="10" t="s">
        <v>321</v>
      </c>
      <c r="B103" s="10" t="s">
        <v>341</v>
      </c>
      <c r="C103" s="18">
        <v>0</v>
      </c>
      <c r="D103" s="18">
        <v>0</v>
      </c>
      <c r="E103" s="18">
        <v>0</v>
      </c>
      <c r="F103" s="18">
        <v>0</v>
      </c>
      <c r="G103" s="18">
        <v>0</v>
      </c>
      <c r="H103" s="26">
        <v>0</v>
      </c>
      <c r="I103" s="90"/>
      <c r="J103" s="26"/>
      <c r="L103" s="10" t="s">
        <v>321</v>
      </c>
      <c r="M103" s="10" t="s">
        <v>341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26">
        <f t="shared" si="4"/>
        <v>0</v>
      </c>
      <c r="T103" s="90"/>
    </row>
    <row r="104" spans="1:20">
      <c r="A104" s="10" t="s">
        <v>321</v>
      </c>
      <c r="B104" s="10" t="s">
        <v>350</v>
      </c>
      <c r="C104" s="18">
        <v>31748.128383950941</v>
      </c>
      <c r="D104" s="18">
        <v>3300.7752622412968</v>
      </c>
      <c r="E104" s="18">
        <v>15444.165834470137</v>
      </c>
      <c r="F104" s="18">
        <v>11355.902811486825</v>
      </c>
      <c r="G104" s="18">
        <v>0</v>
      </c>
      <c r="H104" s="26">
        <v>61848.972292149199</v>
      </c>
      <c r="I104" s="90"/>
      <c r="J104" s="26"/>
      <c r="L104" s="10" t="s">
        <v>321</v>
      </c>
      <c r="M104" s="10" t="s">
        <v>350</v>
      </c>
      <c r="N104" s="18">
        <v>31748.128383950941</v>
      </c>
      <c r="O104" s="18">
        <v>3300.7752622412968</v>
      </c>
      <c r="P104" s="18">
        <v>15907.694707835632</v>
      </c>
      <c r="Q104" s="18">
        <v>11696.72981973535</v>
      </c>
      <c r="R104" s="18">
        <v>0</v>
      </c>
      <c r="S104" s="26">
        <f t="shared" si="4"/>
        <v>62653.328173763221</v>
      </c>
      <c r="T104" s="90"/>
    </row>
    <row r="105" spans="1:20">
      <c r="A105" s="10" t="s">
        <v>321</v>
      </c>
      <c r="B105" s="10" t="s">
        <v>342</v>
      </c>
      <c r="C105" s="18">
        <v>243249.15715654346</v>
      </c>
      <c r="D105" s="18">
        <v>43432.534775749933</v>
      </c>
      <c r="E105" s="18">
        <v>73912.033811539906</v>
      </c>
      <c r="F105" s="18">
        <v>23353.395446339982</v>
      </c>
      <c r="G105" s="18">
        <v>0</v>
      </c>
      <c r="H105" s="26">
        <v>383947.12119017332</v>
      </c>
      <c r="I105" s="90"/>
      <c r="J105" s="26"/>
      <c r="L105" s="10" t="s">
        <v>321</v>
      </c>
      <c r="M105" s="10" t="s">
        <v>342</v>
      </c>
      <c r="N105" s="18">
        <v>243249.15715654346</v>
      </c>
      <c r="O105" s="18">
        <v>43432.534775749933</v>
      </c>
      <c r="P105" s="18">
        <v>76128.999519348057</v>
      </c>
      <c r="Q105" s="18">
        <v>24053.872407878218</v>
      </c>
      <c r="R105" s="18">
        <v>0</v>
      </c>
      <c r="S105" s="26">
        <f t="shared" si="4"/>
        <v>386864.56385951972</v>
      </c>
      <c r="T105" s="90"/>
    </row>
    <row r="106" spans="1:20">
      <c r="A106" s="10" t="s">
        <v>321</v>
      </c>
      <c r="B106" s="10" t="s">
        <v>343</v>
      </c>
      <c r="C106" s="18">
        <v>2469.2249877635263</v>
      </c>
      <c r="D106" s="18">
        <v>182012.84022199173</v>
      </c>
      <c r="E106" s="18">
        <v>121779.54455025595</v>
      </c>
      <c r="F106" s="18">
        <v>173264.17175587389</v>
      </c>
      <c r="G106" s="18">
        <v>0</v>
      </c>
      <c r="H106" s="26">
        <v>479525.78151588509</v>
      </c>
      <c r="I106" s="90"/>
      <c r="J106" s="26"/>
      <c r="L106" s="10" t="s">
        <v>321</v>
      </c>
      <c r="M106" s="10" t="s">
        <v>343</v>
      </c>
      <c r="N106" s="18">
        <v>2469.2249877635263</v>
      </c>
      <c r="O106" s="18">
        <v>182012.84022199173</v>
      </c>
      <c r="P106" s="18">
        <v>125433.83765924722</v>
      </c>
      <c r="Q106" s="18">
        <v>178463.38703641127</v>
      </c>
      <c r="R106" s="18">
        <v>0</v>
      </c>
      <c r="S106" s="26">
        <f t="shared" si="4"/>
        <v>488379.28990541375</v>
      </c>
      <c r="T106" s="90"/>
    </row>
    <row r="107" spans="1:20">
      <c r="A107" s="10" t="s">
        <v>321</v>
      </c>
      <c r="B107" s="10" t="s">
        <v>349</v>
      </c>
      <c r="C107" s="18">
        <v>67274.383169349851</v>
      </c>
      <c r="D107" s="18">
        <v>25916.719000349676</v>
      </c>
      <c r="E107" s="18">
        <v>71619.150139328587</v>
      </c>
      <c r="F107" s="18">
        <v>96783.305834882631</v>
      </c>
      <c r="G107" s="18">
        <v>0</v>
      </c>
      <c r="H107" s="26">
        <v>261593.55814391075</v>
      </c>
      <c r="I107" s="90"/>
      <c r="J107" s="26"/>
      <c r="L107" s="10" t="s">
        <v>321</v>
      </c>
      <c r="M107" s="10" t="s">
        <v>349</v>
      </c>
      <c r="N107" s="18">
        <v>67274.383169349851</v>
      </c>
      <c r="O107" s="18">
        <v>25916.719000349676</v>
      </c>
      <c r="P107" s="18">
        <v>73768.742556352154</v>
      </c>
      <c r="Q107" s="18">
        <v>99688.180577355903</v>
      </c>
      <c r="R107" s="18">
        <v>0</v>
      </c>
      <c r="S107" s="26">
        <f t="shared" si="4"/>
        <v>266648.02530340757</v>
      </c>
      <c r="T107" s="90"/>
    </row>
    <row r="108" spans="1:20">
      <c r="A108" s="10" t="s">
        <v>321</v>
      </c>
      <c r="B108" s="10" t="s">
        <v>344</v>
      </c>
      <c r="C108" s="18">
        <v>26578.221630612297</v>
      </c>
      <c r="D108" s="18">
        <v>1696.9391386849802</v>
      </c>
      <c r="E108" s="18">
        <v>5227.5897543680248</v>
      </c>
      <c r="F108" s="18">
        <v>6240.7737525230186</v>
      </c>
      <c r="G108" s="18">
        <v>0</v>
      </c>
      <c r="H108" s="26">
        <v>39743.52427618832</v>
      </c>
      <c r="I108" s="90"/>
      <c r="J108" s="26"/>
      <c r="L108" s="10" t="s">
        <v>321</v>
      </c>
      <c r="M108" s="10" t="s">
        <v>344</v>
      </c>
      <c r="N108" s="18">
        <v>26578.221630612297</v>
      </c>
      <c r="O108" s="18">
        <v>1696.9391386849802</v>
      </c>
      <c r="P108" s="18">
        <v>5384.5377058190079</v>
      </c>
      <c r="Q108" s="18">
        <v>6428.1405318517009</v>
      </c>
      <c r="R108" s="18">
        <v>0</v>
      </c>
      <c r="S108" s="26">
        <f t="shared" si="4"/>
        <v>40087.839006967981</v>
      </c>
      <c r="T108" s="90"/>
    </row>
    <row r="109" spans="1:20">
      <c r="A109" s="10" t="s">
        <v>321</v>
      </c>
      <c r="B109" s="10" t="s">
        <v>351</v>
      </c>
      <c r="C109" s="18">
        <v>5162.7890482001221</v>
      </c>
      <c r="D109" s="18">
        <v>1639.4661378889566</v>
      </c>
      <c r="E109" s="18">
        <v>2525.1410921293468</v>
      </c>
      <c r="F109" s="18">
        <v>2759.9574435631484</v>
      </c>
      <c r="G109" s="18">
        <v>0</v>
      </c>
      <c r="H109" s="26">
        <v>12087.353721781576</v>
      </c>
      <c r="I109" s="90"/>
      <c r="J109" s="26"/>
      <c r="L109" s="10" t="s">
        <v>321</v>
      </c>
      <c r="M109" s="10" t="s">
        <v>351</v>
      </c>
      <c r="N109" s="18">
        <v>5162.7890482001221</v>
      </c>
      <c r="O109" s="18">
        <v>1639.4661378889566</v>
      </c>
      <c r="P109" s="18">
        <v>2600.8953248932271</v>
      </c>
      <c r="Q109" s="18">
        <v>2842.7561668700432</v>
      </c>
      <c r="R109" s="18">
        <v>0</v>
      </c>
      <c r="S109" s="26">
        <f t="shared" si="4"/>
        <v>12245.90667785235</v>
      </c>
      <c r="T109" s="90"/>
    </row>
    <row r="110" spans="1:20">
      <c r="A110" s="10" t="s">
        <v>321</v>
      </c>
      <c r="B110" s="10" t="s">
        <v>352</v>
      </c>
      <c r="C110" s="18">
        <v>0</v>
      </c>
      <c r="D110" s="18">
        <v>0</v>
      </c>
      <c r="E110" s="18">
        <v>0</v>
      </c>
      <c r="F110" s="18">
        <v>0</v>
      </c>
      <c r="G110" s="18">
        <v>0</v>
      </c>
      <c r="H110" s="26">
        <v>0</v>
      </c>
      <c r="I110" s="90"/>
      <c r="J110" s="26"/>
      <c r="L110" s="10" t="s">
        <v>321</v>
      </c>
      <c r="M110" s="10" t="s">
        <v>352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26">
        <f t="shared" si="4"/>
        <v>0</v>
      </c>
      <c r="T110" s="90"/>
    </row>
    <row r="111" spans="1:20">
      <c r="A111" s="10" t="s">
        <v>321</v>
      </c>
      <c r="B111" s="10" t="s">
        <v>353</v>
      </c>
      <c r="C111" s="18">
        <v>103018.41445845533</v>
      </c>
      <c r="D111" s="18">
        <v>19340.164575687686</v>
      </c>
      <c r="E111" s="18">
        <v>37929.424434983172</v>
      </c>
      <c r="F111" s="18">
        <v>43943.609831775611</v>
      </c>
      <c r="G111" s="18">
        <v>0</v>
      </c>
      <c r="H111" s="26">
        <v>204231.61330090178</v>
      </c>
      <c r="I111" s="90"/>
      <c r="J111" s="26"/>
      <c r="L111" s="10" t="s">
        <v>321</v>
      </c>
      <c r="M111" s="10" t="s">
        <v>353</v>
      </c>
      <c r="N111" s="18">
        <v>103018.41445845533</v>
      </c>
      <c r="O111" s="18">
        <v>19340.164575687686</v>
      </c>
      <c r="P111" s="18">
        <v>39067.574182636228</v>
      </c>
      <c r="Q111" s="18">
        <v>45262.227479842804</v>
      </c>
      <c r="R111" s="18">
        <v>0</v>
      </c>
      <c r="S111" s="26">
        <f t="shared" si="4"/>
        <v>206688.38069662204</v>
      </c>
      <c r="T111" s="90"/>
    </row>
    <row r="112" spans="1:20">
      <c r="A112" s="10" t="s">
        <v>321</v>
      </c>
      <c r="B112" s="10" t="s">
        <v>354</v>
      </c>
      <c r="C112" s="18">
        <v>0</v>
      </c>
      <c r="D112" s="18">
        <v>0</v>
      </c>
      <c r="E112" s="18">
        <v>0</v>
      </c>
      <c r="F112" s="18">
        <v>0</v>
      </c>
      <c r="G112" s="18">
        <v>0</v>
      </c>
      <c r="H112" s="26">
        <v>0</v>
      </c>
      <c r="I112" s="90"/>
      <c r="J112" s="26"/>
      <c r="L112" s="10" t="s">
        <v>321</v>
      </c>
      <c r="M112" s="10" t="s">
        <v>354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26">
        <f t="shared" si="4"/>
        <v>0</v>
      </c>
      <c r="T112" s="90"/>
    </row>
    <row r="113" spans="1:21">
      <c r="A113" s="10" t="s">
        <v>321</v>
      </c>
      <c r="B113" s="10" t="s">
        <v>345</v>
      </c>
      <c r="C113" s="18">
        <v>0</v>
      </c>
      <c r="D113" s="18">
        <v>0</v>
      </c>
      <c r="E113" s="18">
        <v>0</v>
      </c>
      <c r="F113" s="18">
        <v>0</v>
      </c>
      <c r="G113" s="18">
        <v>0</v>
      </c>
      <c r="H113" s="26">
        <v>0</v>
      </c>
      <c r="I113" s="90"/>
      <c r="J113" s="26"/>
      <c r="L113" s="10" t="s">
        <v>321</v>
      </c>
      <c r="M113" s="10" t="s">
        <v>345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26">
        <f t="shared" si="4"/>
        <v>0</v>
      </c>
      <c r="T113" s="90"/>
    </row>
    <row r="114" spans="1:21">
      <c r="A114" s="10" t="s">
        <v>321</v>
      </c>
      <c r="B114" s="10" t="s">
        <v>346</v>
      </c>
      <c r="C114" s="18">
        <v>954055.76181911805</v>
      </c>
      <c r="D114" s="18">
        <v>17761.078222514629</v>
      </c>
      <c r="E114" s="18">
        <v>200300.23973411234</v>
      </c>
      <c r="F114" s="18">
        <v>266608.75394168484</v>
      </c>
      <c r="G114" s="18">
        <v>0</v>
      </c>
      <c r="H114" s="26">
        <v>1438725.83371743</v>
      </c>
      <c r="I114" s="90"/>
      <c r="J114" s="26"/>
      <c r="L114" s="10" t="s">
        <v>321</v>
      </c>
      <c r="M114" s="10" t="s">
        <v>346</v>
      </c>
      <c r="N114" s="18">
        <v>954055.76181911805</v>
      </c>
      <c r="O114" s="18">
        <v>17761.078222514629</v>
      </c>
      <c r="P114" s="18">
        <v>206310.36197664455</v>
      </c>
      <c r="Q114" s="18">
        <v>274608.50074301544</v>
      </c>
      <c r="R114" s="18">
        <v>0</v>
      </c>
      <c r="S114" s="26">
        <f t="shared" si="4"/>
        <v>1452735.7027612927</v>
      </c>
      <c r="T114" s="90"/>
    </row>
    <row r="115" spans="1:21">
      <c r="A115" s="10" t="s">
        <v>321</v>
      </c>
      <c r="B115" s="10" t="s">
        <v>337</v>
      </c>
      <c r="C115" s="18">
        <v>320379.60158860346</v>
      </c>
      <c r="D115" s="18">
        <v>187906.30896589285</v>
      </c>
      <c r="E115" s="18">
        <v>388519.02995506913</v>
      </c>
      <c r="F115" s="18">
        <v>303913.47555383202</v>
      </c>
      <c r="G115" s="18">
        <v>0</v>
      </c>
      <c r="H115" s="26">
        <v>1200718.4160633974</v>
      </c>
      <c r="I115" s="90"/>
      <c r="J115" s="26"/>
      <c r="L115" s="10" t="s">
        <v>321</v>
      </c>
      <c r="M115" s="10" t="s">
        <v>337</v>
      </c>
      <c r="N115" s="18">
        <v>320379.60158860346</v>
      </c>
      <c r="O115" s="18">
        <v>187906.30896589285</v>
      </c>
      <c r="P115" s="18">
        <v>400173.35938054667</v>
      </c>
      <c r="Q115" s="18">
        <v>313029.90869574464</v>
      </c>
      <c r="R115" s="18">
        <v>0</v>
      </c>
      <c r="S115" s="26">
        <f t="shared" si="4"/>
        <v>1221489.1786307876</v>
      </c>
      <c r="T115" s="90"/>
    </row>
    <row r="116" spans="1:21">
      <c r="A116" s="10" t="s">
        <v>321</v>
      </c>
      <c r="B116" s="10" t="s">
        <v>355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  <c r="H116" s="26">
        <v>0</v>
      </c>
      <c r="I116" s="90"/>
      <c r="J116" s="26"/>
      <c r="L116" s="10" t="s">
        <v>321</v>
      </c>
      <c r="M116" s="10" t="s">
        <v>355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26">
        <f t="shared" si="4"/>
        <v>0</v>
      </c>
      <c r="T116" s="90"/>
    </row>
    <row r="117" spans="1:21">
      <c r="A117" s="10" t="s">
        <v>321</v>
      </c>
      <c r="B117" s="10" t="s">
        <v>356</v>
      </c>
      <c r="C117" s="18">
        <v>0</v>
      </c>
      <c r="D117" s="18">
        <v>0</v>
      </c>
      <c r="E117" s="18">
        <v>0</v>
      </c>
      <c r="F117" s="18">
        <v>0</v>
      </c>
      <c r="G117" s="18">
        <v>0</v>
      </c>
      <c r="H117" s="26">
        <v>0</v>
      </c>
      <c r="I117" s="90"/>
      <c r="J117" s="26"/>
      <c r="L117" s="10" t="s">
        <v>321</v>
      </c>
      <c r="M117" s="10" t="s">
        <v>356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26">
        <f t="shared" si="4"/>
        <v>0</v>
      </c>
      <c r="T117" s="90"/>
    </row>
    <row r="118" spans="1:21">
      <c r="A118" s="10" t="s">
        <v>321</v>
      </c>
      <c r="B118" s="10" t="s">
        <v>357</v>
      </c>
      <c r="C118" s="18">
        <v>0</v>
      </c>
      <c r="D118" s="18">
        <v>0</v>
      </c>
      <c r="E118" s="18">
        <v>0</v>
      </c>
      <c r="F118" s="18">
        <v>0</v>
      </c>
      <c r="G118" s="18">
        <v>0</v>
      </c>
      <c r="H118" s="26">
        <v>0</v>
      </c>
      <c r="I118" s="90"/>
      <c r="J118" s="26"/>
      <c r="L118" s="10" t="s">
        <v>321</v>
      </c>
      <c r="M118" s="10" t="s">
        <v>357</v>
      </c>
      <c r="N118" s="18">
        <v>0</v>
      </c>
      <c r="O118" s="18">
        <v>0</v>
      </c>
      <c r="P118" s="18">
        <v>0</v>
      </c>
      <c r="Q118" s="18">
        <v>0</v>
      </c>
      <c r="R118" s="18">
        <v>0</v>
      </c>
      <c r="S118" s="26">
        <f t="shared" si="4"/>
        <v>0</v>
      </c>
      <c r="T118" s="90"/>
    </row>
    <row r="119" spans="1:21">
      <c r="A119" s="36" t="s">
        <v>321</v>
      </c>
      <c r="B119" s="36" t="s">
        <v>358</v>
      </c>
      <c r="C119" s="43">
        <v>0</v>
      </c>
      <c r="D119" s="43">
        <v>0</v>
      </c>
      <c r="E119" s="43">
        <v>0</v>
      </c>
      <c r="F119" s="43">
        <v>0</v>
      </c>
      <c r="G119" s="43">
        <v>0</v>
      </c>
      <c r="H119" s="51">
        <v>0</v>
      </c>
      <c r="I119" s="91">
        <f>SUM(H86:H119)</f>
        <v>8947646.5720082652</v>
      </c>
      <c r="J119" s="88"/>
      <c r="L119" s="36" t="s">
        <v>321</v>
      </c>
      <c r="M119" s="36" t="s">
        <v>358</v>
      </c>
      <c r="N119" s="43">
        <v>0</v>
      </c>
      <c r="O119" s="43">
        <v>0</v>
      </c>
      <c r="P119" s="43">
        <v>0</v>
      </c>
      <c r="Q119" s="43">
        <v>0</v>
      </c>
      <c r="R119" s="43">
        <v>0</v>
      </c>
      <c r="S119" s="26">
        <f t="shared" si="4"/>
        <v>0</v>
      </c>
      <c r="T119" s="91">
        <f>SUM(S86:S119)</f>
        <v>9072173.4815613199</v>
      </c>
      <c r="U119" s="89">
        <f>(T119-I119)/I119</f>
        <v>1.391728076772987E-2</v>
      </c>
    </row>
    <row r="120" spans="1:21">
      <c r="C120" s="26">
        <v>22198660.599908359</v>
      </c>
      <c r="D120" s="26">
        <v>2891146.831880481</v>
      </c>
      <c r="E120" s="26">
        <v>10082767.718662204</v>
      </c>
      <c r="F120" s="26">
        <v>11052101.127381667</v>
      </c>
      <c r="G120" s="26">
        <v>0</v>
      </c>
      <c r="H120" s="26">
        <v>46224676.277832717</v>
      </c>
      <c r="I120" s="90"/>
      <c r="J120" s="26"/>
      <c r="N120" s="26">
        <v>22198660.599908359</v>
      </c>
      <c r="O120" s="26">
        <v>2891146.831880481</v>
      </c>
      <c r="P120" s="26">
        <v>10434121.765133571</v>
      </c>
      <c r="Q120" s="26">
        <v>11432427.628555952</v>
      </c>
      <c r="R120" s="26">
        <v>0</v>
      </c>
      <c r="S120" s="26">
        <f>SUM(S7:S119)</f>
        <v>46956356.82547836</v>
      </c>
      <c r="U120" s="89">
        <f>(S120-H120)/H120</f>
        <v>1.582878684207302E-2</v>
      </c>
    </row>
    <row r="121" spans="1:21">
      <c r="C121" s="24"/>
      <c r="D121" s="24"/>
      <c r="E121" s="24"/>
      <c r="F121" s="24"/>
      <c r="G121" s="24"/>
      <c r="H121" s="18"/>
      <c r="I121" s="92"/>
      <c r="J121" s="18"/>
    </row>
    <row r="122" spans="1:21">
      <c r="C122" s="24">
        <v>0.37121066667956915</v>
      </c>
      <c r="D122" s="24">
        <v>0.27304957990142054</v>
      </c>
      <c r="E122" s="24">
        <v>0.62648118886674531</v>
      </c>
      <c r="F122" s="24">
        <v>0.65814695272460544</v>
      </c>
      <c r="G122" s="24">
        <v>0</v>
      </c>
      <c r="H122" s="24">
        <v>0.44216605161055544</v>
      </c>
      <c r="I122" s="92"/>
      <c r="J122" s="24"/>
      <c r="P122" s="9">
        <v>0.62706026114745717</v>
      </c>
      <c r="Q122" s="9">
        <v>0.65873019225658025</v>
      </c>
    </row>
    <row r="123" spans="1:21">
      <c r="C123" s="26"/>
      <c r="H123" s="20"/>
      <c r="I123" s="20"/>
      <c r="J123" s="20"/>
    </row>
    <row r="124" spans="1:21">
      <c r="H124" s="26"/>
      <c r="I124" s="26"/>
      <c r="J124" s="26"/>
    </row>
    <row r="125" spans="1:21">
      <c r="D125" s="26"/>
      <c r="E125" s="26"/>
      <c r="F125" s="26"/>
      <c r="G125" s="26"/>
    </row>
    <row r="126" spans="1:21">
      <c r="D126" s="26"/>
      <c r="E126" s="26"/>
      <c r="F126" s="26"/>
      <c r="G126" s="26"/>
    </row>
    <row r="127" spans="1:21">
      <c r="D127" s="26"/>
      <c r="E127" s="26"/>
      <c r="F127" s="26"/>
      <c r="G127" s="26"/>
    </row>
    <row r="128" spans="1:21">
      <c r="D128" s="26"/>
      <c r="E128" s="26"/>
      <c r="F128" s="26"/>
      <c r="G128" s="26"/>
    </row>
    <row r="129" spans="3:17">
      <c r="D129" s="26"/>
      <c r="E129" s="26"/>
      <c r="F129" s="26"/>
      <c r="G129" s="26"/>
    </row>
    <row r="130" spans="3:17">
      <c r="D130" s="26"/>
      <c r="E130" s="26"/>
      <c r="F130" s="26"/>
      <c r="G130" s="26"/>
    </row>
    <row r="131" spans="3:17">
      <c r="D131" s="26"/>
      <c r="E131" s="26" t="s">
        <v>264</v>
      </c>
      <c r="F131" s="24">
        <v>1.03</v>
      </c>
      <c r="G131" s="26"/>
      <c r="P131" s="9" t="s">
        <v>264</v>
      </c>
      <c r="Q131" s="9">
        <v>1.03</v>
      </c>
    </row>
    <row r="132" spans="3:17">
      <c r="E132" s="26" t="s">
        <v>265</v>
      </c>
      <c r="F132" s="24">
        <v>1.04</v>
      </c>
      <c r="G132" s="20"/>
      <c r="P132" s="9" t="s">
        <v>265</v>
      </c>
      <c r="Q132" s="9">
        <v>1.04</v>
      </c>
    </row>
    <row r="134" spans="3:17">
      <c r="C134" s="8" t="s">
        <v>266</v>
      </c>
      <c r="E134" s="8" t="s">
        <v>267</v>
      </c>
      <c r="F134" s="8" t="s">
        <v>268</v>
      </c>
      <c r="G134" s="8"/>
      <c r="P134" s="9" t="s">
        <v>267</v>
      </c>
      <c r="Q134" s="9" t="s">
        <v>268</v>
      </c>
    </row>
    <row r="135" spans="3:17">
      <c r="C135" s="26">
        <v>5132717.673865404</v>
      </c>
      <c r="D135" s="9">
        <v>4100</v>
      </c>
      <c r="E135" s="26">
        <v>2769396.5276951049</v>
      </c>
      <c r="F135" s="26">
        <v>-2363321.1461702995</v>
      </c>
      <c r="G135" s="26"/>
      <c r="H135" s="26">
        <v>406075.38152480545</v>
      </c>
      <c r="I135" s="26"/>
      <c r="J135" s="26"/>
      <c r="P135" s="9">
        <v>2875240.9758302188</v>
      </c>
      <c r="Q135" s="9">
        <v>-2453687.402989801</v>
      </c>
    </row>
    <row r="136" spans="3:17">
      <c r="C136" s="26">
        <v>55096342.209999993</v>
      </c>
      <c r="D136" s="9">
        <v>4200</v>
      </c>
      <c r="E136" s="26">
        <v>23338646.950918101</v>
      </c>
      <c r="F136" s="26">
        <v>-31757695.259081896</v>
      </c>
      <c r="G136" s="26"/>
      <c r="H136" s="26">
        <v>-8419048.3081637956</v>
      </c>
      <c r="I136" s="26"/>
      <c r="J136" s="26"/>
      <c r="P136" s="9">
        <v>24125107.06022612</v>
      </c>
      <c r="Q136" s="9">
        <v>-32804239.189773887</v>
      </c>
    </row>
    <row r="137" spans="3:17">
      <c r="C137" s="26">
        <v>13010721.309999999</v>
      </c>
      <c r="D137" s="9">
        <v>4300</v>
      </c>
      <c r="E137" s="26">
        <v>6677242.303339011</v>
      </c>
      <c r="F137" s="26">
        <v>-6333479.0066609895</v>
      </c>
      <c r="G137" s="26"/>
      <c r="H137" s="26">
        <v>343763.29667802155</v>
      </c>
      <c r="I137" s="26"/>
      <c r="J137" s="26"/>
      <c r="P137" s="9">
        <v>6937936.5740547534</v>
      </c>
      <c r="Q137" s="9">
        <v>-6580570.5359452479</v>
      </c>
    </row>
    <row r="138" spans="3:17">
      <c r="C138" s="26">
        <v>0</v>
      </c>
      <c r="D138" s="9">
        <v>4400</v>
      </c>
      <c r="E138" s="26">
        <v>0</v>
      </c>
      <c r="F138" s="26">
        <v>0</v>
      </c>
      <c r="G138" s="26"/>
      <c r="H138" s="26">
        <v>0</v>
      </c>
      <c r="I138" s="26"/>
      <c r="J138" s="26"/>
      <c r="P138" s="9">
        <v>0</v>
      </c>
      <c r="Q138" s="9">
        <v>0</v>
      </c>
    </row>
    <row r="139" spans="3:17">
      <c r="C139" s="26">
        <v>9252216.3199999984</v>
      </c>
      <c r="D139" s="9">
        <v>4500</v>
      </c>
      <c r="E139" s="26">
        <v>4491743.9238722334</v>
      </c>
      <c r="F139" s="26">
        <v>-4760472.3961277669</v>
      </c>
      <c r="G139" s="26"/>
      <c r="H139" s="26">
        <v>-268728.47225553356</v>
      </c>
      <c r="I139" s="26"/>
      <c r="J139" s="26"/>
      <c r="P139" s="9">
        <v>4627888.6730424957</v>
      </c>
      <c r="Q139" s="9">
        <v>-4769292.752557504</v>
      </c>
    </row>
    <row r="140" spans="3:17">
      <c r="C140" s="51">
        <v>22049443.669741809</v>
      </c>
      <c r="D140" s="9">
        <v>4600</v>
      </c>
      <c r="E140" s="51">
        <v>8947646.5720082652</v>
      </c>
      <c r="F140" s="51">
        <v>-13101797.097733544</v>
      </c>
      <c r="G140" s="26"/>
      <c r="H140" s="26">
        <v>-4154150.525725279</v>
      </c>
      <c r="I140" s="26"/>
      <c r="J140" s="26"/>
      <c r="P140" s="9">
        <v>9216034.1501552854</v>
      </c>
      <c r="Q140" s="9">
        <v>-13494789.061186131</v>
      </c>
    </row>
    <row r="141" spans="3:17">
      <c r="C141" s="26">
        <v>104541441.18360721</v>
      </c>
      <c r="E141" s="26">
        <v>46224676.277832717</v>
      </c>
      <c r="F141" s="26">
        <v>-58316764.905774496</v>
      </c>
      <c r="G141" s="26"/>
      <c r="P141" s="9">
        <v>47782207.433308877</v>
      </c>
      <c r="Q141" s="9">
        <v>-60102578.94245258</v>
      </c>
    </row>
    <row r="142" spans="3:17">
      <c r="C142" s="26">
        <v>209082882.36721444</v>
      </c>
      <c r="D142" s="9" t="s">
        <v>271</v>
      </c>
      <c r="E142" s="69" t="s">
        <v>272</v>
      </c>
      <c r="F142" s="25">
        <v>1829475.2207131262</v>
      </c>
      <c r="G142" s="18"/>
      <c r="H142" s="28">
        <v>1.7500000000000002E-2</v>
      </c>
      <c r="I142" s="28"/>
      <c r="J142" s="28"/>
      <c r="P142" s="9" t="s">
        <v>272</v>
      </c>
      <c r="Q142" s="9">
        <v>1887983.761575825</v>
      </c>
    </row>
    <row r="143" spans="3:17">
      <c r="D143" s="9" t="s">
        <v>273</v>
      </c>
      <c r="E143" s="69" t="s">
        <v>274</v>
      </c>
      <c r="F143" s="18">
        <v>0</v>
      </c>
      <c r="G143" s="18"/>
      <c r="H143" s="28">
        <v>0</v>
      </c>
      <c r="I143" s="28"/>
      <c r="J143" s="28"/>
      <c r="P143" s="9" t="s">
        <v>274</v>
      </c>
      <c r="Q143" s="9">
        <v>0</v>
      </c>
    </row>
    <row r="144" spans="3:17">
      <c r="D144" s="9" t="s">
        <v>275</v>
      </c>
      <c r="E144" s="69" t="s">
        <v>276</v>
      </c>
      <c r="F144" s="25">
        <v>1045414.4118360721</v>
      </c>
      <c r="G144" s="18"/>
      <c r="H144" s="28">
        <v>0.01</v>
      </c>
      <c r="I144" s="28"/>
      <c r="J144" s="28"/>
      <c r="P144" s="9" t="s">
        <v>276</v>
      </c>
      <c r="Q144" s="9">
        <v>1078847.8637576143</v>
      </c>
    </row>
    <row r="145" spans="4:17">
      <c r="E145" s="69" t="s">
        <v>277</v>
      </c>
      <c r="F145" s="25">
        <v>0</v>
      </c>
      <c r="G145" s="18"/>
      <c r="H145" s="71"/>
      <c r="I145" s="71"/>
      <c r="J145" s="71"/>
      <c r="P145" s="9" t="s">
        <v>277</v>
      </c>
      <c r="Q145" s="9">
        <v>0</v>
      </c>
    </row>
    <row r="146" spans="4:17">
      <c r="D146" s="9" t="s">
        <v>278</v>
      </c>
      <c r="E146" s="69" t="s">
        <v>279</v>
      </c>
      <c r="F146" s="63">
        <v>261353.60295901803</v>
      </c>
      <c r="G146" s="18"/>
      <c r="H146" s="28">
        <v>2.5000000000000001E-3</v>
      </c>
      <c r="I146" s="28"/>
      <c r="J146" s="28"/>
      <c r="P146" s="9" t="s">
        <v>279</v>
      </c>
      <c r="Q146" s="9">
        <v>269711.96593940357</v>
      </c>
    </row>
    <row r="147" spans="4:17">
      <c r="D147" s="9" t="s">
        <v>281</v>
      </c>
      <c r="E147" s="18"/>
      <c r="F147" s="18">
        <v>-61453008.141282707</v>
      </c>
      <c r="G147" s="26"/>
      <c r="Q147" s="9">
        <v>-63339122.533725426</v>
      </c>
    </row>
    <row r="148" spans="4:17">
      <c r="D148" s="9" t="s">
        <v>282</v>
      </c>
      <c r="E148" s="43"/>
      <c r="F148" s="43">
        <v>300000</v>
      </c>
      <c r="G148" s="18"/>
      <c r="Q148" s="9">
        <v>300000</v>
      </c>
    </row>
    <row r="149" spans="4:17">
      <c r="E149" s="18">
        <v>49660919.513340935</v>
      </c>
      <c r="F149" s="26">
        <v>-61153008.141282707</v>
      </c>
      <c r="G149" s="26">
        <v>43388433.042324498</v>
      </c>
      <c r="P149" s="9">
        <v>51318751.024581723</v>
      </c>
      <c r="Q149" s="9">
        <v>-63039122.533725426</v>
      </c>
    </row>
    <row r="150" spans="4:17">
      <c r="E150" s="43"/>
      <c r="F150" s="20">
        <v>0.58496427300900755</v>
      </c>
      <c r="G150" s="20"/>
      <c r="Q150" s="9">
        <v>0.58431892624935011</v>
      </c>
    </row>
    <row r="151" spans="4:17">
      <c r="E151" s="18">
        <v>49660919.513340935</v>
      </c>
      <c r="F151" s="26"/>
      <c r="G151" s="26"/>
      <c r="P151" s="9">
        <v>51318751.024581723</v>
      </c>
    </row>
    <row r="152" spans="4:17">
      <c r="E152" s="18"/>
      <c r="F152" s="26"/>
      <c r="G152" s="26"/>
    </row>
    <row r="153" spans="4:17">
      <c r="E153" s="18"/>
      <c r="F153" s="18"/>
      <c r="G153" s="18"/>
    </row>
    <row r="154" spans="4:17">
      <c r="F154" s="26"/>
      <c r="G154" s="26"/>
    </row>
    <row r="155" spans="4:17">
      <c r="D155" s="72" t="s">
        <v>19</v>
      </c>
    </row>
    <row r="156" spans="4:17">
      <c r="D156" s="72" t="s">
        <v>283</v>
      </c>
      <c r="H156" s="87" t="s">
        <v>284</v>
      </c>
      <c r="I156" s="87"/>
      <c r="J156" s="87"/>
    </row>
    <row r="158" spans="4:17" ht="60" customHeight="1">
      <c r="D158" s="9" t="s">
        <v>253</v>
      </c>
      <c r="H158" s="9" t="s">
        <v>294</v>
      </c>
    </row>
    <row r="159" spans="4:17">
      <c r="D159" s="67" t="s">
        <v>29</v>
      </c>
      <c r="E159" s="26">
        <v>46224676.277832717</v>
      </c>
      <c r="H159" s="9" t="s">
        <v>303</v>
      </c>
      <c r="P159" s="9">
        <v>47782207.433308877</v>
      </c>
    </row>
    <row r="160" spans="4:17">
      <c r="D160" s="67"/>
    </row>
    <row r="161" spans="4:16">
      <c r="D161" s="67" t="s">
        <v>305</v>
      </c>
      <c r="E161" s="26">
        <v>-9252216.3199999984</v>
      </c>
      <c r="P161" s="9">
        <v>-9397181.4255999997</v>
      </c>
    </row>
    <row r="162" spans="4:16">
      <c r="D162" s="67" t="s">
        <v>306</v>
      </c>
      <c r="E162" s="26">
        <v>0</v>
      </c>
      <c r="P162" s="9">
        <v>0</v>
      </c>
    </row>
    <row r="163" spans="4:16">
      <c r="D163" s="67" t="s">
        <v>260</v>
      </c>
      <c r="E163" s="51">
        <v>-13010721.309999999</v>
      </c>
      <c r="P163" s="9">
        <v>-13518507.110000001</v>
      </c>
    </row>
    <row r="164" spans="4:16" ht="18.75">
      <c r="D164" s="67" t="s">
        <v>307</v>
      </c>
      <c r="E164" s="18">
        <v>-22262937.629999995</v>
      </c>
      <c r="H164" s="76"/>
      <c r="I164" s="76"/>
      <c r="J164" s="76"/>
      <c r="P164" s="9">
        <v>-22915688.535599999</v>
      </c>
    </row>
    <row r="165" spans="4:16" ht="21">
      <c r="D165" s="67"/>
      <c r="H165" s="77"/>
      <c r="I165" s="77"/>
      <c r="J165" s="77"/>
    </row>
    <row r="166" spans="4:16" ht="18.75">
      <c r="D166" s="67" t="s">
        <v>309</v>
      </c>
      <c r="E166" s="26">
        <v>23961738.647832721</v>
      </c>
      <c r="H166" s="79" t="s">
        <v>310</v>
      </c>
      <c r="I166" s="79"/>
      <c r="J166" s="79"/>
      <c r="P166" s="9">
        <v>24866518.897708878</v>
      </c>
    </row>
    <row r="167" spans="4:16" ht="18.75">
      <c r="D167" s="67" t="s">
        <v>311</v>
      </c>
      <c r="E167" s="45">
        <v>0.06</v>
      </c>
      <c r="H167" s="79" t="s">
        <v>312</v>
      </c>
      <c r="I167" s="79"/>
      <c r="J167" s="79"/>
      <c r="P167" s="9">
        <v>0.06</v>
      </c>
    </row>
    <row r="168" spans="4:16">
      <c r="D168" s="67"/>
      <c r="E168" s="26">
        <v>1437704.3188699633</v>
      </c>
      <c r="P168" s="9">
        <v>1491991.1338625327</v>
      </c>
    </row>
    <row r="169" spans="4:16">
      <c r="D169" s="67"/>
      <c r="E169" s="26"/>
    </row>
    <row r="170" spans="4:16">
      <c r="D170" s="67" t="s">
        <v>313</v>
      </c>
      <c r="E170" s="26">
        <v>1438000</v>
      </c>
      <c r="P170" s="9">
        <v>1492000</v>
      </c>
    </row>
    <row r="171" spans="4:16">
      <c r="D171" s="67" t="s">
        <v>314</v>
      </c>
      <c r="E171" s="43"/>
    </row>
    <row r="172" spans="4:16">
      <c r="D172" s="9" t="s">
        <v>315</v>
      </c>
      <c r="E172" s="26">
        <v>1438000</v>
      </c>
      <c r="P172" s="9">
        <v>1492000</v>
      </c>
    </row>
    <row r="176" spans="4:16">
      <c r="D176" s="13"/>
      <c r="E176" s="13"/>
    </row>
    <row r="177" spans="3:10">
      <c r="C177" s="67"/>
      <c r="D177" s="18"/>
      <c r="E177" s="18"/>
    </row>
    <row r="178" spans="3:10">
      <c r="D178" s="18"/>
      <c r="E178" s="18"/>
    </row>
    <row r="179" spans="3:10">
      <c r="D179" s="18"/>
      <c r="E179" s="18"/>
    </row>
    <row r="180" spans="3:10">
      <c r="D180" s="18"/>
      <c r="E180" s="18"/>
      <c r="F180" s="67"/>
      <c r="G180" s="26"/>
      <c r="H180" s="84"/>
      <c r="I180" s="84"/>
      <c r="J180" s="84"/>
    </row>
    <row r="181" spans="3:10">
      <c r="D181" s="18"/>
      <c r="E181" s="18"/>
      <c r="G181" s="18"/>
    </row>
    <row r="182" spans="3:10">
      <c r="D182" s="18"/>
      <c r="E182" s="18"/>
      <c r="G182" s="26"/>
    </row>
    <row r="185" spans="3:10">
      <c r="D185" s="18"/>
      <c r="E185" s="18"/>
    </row>
    <row r="186" spans="3:10">
      <c r="D186" s="18"/>
      <c r="E186" s="18"/>
    </row>
    <row r="187" spans="3:10">
      <c r="D187" s="18"/>
      <c r="E187" s="18"/>
    </row>
    <row r="188" spans="3:10">
      <c r="D188" s="18"/>
      <c r="E188" s="18"/>
    </row>
    <row r="189" spans="3:10">
      <c r="D189" s="18"/>
      <c r="E189" s="18"/>
    </row>
    <row r="190" spans="3:10">
      <c r="D190" s="18"/>
      <c r="E190" s="18"/>
    </row>
    <row r="191" spans="3:10">
      <c r="D191" s="18"/>
      <c r="E191" s="18"/>
    </row>
    <row r="192" spans="3:10">
      <c r="D192" s="18"/>
      <c r="E192" s="18"/>
    </row>
    <row r="193" spans="4:5">
      <c r="D193" s="18"/>
      <c r="E193" s="18"/>
    </row>
    <row r="194" spans="4:5">
      <c r="D194" s="18"/>
      <c r="E194" s="18"/>
    </row>
    <row r="195" spans="4:5">
      <c r="D195" s="18"/>
      <c r="E195" s="18"/>
    </row>
    <row r="196" spans="4:5">
      <c r="D196" s="18"/>
      <c r="E196" s="18"/>
    </row>
    <row r="197" spans="4:5">
      <c r="D197" s="18"/>
      <c r="E197" s="18"/>
    </row>
  </sheetData>
  <mergeCells count="2">
    <mergeCell ref="C2:H5"/>
    <mergeCell ref="L2:S5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121CB-6EF9-4382-9C6D-873929231D6B}">
  <sheetPr>
    <tabColor theme="9" tint="0.59999389629810485"/>
  </sheetPr>
  <dimension ref="A1:BL197"/>
  <sheetViews>
    <sheetView zoomScale="55" zoomScaleNormal="55" workbookViewId="0">
      <pane xSplit="2" ySplit="6" topLeftCell="X70" activePane="bottomRight" state="frozen"/>
      <selection pane="topRight" activeCell="C1" sqref="C1"/>
      <selection pane="bottomLeft" activeCell="A7" sqref="A7"/>
      <selection pane="bottomRight" activeCell="AV1" sqref="AV1:AW1048576"/>
    </sheetView>
  </sheetViews>
  <sheetFormatPr defaultColWidth="8.7109375" defaultRowHeight="15" outlineLevelCol="1"/>
  <cols>
    <col min="1" max="1" width="6.7109375" style="9" customWidth="1"/>
    <col min="2" max="2" width="8" style="9" bestFit="1" customWidth="1"/>
    <col min="3" max="3" width="10.28515625" style="9" customWidth="1" outlineLevel="1"/>
    <col min="4" max="4" width="13.42578125" style="9" bestFit="1" customWidth="1" outlineLevel="1"/>
    <col min="5" max="5" width="15.140625" style="9" bestFit="1" customWidth="1" outlineLevel="1"/>
    <col min="6" max="6" width="17.7109375" style="9" customWidth="1"/>
    <col min="7" max="8" width="14" style="9" customWidth="1"/>
    <col min="9" max="9" width="10.42578125" style="9" customWidth="1"/>
    <col min="10" max="10" width="11" style="9" bestFit="1" customWidth="1"/>
    <col min="11" max="11" width="6.7109375" style="9" customWidth="1"/>
    <col min="12" max="12" width="13.85546875" style="9" bestFit="1" customWidth="1"/>
    <col min="13" max="13" width="14.28515625" style="9" customWidth="1"/>
    <col min="14" max="14" width="3.7109375" style="9" customWidth="1"/>
    <col min="15" max="15" width="19.85546875" style="9" customWidth="1"/>
    <col min="16" max="16" width="19.7109375" style="9" bestFit="1" customWidth="1"/>
    <col min="17" max="17" width="6" style="9" customWidth="1"/>
    <col min="18" max="18" width="14.5703125" style="9" customWidth="1"/>
    <col min="19" max="19" width="18.28515625" style="9" customWidth="1"/>
    <col min="20" max="23" width="14.5703125" style="9" customWidth="1"/>
    <col min="24" max="24" width="4" style="9" customWidth="1"/>
    <col min="25" max="26" width="14.7109375" style="9" customWidth="1"/>
    <col min="27" max="27" width="15.85546875" style="9" customWidth="1"/>
    <col min="28" max="28" width="13.42578125" style="9" customWidth="1"/>
    <col min="29" max="29" width="12.7109375" style="9" customWidth="1"/>
    <col min="30" max="30" width="15.42578125" style="9" bestFit="1" customWidth="1"/>
    <col min="31" max="31" width="10.5703125" style="9" bestFit="1" customWidth="1"/>
    <col min="32" max="36" width="12.7109375" style="9" customWidth="1"/>
    <col min="37" max="37" width="8.7109375" style="9"/>
    <col min="38" max="45" width="0" style="9" hidden="1" customWidth="1"/>
    <col min="46" max="46" width="16.28515625" style="9" customWidth="1"/>
    <col min="47" max="47" width="15.42578125" style="9" customWidth="1"/>
    <col min="48" max="48" width="15.7109375" style="9" customWidth="1"/>
    <col min="49" max="49" width="16.28515625" style="9" customWidth="1"/>
    <col min="50" max="50" width="14.42578125" style="9" customWidth="1"/>
    <col min="51" max="51" width="16.5703125" style="9" customWidth="1"/>
    <col min="52" max="52" width="15.28515625" style="9" customWidth="1"/>
    <col min="53" max="53" width="12.7109375" style="9" customWidth="1"/>
    <col min="54" max="54" width="15.5703125" style="9" customWidth="1"/>
    <col min="55" max="55" width="12.7109375" style="9" customWidth="1"/>
    <col min="56" max="58" width="14.42578125" style="9" customWidth="1"/>
    <col min="59" max="59" width="20.7109375" style="9" customWidth="1"/>
    <col min="60" max="60" width="19.140625" style="9" customWidth="1"/>
    <col min="61" max="61" width="16.5703125" style="9" customWidth="1"/>
    <col min="62" max="62" width="8.7109375" style="9"/>
    <col min="63" max="63" width="12" style="9" customWidth="1"/>
    <col min="64" max="64" width="13.7109375" style="9" bestFit="1" customWidth="1"/>
    <col min="65" max="16384" width="8.7109375" style="9"/>
  </cols>
  <sheetData>
    <row r="1" spans="1:64">
      <c r="A1" s="8" t="s">
        <v>19</v>
      </c>
      <c r="C1" s="102" t="s">
        <v>20</v>
      </c>
      <c r="D1" s="102"/>
      <c r="E1" s="102"/>
      <c r="AW1" s="10" t="s">
        <v>21</v>
      </c>
    </row>
    <row r="2" spans="1:64" ht="55.15" customHeight="1">
      <c r="A2" s="8" t="s">
        <v>22</v>
      </c>
      <c r="C2" s="102"/>
      <c r="D2" s="102"/>
      <c r="E2" s="102"/>
      <c r="F2" s="98" t="s">
        <v>23</v>
      </c>
      <c r="G2" s="98"/>
      <c r="H2" s="98"/>
      <c r="I2" s="98"/>
      <c r="J2" s="98"/>
      <c r="L2" s="98" t="s">
        <v>24</v>
      </c>
      <c r="M2" s="98"/>
      <c r="O2" s="98" t="s">
        <v>25</v>
      </c>
      <c r="P2" s="11"/>
      <c r="R2" s="98" t="s">
        <v>26</v>
      </c>
      <c r="S2" s="98"/>
      <c r="T2" s="98"/>
      <c r="U2" s="98"/>
      <c r="V2" s="98"/>
      <c r="W2" s="98"/>
      <c r="Y2" s="98" t="s">
        <v>27</v>
      </c>
      <c r="Z2" s="98"/>
      <c r="AA2" s="98"/>
      <c r="AB2" s="98"/>
      <c r="AC2" s="98"/>
      <c r="AF2" s="99" t="s">
        <v>28</v>
      </c>
      <c r="AG2" s="99"/>
      <c r="AH2" s="99"/>
      <c r="AI2" s="99"/>
      <c r="AJ2" s="99"/>
      <c r="AT2" s="98" t="s">
        <v>29</v>
      </c>
      <c r="AU2" s="98"/>
      <c r="AV2" s="98"/>
      <c r="AW2" s="98"/>
      <c r="AX2" s="98"/>
      <c r="BD2" s="98" t="s">
        <v>30</v>
      </c>
      <c r="BE2" s="98"/>
      <c r="BF2" s="98"/>
      <c r="BG2" s="98"/>
      <c r="BH2" s="98"/>
    </row>
    <row r="3" spans="1:64" ht="21" customHeight="1">
      <c r="A3" s="8" t="s">
        <v>31</v>
      </c>
      <c r="C3" s="102"/>
      <c r="D3" s="102"/>
      <c r="E3" s="102"/>
      <c r="F3" s="98"/>
      <c r="G3" s="98"/>
      <c r="H3" s="98"/>
      <c r="I3" s="98"/>
      <c r="J3" s="98"/>
      <c r="L3" s="98"/>
      <c r="M3" s="98"/>
      <c r="O3" s="98"/>
      <c r="P3" s="11"/>
      <c r="R3" s="98"/>
      <c r="S3" s="98"/>
      <c r="T3" s="98"/>
      <c r="U3" s="98"/>
      <c r="V3" s="98"/>
      <c r="W3" s="98"/>
      <c r="Y3" s="98"/>
      <c r="Z3" s="98"/>
      <c r="AA3" s="98"/>
      <c r="AB3" s="98"/>
      <c r="AC3" s="98"/>
      <c r="AF3" s="99"/>
      <c r="AG3" s="99"/>
      <c r="AH3" s="99"/>
      <c r="AI3" s="99"/>
      <c r="AJ3" s="99"/>
      <c r="AT3" s="98"/>
      <c r="AU3" s="98"/>
      <c r="AV3" s="98"/>
      <c r="AW3" s="98"/>
      <c r="AX3" s="98"/>
      <c r="BD3" s="98"/>
      <c r="BE3" s="98"/>
      <c r="BF3" s="98"/>
      <c r="BG3" s="98"/>
      <c r="BH3" s="98"/>
    </row>
    <row r="4" spans="1:64" ht="21" customHeight="1">
      <c r="C4" s="102"/>
      <c r="D4" s="102"/>
      <c r="E4" s="102"/>
      <c r="F4" s="98"/>
      <c r="G4" s="98"/>
      <c r="H4" s="98"/>
      <c r="I4" s="98"/>
      <c r="J4" s="98"/>
      <c r="L4" s="98"/>
      <c r="M4" s="98"/>
      <c r="O4" s="98"/>
      <c r="P4" s="11"/>
      <c r="R4" s="98"/>
      <c r="S4" s="98"/>
      <c r="T4" s="98"/>
      <c r="U4" s="98"/>
      <c r="V4" s="98"/>
      <c r="W4" s="98"/>
      <c r="Y4" s="98"/>
      <c r="Z4" s="98"/>
      <c r="AA4" s="98"/>
      <c r="AB4" s="98"/>
      <c r="AC4" s="98"/>
      <c r="AF4" s="99"/>
      <c r="AG4" s="99"/>
      <c r="AH4" s="99"/>
      <c r="AI4" s="99"/>
      <c r="AJ4" s="99"/>
      <c r="AT4" s="98"/>
      <c r="AU4" s="98"/>
      <c r="AV4" s="98"/>
      <c r="AW4" s="98"/>
      <c r="AX4" s="98"/>
      <c r="BD4" s="98"/>
      <c r="BE4" s="98"/>
      <c r="BF4" s="98"/>
      <c r="BG4" s="98"/>
      <c r="BH4" s="98"/>
    </row>
    <row r="5" spans="1:64" ht="21" customHeight="1">
      <c r="A5" s="8"/>
      <c r="B5" s="8"/>
      <c r="C5" s="102"/>
      <c r="D5" s="102"/>
      <c r="E5" s="102"/>
      <c r="F5" s="98"/>
      <c r="G5" s="98"/>
      <c r="H5" s="98"/>
      <c r="I5" s="98"/>
      <c r="J5" s="98"/>
      <c r="L5" s="98"/>
      <c r="M5" s="98"/>
      <c r="O5" s="98"/>
      <c r="P5" s="11"/>
      <c r="R5" s="98"/>
      <c r="S5" s="98"/>
      <c r="T5" s="98"/>
      <c r="U5" s="98"/>
      <c r="V5" s="98"/>
      <c r="W5" s="98"/>
      <c r="X5" s="12"/>
      <c r="Y5" s="98"/>
      <c r="Z5" s="98"/>
      <c r="AA5" s="98"/>
      <c r="AB5" s="98"/>
      <c r="AC5" s="98"/>
      <c r="AF5" s="99"/>
      <c r="AG5" s="99"/>
      <c r="AH5" s="99"/>
      <c r="AI5" s="99"/>
      <c r="AJ5" s="99"/>
      <c r="AK5" s="12"/>
      <c r="AL5" s="12"/>
      <c r="AM5" s="12"/>
      <c r="AN5" s="12"/>
      <c r="AO5" s="12"/>
      <c r="AP5" s="12"/>
      <c r="AQ5" s="12"/>
      <c r="AR5" s="12"/>
      <c r="AS5" s="12"/>
      <c r="AT5" s="98"/>
      <c r="AU5" s="98"/>
      <c r="AV5" s="98"/>
      <c r="AW5" s="98"/>
      <c r="AX5" s="98"/>
      <c r="BD5" s="98"/>
      <c r="BE5" s="98"/>
      <c r="BF5" s="98"/>
      <c r="BG5" s="98"/>
      <c r="BH5" s="98"/>
    </row>
    <row r="6" spans="1:64" ht="21" customHeight="1">
      <c r="A6" s="13" t="s">
        <v>32</v>
      </c>
      <c r="B6" s="13" t="s">
        <v>33</v>
      </c>
      <c r="C6" s="14" t="s">
        <v>34</v>
      </c>
      <c r="D6" s="13" t="s">
        <v>35</v>
      </c>
      <c r="E6" s="9" t="s">
        <v>36</v>
      </c>
      <c r="F6" s="13" t="s">
        <v>37</v>
      </c>
      <c r="G6" s="13" t="s">
        <v>38</v>
      </c>
      <c r="H6" s="13" t="s">
        <v>39</v>
      </c>
      <c r="I6" s="13" t="s">
        <v>40</v>
      </c>
      <c r="J6" s="13" t="s">
        <v>41</v>
      </c>
      <c r="K6" s="13" t="s">
        <v>42</v>
      </c>
      <c r="L6" s="13" t="s">
        <v>43</v>
      </c>
      <c r="M6" s="13" t="s">
        <v>44</v>
      </c>
      <c r="N6" s="13"/>
      <c r="O6" s="13" t="s">
        <v>45</v>
      </c>
      <c r="P6" s="13" t="s">
        <v>46</v>
      </c>
      <c r="Q6" s="13"/>
      <c r="R6" s="12" t="s">
        <v>47</v>
      </c>
      <c r="S6" s="12" t="s">
        <v>48</v>
      </c>
      <c r="T6" s="12" t="s">
        <v>49</v>
      </c>
      <c r="U6" s="12" t="s">
        <v>50</v>
      </c>
      <c r="V6" s="12" t="s">
        <v>51</v>
      </c>
      <c r="W6" s="12" t="s">
        <v>52</v>
      </c>
      <c r="X6" s="13"/>
      <c r="Y6" s="13" t="s">
        <v>47</v>
      </c>
      <c r="Z6" s="13" t="s">
        <v>48</v>
      </c>
      <c r="AA6" s="13" t="s">
        <v>49</v>
      </c>
      <c r="AB6" s="13" t="s">
        <v>50</v>
      </c>
      <c r="AC6" s="13" t="s">
        <v>51</v>
      </c>
      <c r="AD6" s="13" t="s">
        <v>53</v>
      </c>
      <c r="AE6" s="13" t="s">
        <v>54</v>
      </c>
      <c r="AF6" s="13" t="s">
        <v>47</v>
      </c>
      <c r="AG6" s="13" t="s">
        <v>48</v>
      </c>
      <c r="AH6" s="13" t="s">
        <v>49</v>
      </c>
      <c r="AI6" s="13" t="s">
        <v>50</v>
      </c>
      <c r="AJ6" s="13" t="s">
        <v>51</v>
      </c>
      <c r="AT6" s="13" t="s">
        <v>47</v>
      </c>
      <c r="AU6" s="13" t="s">
        <v>48</v>
      </c>
      <c r="AV6" s="13" t="s">
        <v>49</v>
      </c>
      <c r="AW6" s="13" t="s">
        <v>50</v>
      </c>
      <c r="AX6" s="13" t="s">
        <v>51</v>
      </c>
      <c r="AY6" s="13" t="s">
        <v>29</v>
      </c>
      <c r="AZ6" s="13"/>
      <c r="BA6" s="13" t="s">
        <v>55</v>
      </c>
      <c r="BB6" s="13" t="s">
        <v>56</v>
      </c>
      <c r="BC6" s="13" t="s">
        <v>57</v>
      </c>
      <c r="BD6" s="13" t="s">
        <v>47</v>
      </c>
      <c r="BE6" s="13" t="s">
        <v>48</v>
      </c>
      <c r="BF6" s="13" t="s">
        <v>49</v>
      </c>
      <c r="BG6" s="13" t="s">
        <v>50</v>
      </c>
      <c r="BH6" s="13" t="s">
        <v>51</v>
      </c>
      <c r="BI6" s="13" t="s">
        <v>58</v>
      </c>
    </row>
    <row r="7" spans="1:64">
      <c r="A7" s="10" t="str">
        <f t="shared" ref="A7:A70" si="0">LEFT(C7,4)</f>
        <v>4100</v>
      </c>
      <c r="B7" s="10" t="str">
        <f t="shared" ref="B7:B70" si="1">RIGHT(C7,4)</f>
        <v>1101</v>
      </c>
      <c r="C7" s="15" t="s">
        <v>59</v>
      </c>
      <c r="D7" s="16">
        <v>800000</v>
      </c>
      <c r="E7" s="17" t="s">
        <v>60</v>
      </c>
      <c r="F7" s="18">
        <f>IFERROR(VLOOKUP(C7,'[4]Revenue Data - FY19 MAR-YTD '!$C$3:$Q$82,15,FALSE),0)</f>
        <v>-1095951.1100000001</v>
      </c>
      <c r="G7" s="18"/>
      <c r="H7" s="18">
        <f>SUM(F7:G7)</f>
        <v>-1095951.1100000001</v>
      </c>
      <c r="I7" s="18">
        <f>'[4]Statistics Projections'!J3</f>
        <v>630</v>
      </c>
      <c r="J7" s="18">
        <f>IF(ISERROR(H7/I7),0,H7/I7)</f>
        <v>-1739.6049365079366</v>
      </c>
      <c r="K7" s="19"/>
      <c r="L7" s="20">
        <f t="shared" ref="L7:L69" si="2">$AW$132</f>
        <v>1.04</v>
      </c>
      <c r="M7" s="18">
        <f>(J7*L7)</f>
        <v>-1809.1891339682541</v>
      </c>
      <c r="N7" s="19"/>
      <c r="O7" s="21">
        <f>'[4]Statistics Projections'!L3</f>
        <v>1348</v>
      </c>
      <c r="P7" s="18">
        <f>O7*M7*-1</f>
        <v>2438786.9525892064</v>
      </c>
      <c r="Q7" s="22"/>
      <c r="R7" s="23">
        <f>VLOOKUP($C7,'[4]Revenue Data - FY19 MAR-YTD '!$C$3:$V$82,20,FALSE)</f>
        <v>0.78983906499259804</v>
      </c>
      <c r="S7" s="23">
        <f>VLOOKUP($C7,'[4]Revenue Data - FY19 MAR-YTD '!$C$3:$V$82,19,FALSE)</f>
        <v>6.5763882478297772E-2</v>
      </c>
      <c r="T7" s="23">
        <f>VLOOKUP($C7,'[4]Revenue Data - FY19 MAR-YTD '!$C$3:$V$82,17,FALSE)</f>
        <v>7.8004392002486309E-2</v>
      </c>
      <c r="U7" s="23">
        <f>VLOOKUP($C7,'[4]Revenue Data - FY19 MAR-YTD '!$C$3:$V$82,18,FALSE)</f>
        <v>6.3039308386666992E-2</v>
      </c>
      <c r="V7" s="23">
        <f>VLOOKUP($C7,'[4]Revenue Data - FY19 MAR-YTD '!$C$3:$W$82,21,FALSE)</f>
        <v>3.3533521399508413E-3</v>
      </c>
      <c r="W7" s="24">
        <f>SUM(R7:V7)</f>
        <v>0.99999999999999989</v>
      </c>
      <c r="X7" s="24"/>
      <c r="Y7" s="25">
        <f>$P$7*R7</f>
        <v>1926249.2063492064</v>
      </c>
      <c r="Z7" s="25">
        <f>$P$7*S7</f>
        <v>160384.09853968254</v>
      </c>
      <c r="AA7" s="25">
        <f>$P$7*T7</f>
        <v>190236.09346031744</v>
      </c>
      <c r="AB7" s="25">
        <f>$P$7*U7</f>
        <v>153739.44279365079</v>
      </c>
      <c r="AC7" s="25">
        <f>$P$7*V7</f>
        <v>8178.1114463492058</v>
      </c>
      <c r="AD7" s="21">
        <f>SUM(Y7:AC7)</f>
        <v>2438786.9525892069</v>
      </c>
      <c r="AE7" s="26">
        <f t="shared" ref="AE7:AE70" si="3">P7-AD7</f>
        <v>0</v>
      </c>
      <c r="AF7" s="27">
        <f>1-0.4446</f>
        <v>0.5554</v>
      </c>
      <c r="AG7" s="27">
        <f>1-0.7478</f>
        <v>0.25219999999999998</v>
      </c>
      <c r="AH7" s="28">
        <f t="shared" ref="AH7:AH19" si="4">1-0.2624-0.0839</f>
        <v>0.65370000000000006</v>
      </c>
      <c r="AI7" s="27">
        <f>1-0.459</f>
        <v>0.54099999999999993</v>
      </c>
      <c r="AJ7" s="27">
        <v>0</v>
      </c>
      <c r="AT7" s="18">
        <f>Y7*AF7</f>
        <v>1069838.8092063493</v>
      </c>
      <c r="AU7" s="18">
        <f>Z7*AG7</f>
        <v>40448.869651707937</v>
      </c>
      <c r="AV7" s="18">
        <f>AA7*AH7</f>
        <v>124357.33429500952</v>
      </c>
      <c r="AW7" s="18">
        <f>AB7*AI7</f>
        <v>83173.038551365069</v>
      </c>
      <c r="AX7" s="18">
        <f>AC7*AJ7</f>
        <v>0</v>
      </c>
      <c r="AY7" s="26">
        <f>SUM(AT7:AX7)</f>
        <v>1317818.0517044317</v>
      </c>
      <c r="AZ7" s="26"/>
      <c r="BA7" s="20">
        <f>AY7/AD7</f>
        <v>0.5403580047471277</v>
      </c>
      <c r="BB7" s="20">
        <f>1-BA7</f>
        <v>0.4596419952528723</v>
      </c>
      <c r="BC7" s="29">
        <v>5100</v>
      </c>
      <c r="BD7" s="30">
        <f t="shared" ref="BD7:BH38" si="5">Y7-AT7</f>
        <v>856410.39714285708</v>
      </c>
      <c r="BE7" s="30">
        <f t="shared" si="5"/>
        <v>119935.2288879746</v>
      </c>
      <c r="BF7" s="30">
        <f t="shared" si="5"/>
        <v>65878.759165307914</v>
      </c>
      <c r="BG7" s="30">
        <f t="shared" si="5"/>
        <v>70566.404242285716</v>
      </c>
      <c r="BH7" s="30">
        <f t="shared" si="5"/>
        <v>8178.1114463492058</v>
      </c>
      <c r="BI7" s="31">
        <f t="shared" ref="BI7:BI70" si="6">SUM(BD7:BH7)</f>
        <v>1120968.9008847745</v>
      </c>
      <c r="BK7" s="9" t="str">
        <f t="shared" ref="BK7:BK70" si="7">CONCATENATE(A7,B7)</f>
        <v>41001101</v>
      </c>
      <c r="BL7" s="26">
        <f t="shared" ref="BL7:BL70" si="8">P7</f>
        <v>2438786.9525892064</v>
      </c>
    </row>
    <row r="8" spans="1:64">
      <c r="A8" s="10" t="str">
        <f t="shared" si="0"/>
        <v>4100</v>
      </c>
      <c r="B8" s="10" t="str">
        <f t="shared" si="1"/>
        <v>1104</v>
      </c>
      <c r="C8" s="15" t="s">
        <v>61</v>
      </c>
      <c r="D8" s="16"/>
      <c r="E8" s="32" t="s">
        <v>62</v>
      </c>
      <c r="F8" s="18">
        <f>IFERROR(VLOOKUP(C8,'[4]Revenue Data - FY19 MAR-YTD '!$C$3:$Q$82,15,FALSE),0)</f>
        <v>0</v>
      </c>
      <c r="G8" s="18"/>
      <c r="H8" s="18">
        <f t="shared" ref="H8:H71" si="9">SUM(F8:G8)</f>
        <v>0</v>
      </c>
      <c r="I8" s="18">
        <v>0</v>
      </c>
      <c r="J8" s="18">
        <f t="shared" ref="J8:J71" si="10">IF(ISERROR(H8/I8),0,H8/I8)</f>
        <v>0</v>
      </c>
      <c r="K8" s="19"/>
      <c r="L8" s="20">
        <f t="shared" si="2"/>
        <v>1.04</v>
      </c>
      <c r="M8" s="18">
        <f t="shared" ref="M8:M71" si="11">J8*L8</f>
        <v>0</v>
      </c>
      <c r="N8" s="19"/>
      <c r="O8" s="21">
        <v>0</v>
      </c>
      <c r="P8" s="18">
        <f t="shared" ref="P8:P71" si="12">O8*M8*-1</f>
        <v>0</v>
      </c>
      <c r="Q8" s="22"/>
      <c r="R8" s="24"/>
      <c r="S8" s="24"/>
      <c r="T8" s="24"/>
      <c r="U8" s="24"/>
      <c r="V8" s="24"/>
      <c r="W8" s="24">
        <v>0</v>
      </c>
      <c r="X8" s="24"/>
      <c r="Y8" s="33">
        <v>0</v>
      </c>
      <c r="Z8" s="33">
        <v>0</v>
      </c>
      <c r="AA8" s="33">
        <v>0</v>
      </c>
      <c r="AB8" s="33">
        <v>0</v>
      </c>
      <c r="AC8" s="33">
        <v>0</v>
      </c>
      <c r="AD8" s="21">
        <f t="shared" ref="AD8:AD48" si="13">SUM(Y8:AC8)</f>
        <v>0</v>
      </c>
      <c r="AE8" s="26">
        <f t="shared" si="3"/>
        <v>0</v>
      </c>
      <c r="AF8" s="27">
        <f t="shared" ref="AF8:AF19" si="14">1-0.4446</f>
        <v>0.5554</v>
      </c>
      <c r="AG8" s="27">
        <f t="shared" ref="AG8:AG19" si="15">1-0.7478</f>
        <v>0.25219999999999998</v>
      </c>
      <c r="AH8" s="28">
        <f t="shared" si="4"/>
        <v>0.65370000000000006</v>
      </c>
      <c r="AI8" s="27">
        <f t="shared" ref="AI8:AI19" si="16">1-0.459</f>
        <v>0.54099999999999993</v>
      </c>
      <c r="AJ8" s="27">
        <v>0</v>
      </c>
      <c r="BC8" s="29">
        <v>5100</v>
      </c>
      <c r="BD8" s="30">
        <f t="shared" si="5"/>
        <v>0</v>
      </c>
      <c r="BE8" s="30">
        <f t="shared" si="5"/>
        <v>0</v>
      </c>
      <c r="BF8" s="30">
        <f t="shared" si="5"/>
        <v>0</v>
      </c>
      <c r="BG8" s="30">
        <f t="shared" si="5"/>
        <v>0</v>
      </c>
      <c r="BH8" s="30">
        <f t="shared" si="5"/>
        <v>0</v>
      </c>
      <c r="BI8" s="31">
        <f t="shared" si="6"/>
        <v>0</v>
      </c>
      <c r="BK8" s="9" t="str">
        <f t="shared" si="7"/>
        <v>41001104</v>
      </c>
      <c r="BL8" s="26">
        <f t="shared" si="8"/>
        <v>0</v>
      </c>
    </row>
    <row r="9" spans="1:64">
      <c r="A9" s="10" t="str">
        <f t="shared" si="0"/>
        <v>4100</v>
      </c>
      <c r="B9" s="10" t="str">
        <f t="shared" si="1"/>
        <v>1172</v>
      </c>
      <c r="C9" s="15" t="s">
        <v>63</v>
      </c>
      <c r="D9" s="16"/>
      <c r="E9" s="34"/>
      <c r="F9" s="18">
        <f>IFERROR(VLOOKUP(C9,'[4]Revenue Data - FY19 MAR-YTD '!$C$3:$Q$82,15,FALSE),0)</f>
        <v>0</v>
      </c>
      <c r="G9" s="18"/>
      <c r="H9" s="18">
        <f t="shared" si="9"/>
        <v>0</v>
      </c>
      <c r="I9" s="18">
        <v>0</v>
      </c>
      <c r="J9" s="18">
        <f t="shared" si="10"/>
        <v>0</v>
      </c>
      <c r="K9" s="19"/>
      <c r="L9" s="20">
        <f t="shared" si="2"/>
        <v>1.04</v>
      </c>
      <c r="M9" s="18">
        <f t="shared" si="11"/>
        <v>0</v>
      </c>
      <c r="N9" s="19"/>
      <c r="O9" s="21">
        <v>0</v>
      </c>
      <c r="P9" s="18">
        <f t="shared" si="12"/>
        <v>0</v>
      </c>
      <c r="Q9" s="22"/>
      <c r="R9" s="24"/>
      <c r="S9" s="24"/>
      <c r="T9" s="24"/>
      <c r="U9" s="24"/>
      <c r="V9" s="24"/>
      <c r="W9" s="24">
        <v>0</v>
      </c>
      <c r="X9" s="24"/>
      <c r="Y9" s="33">
        <v>0</v>
      </c>
      <c r="Z9" s="33">
        <v>0</v>
      </c>
      <c r="AA9" s="33">
        <v>0</v>
      </c>
      <c r="AB9" s="33">
        <v>0</v>
      </c>
      <c r="AC9" s="33">
        <v>0</v>
      </c>
      <c r="AD9" s="21">
        <f t="shared" si="13"/>
        <v>0</v>
      </c>
      <c r="AE9" s="26">
        <f t="shared" si="3"/>
        <v>0</v>
      </c>
      <c r="AF9" s="27">
        <f t="shared" si="14"/>
        <v>0.5554</v>
      </c>
      <c r="AG9" s="27">
        <f t="shared" si="15"/>
        <v>0.25219999999999998</v>
      </c>
      <c r="AH9" s="28">
        <f t="shared" si="4"/>
        <v>0.65370000000000006</v>
      </c>
      <c r="AI9" s="27">
        <f t="shared" si="16"/>
        <v>0.54099999999999993</v>
      </c>
      <c r="AJ9" s="27">
        <v>0</v>
      </c>
      <c r="BC9" s="29">
        <v>5100</v>
      </c>
      <c r="BD9" s="30">
        <f t="shared" si="5"/>
        <v>0</v>
      </c>
      <c r="BE9" s="30">
        <f t="shared" si="5"/>
        <v>0</v>
      </c>
      <c r="BF9" s="30">
        <f t="shared" si="5"/>
        <v>0</v>
      </c>
      <c r="BG9" s="30">
        <f t="shared" si="5"/>
        <v>0</v>
      </c>
      <c r="BH9" s="30">
        <f t="shared" si="5"/>
        <v>0</v>
      </c>
      <c r="BI9" s="31">
        <f t="shared" si="6"/>
        <v>0</v>
      </c>
      <c r="BK9" s="9" t="str">
        <f t="shared" si="7"/>
        <v>41001172</v>
      </c>
      <c r="BL9" s="26">
        <f t="shared" si="8"/>
        <v>0</v>
      </c>
    </row>
    <row r="10" spans="1:64">
      <c r="A10" s="10" t="str">
        <f t="shared" si="0"/>
        <v>4100</v>
      </c>
      <c r="B10" s="10" t="str">
        <f t="shared" si="1"/>
        <v>1210</v>
      </c>
      <c r="C10" s="15" t="s">
        <v>64</v>
      </c>
      <c r="D10" s="16">
        <v>810010</v>
      </c>
      <c r="E10" s="32" t="s">
        <v>65</v>
      </c>
      <c r="F10" s="18">
        <f>IFERROR(VLOOKUP(C10,'[4]Revenue Data - FY19 MAR-YTD '!$C$3:$Q$82,15,FALSE),0)</f>
        <v>-36008</v>
      </c>
      <c r="G10" s="18"/>
      <c r="H10" s="18">
        <f t="shared" si="9"/>
        <v>-36008</v>
      </c>
      <c r="I10" s="18">
        <f>'[4]Statistics Projections'!J19</f>
        <v>13</v>
      </c>
      <c r="J10" s="18">
        <f t="shared" si="10"/>
        <v>-2769.8461538461538</v>
      </c>
      <c r="K10" s="19"/>
      <c r="L10" s="20">
        <f t="shared" si="2"/>
        <v>1.04</v>
      </c>
      <c r="M10" s="18">
        <f t="shared" si="11"/>
        <v>-2880.64</v>
      </c>
      <c r="N10" s="19"/>
      <c r="O10" s="21">
        <f>'[4]Statistics Projections'!L19</f>
        <v>25</v>
      </c>
      <c r="P10" s="18">
        <f t="shared" si="12"/>
        <v>72016</v>
      </c>
      <c r="Q10" s="22"/>
      <c r="R10" s="24">
        <f>VLOOKUP($C10,'[4]Revenue Data - FY19 MAR-YTD '!$C$3:$V$82,20,FALSE)</f>
        <v>0.10133859142412797</v>
      </c>
      <c r="S10" s="24">
        <f>VLOOKUP($C10,'[4]Revenue Data - FY19 MAR-YTD '!$C$3:$V$82,19,FALSE)</f>
        <v>0.52899355698733619</v>
      </c>
      <c r="T10" s="24">
        <f>VLOOKUP($C10,'[4]Revenue Data - FY19 MAR-YTD '!$C$3:$V$82,17,FALSE)</f>
        <v>0.24211286380804264</v>
      </c>
      <c r="U10" s="24">
        <f>VLOOKUP($C10,'[4]Revenue Data - FY19 MAR-YTD '!$C$3:$V$82,18,FALSE)</f>
        <v>0.12755498778049323</v>
      </c>
      <c r="V10" s="23">
        <f>VLOOKUP($C10,'[4]Revenue Data - FY19 MAR-YTD '!$C$3:$W$82,21,FALSE)</f>
        <v>0</v>
      </c>
      <c r="W10" s="24">
        <f t="shared" ref="W10:W19" si="17">SUM(R10:V10)</f>
        <v>1</v>
      </c>
      <c r="X10" s="24"/>
      <c r="Y10" s="25">
        <f t="shared" ref="Y10:Y19" si="18">P10*R10</f>
        <v>7298</v>
      </c>
      <c r="Z10" s="25">
        <f t="shared" ref="Z10:Z19" si="19">P10*S10</f>
        <v>38096</v>
      </c>
      <c r="AA10" s="25">
        <f t="shared" ref="AA10:AA19" si="20">P10*T10</f>
        <v>17436</v>
      </c>
      <c r="AB10" s="25">
        <f t="shared" ref="AB10:AB19" si="21">P10*U10</f>
        <v>9186</v>
      </c>
      <c r="AC10" s="25">
        <f t="shared" ref="AC10:AC19" si="22">P10*V10</f>
        <v>0</v>
      </c>
      <c r="AD10" s="21">
        <f t="shared" si="13"/>
        <v>72016</v>
      </c>
      <c r="AE10" s="26">
        <f t="shared" si="3"/>
        <v>0</v>
      </c>
      <c r="AF10" s="27">
        <f t="shared" si="14"/>
        <v>0.5554</v>
      </c>
      <c r="AG10" s="27">
        <f t="shared" si="15"/>
        <v>0.25219999999999998</v>
      </c>
      <c r="AH10" s="28">
        <f t="shared" si="4"/>
        <v>0.65370000000000006</v>
      </c>
      <c r="AI10" s="27">
        <f t="shared" si="16"/>
        <v>0.54099999999999993</v>
      </c>
      <c r="AJ10" s="27">
        <v>0</v>
      </c>
      <c r="AT10" s="18">
        <f t="shared" ref="AT10:AX19" si="23">Y10*AF10</f>
        <v>4053.3092000000001</v>
      </c>
      <c r="AU10" s="18">
        <f t="shared" si="23"/>
        <v>9607.8112000000001</v>
      </c>
      <c r="AV10" s="18">
        <f t="shared" si="23"/>
        <v>11397.913200000001</v>
      </c>
      <c r="AW10" s="18">
        <f t="shared" si="23"/>
        <v>4969.6259999999993</v>
      </c>
      <c r="AX10" s="18">
        <f t="shared" si="23"/>
        <v>0</v>
      </c>
      <c r="AY10" s="26">
        <f>SUM(AT10:AX10)</f>
        <v>30028.659600000003</v>
      </c>
      <c r="AZ10" s="26"/>
      <c r="BA10" s="20"/>
      <c r="BB10" s="20"/>
      <c r="BC10" s="29">
        <v>5100</v>
      </c>
      <c r="BD10" s="30">
        <f t="shared" si="5"/>
        <v>3244.6907999999999</v>
      </c>
      <c r="BE10" s="30">
        <f t="shared" si="5"/>
        <v>28488.1888</v>
      </c>
      <c r="BF10" s="30">
        <f t="shared" si="5"/>
        <v>6038.0867999999991</v>
      </c>
      <c r="BG10" s="30">
        <f t="shared" si="5"/>
        <v>4216.3740000000007</v>
      </c>
      <c r="BH10" s="30">
        <f t="shared" si="5"/>
        <v>0</v>
      </c>
      <c r="BI10" s="31">
        <f t="shared" si="6"/>
        <v>41987.340400000001</v>
      </c>
      <c r="BK10" s="9" t="str">
        <f t="shared" si="7"/>
        <v>41001210</v>
      </c>
      <c r="BL10" s="26">
        <f t="shared" si="8"/>
        <v>72016</v>
      </c>
    </row>
    <row r="11" spans="1:64">
      <c r="A11" s="10" t="str">
        <f t="shared" si="0"/>
        <v>4100</v>
      </c>
      <c r="B11" s="10" t="str">
        <f t="shared" si="1"/>
        <v>1211</v>
      </c>
      <c r="C11" s="15" t="s">
        <v>66</v>
      </c>
      <c r="D11" s="16">
        <v>810011</v>
      </c>
      <c r="E11" s="32" t="s">
        <v>67</v>
      </c>
      <c r="F11" s="18">
        <f>IFERROR(VLOOKUP(C11,'[4]Revenue Data - FY19 MAR-YTD '!$C$3:$Q$82,15,FALSE),0)</f>
        <v>-196026.08</v>
      </c>
      <c r="G11" s="18">
        <f>-G51-G52-G74</f>
        <v>-4450</v>
      </c>
      <c r="H11" s="18">
        <f t="shared" si="9"/>
        <v>-200476.08</v>
      </c>
      <c r="I11" s="18">
        <f>'[4]Statistics Projections'!J25</f>
        <v>18</v>
      </c>
      <c r="J11" s="18">
        <f t="shared" si="10"/>
        <v>-11137.56</v>
      </c>
      <c r="K11" s="19"/>
      <c r="L11" s="20">
        <f t="shared" si="2"/>
        <v>1.04</v>
      </c>
      <c r="M11" s="18">
        <f t="shared" si="11"/>
        <v>-11583.062400000001</v>
      </c>
      <c r="N11" s="19"/>
      <c r="O11" s="21">
        <f>'[4]Statistics Projections'!L25</f>
        <v>46</v>
      </c>
      <c r="P11" s="18">
        <f t="shared" si="12"/>
        <v>532820.87040000001</v>
      </c>
      <c r="Q11" s="22"/>
      <c r="R11" s="24">
        <f>VLOOKUP($C11,'[4]Revenue Data - FY19 MAR-YTD '!$C$3:$V$82,20,FALSE)</f>
        <v>0.29633322259976841</v>
      </c>
      <c r="S11" s="24">
        <f>VLOOKUP($C11,'[4]Revenue Data - FY19 MAR-YTD '!$C$3:$V$82,19,FALSE)</f>
        <v>6.0988772514351156E-2</v>
      </c>
      <c r="T11" s="24">
        <f>VLOOKUP($C11,'[4]Revenue Data - FY19 MAR-YTD '!$C$3:$V$82,17,FALSE)</f>
        <v>0.27996254375948343</v>
      </c>
      <c r="U11" s="24">
        <f>VLOOKUP($C11,'[4]Revenue Data - FY19 MAR-YTD '!$C$3:$V$82,18,FALSE)</f>
        <v>0.36271546112639708</v>
      </c>
      <c r="V11" s="23">
        <f>VLOOKUP($C11,'[4]Revenue Data - FY19 MAR-YTD '!$C$3:$W$82,21,FALSE)</f>
        <v>0</v>
      </c>
      <c r="W11" s="24">
        <f t="shared" si="17"/>
        <v>1</v>
      </c>
      <c r="X11" s="24"/>
      <c r="Y11" s="25">
        <f t="shared" si="18"/>
        <v>157892.52559404555</v>
      </c>
      <c r="Z11" s="25">
        <f t="shared" si="19"/>
        <v>32496.090855724178</v>
      </c>
      <c r="AA11" s="25">
        <f t="shared" si="20"/>
        <v>149169.88624532605</v>
      </c>
      <c r="AB11" s="25">
        <f t="shared" si="21"/>
        <v>193262.36770490426</v>
      </c>
      <c r="AC11" s="25">
        <f t="shared" si="22"/>
        <v>0</v>
      </c>
      <c r="AD11" s="21">
        <f t="shared" si="13"/>
        <v>532820.87040000001</v>
      </c>
      <c r="AE11" s="26">
        <f t="shared" si="3"/>
        <v>0</v>
      </c>
      <c r="AF11" s="27">
        <f t="shared" si="14"/>
        <v>0.5554</v>
      </c>
      <c r="AG11" s="27">
        <f t="shared" si="15"/>
        <v>0.25219999999999998</v>
      </c>
      <c r="AH11" s="28">
        <f t="shared" si="4"/>
        <v>0.65370000000000006</v>
      </c>
      <c r="AI11" s="27">
        <f t="shared" si="16"/>
        <v>0.54099999999999993</v>
      </c>
      <c r="AJ11" s="27">
        <v>0</v>
      </c>
      <c r="AT11" s="18">
        <f t="shared" si="23"/>
        <v>87693.508714932905</v>
      </c>
      <c r="AU11" s="18">
        <f t="shared" si="23"/>
        <v>8195.5141138136369</v>
      </c>
      <c r="AV11" s="18">
        <f t="shared" si="23"/>
        <v>97512.354638569654</v>
      </c>
      <c r="AW11" s="18">
        <f t="shared" si="23"/>
        <v>104554.94092835319</v>
      </c>
      <c r="AX11" s="18">
        <f t="shared" si="23"/>
        <v>0</v>
      </c>
      <c r="AY11" s="26">
        <f t="shared" ref="AY11:AY19" si="24">SUM(AT11:AX11)</f>
        <v>297956.3183956694</v>
      </c>
      <c r="AZ11" s="26"/>
      <c r="BA11" s="20">
        <f t="shared" ref="BA11:BA19" si="25">AY11/AD11</f>
        <v>0.55920541958498593</v>
      </c>
      <c r="BB11" s="20">
        <f t="shared" ref="BB11:BB19" si="26">1-BA11</f>
        <v>0.44079458041501407</v>
      </c>
      <c r="BC11" s="29">
        <v>5100</v>
      </c>
      <c r="BD11" s="30">
        <f t="shared" si="5"/>
        <v>70199.016879112649</v>
      </c>
      <c r="BE11" s="30">
        <f t="shared" si="5"/>
        <v>24300.57674191054</v>
      </c>
      <c r="BF11" s="30">
        <f t="shared" si="5"/>
        <v>51657.531606756398</v>
      </c>
      <c r="BG11" s="30">
        <f t="shared" si="5"/>
        <v>88707.426776551074</v>
      </c>
      <c r="BH11" s="30">
        <f t="shared" si="5"/>
        <v>0</v>
      </c>
      <c r="BI11" s="31">
        <f t="shared" si="6"/>
        <v>234864.55200433068</v>
      </c>
      <c r="BK11" s="9" t="str">
        <f t="shared" si="7"/>
        <v>41001211</v>
      </c>
      <c r="BL11" s="26">
        <f t="shared" si="8"/>
        <v>532820.87040000001</v>
      </c>
    </row>
    <row r="12" spans="1:64">
      <c r="A12" s="10" t="str">
        <f t="shared" si="0"/>
        <v>4100</v>
      </c>
      <c r="B12" s="10" t="str">
        <f t="shared" si="1"/>
        <v>1215</v>
      </c>
      <c r="C12" s="15" t="s">
        <v>68</v>
      </c>
      <c r="D12" s="16">
        <v>810125</v>
      </c>
      <c r="E12" s="32" t="s">
        <v>69</v>
      </c>
      <c r="F12" s="18">
        <f>IFERROR(VLOOKUP(C12,'[4]Revenue Data - FY19 MAR-YTD '!$C$3:$Q$82,15,FALSE),0)</f>
        <v>-33640.74</v>
      </c>
      <c r="G12" s="18"/>
      <c r="H12" s="18">
        <f t="shared" si="9"/>
        <v>-33640.74</v>
      </c>
      <c r="I12" s="18">
        <f>'[4]Statistics Projections'!J31</f>
        <v>1575</v>
      </c>
      <c r="J12" s="18">
        <f t="shared" si="10"/>
        <v>-21.359199999999998</v>
      </c>
      <c r="K12" s="19"/>
      <c r="L12" s="20">
        <f t="shared" si="2"/>
        <v>1.04</v>
      </c>
      <c r="M12" s="18">
        <f t="shared" si="11"/>
        <v>-22.213567999999999</v>
      </c>
      <c r="N12" s="19"/>
      <c r="O12" s="21">
        <f>'[4]Statistics Projections'!L31</f>
        <v>7574</v>
      </c>
      <c r="P12" s="18">
        <f t="shared" si="12"/>
        <v>168245.56403199999</v>
      </c>
      <c r="Q12" s="22"/>
      <c r="R12" s="24">
        <f>VLOOKUP($C12,'[4]Revenue Data - FY19 MAR-YTD '!$C$3:$V$82,20,FALSE)</f>
        <v>0.35302760878625145</v>
      </c>
      <c r="S12" s="24">
        <f>VLOOKUP($C12,'[4]Revenue Data - FY19 MAR-YTD '!$C$3:$V$82,19,FALSE)</f>
        <v>6.7229198882069782E-2</v>
      </c>
      <c r="T12" s="24">
        <f>VLOOKUP($C12,'[4]Revenue Data - FY19 MAR-YTD '!$C$3:$V$82,17,FALSE)</f>
        <v>0.26129270640301017</v>
      </c>
      <c r="U12" s="24">
        <f>VLOOKUP($C12,'[4]Revenue Data - FY19 MAR-YTD '!$C$3:$V$82,18,FALSE)</f>
        <v>0.31845048592866865</v>
      </c>
      <c r="V12" s="23">
        <f>VLOOKUP($C12,'[4]Revenue Data - FY19 MAR-YTD '!$C$3:$W$82,21,FALSE)</f>
        <v>0</v>
      </c>
      <c r="W12" s="24">
        <f t="shared" si="17"/>
        <v>1</v>
      </c>
      <c r="X12" s="24"/>
      <c r="Y12" s="25">
        <f t="shared" si="18"/>
        <v>59395.329159111112</v>
      </c>
      <c r="Z12" s="25">
        <f t="shared" si="19"/>
        <v>11311.014485333333</v>
      </c>
      <c r="AA12" s="25">
        <f t="shared" si="20"/>
        <v>43961.338766222223</v>
      </c>
      <c r="AB12" s="25">
        <f t="shared" si="21"/>
        <v>53577.881621333334</v>
      </c>
      <c r="AC12" s="25">
        <f t="shared" si="22"/>
        <v>0</v>
      </c>
      <c r="AD12" s="21">
        <f t="shared" si="13"/>
        <v>168245.56403200002</v>
      </c>
      <c r="AE12" s="26">
        <f t="shared" si="3"/>
        <v>0</v>
      </c>
      <c r="AF12" s="27">
        <f t="shared" si="14"/>
        <v>0.5554</v>
      </c>
      <c r="AG12" s="27">
        <f t="shared" si="15"/>
        <v>0.25219999999999998</v>
      </c>
      <c r="AH12" s="28">
        <f t="shared" si="4"/>
        <v>0.65370000000000006</v>
      </c>
      <c r="AI12" s="27">
        <f t="shared" si="16"/>
        <v>0.54099999999999993</v>
      </c>
      <c r="AJ12" s="27">
        <v>0</v>
      </c>
      <c r="AT12" s="18">
        <f t="shared" si="23"/>
        <v>32988.165814970314</v>
      </c>
      <c r="AU12" s="18">
        <f t="shared" si="23"/>
        <v>2852.6378532010663</v>
      </c>
      <c r="AV12" s="18">
        <f t="shared" si="23"/>
        <v>28737.527151479469</v>
      </c>
      <c r="AW12" s="18">
        <f t="shared" si="23"/>
        <v>28985.63395714133</v>
      </c>
      <c r="AX12" s="18">
        <f t="shared" si="23"/>
        <v>0</v>
      </c>
      <c r="AY12" s="26">
        <f t="shared" si="24"/>
        <v>93563.964776792171</v>
      </c>
      <c r="AZ12" s="26"/>
      <c r="BA12" s="20">
        <f t="shared" si="25"/>
        <v>0.55611549294099938</v>
      </c>
      <c r="BB12" s="20">
        <f t="shared" si="26"/>
        <v>0.44388450705900062</v>
      </c>
      <c r="BC12" s="29">
        <v>5100</v>
      </c>
      <c r="BD12" s="30">
        <f t="shared" si="5"/>
        <v>26407.163344140798</v>
      </c>
      <c r="BE12" s="30">
        <f t="shared" si="5"/>
        <v>8458.3766321322673</v>
      </c>
      <c r="BF12" s="30">
        <f t="shared" si="5"/>
        <v>15223.811614742754</v>
      </c>
      <c r="BG12" s="30">
        <f t="shared" si="5"/>
        <v>24592.247664192004</v>
      </c>
      <c r="BH12" s="30">
        <f t="shared" si="5"/>
        <v>0</v>
      </c>
      <c r="BI12" s="31">
        <f t="shared" si="6"/>
        <v>74681.599255207824</v>
      </c>
      <c r="BK12" s="9" t="str">
        <f t="shared" si="7"/>
        <v>41001215</v>
      </c>
      <c r="BL12" s="26">
        <f t="shared" si="8"/>
        <v>168245.56403199999</v>
      </c>
    </row>
    <row r="13" spans="1:64">
      <c r="A13" s="10" t="str">
        <f t="shared" si="0"/>
        <v>4100</v>
      </c>
      <c r="B13" s="10" t="str">
        <f t="shared" si="1"/>
        <v>1216</v>
      </c>
      <c r="C13" s="15" t="s">
        <v>70</v>
      </c>
      <c r="D13" s="16">
        <v>810020</v>
      </c>
      <c r="E13" s="32" t="s">
        <v>71</v>
      </c>
      <c r="F13" s="18">
        <f>IFERROR(VLOOKUP(C13,'[4]Revenue Data - FY19 MAR-YTD '!$C$3:$Q$82,15,FALSE),0)</f>
        <v>-342317</v>
      </c>
      <c r="G13" s="18"/>
      <c r="H13" s="18">
        <f t="shared" si="9"/>
        <v>-342317</v>
      </c>
      <c r="I13" s="18">
        <f>'[4]Statistics Projections'!J41</f>
        <v>179</v>
      </c>
      <c r="J13" s="18">
        <f t="shared" si="10"/>
        <v>-1912.3854748603353</v>
      </c>
      <c r="K13" s="19"/>
      <c r="L13" s="20">
        <f t="shared" si="2"/>
        <v>1.04</v>
      </c>
      <c r="M13" s="18">
        <f>J13*L13</f>
        <v>-1988.8808938547488</v>
      </c>
      <c r="N13" s="19"/>
      <c r="O13" s="21">
        <f>'[4]Statistics Projections'!L41</f>
        <v>340</v>
      </c>
      <c r="P13" s="18">
        <f t="shared" si="12"/>
        <v>676219.50391061464</v>
      </c>
      <c r="Q13" s="22"/>
      <c r="R13" s="24">
        <f>VLOOKUP($C13,'[4]Revenue Data - FY19 MAR-YTD '!$C$3:$V$82,20,FALSE)</f>
        <v>0.61341096118510041</v>
      </c>
      <c r="S13" s="24">
        <f>VLOOKUP($C13,'[4]Revenue Data - FY19 MAR-YTD '!$C$3:$V$82,19,FALSE)</f>
        <v>0.11894822635159807</v>
      </c>
      <c r="T13" s="24">
        <f>VLOOKUP($C13,'[4]Revenue Data - FY19 MAR-YTD '!$C$3:$V$82,17,FALSE)</f>
        <v>0.19412708103892007</v>
      </c>
      <c r="U13" s="24">
        <f>VLOOKUP($C13,'[4]Revenue Data - FY19 MAR-YTD '!$C$3:$V$82,18,FALSE)</f>
        <v>5.0374360607273377E-2</v>
      </c>
      <c r="V13" s="24">
        <f>VLOOKUP($C13,'[4]Revenue Data - FY19 MAR-YTD '!$C$3:$W$82,21,FALSE)</f>
        <v>2.313937081710812E-2</v>
      </c>
      <c r="W13" s="24">
        <f t="shared" si="17"/>
        <v>1</v>
      </c>
      <c r="X13" s="24"/>
      <c r="Y13" s="25">
        <f t="shared" si="18"/>
        <v>414800.45586592192</v>
      </c>
      <c r="Z13" s="25">
        <f t="shared" si="19"/>
        <v>80435.110614525154</v>
      </c>
      <c r="AA13" s="25">
        <f t="shared" si="20"/>
        <v>131272.5184357542</v>
      </c>
      <c r="AB13" s="25">
        <f t="shared" si="21"/>
        <v>34064.125139664815</v>
      </c>
      <c r="AC13" s="25">
        <f t="shared" si="22"/>
        <v>15647.293854748606</v>
      </c>
      <c r="AD13" s="21">
        <f t="shared" si="13"/>
        <v>676219.50391061476</v>
      </c>
      <c r="AE13" s="26">
        <f t="shared" si="3"/>
        <v>0</v>
      </c>
      <c r="AF13" s="27">
        <f t="shared" si="14"/>
        <v>0.5554</v>
      </c>
      <c r="AG13" s="27">
        <f t="shared" si="15"/>
        <v>0.25219999999999998</v>
      </c>
      <c r="AH13" s="28">
        <f t="shared" si="4"/>
        <v>0.65370000000000006</v>
      </c>
      <c r="AI13" s="27">
        <f t="shared" si="16"/>
        <v>0.54099999999999993</v>
      </c>
      <c r="AJ13" s="27">
        <v>0</v>
      </c>
      <c r="AT13" s="18">
        <f t="shared" si="23"/>
        <v>230380.17318793305</v>
      </c>
      <c r="AU13" s="18">
        <f t="shared" si="23"/>
        <v>20285.734896983242</v>
      </c>
      <c r="AV13" s="18">
        <f t="shared" si="23"/>
        <v>85812.845301452529</v>
      </c>
      <c r="AW13" s="18">
        <f t="shared" si="23"/>
        <v>18428.691700558662</v>
      </c>
      <c r="AX13" s="18">
        <f t="shared" si="23"/>
        <v>0</v>
      </c>
      <c r="AY13" s="26">
        <f t="shared" si="24"/>
        <v>354907.4450869275</v>
      </c>
      <c r="AZ13" s="26"/>
      <c r="BA13" s="20">
        <f t="shared" si="25"/>
        <v>0.52484059249175474</v>
      </c>
      <c r="BB13" s="20">
        <f t="shared" si="26"/>
        <v>0.47515940750824526</v>
      </c>
      <c r="BC13" s="29">
        <v>5100</v>
      </c>
      <c r="BD13" s="30">
        <f t="shared" si="5"/>
        <v>184420.28267798887</v>
      </c>
      <c r="BE13" s="30">
        <f t="shared" si="5"/>
        <v>60149.375717541916</v>
      </c>
      <c r="BF13" s="30">
        <f t="shared" si="5"/>
        <v>45459.673134301673</v>
      </c>
      <c r="BG13" s="30">
        <f t="shared" si="5"/>
        <v>15635.433439106153</v>
      </c>
      <c r="BH13" s="30">
        <f t="shared" si="5"/>
        <v>15647.293854748606</v>
      </c>
      <c r="BI13" s="31">
        <f t="shared" si="6"/>
        <v>321312.0588236872</v>
      </c>
      <c r="BK13" s="9" t="str">
        <f t="shared" si="7"/>
        <v>41001216</v>
      </c>
      <c r="BL13" s="26">
        <f t="shared" si="8"/>
        <v>676219.50391061464</v>
      </c>
    </row>
    <row r="14" spans="1:64">
      <c r="A14" s="10" t="str">
        <f t="shared" si="0"/>
        <v>4100</v>
      </c>
      <c r="B14" s="10" t="str">
        <f t="shared" si="1"/>
        <v>1217</v>
      </c>
      <c r="C14" s="35" t="s">
        <v>72</v>
      </c>
      <c r="D14" s="16">
        <v>810030</v>
      </c>
      <c r="E14" s="32" t="s">
        <v>73</v>
      </c>
      <c r="F14" s="18">
        <f>IFERROR(VLOOKUP(C14,'[4]Revenue Data - FY19 MAR-YTD '!$C$3:$Q$82,15,FALSE),0)</f>
        <v>-275705</v>
      </c>
      <c r="G14" s="18"/>
      <c r="H14" s="18">
        <f t="shared" si="9"/>
        <v>-275705</v>
      </c>
      <c r="I14" s="18">
        <f>'[4]Statistics Projections'!J66</f>
        <v>1610</v>
      </c>
      <c r="J14" s="18">
        <f t="shared" si="10"/>
        <v>-171.24534161490683</v>
      </c>
      <c r="K14" s="19"/>
      <c r="L14" s="20">
        <f t="shared" si="2"/>
        <v>1.04</v>
      </c>
      <c r="M14" s="18">
        <f t="shared" si="11"/>
        <v>-178.0951552795031</v>
      </c>
      <c r="N14" s="19"/>
      <c r="O14" s="21">
        <f>'[4]Statistics Projections'!L66</f>
        <v>3625</v>
      </c>
      <c r="P14" s="18">
        <f t="shared" si="12"/>
        <v>645594.93788819876</v>
      </c>
      <c r="Q14" s="22"/>
      <c r="R14" s="24">
        <f>VLOOKUP($C14,'[4]Revenue Data - FY19 MAR-YTD '!$C$3:$V$82,20,FALSE)</f>
        <v>0.72778513265990818</v>
      </c>
      <c r="S14" s="24">
        <f>VLOOKUP($C14,'[4]Revenue Data - FY19 MAR-YTD '!$C$3:$V$82,19,FALSE)</f>
        <v>9.5605810558386684E-2</v>
      </c>
      <c r="T14" s="24">
        <f>VLOOKUP($C14,'[4]Revenue Data - FY19 MAR-YTD '!$C$3:$V$82,17,FALSE)</f>
        <v>0.12797736711340019</v>
      </c>
      <c r="U14" s="24">
        <f>VLOOKUP($C14,'[4]Revenue Data - FY19 MAR-YTD '!$C$3:$V$82,18,FALSE)</f>
        <v>3.8635498086723126E-2</v>
      </c>
      <c r="V14" s="23">
        <f>VLOOKUP($C14,'[4]Revenue Data - FY19 MAR-YTD '!$C$3:$W$82,21,FALSE)</f>
        <v>9.9961915815817634E-3</v>
      </c>
      <c r="W14" s="24">
        <f t="shared" si="17"/>
        <v>0.99999999999999989</v>
      </c>
      <c r="X14" s="24"/>
      <c r="Y14" s="25">
        <f t="shared" si="18"/>
        <v>469854.3975155279</v>
      </c>
      <c r="Z14" s="25">
        <f t="shared" si="19"/>
        <v>61722.627329192546</v>
      </c>
      <c r="AA14" s="25">
        <f t="shared" si="20"/>
        <v>82621.540372670803</v>
      </c>
      <c r="AB14" s="25">
        <f t="shared" si="21"/>
        <v>24942.881987577639</v>
      </c>
      <c r="AC14" s="25">
        <f t="shared" si="22"/>
        <v>6453.4906832298138</v>
      </c>
      <c r="AD14" s="21">
        <f t="shared" si="13"/>
        <v>645594.93788819876</v>
      </c>
      <c r="AE14" s="26">
        <f t="shared" si="3"/>
        <v>0</v>
      </c>
      <c r="AF14" s="27">
        <f t="shared" si="14"/>
        <v>0.5554</v>
      </c>
      <c r="AG14" s="27">
        <f t="shared" si="15"/>
        <v>0.25219999999999998</v>
      </c>
      <c r="AH14" s="28">
        <f t="shared" si="4"/>
        <v>0.65370000000000006</v>
      </c>
      <c r="AI14" s="27">
        <f t="shared" si="16"/>
        <v>0.54099999999999993</v>
      </c>
      <c r="AJ14" s="27">
        <v>0</v>
      </c>
      <c r="AT14" s="18">
        <f t="shared" si="23"/>
        <v>260957.13238012421</v>
      </c>
      <c r="AU14" s="18">
        <f t="shared" si="23"/>
        <v>15566.446612422358</v>
      </c>
      <c r="AV14" s="18">
        <f t="shared" si="23"/>
        <v>54009.700941614909</v>
      </c>
      <c r="AW14" s="18">
        <f t="shared" si="23"/>
        <v>13494.0991552795</v>
      </c>
      <c r="AX14" s="18">
        <f t="shared" si="23"/>
        <v>0</v>
      </c>
      <c r="AY14" s="26">
        <f t="shared" si="24"/>
        <v>344027.37908944103</v>
      </c>
      <c r="AZ14" s="26"/>
      <c r="BA14" s="20">
        <f t="shared" si="25"/>
        <v>0.53288425744908507</v>
      </c>
      <c r="BB14" s="20">
        <f t="shared" si="26"/>
        <v>0.46711574255091493</v>
      </c>
      <c r="BC14" s="29">
        <v>5100</v>
      </c>
      <c r="BD14" s="30">
        <f t="shared" si="5"/>
        <v>208897.26513540369</v>
      </c>
      <c r="BE14" s="30">
        <f t="shared" si="5"/>
        <v>46156.180716770192</v>
      </c>
      <c r="BF14" s="30">
        <f t="shared" si="5"/>
        <v>28611.839431055894</v>
      </c>
      <c r="BG14" s="30">
        <f t="shared" si="5"/>
        <v>11448.782832298139</v>
      </c>
      <c r="BH14" s="30">
        <f t="shared" si="5"/>
        <v>6453.4906832298138</v>
      </c>
      <c r="BI14" s="31">
        <f t="shared" si="6"/>
        <v>301567.55879875773</v>
      </c>
      <c r="BK14" s="9" t="str">
        <f t="shared" si="7"/>
        <v>41001217</v>
      </c>
      <c r="BL14" s="26">
        <f t="shared" si="8"/>
        <v>645594.93788819876</v>
      </c>
    </row>
    <row r="15" spans="1:64">
      <c r="A15" s="10" t="str">
        <f t="shared" si="0"/>
        <v>4100</v>
      </c>
      <c r="B15" s="10" t="str">
        <f t="shared" si="1"/>
        <v>1219</v>
      </c>
      <c r="C15" s="35" t="s">
        <v>74</v>
      </c>
      <c r="D15" s="16">
        <v>810045</v>
      </c>
      <c r="E15" s="32" t="s">
        <v>75</v>
      </c>
      <c r="F15" s="18">
        <f>IFERROR(VLOOKUP(C15,'[4]Revenue Data - FY19 MAR-YTD '!$C$3:$Q$82,15,FALSE),0)</f>
        <v>-113977.9</v>
      </c>
      <c r="G15" s="18"/>
      <c r="H15" s="18">
        <f t="shared" si="9"/>
        <v>-113977.9</v>
      </c>
      <c r="I15" s="18">
        <f>'[4]Statistics Projections'!J72</f>
        <v>31046.82</v>
      </c>
      <c r="J15" s="18">
        <f t="shared" si="10"/>
        <v>-3.6711618130294825</v>
      </c>
      <c r="K15" s="19"/>
      <c r="L15" s="20">
        <v>1</v>
      </c>
      <c r="M15" s="18">
        <f>ROUND(J15*L15,2)</f>
        <v>-3.67</v>
      </c>
      <c r="N15" s="19"/>
      <c r="O15" s="21">
        <f>'[4]Statistics Projections'!L72</f>
        <v>62000</v>
      </c>
      <c r="P15" s="18">
        <f t="shared" si="12"/>
        <v>227540</v>
      </c>
      <c r="Q15" s="22"/>
      <c r="R15" s="24">
        <f>VLOOKUP($C15,'[4]Revenue Data - FY19 MAR-YTD '!$C$3:$V$82,20,FALSE)</f>
        <v>0.75825752185292072</v>
      </c>
      <c r="S15" s="24">
        <f>VLOOKUP($C15,'[4]Revenue Data - FY19 MAR-YTD '!$C$3:$V$82,19,FALSE)</f>
        <v>6.2837620275509556E-2</v>
      </c>
      <c r="T15" s="24">
        <f>VLOOKUP($C15,'[4]Revenue Data - FY19 MAR-YTD '!$C$3:$V$82,17,FALSE)</f>
        <v>8.0900771114400249E-2</v>
      </c>
      <c r="U15" s="24">
        <f>VLOOKUP($C15,'[4]Revenue Data - FY19 MAR-YTD '!$C$3:$V$82,18,FALSE)</f>
        <v>9.6427904005952039E-2</v>
      </c>
      <c r="V15" s="23">
        <f>VLOOKUP($C15,'[4]Revenue Data - FY19 MAR-YTD '!$C$3:$W$82,21,FALSE)</f>
        <v>1.5761827512175608E-3</v>
      </c>
      <c r="W15" s="24">
        <f t="shared" si="17"/>
        <v>1.0000000000000002</v>
      </c>
      <c r="X15" s="24"/>
      <c r="Y15" s="25">
        <f t="shared" si="18"/>
        <v>172533.91652241358</v>
      </c>
      <c r="Z15" s="25">
        <f t="shared" si="19"/>
        <v>14298.072117489444</v>
      </c>
      <c r="AA15" s="25">
        <f t="shared" si="20"/>
        <v>18408.161459370633</v>
      </c>
      <c r="AB15" s="25">
        <f t="shared" si="21"/>
        <v>21941.205277514327</v>
      </c>
      <c r="AC15" s="25">
        <f t="shared" si="22"/>
        <v>358.64462321204377</v>
      </c>
      <c r="AD15" s="21">
        <f t="shared" si="13"/>
        <v>227540.00000000003</v>
      </c>
      <c r="AE15" s="26">
        <f t="shared" si="3"/>
        <v>0</v>
      </c>
      <c r="AF15" s="27">
        <f t="shared" si="14"/>
        <v>0.5554</v>
      </c>
      <c r="AG15" s="27">
        <f t="shared" si="15"/>
        <v>0.25219999999999998</v>
      </c>
      <c r="AH15" s="28">
        <f t="shared" si="4"/>
        <v>0.65370000000000006</v>
      </c>
      <c r="AI15" s="27">
        <f t="shared" si="16"/>
        <v>0.54099999999999993</v>
      </c>
      <c r="AJ15" s="27">
        <v>0</v>
      </c>
      <c r="AT15" s="18">
        <f t="shared" si="23"/>
        <v>95825.337236548497</v>
      </c>
      <c r="AU15" s="18">
        <f t="shared" si="23"/>
        <v>3605.9737880308376</v>
      </c>
      <c r="AV15" s="18">
        <f t="shared" si="23"/>
        <v>12033.415145990584</v>
      </c>
      <c r="AW15" s="18">
        <f t="shared" si="23"/>
        <v>11870.192055135249</v>
      </c>
      <c r="AX15" s="18">
        <f t="shared" si="23"/>
        <v>0</v>
      </c>
      <c r="AY15" s="26">
        <f t="shared" si="24"/>
        <v>123334.91822570517</v>
      </c>
      <c r="AZ15" s="26"/>
      <c r="BA15" s="20">
        <f t="shared" si="25"/>
        <v>0.54203620561529908</v>
      </c>
      <c r="BB15" s="20">
        <f t="shared" si="26"/>
        <v>0.45796379438470092</v>
      </c>
      <c r="BC15" s="29">
        <v>5100</v>
      </c>
      <c r="BD15" s="30">
        <f t="shared" si="5"/>
        <v>76708.579285865082</v>
      </c>
      <c r="BE15" s="30">
        <f t="shared" si="5"/>
        <v>10692.098329458608</v>
      </c>
      <c r="BF15" s="30">
        <f t="shared" si="5"/>
        <v>6374.7463133800484</v>
      </c>
      <c r="BG15" s="30">
        <f t="shared" si="5"/>
        <v>10071.013222379079</v>
      </c>
      <c r="BH15" s="30">
        <f t="shared" si="5"/>
        <v>358.64462321204377</v>
      </c>
      <c r="BI15" s="31">
        <f t="shared" si="6"/>
        <v>104205.08177429487</v>
      </c>
      <c r="BK15" s="9" t="str">
        <f t="shared" si="7"/>
        <v>41001219</v>
      </c>
      <c r="BL15" s="26">
        <f t="shared" si="8"/>
        <v>227540</v>
      </c>
    </row>
    <row r="16" spans="1:64">
      <c r="A16" s="10" t="str">
        <f t="shared" si="0"/>
        <v>4100</v>
      </c>
      <c r="B16" s="10" t="str">
        <f t="shared" si="1"/>
        <v>1220</v>
      </c>
      <c r="C16" s="35" t="s">
        <v>76</v>
      </c>
      <c r="D16" s="16">
        <v>810050</v>
      </c>
      <c r="E16" s="32" t="s">
        <v>77</v>
      </c>
      <c r="F16" s="18">
        <f>IFERROR(VLOOKUP(C16,'[4]Revenue Data - FY19 MAR-YTD '!$C$3:$Q$82,15,FALSE),0)</f>
        <v>-136817</v>
      </c>
      <c r="G16" s="18"/>
      <c r="H16" s="18">
        <f t="shared" si="9"/>
        <v>-136817</v>
      </c>
      <c r="I16" s="18">
        <f>'[4]Statistics Projections'!J78</f>
        <v>962</v>
      </c>
      <c r="J16" s="18">
        <f t="shared" si="10"/>
        <v>-142.22141372141371</v>
      </c>
      <c r="K16" s="19"/>
      <c r="L16" s="20">
        <f t="shared" si="2"/>
        <v>1.04</v>
      </c>
      <c r="M16" s="18">
        <f>ROUND(J16*L16,2)</f>
        <v>-147.91</v>
      </c>
      <c r="N16" s="19"/>
      <c r="O16" s="21">
        <f>'[4]Statistics Projections'!L78</f>
        <v>2065</v>
      </c>
      <c r="P16" s="18">
        <f t="shared" si="12"/>
        <v>305434.14999999997</v>
      </c>
      <c r="Q16" s="22"/>
      <c r="R16" s="24">
        <f>VLOOKUP($C16,'[4]Revenue Data - FY19 MAR-YTD '!$C$3:$V$82,20,FALSE)</f>
        <v>0.84097005489083954</v>
      </c>
      <c r="S16" s="24">
        <f>VLOOKUP($C16,'[4]Revenue Data - FY19 MAR-YTD '!$C$3:$V$82,19,FALSE)</f>
        <v>3.1253426109328519E-2</v>
      </c>
      <c r="T16" s="24">
        <f>VLOOKUP($C16,'[4]Revenue Data - FY19 MAR-YTD '!$C$3:$V$82,17,FALSE)</f>
        <v>4.3671473574190343E-2</v>
      </c>
      <c r="U16" s="24">
        <f>VLOOKUP($C16,'[4]Revenue Data - FY19 MAR-YTD '!$C$3:$V$82,18,FALSE)</f>
        <v>8.4105045425641553E-2</v>
      </c>
      <c r="V16" s="23">
        <f>VLOOKUP($C16,'[4]Revenue Data - FY19 MAR-YTD '!$C$3:$W$82,21,FALSE)</f>
        <v>0</v>
      </c>
      <c r="W16" s="24">
        <f t="shared" si="17"/>
        <v>1</v>
      </c>
      <c r="X16" s="24"/>
      <c r="Y16" s="25">
        <f t="shared" si="18"/>
        <v>256860.97389103688</v>
      </c>
      <c r="Z16" s="25">
        <f t="shared" si="19"/>
        <v>9545.8636382905624</v>
      </c>
      <c r="AA16" s="25">
        <f t="shared" si="20"/>
        <v>13338.759410380288</v>
      </c>
      <c r="AB16" s="25">
        <f t="shared" si="21"/>
        <v>25688.553060292212</v>
      </c>
      <c r="AC16" s="25">
        <v>0</v>
      </c>
      <c r="AD16" s="21">
        <f t="shared" si="13"/>
        <v>305434.14999999991</v>
      </c>
      <c r="AE16" s="26">
        <f t="shared" si="3"/>
        <v>0</v>
      </c>
      <c r="AF16" s="27">
        <f t="shared" si="14"/>
        <v>0.5554</v>
      </c>
      <c r="AG16" s="27">
        <f t="shared" si="15"/>
        <v>0.25219999999999998</v>
      </c>
      <c r="AH16" s="28">
        <f t="shared" si="4"/>
        <v>0.65370000000000006</v>
      </c>
      <c r="AI16" s="27">
        <f t="shared" si="16"/>
        <v>0.54099999999999993</v>
      </c>
      <c r="AJ16" s="27">
        <v>0</v>
      </c>
      <c r="AT16" s="18">
        <f t="shared" si="23"/>
        <v>142660.58489908188</v>
      </c>
      <c r="AU16" s="18">
        <f t="shared" si="23"/>
        <v>2407.4668095768798</v>
      </c>
      <c r="AV16" s="18">
        <f t="shared" si="23"/>
        <v>8719.5470265655949</v>
      </c>
      <c r="AW16" s="18">
        <f t="shared" si="23"/>
        <v>13897.507205618085</v>
      </c>
      <c r="AX16" s="18">
        <f t="shared" si="23"/>
        <v>0</v>
      </c>
      <c r="AY16" s="26">
        <f t="shared" si="24"/>
        <v>167685.10594084242</v>
      </c>
      <c r="AZ16" s="26"/>
      <c r="BA16" s="20">
        <f t="shared" si="25"/>
        <v>0.54900575440186528</v>
      </c>
      <c r="BB16" s="20">
        <f t="shared" si="26"/>
        <v>0.45099424559813472</v>
      </c>
      <c r="BC16" s="29">
        <v>5100</v>
      </c>
      <c r="BD16" s="30">
        <f t="shared" si="5"/>
        <v>114200.388991955</v>
      </c>
      <c r="BE16" s="30">
        <f t="shared" si="5"/>
        <v>7138.3968287136831</v>
      </c>
      <c r="BF16" s="30">
        <f t="shared" si="5"/>
        <v>4619.2123838146927</v>
      </c>
      <c r="BG16" s="30">
        <f t="shared" si="5"/>
        <v>11791.045854674127</v>
      </c>
      <c r="BH16" s="30">
        <f t="shared" si="5"/>
        <v>0</v>
      </c>
      <c r="BI16" s="31">
        <f t="shared" si="6"/>
        <v>137749.04405915749</v>
      </c>
      <c r="BK16" s="9" t="str">
        <f t="shared" si="7"/>
        <v>41001220</v>
      </c>
      <c r="BL16" s="26">
        <f t="shared" si="8"/>
        <v>305434.14999999997</v>
      </c>
    </row>
    <row r="17" spans="1:64">
      <c r="A17" s="10" t="str">
        <f t="shared" si="0"/>
        <v>4100</v>
      </c>
      <c r="B17" s="10" t="str">
        <f t="shared" si="1"/>
        <v>1222</v>
      </c>
      <c r="C17" s="35" t="s">
        <v>78</v>
      </c>
      <c r="D17" s="16">
        <v>810060</v>
      </c>
      <c r="E17" s="32" t="s">
        <v>79</v>
      </c>
      <c r="F17" s="18">
        <f>IFERROR(VLOOKUP(C17,'[4]Revenue Data - FY19 MAR-YTD '!$C$3:$Q$82,15,FALSE),0)</f>
        <v>-62500.02</v>
      </c>
      <c r="G17" s="18"/>
      <c r="H17" s="18">
        <f t="shared" si="9"/>
        <v>-62500.02</v>
      </c>
      <c r="I17" s="18">
        <f>'[4]Statistics Projections'!J84</f>
        <v>161</v>
      </c>
      <c r="J17" s="18">
        <f t="shared" si="10"/>
        <v>-388.19888198757764</v>
      </c>
      <c r="K17" s="19"/>
      <c r="L17" s="20">
        <f t="shared" si="2"/>
        <v>1.04</v>
      </c>
      <c r="M17" s="18">
        <f>ROUND(J17*L17,2)</f>
        <v>-403.73</v>
      </c>
      <c r="N17" s="19"/>
      <c r="O17" s="21">
        <f>'[4]Statistics Projections'!L84</f>
        <v>350</v>
      </c>
      <c r="P17" s="18">
        <f t="shared" si="12"/>
        <v>141305.5</v>
      </c>
      <c r="Q17" s="22"/>
      <c r="R17" s="24">
        <f>VLOOKUP($C17,'[4]Revenue Data - FY19 MAR-YTD '!$C$3:$V$82,20,FALSE)</f>
        <v>0.91784002629119155</v>
      </c>
      <c r="S17" s="24">
        <f>VLOOKUP($C17,'[4]Revenue Data - FY19 MAR-YTD '!$C$3:$V$82,19,FALSE)</f>
        <v>1.17119962521612E-2</v>
      </c>
      <c r="T17" s="24">
        <f>VLOOKUP($C17,'[4]Revenue Data - FY19 MAR-YTD '!$C$3:$V$82,17,FALSE)</f>
        <v>5.7919981465605931E-2</v>
      </c>
      <c r="U17" s="24">
        <f>VLOOKUP($C17,'[4]Revenue Data - FY19 MAR-YTD '!$C$3:$V$82,18,FALSE)</f>
        <v>1.2527995991041284E-2</v>
      </c>
      <c r="V17" s="23">
        <f>VLOOKUP($C17,'[4]Revenue Data - FY19 MAR-YTD '!$C$3:$W$82,21,FALSE)</f>
        <v>0</v>
      </c>
      <c r="W17" s="24">
        <f t="shared" si="17"/>
        <v>1</v>
      </c>
      <c r="X17" s="24"/>
      <c r="Y17" s="25">
        <f t="shared" si="18"/>
        <v>129695.84383508997</v>
      </c>
      <c r="Z17" s="25">
        <f t="shared" si="19"/>
        <v>1654.9694864097646</v>
      </c>
      <c r="AA17" s="25">
        <f t="shared" si="20"/>
        <v>8184.4119409881787</v>
      </c>
      <c r="AB17" s="25">
        <f t="shared" si="21"/>
        <v>1770.2747375120841</v>
      </c>
      <c r="AC17" s="25">
        <f t="shared" si="22"/>
        <v>0</v>
      </c>
      <c r="AD17" s="21">
        <f t="shared" si="13"/>
        <v>141305.5</v>
      </c>
      <c r="AE17" s="26">
        <f t="shared" si="3"/>
        <v>0</v>
      </c>
      <c r="AF17" s="27">
        <f t="shared" si="14"/>
        <v>0.5554</v>
      </c>
      <c r="AG17" s="27">
        <f t="shared" si="15"/>
        <v>0.25219999999999998</v>
      </c>
      <c r="AH17" s="28">
        <f t="shared" si="4"/>
        <v>0.65370000000000006</v>
      </c>
      <c r="AI17" s="27">
        <f t="shared" si="16"/>
        <v>0.54099999999999993</v>
      </c>
      <c r="AJ17" s="27">
        <v>0</v>
      </c>
      <c r="AT17" s="18">
        <f t="shared" si="23"/>
        <v>72033.071666008967</v>
      </c>
      <c r="AU17" s="18">
        <f t="shared" si="23"/>
        <v>417.38330447254259</v>
      </c>
      <c r="AV17" s="18">
        <f t="shared" si="23"/>
        <v>5350.1500858239733</v>
      </c>
      <c r="AW17" s="18">
        <f t="shared" si="23"/>
        <v>957.71863299403742</v>
      </c>
      <c r="AX17" s="18">
        <f t="shared" si="23"/>
        <v>0</v>
      </c>
      <c r="AY17" s="26">
        <f t="shared" si="24"/>
        <v>78758.323689299519</v>
      </c>
      <c r="AZ17" s="26"/>
      <c r="BA17" s="20">
        <f t="shared" si="25"/>
        <v>0.55736205377214276</v>
      </c>
      <c r="BB17" s="20">
        <f t="shared" si="26"/>
        <v>0.44263794622785724</v>
      </c>
      <c r="BC17" s="29">
        <v>5100</v>
      </c>
      <c r="BD17" s="30">
        <f t="shared" si="5"/>
        <v>57662.772169080999</v>
      </c>
      <c r="BE17" s="30">
        <f t="shared" si="5"/>
        <v>1237.5861819372221</v>
      </c>
      <c r="BF17" s="30">
        <f t="shared" si="5"/>
        <v>2834.2618551642054</v>
      </c>
      <c r="BG17" s="30">
        <f t="shared" si="5"/>
        <v>812.55610451804671</v>
      </c>
      <c r="BH17" s="30">
        <f t="shared" si="5"/>
        <v>0</v>
      </c>
      <c r="BI17" s="31">
        <f t="shared" si="6"/>
        <v>62547.176310700474</v>
      </c>
      <c r="BK17" s="9" t="str">
        <f t="shared" si="7"/>
        <v>41001222</v>
      </c>
      <c r="BL17" s="26">
        <f t="shared" si="8"/>
        <v>141305.5</v>
      </c>
    </row>
    <row r="18" spans="1:64">
      <c r="A18" s="10" t="str">
        <f t="shared" si="0"/>
        <v>4100</v>
      </c>
      <c r="B18" s="10" t="str">
        <f t="shared" si="1"/>
        <v>1223</v>
      </c>
      <c r="C18" s="35" t="s">
        <v>80</v>
      </c>
      <c r="D18" s="16">
        <v>810060</v>
      </c>
      <c r="E18" s="32" t="s">
        <v>81</v>
      </c>
      <c r="F18" s="18">
        <f>IFERROR(VLOOKUP(C18,'[4]Revenue Data - FY19 MAR-YTD '!$C$3:$Q$82,15,FALSE),0)</f>
        <v>-53022</v>
      </c>
      <c r="G18" s="18"/>
      <c r="H18" s="18">
        <f t="shared" si="9"/>
        <v>-53022</v>
      </c>
      <c r="I18" s="18">
        <f>'[4]Statistics Projections'!J90</f>
        <v>121</v>
      </c>
      <c r="J18" s="18">
        <f t="shared" si="10"/>
        <v>-438.198347107438</v>
      </c>
      <c r="K18" s="19"/>
      <c r="L18" s="20">
        <f t="shared" si="2"/>
        <v>1.04</v>
      </c>
      <c r="M18" s="18">
        <f>ROUND(J18*L18,2)</f>
        <v>-455.73</v>
      </c>
      <c r="N18" s="19"/>
      <c r="O18" s="21">
        <f>'[4]Statistics Projections'!L90</f>
        <v>250</v>
      </c>
      <c r="P18" s="18">
        <f t="shared" si="12"/>
        <v>113932.5</v>
      </c>
      <c r="Q18" s="22"/>
      <c r="R18" s="24">
        <f>VLOOKUP($C18,'[4]Revenue Data - FY19 MAR-YTD '!$C$3:$V$82,20,FALSE)</f>
        <v>0.93564935309871378</v>
      </c>
      <c r="S18" s="24">
        <f>VLOOKUP($C18,'[4]Revenue Data - FY19 MAR-YTD '!$C$3:$V$82,19,FALSE)</f>
        <v>1.2485383425747803E-2</v>
      </c>
      <c r="T18" s="24">
        <f>VLOOKUP($C18,'[4]Revenue Data - FY19 MAR-YTD '!$C$3:$V$82,17,FALSE)</f>
        <v>3.8418015163517033E-2</v>
      </c>
      <c r="U18" s="24">
        <f>VLOOKUP($C18,'[4]Revenue Data - FY19 MAR-YTD '!$C$3:$V$82,18,FALSE)</f>
        <v>1.3447248312021425E-2</v>
      </c>
      <c r="V18" s="23">
        <f>VLOOKUP($C18,'[4]Revenue Data - FY19 MAR-YTD '!$C$3:$W$82,21,FALSE)</f>
        <v>0</v>
      </c>
      <c r="W18" s="24">
        <f t="shared" si="17"/>
        <v>1</v>
      </c>
      <c r="X18" s="24"/>
      <c r="Y18" s="25">
        <f t="shared" si="18"/>
        <v>106600.86992191921</v>
      </c>
      <c r="Z18" s="25">
        <f t="shared" si="19"/>
        <v>1422.4909471540116</v>
      </c>
      <c r="AA18" s="25">
        <f t="shared" si="20"/>
        <v>4377.0605126174041</v>
      </c>
      <c r="AB18" s="25">
        <f t="shared" si="21"/>
        <v>1532.078618309381</v>
      </c>
      <c r="AC18" s="25">
        <f t="shared" si="22"/>
        <v>0</v>
      </c>
      <c r="AD18" s="21">
        <f t="shared" si="13"/>
        <v>113932.50000000001</v>
      </c>
      <c r="AE18" s="26">
        <f t="shared" si="3"/>
        <v>0</v>
      </c>
      <c r="AF18" s="27">
        <f t="shared" si="14"/>
        <v>0.5554</v>
      </c>
      <c r="AG18" s="27">
        <f t="shared" si="15"/>
        <v>0.25219999999999998</v>
      </c>
      <c r="AH18" s="28">
        <f t="shared" si="4"/>
        <v>0.65370000000000006</v>
      </c>
      <c r="AI18" s="27">
        <f t="shared" si="16"/>
        <v>0.54099999999999993</v>
      </c>
      <c r="AJ18" s="27">
        <v>0</v>
      </c>
      <c r="AT18" s="18">
        <f t="shared" si="23"/>
        <v>59206.123154633926</v>
      </c>
      <c r="AU18" s="18">
        <f t="shared" si="23"/>
        <v>358.75221687224166</v>
      </c>
      <c r="AV18" s="18">
        <f t="shared" si="23"/>
        <v>2861.2844570979973</v>
      </c>
      <c r="AW18" s="18">
        <f t="shared" si="23"/>
        <v>828.854532505375</v>
      </c>
      <c r="AX18" s="18">
        <f t="shared" si="23"/>
        <v>0</v>
      </c>
      <c r="AY18" s="26">
        <f t="shared" si="24"/>
        <v>63255.014361109541</v>
      </c>
      <c r="AZ18" s="26"/>
      <c r="BA18" s="20">
        <f t="shared" si="25"/>
        <v>0.55519728226019383</v>
      </c>
      <c r="BB18" s="20">
        <f t="shared" si="26"/>
        <v>0.44480271773980617</v>
      </c>
      <c r="BC18" s="29">
        <v>5100</v>
      </c>
      <c r="BD18" s="30">
        <f t="shared" si="5"/>
        <v>47394.74676728528</v>
      </c>
      <c r="BE18" s="30">
        <f t="shared" si="5"/>
        <v>1063.7387302817699</v>
      </c>
      <c r="BF18" s="30">
        <f t="shared" si="5"/>
        <v>1515.7760555194068</v>
      </c>
      <c r="BG18" s="30">
        <f t="shared" si="5"/>
        <v>703.22408580400599</v>
      </c>
      <c r="BH18" s="30">
        <f t="shared" si="5"/>
        <v>0</v>
      </c>
      <c r="BI18" s="31">
        <f t="shared" si="6"/>
        <v>50677.485638890466</v>
      </c>
      <c r="BK18" s="9" t="str">
        <f t="shared" si="7"/>
        <v>41001223</v>
      </c>
      <c r="BL18" s="26">
        <f t="shared" si="8"/>
        <v>113932.5</v>
      </c>
    </row>
    <row r="19" spans="1:64">
      <c r="A19" s="10" t="str">
        <f t="shared" si="0"/>
        <v>4100</v>
      </c>
      <c r="B19" s="10" t="str">
        <f t="shared" si="1"/>
        <v>1224</v>
      </c>
      <c r="C19" s="35" t="s">
        <v>82</v>
      </c>
      <c r="D19" s="16">
        <v>810060</v>
      </c>
      <c r="E19" s="32" t="s">
        <v>83</v>
      </c>
      <c r="F19" s="18">
        <f>IFERROR(VLOOKUP(C19,'[4]Revenue Data - FY19 MAR-YTD '!$C$3:$Q$82,15,FALSE),0)</f>
        <v>-3381</v>
      </c>
      <c r="G19" s="18"/>
      <c r="H19" s="18">
        <f t="shared" si="9"/>
        <v>-3381</v>
      </c>
      <c r="I19" s="18">
        <f>'[4]Statistics Projections'!J96</f>
        <v>10</v>
      </c>
      <c r="J19" s="18">
        <f t="shared" si="10"/>
        <v>-338.1</v>
      </c>
      <c r="K19" s="19"/>
      <c r="L19" s="20">
        <f t="shared" si="2"/>
        <v>1.04</v>
      </c>
      <c r="M19" s="18">
        <f>ROUND(J19*L19,2)</f>
        <v>-351.62</v>
      </c>
      <c r="N19" s="19"/>
      <c r="O19" s="21">
        <f>'[4]Statistics Projections'!L96</f>
        <v>20</v>
      </c>
      <c r="P19" s="18">
        <f t="shared" si="12"/>
        <v>7032.4</v>
      </c>
      <c r="Q19" s="22"/>
      <c r="R19" s="24">
        <f>VLOOKUP($C19,'[4]Revenue Data - FY19 MAR-YTD '!$C$3:$V$82,20,FALSE)</f>
        <v>1</v>
      </c>
      <c r="S19" s="24">
        <f>VLOOKUP($C19,'[4]Revenue Data - FY19 MAR-YTD '!$C$3:$V$82,19,FALSE)</f>
        <v>0</v>
      </c>
      <c r="T19" s="24">
        <f>VLOOKUP($C19,'[4]Revenue Data - FY19 MAR-YTD '!$C$3:$V$82,17,FALSE)</f>
        <v>0</v>
      </c>
      <c r="U19" s="24">
        <f>VLOOKUP($C19,'[4]Revenue Data - FY19 MAR-YTD '!$C$3:$V$82,18,FALSE)</f>
        <v>0</v>
      </c>
      <c r="V19" s="23">
        <f>VLOOKUP($C19,'[4]Revenue Data - FY19 MAR-YTD '!$C$3:$W$82,21,FALSE)</f>
        <v>0</v>
      </c>
      <c r="W19" s="24">
        <f t="shared" si="17"/>
        <v>1</v>
      </c>
      <c r="X19" s="24"/>
      <c r="Y19" s="25">
        <f t="shared" si="18"/>
        <v>7032.4</v>
      </c>
      <c r="Z19" s="25">
        <f t="shared" si="19"/>
        <v>0</v>
      </c>
      <c r="AA19" s="25">
        <f t="shared" si="20"/>
        <v>0</v>
      </c>
      <c r="AB19" s="25">
        <f t="shared" si="21"/>
        <v>0</v>
      </c>
      <c r="AC19" s="25">
        <f t="shared" si="22"/>
        <v>0</v>
      </c>
      <c r="AD19" s="21">
        <f t="shared" si="13"/>
        <v>7032.4</v>
      </c>
      <c r="AE19" s="26">
        <f t="shared" si="3"/>
        <v>0</v>
      </c>
      <c r="AF19" s="27">
        <f t="shared" si="14"/>
        <v>0.5554</v>
      </c>
      <c r="AG19" s="27">
        <f t="shared" si="15"/>
        <v>0.25219999999999998</v>
      </c>
      <c r="AH19" s="28">
        <f t="shared" si="4"/>
        <v>0.65370000000000006</v>
      </c>
      <c r="AI19" s="27">
        <f t="shared" si="16"/>
        <v>0.54099999999999993</v>
      </c>
      <c r="AJ19" s="27">
        <v>0</v>
      </c>
      <c r="AT19" s="18">
        <f t="shared" si="23"/>
        <v>3905.7949599999997</v>
      </c>
      <c r="AU19" s="18">
        <f t="shared" si="23"/>
        <v>0</v>
      </c>
      <c r="AV19" s="18">
        <f t="shared" si="23"/>
        <v>0</v>
      </c>
      <c r="AW19" s="18">
        <f t="shared" si="23"/>
        <v>0</v>
      </c>
      <c r="AX19" s="18">
        <f t="shared" si="23"/>
        <v>0</v>
      </c>
      <c r="AY19" s="26">
        <f t="shared" si="24"/>
        <v>3905.7949599999997</v>
      </c>
      <c r="AZ19" s="26"/>
      <c r="BA19" s="20">
        <f t="shared" si="25"/>
        <v>0.5554</v>
      </c>
      <c r="BB19" s="20">
        <f t="shared" si="26"/>
        <v>0.4446</v>
      </c>
      <c r="BC19" s="29">
        <v>5100</v>
      </c>
      <c r="BD19" s="30">
        <f t="shared" si="5"/>
        <v>3126.6050399999999</v>
      </c>
      <c r="BE19" s="30">
        <f t="shared" si="5"/>
        <v>0</v>
      </c>
      <c r="BF19" s="30">
        <f t="shared" si="5"/>
        <v>0</v>
      </c>
      <c r="BG19" s="30">
        <f t="shared" si="5"/>
        <v>0</v>
      </c>
      <c r="BH19" s="30">
        <f t="shared" si="5"/>
        <v>0</v>
      </c>
      <c r="BI19" s="31">
        <f t="shared" si="6"/>
        <v>3126.6050399999999</v>
      </c>
      <c r="BK19" s="9" t="str">
        <f t="shared" si="7"/>
        <v>41001224</v>
      </c>
      <c r="BL19" s="26">
        <f t="shared" si="8"/>
        <v>7032.4</v>
      </c>
    </row>
    <row r="20" spans="1:64">
      <c r="A20" s="10" t="str">
        <f t="shared" si="0"/>
        <v>4100</v>
      </c>
      <c r="B20" s="10" t="str">
        <f t="shared" si="1"/>
        <v>1245</v>
      </c>
      <c r="C20" s="35" t="s">
        <v>84</v>
      </c>
      <c r="D20" s="16"/>
      <c r="E20" s="34"/>
      <c r="F20" s="18">
        <f>IFERROR(VLOOKUP(C20,'[4]Revenue Data - FY19 MAR-YTD '!$C$3:$Q$82,15,FALSE),0)</f>
        <v>0</v>
      </c>
      <c r="G20" s="18"/>
      <c r="H20" s="18">
        <f t="shared" si="9"/>
        <v>0</v>
      </c>
      <c r="I20" s="18">
        <v>0</v>
      </c>
      <c r="J20" s="18">
        <f t="shared" si="10"/>
        <v>0</v>
      </c>
      <c r="K20" s="19"/>
      <c r="L20" s="20">
        <f t="shared" si="2"/>
        <v>1.04</v>
      </c>
      <c r="M20" s="18">
        <f t="shared" si="11"/>
        <v>0</v>
      </c>
      <c r="N20" s="19"/>
      <c r="O20" s="21">
        <v>0</v>
      </c>
      <c r="P20" s="18">
        <f t="shared" si="12"/>
        <v>0</v>
      </c>
      <c r="Q20" s="22"/>
      <c r="R20" s="24"/>
      <c r="S20" s="24"/>
      <c r="T20" s="24"/>
      <c r="U20" s="24"/>
      <c r="V20" s="24"/>
      <c r="W20" s="24"/>
      <c r="X20" s="24"/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21">
        <f t="shared" si="13"/>
        <v>0</v>
      </c>
      <c r="AE20" s="26">
        <f t="shared" si="3"/>
        <v>0</v>
      </c>
      <c r="AF20" s="27"/>
      <c r="AG20" s="27"/>
      <c r="AH20" s="27"/>
      <c r="AI20" s="27"/>
      <c r="AJ20" s="27"/>
      <c r="BC20" s="29">
        <v>5100</v>
      </c>
      <c r="BD20" s="30">
        <f t="shared" si="5"/>
        <v>0</v>
      </c>
      <c r="BE20" s="30">
        <f t="shared" si="5"/>
        <v>0</v>
      </c>
      <c r="BF20" s="30">
        <f t="shared" si="5"/>
        <v>0</v>
      </c>
      <c r="BG20" s="30">
        <f t="shared" si="5"/>
        <v>0</v>
      </c>
      <c r="BH20" s="30">
        <f t="shared" si="5"/>
        <v>0</v>
      </c>
      <c r="BI20" s="31">
        <f t="shared" si="6"/>
        <v>0</v>
      </c>
      <c r="BK20" s="9" t="str">
        <f t="shared" si="7"/>
        <v>41001245</v>
      </c>
      <c r="BL20" s="26">
        <f t="shared" si="8"/>
        <v>0</v>
      </c>
    </row>
    <row r="21" spans="1:64">
      <c r="A21" s="10" t="str">
        <f t="shared" si="0"/>
        <v>4100</v>
      </c>
      <c r="B21" s="10" t="str">
        <f t="shared" si="1"/>
        <v>1331</v>
      </c>
      <c r="C21" s="35" t="s">
        <v>85</v>
      </c>
      <c r="D21" s="16"/>
      <c r="E21" s="34"/>
      <c r="F21" s="18">
        <f>IFERROR(VLOOKUP(C21,'[4]Revenue Data - FY19 MAR-YTD '!$C$3:$Q$82,15,FALSE),0)</f>
        <v>0</v>
      </c>
      <c r="G21" s="18"/>
      <c r="H21" s="18">
        <f t="shared" si="9"/>
        <v>0</v>
      </c>
      <c r="I21" s="18">
        <v>0</v>
      </c>
      <c r="J21" s="18">
        <f t="shared" si="10"/>
        <v>0</v>
      </c>
      <c r="K21" s="19"/>
      <c r="L21" s="20">
        <f t="shared" si="2"/>
        <v>1.04</v>
      </c>
      <c r="M21" s="18">
        <f t="shared" si="11"/>
        <v>0</v>
      </c>
      <c r="N21" s="19"/>
      <c r="O21" s="21">
        <v>0</v>
      </c>
      <c r="P21" s="18">
        <f t="shared" si="12"/>
        <v>0</v>
      </c>
      <c r="Q21" s="22"/>
      <c r="R21" s="24"/>
      <c r="S21" s="24"/>
      <c r="T21" s="24"/>
      <c r="U21" s="24"/>
      <c r="V21" s="24"/>
      <c r="W21" s="24"/>
      <c r="X21" s="24"/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21">
        <f t="shared" si="13"/>
        <v>0</v>
      </c>
      <c r="AE21" s="26">
        <f t="shared" si="3"/>
        <v>0</v>
      </c>
      <c r="AF21" s="27"/>
      <c r="AG21" s="27"/>
      <c r="AH21" s="27"/>
      <c r="AI21" s="27"/>
      <c r="AJ21" s="27"/>
      <c r="BC21" s="29">
        <v>5100</v>
      </c>
      <c r="BD21" s="30">
        <f t="shared" si="5"/>
        <v>0</v>
      </c>
      <c r="BE21" s="30">
        <f t="shared" si="5"/>
        <v>0</v>
      </c>
      <c r="BF21" s="30">
        <f t="shared" si="5"/>
        <v>0</v>
      </c>
      <c r="BG21" s="30">
        <f t="shared" si="5"/>
        <v>0</v>
      </c>
      <c r="BH21" s="30">
        <f t="shared" si="5"/>
        <v>0</v>
      </c>
      <c r="BI21" s="31">
        <f t="shared" si="6"/>
        <v>0</v>
      </c>
      <c r="BK21" s="9" t="str">
        <f t="shared" si="7"/>
        <v>41001331</v>
      </c>
      <c r="BL21" s="26">
        <f t="shared" si="8"/>
        <v>0</v>
      </c>
    </row>
    <row r="22" spans="1:64">
      <c r="A22" s="36" t="str">
        <f t="shared" si="0"/>
        <v>4100</v>
      </c>
      <c r="B22" s="36" t="str">
        <f t="shared" si="1"/>
        <v>1395</v>
      </c>
      <c r="C22" s="37" t="s">
        <v>86</v>
      </c>
      <c r="D22" s="38"/>
      <c r="E22" s="39"/>
      <c r="F22" s="40">
        <f>IFERROR(VLOOKUP(C22,'[4]Revenue Data - FY19 MAR-YTD '!$C$3:$Q$82,15,FALSE),0)</f>
        <v>0</v>
      </c>
      <c r="G22" s="40"/>
      <c r="H22" s="40">
        <f t="shared" si="9"/>
        <v>0</v>
      </c>
      <c r="I22" s="40">
        <v>0</v>
      </c>
      <c r="J22" s="40">
        <f t="shared" si="10"/>
        <v>0</v>
      </c>
      <c r="K22" s="41"/>
      <c r="L22" s="20">
        <f t="shared" si="2"/>
        <v>1.04</v>
      </c>
      <c r="M22" s="40"/>
      <c r="N22" s="41"/>
      <c r="O22" s="42">
        <v>0</v>
      </c>
      <c r="P22" s="43">
        <f t="shared" si="12"/>
        <v>0</v>
      </c>
      <c r="Q22" s="44"/>
      <c r="R22" s="45"/>
      <c r="S22" s="45"/>
      <c r="T22" s="45"/>
      <c r="U22" s="45"/>
      <c r="V22" s="45"/>
      <c r="W22" s="45"/>
      <c r="X22" s="45"/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2">
        <f t="shared" si="13"/>
        <v>0</v>
      </c>
      <c r="AE22" s="26">
        <f t="shared" si="3"/>
        <v>0</v>
      </c>
      <c r="AF22" s="47"/>
      <c r="AG22" s="47"/>
      <c r="AH22" s="47"/>
      <c r="AI22" s="47"/>
      <c r="AJ22" s="47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48">
        <v>5100</v>
      </c>
      <c r="BD22" s="49">
        <f t="shared" si="5"/>
        <v>0</v>
      </c>
      <c r="BE22" s="49">
        <f t="shared" si="5"/>
        <v>0</v>
      </c>
      <c r="BF22" s="49">
        <f t="shared" si="5"/>
        <v>0</v>
      </c>
      <c r="BG22" s="49">
        <f t="shared" si="5"/>
        <v>0</v>
      </c>
      <c r="BH22" s="49">
        <f t="shared" si="5"/>
        <v>0</v>
      </c>
      <c r="BI22" s="50">
        <f t="shared" si="6"/>
        <v>0</v>
      </c>
      <c r="BJ22" s="39"/>
      <c r="BK22" s="39" t="str">
        <f t="shared" si="7"/>
        <v>41001395</v>
      </c>
      <c r="BL22" s="51">
        <f t="shared" si="8"/>
        <v>0</v>
      </c>
    </row>
    <row r="23" spans="1:64">
      <c r="A23" s="10" t="str">
        <f t="shared" si="0"/>
        <v>4200</v>
      </c>
      <c r="B23" s="10" t="str">
        <f t="shared" si="1"/>
        <v>1101</v>
      </c>
      <c r="C23" s="35" t="s">
        <v>87</v>
      </c>
      <c r="D23" s="16"/>
      <c r="F23" s="18">
        <f>IFERROR(VLOOKUP(C23,'[4]Revenue Data - FY19 MAR-YTD '!$C$3:$Q$82,15,FALSE),0)</f>
        <v>0</v>
      </c>
      <c r="G23" s="18"/>
      <c r="H23" s="18">
        <f t="shared" si="9"/>
        <v>0</v>
      </c>
      <c r="I23" s="18">
        <v>0</v>
      </c>
      <c r="J23" s="18">
        <f t="shared" si="10"/>
        <v>0</v>
      </c>
      <c r="K23" s="19"/>
      <c r="L23" s="20">
        <f t="shared" si="2"/>
        <v>1.04</v>
      </c>
      <c r="M23" s="18">
        <f t="shared" si="11"/>
        <v>0</v>
      </c>
      <c r="N23" s="19"/>
      <c r="O23" s="21">
        <v>0</v>
      </c>
      <c r="P23" s="18">
        <f t="shared" si="12"/>
        <v>0</v>
      </c>
      <c r="Q23" s="22"/>
      <c r="R23" s="24"/>
      <c r="S23" s="24"/>
      <c r="T23" s="24"/>
      <c r="U23" s="24"/>
      <c r="V23" s="24"/>
      <c r="W23" s="24"/>
      <c r="X23" s="24"/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21">
        <f t="shared" si="13"/>
        <v>0</v>
      </c>
      <c r="AE23" s="26">
        <f t="shared" si="3"/>
        <v>0</v>
      </c>
      <c r="AF23" s="27"/>
      <c r="AG23" s="27"/>
      <c r="AH23" s="27"/>
      <c r="AI23" s="27"/>
      <c r="AJ23" s="27"/>
      <c r="BC23" s="9">
        <v>5200</v>
      </c>
      <c r="BD23" s="30">
        <f t="shared" si="5"/>
        <v>0</v>
      </c>
      <c r="BE23" s="30">
        <f t="shared" si="5"/>
        <v>0</v>
      </c>
      <c r="BF23" s="30">
        <f t="shared" si="5"/>
        <v>0</v>
      </c>
      <c r="BG23" s="30">
        <f t="shared" si="5"/>
        <v>0</v>
      </c>
      <c r="BH23" s="30">
        <f t="shared" si="5"/>
        <v>0</v>
      </c>
      <c r="BI23" s="31">
        <f t="shared" si="6"/>
        <v>0</v>
      </c>
      <c r="BK23" s="9" t="str">
        <f t="shared" si="7"/>
        <v>42001101</v>
      </c>
      <c r="BL23" s="26">
        <f t="shared" si="8"/>
        <v>0</v>
      </c>
    </row>
    <row r="24" spans="1:64">
      <c r="A24" s="10" t="str">
        <f t="shared" si="0"/>
        <v>4200</v>
      </c>
      <c r="B24" s="10" t="str">
        <f t="shared" si="1"/>
        <v>1172</v>
      </c>
      <c r="C24" s="35" t="s">
        <v>88</v>
      </c>
      <c r="D24" s="16"/>
      <c r="F24" s="18">
        <f>IFERROR(VLOOKUP(C24,'[4]Revenue Data - FY19 MAR-YTD '!$C$3:$Q$82,15,FALSE),0)</f>
        <v>0</v>
      </c>
      <c r="G24" s="18"/>
      <c r="H24" s="18">
        <f t="shared" si="9"/>
        <v>0</v>
      </c>
      <c r="I24" s="18">
        <v>0</v>
      </c>
      <c r="J24" s="18">
        <f t="shared" si="10"/>
        <v>0</v>
      </c>
      <c r="K24" s="19"/>
      <c r="L24" s="20">
        <f t="shared" si="2"/>
        <v>1.04</v>
      </c>
      <c r="M24" s="18">
        <f t="shared" si="11"/>
        <v>0</v>
      </c>
      <c r="N24" s="19"/>
      <c r="O24" s="21">
        <v>0</v>
      </c>
      <c r="P24" s="18">
        <f t="shared" si="12"/>
        <v>0</v>
      </c>
      <c r="Q24" s="22"/>
      <c r="R24" s="24"/>
      <c r="S24" s="24"/>
      <c r="T24" s="24"/>
      <c r="U24" s="24"/>
      <c r="V24" s="24"/>
      <c r="W24" s="24"/>
      <c r="X24" s="24"/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21">
        <f t="shared" si="13"/>
        <v>0</v>
      </c>
      <c r="AE24" s="26">
        <f t="shared" si="3"/>
        <v>0</v>
      </c>
      <c r="AF24" s="27"/>
      <c r="AG24" s="27"/>
      <c r="AH24" s="27"/>
      <c r="AI24" s="27"/>
      <c r="AJ24" s="27"/>
      <c r="BC24" s="9">
        <v>5200</v>
      </c>
      <c r="BD24" s="30">
        <f t="shared" si="5"/>
        <v>0</v>
      </c>
      <c r="BE24" s="30">
        <f t="shared" si="5"/>
        <v>0</v>
      </c>
      <c r="BF24" s="30">
        <f t="shared" si="5"/>
        <v>0</v>
      </c>
      <c r="BG24" s="30">
        <f t="shared" si="5"/>
        <v>0</v>
      </c>
      <c r="BH24" s="30">
        <f t="shared" si="5"/>
        <v>0</v>
      </c>
      <c r="BI24" s="31">
        <f t="shared" si="6"/>
        <v>0</v>
      </c>
      <c r="BK24" s="9" t="str">
        <f t="shared" si="7"/>
        <v>42001172</v>
      </c>
      <c r="BL24" s="26">
        <f t="shared" si="8"/>
        <v>0</v>
      </c>
    </row>
    <row r="25" spans="1:64">
      <c r="A25" s="10" t="str">
        <f t="shared" si="0"/>
        <v>4200</v>
      </c>
      <c r="B25" s="10" t="str">
        <f t="shared" si="1"/>
        <v>1210</v>
      </c>
      <c r="C25" s="35" t="s">
        <v>89</v>
      </c>
      <c r="D25" s="16">
        <v>820010</v>
      </c>
      <c r="E25" s="32" t="s">
        <v>90</v>
      </c>
      <c r="F25" s="18">
        <f>IFERROR(VLOOKUP(C25,'[4]Revenue Data - FY19 MAR-YTD '!$C$3:$Q$82,15,FALSE),0)</f>
        <v>-2533814</v>
      </c>
      <c r="G25" s="18">
        <f>-G10</f>
        <v>0</v>
      </c>
      <c r="H25" s="18">
        <f t="shared" si="9"/>
        <v>-2533814</v>
      </c>
      <c r="I25" s="18">
        <f>'[4]Statistics Projections'!J22</f>
        <v>2339</v>
      </c>
      <c r="J25" s="18">
        <f t="shared" si="10"/>
        <v>-1083.2894399315946</v>
      </c>
      <c r="K25" s="19"/>
      <c r="L25" s="20">
        <f t="shared" si="2"/>
        <v>1.04</v>
      </c>
      <c r="M25" s="18">
        <f>ROUND(J25*L25,0)</f>
        <v>-1127</v>
      </c>
      <c r="N25" s="19"/>
      <c r="O25" s="21">
        <f>'[4]Statistics Projections'!L22</f>
        <v>4755</v>
      </c>
      <c r="P25" s="18">
        <f t="shared" si="12"/>
        <v>5358885</v>
      </c>
      <c r="Q25" s="22"/>
      <c r="R25" s="24">
        <f>VLOOKUP($C25,'[4]Revenue Data - FY19 MAR-YTD '!$C$3:$V$82,20,FALSE)</f>
        <v>0.52528165050789044</v>
      </c>
      <c r="S25" s="24">
        <f>VLOOKUP($C25,'[4]Revenue Data - FY19 MAR-YTD '!$C$3:$V$82,19,FALSE)</f>
        <v>0.16747125084950987</v>
      </c>
      <c r="T25" s="24">
        <f>VLOOKUP($C25,'[4]Revenue Data - FY19 MAR-YTD '!$C$3:$V$82,17,FALSE)</f>
        <v>0.14964673807943282</v>
      </c>
      <c r="U25" s="24">
        <f>VLOOKUP($C25,'[4]Revenue Data - FY19 MAR-YTD '!$C$3:$V$82,18,FALSE)</f>
        <v>0.12456715449516026</v>
      </c>
      <c r="V25" s="23">
        <f>VLOOKUP($C25,'[4]Revenue Data - FY19 MAR-YTD '!$C$3:$W$82,21,FALSE)</f>
        <v>3.3033206068006568E-2</v>
      </c>
      <c r="W25" s="24">
        <f t="shared" ref="W25:W36" si="27">SUM(R25:V25)</f>
        <v>1</v>
      </c>
      <c r="X25" s="24"/>
      <c r="Y25" s="25">
        <f t="shared" ref="Y25:Y36" si="28">P25*R25</f>
        <v>2814923.9576819763</v>
      </c>
      <c r="Z25" s="25">
        <f t="shared" ref="Z25:Z36" si="29">P25*S25</f>
        <v>897459.17410867568</v>
      </c>
      <c r="AA25" s="25">
        <f t="shared" ref="AA25:AA36" si="30">P25*T25</f>
        <v>801939.65999280137</v>
      </c>
      <c r="AB25" s="25">
        <f t="shared" ref="AB25:AB36" si="31">P25*U25</f>
        <v>667541.05571679689</v>
      </c>
      <c r="AC25" s="25">
        <f t="shared" ref="AC25:AC36" si="32">P25*V25</f>
        <v>177021.15249974938</v>
      </c>
      <c r="AD25" s="21">
        <f t="shared" si="13"/>
        <v>5358884.9999999991</v>
      </c>
      <c r="AE25" s="26">
        <f t="shared" si="3"/>
        <v>0</v>
      </c>
      <c r="AF25" s="27">
        <f>1-0.6888</f>
        <v>0.31120000000000003</v>
      </c>
      <c r="AG25" s="27">
        <f>1-0.7636</f>
        <v>0.23640000000000005</v>
      </c>
      <c r="AH25" s="27">
        <f t="shared" ref="AH25:AH36" si="33">1-0.2346-0.0839</f>
        <v>0.68149999999999999</v>
      </c>
      <c r="AI25" s="27">
        <f>1-0.329</f>
        <v>0.67100000000000004</v>
      </c>
      <c r="AJ25" s="27">
        <v>0</v>
      </c>
      <c r="AT25" s="18">
        <f t="shared" ref="AT25:AX36" si="34">Y25*AF25</f>
        <v>876004.33563063107</v>
      </c>
      <c r="AU25" s="18">
        <f t="shared" si="34"/>
        <v>212159.34875929097</v>
      </c>
      <c r="AV25" s="18">
        <f t="shared" si="34"/>
        <v>546521.87828509416</v>
      </c>
      <c r="AW25" s="18">
        <f t="shared" si="34"/>
        <v>447920.04838597076</v>
      </c>
      <c r="AX25" s="18">
        <f t="shared" si="34"/>
        <v>0</v>
      </c>
      <c r="AY25" s="26">
        <f t="shared" ref="AY25:AY36" si="35">SUM(AT25:AX25)</f>
        <v>2082605.611060987</v>
      </c>
      <c r="AZ25" s="26"/>
      <c r="BA25" s="20">
        <f t="shared" ref="BA25:BA36" si="36">AY25/AD25</f>
        <v>0.38862666600626572</v>
      </c>
      <c r="BB25" s="20">
        <f t="shared" ref="BB25:BB36" si="37">1-BA25</f>
        <v>0.61137333399373428</v>
      </c>
      <c r="BC25" s="9">
        <v>5200</v>
      </c>
      <c r="BD25" s="30">
        <f t="shared" si="5"/>
        <v>1938919.6220513452</v>
      </c>
      <c r="BE25" s="30">
        <f t="shared" si="5"/>
        <v>685299.82534938469</v>
      </c>
      <c r="BF25" s="30">
        <f t="shared" si="5"/>
        <v>255417.78170770721</v>
      </c>
      <c r="BG25" s="30">
        <f t="shared" si="5"/>
        <v>219621.00733082613</v>
      </c>
      <c r="BH25" s="30">
        <f t="shared" si="5"/>
        <v>177021.15249974938</v>
      </c>
      <c r="BI25" s="31">
        <f t="shared" si="6"/>
        <v>3276279.3889390128</v>
      </c>
      <c r="BK25" s="9" t="str">
        <f t="shared" si="7"/>
        <v>42001210</v>
      </c>
      <c r="BL25" s="26">
        <f t="shared" si="8"/>
        <v>5358885</v>
      </c>
    </row>
    <row r="26" spans="1:64">
      <c r="A26" s="10" t="str">
        <f t="shared" si="0"/>
        <v>4200</v>
      </c>
      <c r="B26" s="10" t="str">
        <f t="shared" si="1"/>
        <v>1211</v>
      </c>
      <c r="C26" s="35" t="s">
        <v>91</v>
      </c>
      <c r="D26" s="16">
        <v>820011</v>
      </c>
      <c r="E26" s="32" t="s">
        <v>92</v>
      </c>
      <c r="F26" s="18">
        <f>IFERROR(VLOOKUP(C26,'[4]Revenue Data - FY19 MAR-YTD '!$C$3:$Q$82,15,FALSE),0)</f>
        <v>-3731986.76</v>
      </c>
      <c r="G26" s="18"/>
      <c r="H26" s="18">
        <f t="shared" si="9"/>
        <v>-3731986.76</v>
      </c>
      <c r="I26" s="18">
        <f>'[4]Statistics Projections'!J26</f>
        <v>813</v>
      </c>
      <c r="J26" s="18">
        <f t="shared" si="10"/>
        <v>-4590.3896186961865</v>
      </c>
      <c r="K26" s="19"/>
      <c r="L26" s="20">
        <f t="shared" si="2"/>
        <v>1.04</v>
      </c>
      <c r="M26" s="18">
        <f>ROUND(J26*L26,2)</f>
        <v>-4774.01</v>
      </c>
      <c r="N26" s="19"/>
      <c r="O26" s="21">
        <f>'[4]Statistics Projections'!L26</f>
        <v>1710</v>
      </c>
      <c r="P26" s="18">
        <f t="shared" si="12"/>
        <v>8163557.1000000006</v>
      </c>
      <c r="Q26" s="22"/>
      <c r="R26" s="24">
        <f>VLOOKUP($C26,'[4]Revenue Data - FY19 MAR-YTD '!$C$3:$V$82,20,FALSE)</f>
        <v>0.51035076823262904</v>
      </c>
      <c r="S26" s="24">
        <f>VLOOKUP($C26,'[4]Revenue Data - FY19 MAR-YTD '!$C$3:$V$82,19,FALSE)</f>
        <v>7.4112117160887253E-2</v>
      </c>
      <c r="T26" s="24">
        <f>VLOOKUP($C26,'[4]Revenue Data - FY19 MAR-YTD '!$C$3:$V$82,17,FALSE)</f>
        <v>0.19536274024723499</v>
      </c>
      <c r="U26" s="24">
        <f>VLOOKUP($C26,'[4]Revenue Data - FY19 MAR-YTD '!$C$3:$V$82,18,FALSE)</f>
        <v>0.21437444756636811</v>
      </c>
      <c r="V26" s="23">
        <f>VLOOKUP($C26,'[4]Revenue Data - FY19 MAR-YTD '!$C$3:$W$82,21,FALSE)</f>
        <v>5.7999267928806912E-3</v>
      </c>
      <c r="W26" s="24">
        <f t="shared" si="27"/>
        <v>1.0000000000000002</v>
      </c>
      <c r="X26" s="24"/>
      <c r="Y26" s="25">
        <f t="shared" si="28"/>
        <v>4166277.6374959336</v>
      </c>
      <c r="Z26" s="25">
        <f t="shared" si="29"/>
        <v>605018.50024479302</v>
      </c>
      <c r="AA26" s="25">
        <f t="shared" si="30"/>
        <v>1594854.885220771</v>
      </c>
      <c r="AB26" s="25">
        <f t="shared" si="31"/>
        <v>1750058.0434890022</v>
      </c>
      <c r="AC26" s="25">
        <f t="shared" si="32"/>
        <v>47348.033549501401</v>
      </c>
      <c r="AD26" s="21">
        <f t="shared" si="13"/>
        <v>8163557.1000000006</v>
      </c>
      <c r="AE26" s="26">
        <f t="shared" si="3"/>
        <v>0</v>
      </c>
      <c r="AF26" s="27">
        <f t="shared" ref="AF26:AF36" si="38">1-0.6888</f>
        <v>0.31120000000000003</v>
      </c>
      <c r="AG26" s="27">
        <f t="shared" ref="AG26:AG36" si="39">1-0.7636</f>
        <v>0.23640000000000005</v>
      </c>
      <c r="AH26" s="27">
        <f t="shared" si="33"/>
        <v>0.68149999999999999</v>
      </c>
      <c r="AI26" s="27">
        <f t="shared" ref="AI26:AI36" si="40">1-0.329</f>
        <v>0.67100000000000004</v>
      </c>
      <c r="AJ26" s="27">
        <v>0</v>
      </c>
      <c r="AT26" s="18">
        <f t="shared" si="34"/>
        <v>1296545.6007887346</v>
      </c>
      <c r="AU26" s="18">
        <f t="shared" si="34"/>
        <v>143026.37345786911</v>
      </c>
      <c r="AV26" s="18">
        <f t="shared" si="34"/>
        <v>1086893.6042779554</v>
      </c>
      <c r="AW26" s="18">
        <f t="shared" si="34"/>
        <v>1174288.9471811205</v>
      </c>
      <c r="AX26" s="18">
        <f t="shared" si="34"/>
        <v>0</v>
      </c>
      <c r="AY26" s="26">
        <f t="shared" si="35"/>
        <v>3700754.5257056793</v>
      </c>
      <c r="AZ26" s="26"/>
      <c r="BA26" s="20">
        <f t="shared" si="36"/>
        <v>0.45332622536635153</v>
      </c>
      <c r="BB26" s="20">
        <f t="shared" si="37"/>
        <v>0.54667377463364852</v>
      </c>
      <c r="BC26" s="9">
        <v>5200</v>
      </c>
      <c r="BD26" s="30">
        <f t="shared" si="5"/>
        <v>2869732.0367071992</v>
      </c>
      <c r="BE26" s="30">
        <f t="shared" si="5"/>
        <v>461992.12678692391</v>
      </c>
      <c r="BF26" s="30">
        <f t="shared" si="5"/>
        <v>507961.28094281559</v>
      </c>
      <c r="BG26" s="30">
        <f t="shared" si="5"/>
        <v>575769.09630788164</v>
      </c>
      <c r="BH26" s="30">
        <f t="shared" si="5"/>
        <v>47348.033549501401</v>
      </c>
      <c r="BI26" s="31">
        <f t="shared" si="6"/>
        <v>4462802.5742943222</v>
      </c>
      <c r="BK26" s="9" t="str">
        <f t="shared" si="7"/>
        <v>42001211</v>
      </c>
      <c r="BL26" s="26">
        <f t="shared" si="8"/>
        <v>8163557.1000000006</v>
      </c>
    </row>
    <row r="27" spans="1:64">
      <c r="A27" s="10" t="str">
        <f t="shared" si="0"/>
        <v>4200</v>
      </c>
      <c r="B27" s="10" t="str">
        <f t="shared" si="1"/>
        <v>1215</v>
      </c>
      <c r="C27" s="35" t="s">
        <v>93</v>
      </c>
      <c r="D27" s="16">
        <v>820125</v>
      </c>
      <c r="E27" s="32" t="s">
        <v>94</v>
      </c>
      <c r="F27" s="18">
        <f>IFERROR(VLOOKUP(C27,'[4]Revenue Data - FY19 MAR-YTD '!$C$3:$Q$82,15,FALSE),0)</f>
        <v>-797598.79</v>
      </c>
      <c r="G27" s="18"/>
      <c r="H27" s="18">
        <f t="shared" si="9"/>
        <v>-797598.79</v>
      </c>
      <c r="I27" s="18">
        <f>'[4]Statistics Projections'!J32</f>
        <v>36580</v>
      </c>
      <c r="J27" s="18">
        <f t="shared" si="10"/>
        <v>-21.804231547293604</v>
      </c>
      <c r="K27" s="19"/>
      <c r="L27" s="20">
        <f t="shared" si="2"/>
        <v>1.04</v>
      </c>
      <c r="M27" s="18">
        <f t="shared" ref="M27:M36" si="41">ROUND(J27*L27,2)</f>
        <v>-22.68</v>
      </c>
      <c r="N27" s="19"/>
      <c r="O27" s="21">
        <f>'[4]Statistics Projections'!L32</f>
        <v>78042</v>
      </c>
      <c r="P27" s="18">
        <f t="shared" si="12"/>
        <v>1769992.56</v>
      </c>
      <c r="Q27" s="22"/>
      <c r="R27" s="24">
        <f>VLOOKUP($C27,'[4]Revenue Data - FY19 MAR-YTD '!$C$3:$V$82,20,FALSE)</f>
        <v>0.46620256281983574</v>
      </c>
      <c r="S27" s="24">
        <f>VLOOKUP($C27,'[4]Revenue Data - FY19 MAR-YTD '!$C$3:$V$82,19,FALSE)</f>
        <v>5.9981999220435123E-2</v>
      </c>
      <c r="T27" s="24">
        <f>VLOOKUP($C27,'[4]Revenue Data - FY19 MAR-YTD '!$C$3:$V$82,17,FALSE)</f>
        <v>0.2384433406675554</v>
      </c>
      <c r="U27" s="24">
        <f>VLOOKUP($C27,'[4]Revenue Data - FY19 MAR-YTD '!$C$3:$V$82,18,FALSE)</f>
        <v>0.23063002640713634</v>
      </c>
      <c r="V27" s="23">
        <f>VLOOKUP($C27,'[4]Revenue Data - FY19 MAR-YTD '!$C$3:$W$82,21,FALSE)</f>
        <v>4.7420708850373257E-3</v>
      </c>
      <c r="W27" s="24">
        <f t="shared" si="27"/>
        <v>0.99999999999999989</v>
      </c>
      <c r="X27" s="24"/>
      <c r="Y27" s="25">
        <f t="shared" si="28"/>
        <v>825175.06764404196</v>
      </c>
      <c r="Z27" s="25">
        <f t="shared" si="29"/>
        <v>106167.69235409597</v>
      </c>
      <c r="AA27" s="25">
        <f t="shared" si="30"/>
        <v>422042.93896311853</v>
      </c>
      <c r="AB27" s="25">
        <f t="shared" si="31"/>
        <v>408213.4308532349</v>
      </c>
      <c r="AC27" s="25">
        <f t="shared" si="32"/>
        <v>8393.4301855086815</v>
      </c>
      <c r="AD27" s="21">
        <f t="shared" si="13"/>
        <v>1769992.56</v>
      </c>
      <c r="AE27" s="26">
        <f t="shared" si="3"/>
        <v>0</v>
      </c>
      <c r="AF27" s="27">
        <f t="shared" si="38"/>
        <v>0.31120000000000003</v>
      </c>
      <c r="AG27" s="27">
        <f t="shared" si="39"/>
        <v>0.23640000000000005</v>
      </c>
      <c r="AH27" s="27">
        <f t="shared" si="33"/>
        <v>0.68149999999999999</v>
      </c>
      <c r="AI27" s="27">
        <f t="shared" si="40"/>
        <v>0.67100000000000004</v>
      </c>
      <c r="AJ27" s="27">
        <v>0</v>
      </c>
      <c r="AT27" s="18">
        <f t="shared" si="34"/>
        <v>256794.48105082588</v>
      </c>
      <c r="AU27" s="18">
        <f t="shared" si="34"/>
        <v>25098.042472508292</v>
      </c>
      <c r="AV27" s="18">
        <f t="shared" si="34"/>
        <v>287622.26290336531</v>
      </c>
      <c r="AW27" s="18">
        <f t="shared" si="34"/>
        <v>273911.21210252063</v>
      </c>
      <c r="AX27" s="18">
        <f t="shared" si="34"/>
        <v>0</v>
      </c>
      <c r="AY27" s="26">
        <f t="shared" si="35"/>
        <v>843425.99852922012</v>
      </c>
      <c r="AZ27" s="26"/>
      <c r="BA27" s="20">
        <f t="shared" si="36"/>
        <v>0.47651386654937133</v>
      </c>
      <c r="BB27" s="20">
        <f t="shared" si="37"/>
        <v>0.52348613345062867</v>
      </c>
      <c r="BC27" s="9">
        <v>5200</v>
      </c>
      <c r="BD27" s="30">
        <f t="shared" si="5"/>
        <v>568380.58659321605</v>
      </c>
      <c r="BE27" s="30">
        <f t="shared" si="5"/>
        <v>81069.649881587684</v>
      </c>
      <c r="BF27" s="30">
        <f t="shared" si="5"/>
        <v>134420.67605975323</v>
      </c>
      <c r="BG27" s="30">
        <f t="shared" si="5"/>
        <v>134302.21875071427</v>
      </c>
      <c r="BH27" s="30">
        <f t="shared" si="5"/>
        <v>8393.4301855086815</v>
      </c>
      <c r="BI27" s="31">
        <f t="shared" si="6"/>
        <v>926566.56147078006</v>
      </c>
      <c r="BK27" s="9" t="str">
        <f t="shared" si="7"/>
        <v>42001215</v>
      </c>
      <c r="BL27" s="26">
        <f t="shared" si="8"/>
        <v>1769992.56</v>
      </c>
    </row>
    <row r="28" spans="1:64">
      <c r="A28" s="10" t="str">
        <f t="shared" si="0"/>
        <v>4200</v>
      </c>
      <c r="B28" s="10" t="str">
        <f t="shared" si="1"/>
        <v>1216</v>
      </c>
      <c r="C28" s="35" t="s">
        <v>95</v>
      </c>
      <c r="D28" s="16">
        <v>820020</v>
      </c>
      <c r="E28" s="32" t="s">
        <v>96</v>
      </c>
      <c r="F28" s="18">
        <f>IFERROR(VLOOKUP(C28,'[4]Revenue Data - FY19 MAR-YTD '!$C$3:$Q$82,15,FALSE),0)</f>
        <v>-7330283.3200000003</v>
      </c>
      <c r="G28" s="18"/>
      <c r="H28" s="18">
        <f>SUM(F28:G28)</f>
        <v>-7330283.3200000003</v>
      </c>
      <c r="I28" s="18">
        <f>'[4]Statistics Projections'!J47</f>
        <v>5836</v>
      </c>
      <c r="J28" s="18">
        <f t="shared" si="10"/>
        <v>-1256.0458053461275</v>
      </c>
      <c r="K28" s="19"/>
      <c r="L28" s="20">
        <f t="shared" si="2"/>
        <v>1.04</v>
      </c>
      <c r="M28" s="18">
        <f t="shared" si="41"/>
        <v>-1306.29</v>
      </c>
      <c r="N28" s="19"/>
      <c r="O28" s="21">
        <f>'[4]Statistics Projections'!L47</f>
        <v>11561</v>
      </c>
      <c r="P28" s="18">
        <f t="shared" si="12"/>
        <v>15102018.689999999</v>
      </c>
      <c r="Q28" s="22"/>
      <c r="R28" s="24">
        <f>VLOOKUP($C28,'[4]Revenue Data - FY19 MAR-YTD '!$C$3:$V$82,20,FALSE)</f>
        <v>0.4921564286822136</v>
      </c>
      <c r="S28" s="24">
        <f>VLOOKUP($C28,'[4]Revenue Data - FY19 MAR-YTD '!$C$3:$V$82,19,FALSE)</f>
        <v>0.14004095001337546</v>
      </c>
      <c r="T28" s="24">
        <f>VLOOKUP($C28,'[4]Revenue Data - FY19 MAR-YTD '!$C$3:$V$82,17,FALSE)</f>
        <v>0.17909280483308795</v>
      </c>
      <c r="U28" s="24">
        <f>VLOOKUP($C28,'[4]Revenue Data - FY19 MAR-YTD '!$C$3:$V$82,18,FALSE)</f>
        <v>0.17002377201431279</v>
      </c>
      <c r="V28" s="23">
        <f>VLOOKUP($C28,'[4]Revenue Data - FY19 MAR-YTD '!$C$3:$W$82,21,FALSE)</f>
        <v>1.8686044457010154E-2</v>
      </c>
      <c r="W28" s="24">
        <f t="shared" si="27"/>
        <v>0.99999999999999989</v>
      </c>
      <c r="X28" s="24"/>
      <c r="Y28" s="25">
        <f t="shared" si="28"/>
        <v>7432555.5843624417</v>
      </c>
      <c r="Z28" s="25">
        <f t="shared" si="29"/>
        <v>2114901.0444673519</v>
      </c>
      <c r="AA28" s="25">
        <f t="shared" si="30"/>
        <v>2704662.8858338166</v>
      </c>
      <c r="AB28" s="25">
        <f t="shared" si="31"/>
        <v>2567702.1827044506</v>
      </c>
      <c r="AC28" s="25">
        <f t="shared" si="32"/>
        <v>282196.99263193825</v>
      </c>
      <c r="AD28" s="21">
        <f t="shared" si="13"/>
        <v>15102018.689999999</v>
      </c>
      <c r="AE28" s="26">
        <f t="shared" si="3"/>
        <v>0</v>
      </c>
      <c r="AF28" s="27">
        <f t="shared" si="38"/>
        <v>0.31120000000000003</v>
      </c>
      <c r="AG28" s="27">
        <f t="shared" si="39"/>
        <v>0.23640000000000005</v>
      </c>
      <c r="AH28" s="27">
        <f t="shared" si="33"/>
        <v>0.68149999999999999</v>
      </c>
      <c r="AI28" s="27">
        <f t="shared" si="40"/>
        <v>0.67100000000000004</v>
      </c>
      <c r="AJ28" s="27">
        <v>0</v>
      </c>
      <c r="AT28" s="18">
        <f t="shared" si="34"/>
        <v>2313011.2978535923</v>
      </c>
      <c r="AU28" s="18">
        <f t="shared" si="34"/>
        <v>499962.60691208212</v>
      </c>
      <c r="AV28" s="18">
        <f t="shared" si="34"/>
        <v>1843227.756695746</v>
      </c>
      <c r="AW28" s="18">
        <f t="shared" si="34"/>
        <v>1722928.1645946864</v>
      </c>
      <c r="AX28" s="18">
        <f t="shared" si="34"/>
        <v>0</v>
      </c>
      <c r="AY28" s="26">
        <f t="shared" si="35"/>
        <v>6379129.8260561069</v>
      </c>
      <c r="AZ28" s="26"/>
      <c r="BA28" s="20">
        <f t="shared" si="36"/>
        <v>0.42240245870442023</v>
      </c>
      <c r="BB28" s="20">
        <f t="shared" si="37"/>
        <v>0.57759754129557983</v>
      </c>
      <c r="BC28" s="9">
        <v>5200</v>
      </c>
      <c r="BD28" s="30">
        <f t="shared" si="5"/>
        <v>5119544.2865088489</v>
      </c>
      <c r="BE28" s="30">
        <f t="shared" si="5"/>
        <v>1614938.4375552698</v>
      </c>
      <c r="BF28" s="30">
        <f t="shared" si="5"/>
        <v>861435.12913807062</v>
      </c>
      <c r="BG28" s="30">
        <f t="shared" si="5"/>
        <v>844774.01810976421</v>
      </c>
      <c r="BH28" s="30">
        <f t="shared" si="5"/>
        <v>282196.99263193825</v>
      </c>
      <c r="BI28" s="31">
        <f t="shared" si="6"/>
        <v>8722888.8639438935</v>
      </c>
      <c r="BK28" s="9" t="str">
        <f t="shared" si="7"/>
        <v>42001216</v>
      </c>
      <c r="BL28" s="26">
        <f t="shared" si="8"/>
        <v>15102018.689999999</v>
      </c>
    </row>
    <row r="29" spans="1:64">
      <c r="A29" s="10" t="str">
        <f t="shared" si="0"/>
        <v>4200</v>
      </c>
      <c r="B29" s="10" t="str">
        <f t="shared" si="1"/>
        <v>1217</v>
      </c>
      <c r="C29" s="35" t="s">
        <v>97</v>
      </c>
      <c r="D29" s="16">
        <v>820030</v>
      </c>
      <c r="E29" s="32" t="s">
        <v>98</v>
      </c>
      <c r="F29" s="18">
        <f>IFERROR(VLOOKUP(C29,'[4]Revenue Data - FY19 MAR-YTD '!$C$3:$Q$82,15,FALSE),0)</f>
        <v>-5468838</v>
      </c>
      <c r="G29" s="18"/>
      <c r="H29" s="18">
        <f t="shared" si="9"/>
        <v>-5468838</v>
      </c>
      <c r="I29" s="18">
        <f>'[4]Statistics Projections'!J67</f>
        <v>25187</v>
      </c>
      <c r="J29" s="18">
        <f t="shared" si="10"/>
        <v>-217.12939214674236</v>
      </c>
      <c r="K29" s="52"/>
      <c r="L29" s="20">
        <f t="shared" si="2"/>
        <v>1.04</v>
      </c>
      <c r="M29" s="18">
        <f t="shared" si="41"/>
        <v>-225.81</v>
      </c>
      <c r="N29" s="19"/>
      <c r="O29" s="21">
        <f>'[4]Statistics Projections'!L67</f>
        <v>50450</v>
      </c>
      <c r="P29" s="18">
        <f t="shared" si="12"/>
        <v>11392114.5</v>
      </c>
      <c r="Q29" s="22"/>
      <c r="R29" s="24">
        <f>VLOOKUP($C29,'[4]Revenue Data - FY19 MAR-YTD '!$C$3:$V$82,20,FALSE)</f>
        <v>0.46900401876961795</v>
      </c>
      <c r="S29" s="24">
        <f>VLOOKUP($C29,'[4]Revenue Data - FY19 MAR-YTD '!$C$3:$V$82,19,FALSE)</f>
        <v>0.12342676817269044</v>
      </c>
      <c r="T29" s="24">
        <f>VLOOKUP($C29,'[4]Revenue Data - FY19 MAR-YTD '!$C$3:$V$82,17,FALSE)</f>
        <v>0.19928657605143907</v>
      </c>
      <c r="U29" s="24">
        <f>VLOOKUP($C29,'[4]Revenue Data - FY19 MAR-YTD '!$C$3:$V$82,18,FALSE)</f>
        <v>0.19245697166381598</v>
      </c>
      <c r="V29" s="23">
        <f>VLOOKUP($C29,'[4]Revenue Data - FY19 MAR-YTD '!$C$3:$W$82,21,FALSE)</f>
        <v>1.5825665342436547E-2</v>
      </c>
      <c r="W29" s="24">
        <f t="shared" si="27"/>
        <v>1</v>
      </c>
      <c r="X29" s="24"/>
      <c r="Y29" s="25">
        <f t="shared" si="28"/>
        <v>5342947.482783637</v>
      </c>
      <c r="Z29" s="25">
        <f t="shared" si="29"/>
        <v>1406091.8753882453</v>
      </c>
      <c r="AA29" s="25">
        <f t="shared" si="30"/>
        <v>2270295.4926909516</v>
      </c>
      <c r="AB29" s="25">
        <f t="shared" si="31"/>
        <v>2192491.8575174473</v>
      </c>
      <c r="AC29" s="25">
        <f t="shared" si="32"/>
        <v>180287.79161971886</v>
      </c>
      <c r="AD29" s="21">
        <f t="shared" si="13"/>
        <v>11392114.5</v>
      </c>
      <c r="AE29" s="26">
        <f t="shared" si="3"/>
        <v>0</v>
      </c>
      <c r="AF29" s="27">
        <f t="shared" si="38"/>
        <v>0.31120000000000003</v>
      </c>
      <c r="AG29" s="27">
        <f t="shared" si="39"/>
        <v>0.23640000000000005</v>
      </c>
      <c r="AH29" s="27">
        <f t="shared" si="33"/>
        <v>0.68149999999999999</v>
      </c>
      <c r="AI29" s="27">
        <f t="shared" si="40"/>
        <v>0.67100000000000004</v>
      </c>
      <c r="AJ29" s="27">
        <v>0</v>
      </c>
      <c r="AT29" s="18">
        <f t="shared" si="34"/>
        <v>1662725.256642268</v>
      </c>
      <c r="AU29" s="18">
        <f t="shared" si="34"/>
        <v>332400.11934178125</v>
      </c>
      <c r="AV29" s="18">
        <f t="shared" si="34"/>
        <v>1547206.3782688836</v>
      </c>
      <c r="AW29" s="18">
        <f t="shared" si="34"/>
        <v>1471162.0363942073</v>
      </c>
      <c r="AX29" s="18">
        <f t="shared" si="34"/>
        <v>0</v>
      </c>
      <c r="AY29" s="26">
        <f t="shared" si="35"/>
        <v>5013493.7906471398</v>
      </c>
      <c r="AZ29" s="26"/>
      <c r="BA29" s="20">
        <f t="shared" si="36"/>
        <v>0.44008456820260539</v>
      </c>
      <c r="BB29" s="20">
        <f t="shared" si="37"/>
        <v>0.55991543179739467</v>
      </c>
      <c r="BC29" s="9">
        <v>5200</v>
      </c>
      <c r="BD29" s="30">
        <f t="shared" si="5"/>
        <v>3680222.226141369</v>
      </c>
      <c r="BE29" s="30">
        <f t="shared" si="5"/>
        <v>1073691.7560464642</v>
      </c>
      <c r="BF29" s="30">
        <f t="shared" si="5"/>
        <v>723089.114422068</v>
      </c>
      <c r="BG29" s="30">
        <f t="shared" si="5"/>
        <v>721329.82112324005</v>
      </c>
      <c r="BH29" s="30">
        <f t="shared" si="5"/>
        <v>180287.79161971886</v>
      </c>
      <c r="BI29" s="31">
        <f t="shared" si="6"/>
        <v>6378620.7093528612</v>
      </c>
      <c r="BK29" s="9" t="str">
        <f t="shared" si="7"/>
        <v>42001217</v>
      </c>
      <c r="BL29" s="26">
        <f t="shared" si="8"/>
        <v>11392114.5</v>
      </c>
    </row>
    <row r="30" spans="1:64">
      <c r="A30" s="10" t="str">
        <f t="shared" si="0"/>
        <v>4200</v>
      </c>
      <c r="B30" s="10" t="str">
        <f t="shared" si="1"/>
        <v>1219</v>
      </c>
      <c r="C30" s="35" t="s">
        <v>99</v>
      </c>
      <c r="D30" s="16">
        <v>820045</v>
      </c>
      <c r="E30" s="32" t="s">
        <v>100</v>
      </c>
      <c r="F30" s="18">
        <f>IFERROR(VLOOKUP(C30,'[4]Revenue Data - FY19 MAR-YTD '!$C$3:$Q$82,15,FALSE),0)</f>
        <v>-4738109.41</v>
      </c>
      <c r="G30" s="18"/>
      <c r="H30" s="18">
        <f t="shared" si="9"/>
        <v>-4738109.41</v>
      </c>
      <c r="I30" s="18">
        <f>'[4]Statistics Projections'!J73</f>
        <v>31885</v>
      </c>
      <c r="J30" s="18">
        <f t="shared" si="10"/>
        <v>-148.59995013329151</v>
      </c>
      <c r="K30" s="19"/>
      <c r="L30" s="20">
        <v>1</v>
      </c>
      <c r="M30" s="18">
        <f t="shared" si="41"/>
        <v>-148.6</v>
      </c>
      <c r="N30" s="19"/>
      <c r="O30" s="21">
        <f>'[4]Statistics Projections'!L73</f>
        <v>63000</v>
      </c>
      <c r="P30" s="18">
        <f t="shared" si="12"/>
        <v>9361800</v>
      </c>
      <c r="Q30" s="22"/>
      <c r="R30" s="24">
        <f>VLOOKUP($C30,'[4]Revenue Data - FY19 MAR-YTD '!$C$3:$V$82,20,FALSE)</f>
        <v>0.67137837156867175</v>
      </c>
      <c r="S30" s="24">
        <f>VLOOKUP($C30,'[4]Revenue Data - FY19 MAR-YTD '!$C$3:$V$82,19,FALSE)</f>
        <v>4.2816930223652218E-2</v>
      </c>
      <c r="T30" s="24">
        <f>VLOOKUP($C30,'[4]Revenue Data - FY19 MAR-YTD '!$C$3:$V$82,17,FALSE)</f>
        <v>0.1202452308926315</v>
      </c>
      <c r="U30" s="24">
        <f>VLOOKUP($C30,'[4]Revenue Data - FY19 MAR-YTD '!$C$3:$V$82,18,FALSE)</f>
        <v>0.14254956176708466</v>
      </c>
      <c r="V30" s="23">
        <f>VLOOKUP($C30,'[4]Revenue Data - FY19 MAR-YTD '!$C$3:$W$82,21,FALSE)</f>
        <v>2.3009905547959897E-2</v>
      </c>
      <c r="W30" s="24">
        <f t="shared" si="27"/>
        <v>1</v>
      </c>
      <c r="X30" s="24"/>
      <c r="Y30" s="25">
        <f t="shared" si="28"/>
        <v>6285310.0389515916</v>
      </c>
      <c r="Z30" s="25">
        <f t="shared" si="29"/>
        <v>400843.53736778733</v>
      </c>
      <c r="AA30" s="25">
        <f t="shared" si="30"/>
        <v>1125711.8025706375</v>
      </c>
      <c r="AB30" s="25">
        <f t="shared" si="31"/>
        <v>1334520.4873510932</v>
      </c>
      <c r="AC30" s="25">
        <f t="shared" si="32"/>
        <v>215414.13375889097</v>
      </c>
      <c r="AD30" s="21">
        <f>SUM(Y30:AC30)</f>
        <v>9361800</v>
      </c>
      <c r="AE30" s="26">
        <f t="shared" si="3"/>
        <v>0</v>
      </c>
      <c r="AF30" s="27">
        <f t="shared" si="38"/>
        <v>0.31120000000000003</v>
      </c>
      <c r="AG30" s="27">
        <f t="shared" si="39"/>
        <v>0.23640000000000005</v>
      </c>
      <c r="AH30" s="27">
        <f t="shared" si="33"/>
        <v>0.68149999999999999</v>
      </c>
      <c r="AI30" s="27">
        <f t="shared" si="40"/>
        <v>0.67100000000000004</v>
      </c>
      <c r="AJ30" s="27">
        <v>0</v>
      </c>
      <c r="AT30" s="18">
        <f t="shared" si="34"/>
        <v>1955988.4841217354</v>
      </c>
      <c r="AU30" s="18">
        <f t="shared" si="34"/>
        <v>94759.412233744952</v>
      </c>
      <c r="AV30" s="18">
        <f t="shared" si="34"/>
        <v>767172.59345188946</v>
      </c>
      <c r="AW30" s="18">
        <f t="shared" si="34"/>
        <v>895463.24701258366</v>
      </c>
      <c r="AX30" s="18">
        <f t="shared" si="34"/>
        <v>0</v>
      </c>
      <c r="AY30" s="26">
        <f t="shared" si="35"/>
        <v>3713383.7368199537</v>
      </c>
      <c r="AZ30" s="26"/>
      <c r="BA30" s="20">
        <f t="shared" si="36"/>
        <v>0.39665275233608427</v>
      </c>
      <c r="BB30" s="20">
        <f t="shared" si="37"/>
        <v>0.60334724766391568</v>
      </c>
      <c r="BC30" s="9">
        <v>5200</v>
      </c>
      <c r="BD30" s="30">
        <f t="shared" si="5"/>
        <v>4329321.5548298564</v>
      </c>
      <c r="BE30" s="30">
        <f t="shared" si="5"/>
        <v>306084.12513404235</v>
      </c>
      <c r="BF30" s="30">
        <f t="shared" si="5"/>
        <v>358539.20911874808</v>
      </c>
      <c r="BG30" s="30">
        <f t="shared" si="5"/>
        <v>439057.24033850955</v>
      </c>
      <c r="BH30" s="30">
        <f t="shared" si="5"/>
        <v>215414.13375889097</v>
      </c>
      <c r="BI30" s="31">
        <f t="shared" si="6"/>
        <v>5648416.2631800482</v>
      </c>
      <c r="BK30" s="9" t="str">
        <f t="shared" si="7"/>
        <v>42001219</v>
      </c>
      <c r="BL30" s="26">
        <f t="shared" si="8"/>
        <v>9361800</v>
      </c>
    </row>
    <row r="31" spans="1:64">
      <c r="A31" s="10" t="str">
        <f t="shared" si="0"/>
        <v>4200</v>
      </c>
      <c r="B31" s="10" t="str">
        <f t="shared" si="1"/>
        <v>1220</v>
      </c>
      <c r="C31" s="35" t="s">
        <v>101</v>
      </c>
      <c r="D31" s="16">
        <v>820050</v>
      </c>
      <c r="E31" s="32" t="s">
        <v>102</v>
      </c>
      <c r="F31" s="18">
        <f>IFERROR(VLOOKUP(C31,'[4]Revenue Data - FY19 MAR-YTD '!$C$3:$Q$82,15,FALSE),0)</f>
        <v>-124791</v>
      </c>
      <c r="G31" s="26"/>
      <c r="H31" s="18">
        <f t="shared" si="9"/>
        <v>-124791</v>
      </c>
      <c r="I31" s="18">
        <f>'[4]Statistics Projections'!J79</f>
        <v>549</v>
      </c>
      <c r="J31" s="18">
        <f t="shared" si="10"/>
        <v>-227.30601092896174</v>
      </c>
      <c r="K31" s="19"/>
      <c r="L31" s="20">
        <f t="shared" si="2"/>
        <v>1.04</v>
      </c>
      <c r="M31" s="18">
        <f t="shared" si="41"/>
        <v>-236.4</v>
      </c>
      <c r="N31" s="19"/>
      <c r="O31" s="21">
        <f>'[4]Statistics Projections'!L79</f>
        <v>1136</v>
      </c>
      <c r="P31" s="18">
        <f t="shared" si="12"/>
        <v>268550.40000000002</v>
      </c>
      <c r="Q31" s="22"/>
      <c r="R31" s="24">
        <f>VLOOKUP($C31,'[4]Revenue Data - FY19 MAR-YTD '!$C$3:$V$82,20,FALSE)</f>
        <v>0.54160957120305153</v>
      </c>
      <c r="S31" s="24">
        <f>VLOOKUP($C31,'[4]Revenue Data - FY19 MAR-YTD '!$C$3:$V$82,19,FALSE)</f>
        <v>9.7683326521944697E-2</v>
      </c>
      <c r="T31" s="24">
        <f>VLOOKUP($C31,'[4]Revenue Data - FY19 MAR-YTD '!$C$3:$V$82,17,FALSE)</f>
        <v>0.16917085366733178</v>
      </c>
      <c r="U31" s="24">
        <f>VLOOKUP($C31,'[4]Revenue Data - FY19 MAR-YTD '!$C$3:$V$82,18,FALSE)</f>
        <v>0.17486837993124504</v>
      </c>
      <c r="V31" s="23">
        <f>VLOOKUP($C31,'[4]Revenue Data - FY19 MAR-YTD '!$C$3:$W$82,21,FALSE)</f>
        <v>1.6667868676426986E-2</v>
      </c>
      <c r="W31" s="24">
        <f t="shared" si="27"/>
        <v>1</v>
      </c>
      <c r="X31" s="24"/>
      <c r="Y31" s="25">
        <f t="shared" si="28"/>
        <v>145449.46699040799</v>
      </c>
      <c r="Z31" s="25">
        <f t="shared" si="29"/>
        <v>26232.896410798858</v>
      </c>
      <c r="AA31" s="25">
        <f t="shared" si="30"/>
        <v>45430.900420703423</v>
      </c>
      <c r="AB31" s="25">
        <f t="shared" si="31"/>
        <v>46960.973377887836</v>
      </c>
      <c r="AC31" s="25">
        <f t="shared" si="32"/>
        <v>4476.1628002019379</v>
      </c>
      <c r="AD31" s="21">
        <f t="shared" si="13"/>
        <v>268550.40000000002</v>
      </c>
      <c r="AE31" s="26">
        <f t="shared" si="3"/>
        <v>0</v>
      </c>
      <c r="AF31" s="27">
        <f t="shared" si="38"/>
        <v>0.31120000000000003</v>
      </c>
      <c r="AG31" s="27">
        <f t="shared" si="39"/>
        <v>0.23640000000000005</v>
      </c>
      <c r="AH31" s="27">
        <f t="shared" si="33"/>
        <v>0.68149999999999999</v>
      </c>
      <c r="AI31" s="27">
        <f t="shared" si="40"/>
        <v>0.67100000000000004</v>
      </c>
      <c r="AJ31" s="27">
        <v>0</v>
      </c>
      <c r="AT31" s="18">
        <f t="shared" si="34"/>
        <v>45263.874127414972</v>
      </c>
      <c r="AU31" s="18">
        <f t="shared" si="34"/>
        <v>6201.4567115128511</v>
      </c>
      <c r="AV31" s="18">
        <f t="shared" si="34"/>
        <v>30961.158636709384</v>
      </c>
      <c r="AW31" s="18">
        <f t="shared" si="34"/>
        <v>31510.813136562741</v>
      </c>
      <c r="AX31" s="18">
        <f t="shared" si="34"/>
        <v>0</v>
      </c>
      <c r="AY31" s="26">
        <f t="shared" si="35"/>
        <v>113937.30261219994</v>
      </c>
      <c r="AZ31" s="26"/>
      <c r="BA31" s="20">
        <f t="shared" si="36"/>
        <v>0.42426785665632943</v>
      </c>
      <c r="BB31" s="20">
        <f t="shared" si="37"/>
        <v>0.57573214334367062</v>
      </c>
      <c r="BC31" s="9">
        <v>5200</v>
      </c>
      <c r="BD31" s="30">
        <f t="shared" si="5"/>
        <v>100185.59286299301</v>
      </c>
      <c r="BE31" s="30">
        <f t="shared" si="5"/>
        <v>20031.439699286006</v>
      </c>
      <c r="BF31" s="30">
        <f t="shared" si="5"/>
        <v>14469.741783994039</v>
      </c>
      <c r="BG31" s="30">
        <f t="shared" si="5"/>
        <v>15450.160241325095</v>
      </c>
      <c r="BH31" s="30">
        <f t="shared" si="5"/>
        <v>4476.1628002019379</v>
      </c>
      <c r="BI31" s="31">
        <f t="shared" si="6"/>
        <v>154613.09738780011</v>
      </c>
      <c r="BK31" s="9" t="str">
        <f t="shared" si="7"/>
        <v>42001220</v>
      </c>
      <c r="BL31" s="26">
        <f t="shared" si="8"/>
        <v>268550.40000000002</v>
      </c>
    </row>
    <row r="32" spans="1:64">
      <c r="A32" s="10" t="str">
        <f t="shared" si="0"/>
        <v>4200</v>
      </c>
      <c r="B32" s="10" t="str">
        <f t="shared" si="1"/>
        <v>1222</v>
      </c>
      <c r="C32" s="35" t="s">
        <v>103</v>
      </c>
      <c r="D32" s="16">
        <v>820060</v>
      </c>
      <c r="E32" s="32" t="s">
        <v>104</v>
      </c>
      <c r="F32" s="18">
        <f>IFERROR(VLOOKUP(C32,'[4]Revenue Data - FY19 MAR-YTD '!$C$3:$Q$82,15,FALSE),0)</f>
        <v>-2349268.7999999998</v>
      </c>
      <c r="G32" s="18"/>
      <c r="H32" s="18">
        <f t="shared" si="9"/>
        <v>-2349268.7999999998</v>
      </c>
      <c r="I32" s="18">
        <f>'[4]Statistics Projections'!J85</f>
        <v>11868</v>
      </c>
      <c r="J32" s="18">
        <f t="shared" si="10"/>
        <v>-197.94984833164813</v>
      </c>
      <c r="K32" s="19"/>
      <c r="L32" s="20">
        <f t="shared" si="2"/>
        <v>1.04</v>
      </c>
      <c r="M32" s="18">
        <f t="shared" si="41"/>
        <v>-205.87</v>
      </c>
      <c r="N32" s="19"/>
      <c r="O32" s="21">
        <f>'[4]Statistics Projections'!L85</f>
        <v>23000</v>
      </c>
      <c r="P32" s="18">
        <f t="shared" si="12"/>
        <v>4735010</v>
      </c>
      <c r="Q32" s="22"/>
      <c r="R32" s="24">
        <f>VLOOKUP($C32,'[4]Revenue Data - FY19 MAR-YTD '!$C$3:$V$82,20,FALSE)</f>
        <v>0.55523467557224615</v>
      </c>
      <c r="S32" s="24">
        <f>VLOOKUP($C32,'[4]Revenue Data - FY19 MAR-YTD '!$C$3:$V$82,19,FALSE)</f>
        <v>0.1213131124033146</v>
      </c>
      <c r="T32" s="24">
        <f>VLOOKUP($C32,'[4]Revenue Data - FY19 MAR-YTD '!$C$3:$V$82,17,FALSE)</f>
        <v>0.12656366099954167</v>
      </c>
      <c r="U32" s="24">
        <f>VLOOKUP($C32,'[4]Revenue Data - FY19 MAR-YTD '!$C$3:$V$82,18,FALSE)</f>
        <v>0.18292505310588555</v>
      </c>
      <c r="V32" s="23">
        <f>VLOOKUP($C32,'[4]Revenue Data - FY19 MAR-YTD '!$C$3:$W$82,21,FALSE)</f>
        <v>1.396349791901208E-2</v>
      </c>
      <c r="W32" s="24">
        <f t="shared" si="27"/>
        <v>1</v>
      </c>
      <c r="X32" s="24"/>
      <c r="Y32" s="25">
        <f t="shared" si="28"/>
        <v>2629041.7411813415</v>
      </c>
      <c r="Z32" s="25">
        <f t="shared" si="29"/>
        <v>574418.80036081874</v>
      </c>
      <c r="AA32" s="25">
        <f t="shared" si="30"/>
        <v>599280.20046943973</v>
      </c>
      <c r="AB32" s="25">
        <f t="shared" si="31"/>
        <v>866151.95570689917</v>
      </c>
      <c r="AC32" s="25">
        <f t="shared" si="32"/>
        <v>66117.302281501383</v>
      </c>
      <c r="AD32" s="21">
        <f t="shared" si="13"/>
        <v>4735010.0000000009</v>
      </c>
      <c r="AE32" s="26">
        <f t="shared" si="3"/>
        <v>0</v>
      </c>
      <c r="AF32" s="27">
        <f t="shared" si="38"/>
        <v>0.31120000000000003</v>
      </c>
      <c r="AG32" s="27">
        <f t="shared" si="39"/>
        <v>0.23640000000000005</v>
      </c>
      <c r="AH32" s="27">
        <f t="shared" si="33"/>
        <v>0.68149999999999999</v>
      </c>
      <c r="AI32" s="27">
        <f t="shared" si="40"/>
        <v>0.67100000000000004</v>
      </c>
      <c r="AJ32" s="27">
        <v>0</v>
      </c>
      <c r="AT32" s="18">
        <f t="shared" si="34"/>
        <v>818157.78985563351</v>
      </c>
      <c r="AU32" s="18">
        <f t="shared" si="34"/>
        <v>135792.60440529758</v>
      </c>
      <c r="AV32" s="18">
        <f t="shared" si="34"/>
        <v>408409.45661992318</v>
      </c>
      <c r="AW32" s="18">
        <f t="shared" si="34"/>
        <v>581187.96227932943</v>
      </c>
      <c r="AX32" s="18">
        <f t="shared" si="34"/>
        <v>0</v>
      </c>
      <c r="AY32" s="26">
        <f t="shared" si="35"/>
        <v>1943547.8131601838</v>
      </c>
      <c r="AZ32" s="26"/>
      <c r="BA32" s="20">
        <f t="shared" si="36"/>
        <v>0.41046329641546342</v>
      </c>
      <c r="BB32" s="20">
        <f t="shared" si="37"/>
        <v>0.58953670358453658</v>
      </c>
      <c r="BC32" s="9">
        <v>5200</v>
      </c>
      <c r="BD32" s="30">
        <f t="shared" si="5"/>
        <v>1810883.9513257081</v>
      </c>
      <c r="BE32" s="30">
        <f t="shared" si="5"/>
        <v>438626.19595552119</v>
      </c>
      <c r="BF32" s="30">
        <f t="shared" si="5"/>
        <v>190870.74384951656</v>
      </c>
      <c r="BG32" s="30">
        <f t="shared" si="5"/>
        <v>284963.99342756975</v>
      </c>
      <c r="BH32" s="30">
        <f t="shared" si="5"/>
        <v>66117.302281501383</v>
      </c>
      <c r="BI32" s="31">
        <f t="shared" si="6"/>
        <v>2791462.1868398166</v>
      </c>
      <c r="BK32" s="9" t="str">
        <f t="shared" si="7"/>
        <v>42001222</v>
      </c>
      <c r="BL32" s="26">
        <f t="shared" si="8"/>
        <v>4735010</v>
      </c>
    </row>
    <row r="33" spans="1:64">
      <c r="A33" s="10" t="str">
        <f t="shared" si="0"/>
        <v>4200</v>
      </c>
      <c r="B33" s="10" t="str">
        <f t="shared" si="1"/>
        <v>1223</v>
      </c>
      <c r="C33" s="35" t="s">
        <v>105</v>
      </c>
      <c r="D33" s="16">
        <v>820060</v>
      </c>
      <c r="E33" s="32" t="s">
        <v>106</v>
      </c>
      <c r="F33" s="18">
        <f>IFERROR(VLOOKUP(C33,'[4]Revenue Data - FY19 MAR-YTD '!$C$3:$Q$82,15,FALSE),0)</f>
        <v>-120479.88</v>
      </c>
      <c r="G33" s="18"/>
      <c r="H33" s="18">
        <f t="shared" si="9"/>
        <v>-120479.88</v>
      </c>
      <c r="I33" s="18">
        <f>'[4]Statistics Projections'!J91</f>
        <v>613</v>
      </c>
      <c r="J33" s="18">
        <f t="shared" si="10"/>
        <v>-196.54140293637846</v>
      </c>
      <c r="K33" s="53"/>
      <c r="L33" s="20">
        <f t="shared" si="2"/>
        <v>1.04</v>
      </c>
      <c r="M33" s="18">
        <f t="shared" si="41"/>
        <v>-204.4</v>
      </c>
      <c r="N33" s="19"/>
      <c r="O33" s="21">
        <f>'[4]Statistics Projections'!L91</f>
        <v>1000</v>
      </c>
      <c r="P33" s="18">
        <f t="shared" si="12"/>
        <v>204400</v>
      </c>
      <c r="Q33" s="22"/>
      <c r="R33" s="24">
        <f>VLOOKUP($C33,'[4]Revenue Data - FY19 MAR-YTD '!$C$3:$V$82,20,FALSE)</f>
        <v>0.44867831873670522</v>
      </c>
      <c r="S33" s="24">
        <f>VLOOKUP($C33,'[4]Revenue Data - FY19 MAR-YTD '!$C$3:$V$82,19,FALSE)</f>
        <v>0.15386834714642811</v>
      </c>
      <c r="T33" s="24">
        <f>VLOOKUP($C33,'[4]Revenue Data - FY19 MAR-YTD '!$C$3:$V$82,17,FALSE)</f>
        <v>0.17051884513829196</v>
      </c>
      <c r="U33" s="24">
        <f>VLOOKUP($C33,'[4]Revenue Data - FY19 MAR-YTD '!$C$3:$V$82,18,FALSE)</f>
        <v>0.187649755295241</v>
      </c>
      <c r="V33" s="23">
        <f>VLOOKUP($C33,'[4]Revenue Data - FY19 MAR-YTD '!$C$3:$W$82,21,FALSE)</f>
        <v>3.9284733683333684E-2</v>
      </c>
      <c r="W33" s="24">
        <f t="shared" si="27"/>
        <v>1</v>
      </c>
      <c r="X33" s="24"/>
      <c r="Y33" s="25">
        <f t="shared" si="28"/>
        <v>91709.848349782551</v>
      </c>
      <c r="Z33" s="25">
        <f t="shared" si="29"/>
        <v>31450.690156729906</v>
      </c>
      <c r="AA33" s="25">
        <f t="shared" si="30"/>
        <v>34854.051946266874</v>
      </c>
      <c r="AB33" s="25">
        <f t="shared" si="31"/>
        <v>38355.609982347261</v>
      </c>
      <c r="AC33" s="25">
        <f t="shared" si="32"/>
        <v>8029.799564873405</v>
      </c>
      <c r="AD33" s="21">
        <f t="shared" si="13"/>
        <v>204399.99999999997</v>
      </c>
      <c r="AE33" s="26">
        <f t="shared" si="3"/>
        <v>0</v>
      </c>
      <c r="AF33" s="27">
        <f t="shared" si="38"/>
        <v>0.31120000000000003</v>
      </c>
      <c r="AG33" s="27">
        <f t="shared" si="39"/>
        <v>0.23640000000000005</v>
      </c>
      <c r="AH33" s="27">
        <f t="shared" si="33"/>
        <v>0.68149999999999999</v>
      </c>
      <c r="AI33" s="27">
        <f t="shared" si="40"/>
        <v>0.67100000000000004</v>
      </c>
      <c r="AJ33" s="27">
        <v>0</v>
      </c>
      <c r="AT33" s="18">
        <f t="shared" si="34"/>
        <v>28540.104806452331</v>
      </c>
      <c r="AU33" s="18">
        <f t="shared" si="34"/>
        <v>7434.9431530509519</v>
      </c>
      <c r="AV33" s="18">
        <f t="shared" si="34"/>
        <v>23753.036401380876</v>
      </c>
      <c r="AW33" s="18">
        <f t="shared" si="34"/>
        <v>25736.614298155015</v>
      </c>
      <c r="AX33" s="18">
        <f t="shared" si="34"/>
        <v>0</v>
      </c>
      <c r="AY33" s="26">
        <f t="shared" si="35"/>
        <v>85464.698659039161</v>
      </c>
      <c r="AZ33" s="26"/>
      <c r="BA33" s="20">
        <f t="shared" si="36"/>
        <v>0.41812474882113099</v>
      </c>
      <c r="BB33" s="20">
        <f t="shared" si="37"/>
        <v>0.58187525117886896</v>
      </c>
      <c r="BC33" s="9">
        <v>5200</v>
      </c>
      <c r="BD33" s="30">
        <f t="shared" si="5"/>
        <v>63169.743543330216</v>
      </c>
      <c r="BE33" s="30">
        <f t="shared" si="5"/>
        <v>24015.747003678953</v>
      </c>
      <c r="BF33" s="30">
        <f t="shared" si="5"/>
        <v>11101.015544885999</v>
      </c>
      <c r="BG33" s="30">
        <f t="shared" si="5"/>
        <v>12618.995684192247</v>
      </c>
      <c r="BH33" s="30">
        <f t="shared" si="5"/>
        <v>8029.799564873405</v>
      </c>
      <c r="BI33" s="31">
        <f t="shared" si="6"/>
        <v>118935.30134096082</v>
      </c>
      <c r="BK33" s="9" t="str">
        <f t="shared" si="7"/>
        <v>42001223</v>
      </c>
      <c r="BL33" s="26">
        <f t="shared" si="8"/>
        <v>204400</v>
      </c>
    </row>
    <row r="34" spans="1:64">
      <c r="A34" s="10" t="str">
        <f t="shared" si="0"/>
        <v>4200</v>
      </c>
      <c r="B34" s="10" t="str">
        <f t="shared" si="1"/>
        <v>1224</v>
      </c>
      <c r="C34" s="35" t="s">
        <v>107</v>
      </c>
      <c r="D34" s="16">
        <v>820060</v>
      </c>
      <c r="E34" s="32" t="s">
        <v>108</v>
      </c>
      <c r="F34" s="18">
        <f>IFERROR(VLOOKUP(C34,'[4]Revenue Data - FY19 MAR-YTD '!$C$3:$Q$82,15,FALSE),0)</f>
        <v>-47890.479999999996</v>
      </c>
      <c r="G34" s="18"/>
      <c r="H34" s="18">
        <f t="shared" si="9"/>
        <v>-47890.479999999996</v>
      </c>
      <c r="I34" s="18">
        <f>'[4]Statistics Projections'!J97</f>
        <v>133</v>
      </c>
      <c r="J34" s="18">
        <f t="shared" si="10"/>
        <v>-360.07879699248116</v>
      </c>
      <c r="K34" s="19"/>
      <c r="L34" s="20">
        <f t="shared" si="2"/>
        <v>1.04</v>
      </c>
      <c r="M34" s="18">
        <f t="shared" si="41"/>
        <v>-374.48</v>
      </c>
      <c r="N34" s="19"/>
      <c r="O34" s="21">
        <f>'[4]Statistics Projections'!L97</f>
        <v>200</v>
      </c>
      <c r="P34" s="18">
        <f t="shared" si="12"/>
        <v>74896</v>
      </c>
      <c r="Q34" s="22"/>
      <c r="R34" s="24">
        <f>VLOOKUP($C34,'[4]Revenue Data - FY19 MAR-YTD '!$C$3:$V$82,20,FALSE)</f>
        <v>0.7365428369062077</v>
      </c>
      <c r="S34" s="24">
        <f>VLOOKUP($C34,'[4]Revenue Data - FY19 MAR-YTD '!$C$3:$V$82,19,FALSE)</f>
        <v>4.1845477431005078E-2</v>
      </c>
      <c r="T34" s="24">
        <f>VLOOKUP($C34,'[4]Revenue Data - FY19 MAR-YTD '!$C$3:$V$82,17,FALSE)</f>
        <v>0.20766319318578558</v>
      </c>
      <c r="U34" s="24">
        <f>VLOOKUP($C34,'[4]Revenue Data - FY19 MAR-YTD '!$C$3:$V$82,18,FALSE)</f>
        <v>6.9742462385008466E-3</v>
      </c>
      <c r="V34" s="23">
        <f>VLOOKUP($C34,'[4]Revenue Data - FY19 MAR-YTD '!$C$3:$W$82,21,FALSE)</f>
        <v>6.9742462385008466E-3</v>
      </c>
      <c r="W34" s="24">
        <f t="shared" si="27"/>
        <v>1</v>
      </c>
      <c r="X34" s="24"/>
      <c r="Y34" s="25">
        <f t="shared" si="28"/>
        <v>55164.112312927333</v>
      </c>
      <c r="Z34" s="25">
        <f t="shared" si="29"/>
        <v>3134.0588776725563</v>
      </c>
      <c r="AA34" s="25">
        <f t="shared" si="30"/>
        <v>15553.142516842596</v>
      </c>
      <c r="AB34" s="25">
        <f t="shared" si="31"/>
        <v>522.34314627875938</v>
      </c>
      <c r="AC34" s="25">
        <f t="shared" si="32"/>
        <v>522.34314627875938</v>
      </c>
      <c r="AD34" s="21">
        <f t="shared" si="13"/>
        <v>74896</v>
      </c>
      <c r="AE34" s="26">
        <f t="shared" si="3"/>
        <v>0</v>
      </c>
      <c r="AF34" s="27">
        <f t="shared" si="38"/>
        <v>0.31120000000000003</v>
      </c>
      <c r="AG34" s="27">
        <f t="shared" si="39"/>
        <v>0.23640000000000005</v>
      </c>
      <c r="AH34" s="27">
        <f t="shared" si="33"/>
        <v>0.68149999999999999</v>
      </c>
      <c r="AI34" s="27">
        <f t="shared" si="40"/>
        <v>0.67100000000000004</v>
      </c>
      <c r="AJ34" s="27">
        <v>0</v>
      </c>
      <c r="AT34" s="18">
        <f t="shared" si="34"/>
        <v>17167.071751782987</v>
      </c>
      <c r="AU34" s="18">
        <f t="shared" si="34"/>
        <v>740.89151868179249</v>
      </c>
      <c r="AV34" s="18">
        <f t="shared" si="34"/>
        <v>10599.46662522823</v>
      </c>
      <c r="AW34" s="18">
        <f t="shared" si="34"/>
        <v>350.49225115304756</v>
      </c>
      <c r="AX34" s="18">
        <f t="shared" si="34"/>
        <v>0</v>
      </c>
      <c r="AY34" s="26">
        <f t="shared" si="35"/>
        <v>28857.922146846056</v>
      </c>
      <c r="AZ34" s="26"/>
      <c r="BA34" s="20">
        <f t="shared" si="36"/>
        <v>0.3853065870920484</v>
      </c>
      <c r="BB34" s="20">
        <f t="shared" si="37"/>
        <v>0.61469341290795154</v>
      </c>
      <c r="BC34" s="9">
        <v>5200</v>
      </c>
      <c r="BD34" s="30">
        <f t="shared" si="5"/>
        <v>37997.040561144342</v>
      </c>
      <c r="BE34" s="30">
        <f t="shared" si="5"/>
        <v>2393.1673589907637</v>
      </c>
      <c r="BF34" s="30">
        <f t="shared" si="5"/>
        <v>4953.6758916143663</v>
      </c>
      <c r="BG34" s="30">
        <f t="shared" si="5"/>
        <v>171.85089512571182</v>
      </c>
      <c r="BH34" s="30">
        <f t="shared" si="5"/>
        <v>522.34314627875938</v>
      </c>
      <c r="BI34" s="31">
        <f t="shared" si="6"/>
        <v>46038.07785315394</v>
      </c>
      <c r="BK34" s="9" t="str">
        <f t="shared" si="7"/>
        <v>42001224</v>
      </c>
      <c r="BL34" s="26">
        <f t="shared" si="8"/>
        <v>74896</v>
      </c>
    </row>
    <row r="35" spans="1:64">
      <c r="A35" s="10" t="str">
        <f t="shared" si="0"/>
        <v>4200</v>
      </c>
      <c r="B35" s="10" t="str">
        <f t="shared" si="1"/>
        <v>1225</v>
      </c>
      <c r="C35" s="35" t="s">
        <v>109</v>
      </c>
      <c r="D35" s="16">
        <v>820090</v>
      </c>
      <c r="E35" s="32" t="s">
        <v>110</v>
      </c>
      <c r="F35" s="18">
        <f>IFERROR(VLOOKUP(C35,'[4]Revenue Data - FY19 MAR-YTD '!$C$3:$Q$82,15,FALSE),0)</f>
        <v>-154460</v>
      </c>
      <c r="G35" s="18"/>
      <c r="H35" s="18">
        <f t="shared" si="9"/>
        <v>-154460</v>
      </c>
      <c r="I35" s="18">
        <f>'[4]Statistics Projections'!J102</f>
        <v>459</v>
      </c>
      <c r="J35" s="18">
        <f t="shared" si="10"/>
        <v>-336.51416122004355</v>
      </c>
      <c r="K35" s="53"/>
      <c r="L35" s="20">
        <f t="shared" si="2"/>
        <v>1.04</v>
      </c>
      <c r="M35" s="18">
        <f t="shared" si="41"/>
        <v>-349.97</v>
      </c>
      <c r="N35" s="19"/>
      <c r="O35" s="21">
        <f>'[4]Statistics Projections'!L102</f>
        <v>1000</v>
      </c>
      <c r="P35" s="18">
        <f t="shared" si="12"/>
        <v>349970</v>
      </c>
      <c r="Q35" s="22"/>
      <c r="R35" s="24">
        <f>VLOOKUP($C35,'[4]Revenue Data - FY19 MAR-YTD '!$C$3:$V$82,20,FALSE)</f>
        <v>0.53182053606111612</v>
      </c>
      <c r="S35" s="24">
        <f>VLOOKUP($C35,'[4]Revenue Data - FY19 MAR-YTD '!$C$3:$V$82,19,FALSE)</f>
        <v>3.2435582027709438E-3</v>
      </c>
      <c r="T35" s="24">
        <f>VLOOKUP($C35,'[4]Revenue Data - FY19 MAR-YTD '!$C$3:$V$82,17,FALSE)</f>
        <v>0.15527644697656351</v>
      </c>
      <c r="U35" s="24">
        <f>VLOOKUP($C35,'[4]Revenue Data - FY19 MAR-YTD '!$C$3:$V$82,18,FALSE)</f>
        <v>0.30965945875954942</v>
      </c>
      <c r="V35" s="23">
        <f>VLOOKUP($C35,'[4]Revenue Data - FY19 MAR-YTD '!$C$3:$W$82,21,FALSE)</f>
        <v>0</v>
      </c>
      <c r="W35" s="24">
        <f t="shared" si="27"/>
        <v>1</v>
      </c>
      <c r="X35" s="24"/>
      <c r="Y35" s="25">
        <f t="shared" si="28"/>
        <v>186121.23300530881</v>
      </c>
      <c r="Z35" s="25">
        <f t="shared" si="29"/>
        <v>1135.1480642237473</v>
      </c>
      <c r="AA35" s="25">
        <f t="shared" si="30"/>
        <v>54342.09814838793</v>
      </c>
      <c r="AB35" s="25">
        <f t="shared" si="31"/>
        <v>108371.5207820795</v>
      </c>
      <c r="AC35" s="25">
        <f t="shared" si="32"/>
        <v>0</v>
      </c>
      <c r="AD35" s="21">
        <f t="shared" si="13"/>
        <v>349970</v>
      </c>
      <c r="AE35" s="26">
        <f t="shared" si="3"/>
        <v>0</v>
      </c>
      <c r="AF35" s="27">
        <f t="shared" si="38"/>
        <v>0.31120000000000003</v>
      </c>
      <c r="AG35" s="27">
        <f t="shared" si="39"/>
        <v>0.23640000000000005</v>
      </c>
      <c r="AH35" s="27">
        <f t="shared" si="33"/>
        <v>0.68149999999999999</v>
      </c>
      <c r="AI35" s="27">
        <f t="shared" si="40"/>
        <v>0.67100000000000004</v>
      </c>
      <c r="AJ35" s="27">
        <v>0</v>
      </c>
      <c r="AT35" s="18">
        <f t="shared" si="34"/>
        <v>57920.927711252109</v>
      </c>
      <c r="AU35" s="18">
        <f t="shared" si="34"/>
        <v>268.34900238249389</v>
      </c>
      <c r="AV35" s="18">
        <f t="shared" si="34"/>
        <v>37034.139888126374</v>
      </c>
      <c r="AW35" s="18">
        <f t="shared" si="34"/>
        <v>72717.290444775354</v>
      </c>
      <c r="AX35" s="18">
        <f t="shared" si="34"/>
        <v>0</v>
      </c>
      <c r="AY35" s="26">
        <f t="shared" si="35"/>
        <v>167940.70704653632</v>
      </c>
      <c r="AZ35" s="26"/>
      <c r="BA35" s="20">
        <f t="shared" si="36"/>
        <v>0.47987172342354006</v>
      </c>
      <c r="BB35" s="20">
        <f t="shared" si="37"/>
        <v>0.52012827657645988</v>
      </c>
      <c r="BC35" s="9">
        <v>5200</v>
      </c>
      <c r="BD35" s="30">
        <f t="shared" si="5"/>
        <v>128200.3052940567</v>
      </c>
      <c r="BE35" s="30">
        <f t="shared" si="5"/>
        <v>866.79906184125343</v>
      </c>
      <c r="BF35" s="30">
        <f t="shared" si="5"/>
        <v>17307.958260261556</v>
      </c>
      <c r="BG35" s="30">
        <f t="shared" si="5"/>
        <v>35654.23033730415</v>
      </c>
      <c r="BH35" s="30">
        <f t="shared" si="5"/>
        <v>0</v>
      </c>
      <c r="BI35" s="31">
        <f t="shared" si="6"/>
        <v>182029.29295346365</v>
      </c>
      <c r="BK35" s="9" t="str">
        <f t="shared" si="7"/>
        <v>42001225</v>
      </c>
      <c r="BL35" s="26">
        <f t="shared" si="8"/>
        <v>349970</v>
      </c>
    </row>
    <row r="36" spans="1:64">
      <c r="A36" s="10" t="str">
        <f t="shared" si="0"/>
        <v>4200</v>
      </c>
      <c r="B36" s="10" t="str">
        <f t="shared" si="1"/>
        <v>1245</v>
      </c>
      <c r="C36" s="35" t="s">
        <v>111</v>
      </c>
      <c r="D36" s="16">
        <v>820100</v>
      </c>
      <c r="E36" s="32" t="s">
        <v>112</v>
      </c>
      <c r="F36" s="18">
        <f>IFERROR(VLOOKUP(C36,'[4]Revenue Data - FY19 MAR-YTD '!$C$3:$Q$82,15,FALSE),0)</f>
        <v>-84045</v>
      </c>
      <c r="G36" s="18"/>
      <c r="H36" s="18">
        <f t="shared" si="9"/>
        <v>-84045</v>
      </c>
      <c r="I36" s="18">
        <f>'[4]Statistics Projections'!J105</f>
        <v>708</v>
      </c>
      <c r="J36" s="18">
        <f t="shared" si="10"/>
        <v>-118.70762711864407</v>
      </c>
      <c r="K36" s="19"/>
      <c r="L36" s="20">
        <f t="shared" si="2"/>
        <v>1.04</v>
      </c>
      <c r="M36" s="18">
        <f t="shared" si="41"/>
        <v>-123.46</v>
      </c>
      <c r="N36" s="19"/>
      <c r="O36" s="54">
        <f>'[4]Statistics Projections'!L105</f>
        <v>1200</v>
      </c>
      <c r="P36" s="18">
        <f t="shared" si="12"/>
        <v>148152</v>
      </c>
      <c r="Q36" s="22"/>
      <c r="R36" s="24">
        <f>VLOOKUP($C36,'[4]Revenue Data - FY19 MAR-YTD '!$C$3:$V$82,20,FALSE)</f>
        <v>0.77226485811172585</v>
      </c>
      <c r="S36" s="24">
        <f>VLOOKUP($C36,'[4]Revenue Data - FY19 MAR-YTD '!$C$3:$V$82,19,FALSE)</f>
        <v>6.5762389196263912E-2</v>
      </c>
      <c r="T36" s="24">
        <f>VLOOKUP($C36,'[4]Revenue Data - FY19 MAR-YTD '!$C$3:$V$82,17,FALSE)</f>
        <v>7.0224284609435417E-2</v>
      </c>
      <c r="U36" s="24">
        <f>VLOOKUP($C36,'[4]Revenue Data - FY19 MAR-YTD '!$C$3:$V$82,18,FALSE)</f>
        <v>7.6113986554821822E-2</v>
      </c>
      <c r="V36" s="23">
        <f>VLOOKUP($C36,'[4]Revenue Data - FY19 MAR-YTD '!$C$3:$W$82,21,FALSE)</f>
        <v>1.5634481527752989E-2</v>
      </c>
      <c r="W36" s="24">
        <f t="shared" si="27"/>
        <v>1</v>
      </c>
      <c r="X36" s="24"/>
      <c r="Y36" s="25">
        <f t="shared" si="28"/>
        <v>114412.58325896841</v>
      </c>
      <c r="Z36" s="25">
        <f t="shared" si="29"/>
        <v>9742.8294842048908</v>
      </c>
      <c r="AA36" s="25">
        <f t="shared" si="30"/>
        <v>10403.868213457075</v>
      </c>
      <c r="AB36" s="25">
        <f t="shared" si="31"/>
        <v>11276.439336069963</v>
      </c>
      <c r="AC36" s="25">
        <f t="shared" si="32"/>
        <v>2316.2797072996609</v>
      </c>
      <c r="AD36" s="21">
        <f t="shared" si="13"/>
        <v>148152.00000000003</v>
      </c>
      <c r="AE36" s="26">
        <f t="shared" si="3"/>
        <v>0</v>
      </c>
      <c r="AF36" s="27">
        <f t="shared" si="38"/>
        <v>0.31120000000000003</v>
      </c>
      <c r="AG36" s="27">
        <f t="shared" si="39"/>
        <v>0.23640000000000005</v>
      </c>
      <c r="AH36" s="27">
        <f t="shared" si="33"/>
        <v>0.68149999999999999</v>
      </c>
      <c r="AI36" s="27">
        <f t="shared" si="40"/>
        <v>0.67100000000000004</v>
      </c>
      <c r="AJ36" s="27">
        <v>0</v>
      </c>
      <c r="AT36" s="18">
        <f t="shared" si="34"/>
        <v>35605.195910190974</v>
      </c>
      <c r="AU36" s="18">
        <f t="shared" si="34"/>
        <v>2303.2048900660366</v>
      </c>
      <c r="AV36" s="18">
        <f t="shared" si="34"/>
        <v>7090.2361874709968</v>
      </c>
      <c r="AW36" s="18">
        <f t="shared" si="34"/>
        <v>7566.4907945029454</v>
      </c>
      <c r="AX36" s="18">
        <f t="shared" si="34"/>
        <v>0</v>
      </c>
      <c r="AY36" s="26">
        <f t="shared" si="35"/>
        <v>52565.127782230957</v>
      </c>
      <c r="AZ36" s="26"/>
      <c r="BA36" s="20">
        <f t="shared" si="36"/>
        <v>0.35480538758998154</v>
      </c>
      <c r="BB36" s="20">
        <f t="shared" si="37"/>
        <v>0.64519461241001852</v>
      </c>
      <c r="BC36" s="9">
        <v>5200</v>
      </c>
      <c r="BD36" s="30">
        <f t="shared" si="5"/>
        <v>78807.38734877744</v>
      </c>
      <c r="BE36" s="30">
        <f t="shared" si="5"/>
        <v>7439.6245941388543</v>
      </c>
      <c r="BF36" s="30">
        <f t="shared" si="5"/>
        <v>3313.6320259860786</v>
      </c>
      <c r="BG36" s="30">
        <f t="shared" si="5"/>
        <v>3709.9485415670179</v>
      </c>
      <c r="BH36" s="30">
        <f t="shared" si="5"/>
        <v>2316.2797072996609</v>
      </c>
      <c r="BI36" s="31">
        <f t="shared" si="6"/>
        <v>95586.872217769051</v>
      </c>
      <c r="BK36" s="9" t="str">
        <f t="shared" si="7"/>
        <v>42001245</v>
      </c>
      <c r="BL36" s="26">
        <f t="shared" si="8"/>
        <v>148152</v>
      </c>
    </row>
    <row r="37" spans="1:64">
      <c r="A37" s="10" t="str">
        <f t="shared" si="0"/>
        <v>4200</v>
      </c>
      <c r="B37" s="10" t="str">
        <f t="shared" si="1"/>
        <v>1330</v>
      </c>
      <c r="C37" s="35" t="s">
        <v>113</v>
      </c>
      <c r="D37" s="16"/>
      <c r="F37" s="18">
        <f>IFERROR(VLOOKUP(C37,'[4]Revenue Data - FY19 MAR-YTD '!$C$3:$Q$82,15,FALSE),0)</f>
        <v>0</v>
      </c>
      <c r="G37" s="18"/>
      <c r="H37" s="18">
        <f t="shared" si="9"/>
        <v>0</v>
      </c>
      <c r="I37" s="18"/>
      <c r="J37" s="18">
        <f t="shared" si="10"/>
        <v>0</v>
      </c>
      <c r="K37" s="19"/>
      <c r="L37" s="20">
        <f t="shared" si="2"/>
        <v>1.04</v>
      </c>
      <c r="M37" s="18">
        <f t="shared" si="11"/>
        <v>0</v>
      </c>
      <c r="N37" s="19"/>
      <c r="O37" s="54">
        <v>0</v>
      </c>
      <c r="P37" s="18">
        <f t="shared" si="12"/>
        <v>0</v>
      </c>
      <c r="Q37" s="22"/>
      <c r="R37" s="24"/>
      <c r="S37" s="24"/>
      <c r="T37" s="24"/>
      <c r="U37" s="24"/>
      <c r="V37" s="24"/>
      <c r="W37" s="24"/>
      <c r="X37" s="24"/>
      <c r="Y37" s="33">
        <v>0</v>
      </c>
      <c r="Z37" s="33">
        <v>0</v>
      </c>
      <c r="AA37" s="33">
        <v>0</v>
      </c>
      <c r="AB37" s="33">
        <v>0</v>
      </c>
      <c r="AC37" s="33">
        <v>0</v>
      </c>
      <c r="AD37" s="21">
        <f t="shared" si="13"/>
        <v>0</v>
      </c>
      <c r="AE37" s="26">
        <f t="shared" si="3"/>
        <v>0</v>
      </c>
      <c r="AF37" s="27"/>
      <c r="AG37" s="27"/>
      <c r="AH37" s="27"/>
      <c r="AI37" s="27"/>
      <c r="AJ37" s="27"/>
      <c r="BC37" s="9">
        <v>5200</v>
      </c>
      <c r="BD37" s="30">
        <f t="shared" si="5"/>
        <v>0</v>
      </c>
      <c r="BE37" s="30">
        <f t="shared" si="5"/>
        <v>0</v>
      </c>
      <c r="BF37" s="30">
        <f t="shared" si="5"/>
        <v>0</v>
      </c>
      <c r="BG37" s="30">
        <f t="shared" si="5"/>
        <v>0</v>
      </c>
      <c r="BH37" s="30">
        <f t="shared" si="5"/>
        <v>0</v>
      </c>
      <c r="BI37" s="31">
        <f t="shared" si="6"/>
        <v>0</v>
      </c>
      <c r="BK37" s="9" t="str">
        <f t="shared" si="7"/>
        <v>42001330</v>
      </c>
      <c r="BL37" s="26">
        <f t="shared" si="8"/>
        <v>0</v>
      </c>
    </row>
    <row r="38" spans="1:64">
      <c r="A38" s="10" t="str">
        <f t="shared" si="0"/>
        <v>4200</v>
      </c>
      <c r="B38" s="10" t="str">
        <f t="shared" si="1"/>
        <v>1331</v>
      </c>
      <c r="C38" s="35" t="s">
        <v>114</v>
      </c>
      <c r="D38" s="16"/>
      <c r="F38" s="18">
        <f>IFERROR(VLOOKUP(C38,'[4]Revenue Data - FY19 MAR-YTD '!$C$3:$Q$82,15,FALSE),0)</f>
        <v>0</v>
      </c>
      <c r="G38" s="18"/>
      <c r="H38" s="18">
        <f t="shared" si="9"/>
        <v>0</v>
      </c>
      <c r="I38" s="18"/>
      <c r="J38" s="18">
        <f t="shared" si="10"/>
        <v>0</v>
      </c>
      <c r="K38" s="19"/>
      <c r="L38" s="20">
        <f t="shared" si="2"/>
        <v>1.04</v>
      </c>
      <c r="M38" s="18">
        <f t="shared" si="11"/>
        <v>0</v>
      </c>
      <c r="N38" s="19"/>
      <c r="O38" s="21">
        <v>0</v>
      </c>
      <c r="P38" s="18">
        <f t="shared" si="12"/>
        <v>0</v>
      </c>
      <c r="Q38" s="22"/>
      <c r="R38" s="24"/>
      <c r="S38" s="24"/>
      <c r="T38" s="24"/>
      <c r="U38" s="24"/>
      <c r="V38" s="24"/>
      <c r="W38" s="24"/>
      <c r="X38" s="24"/>
      <c r="Y38" s="33">
        <v>0</v>
      </c>
      <c r="Z38" s="33">
        <v>0</v>
      </c>
      <c r="AA38" s="33">
        <v>0</v>
      </c>
      <c r="AB38" s="33">
        <v>0</v>
      </c>
      <c r="AC38" s="33">
        <v>0</v>
      </c>
      <c r="AD38" s="21">
        <f t="shared" si="13"/>
        <v>0</v>
      </c>
      <c r="AE38" s="26">
        <f t="shared" si="3"/>
        <v>0</v>
      </c>
      <c r="AF38" s="27"/>
      <c r="AG38" s="27"/>
      <c r="AH38" s="27"/>
      <c r="AI38" s="27"/>
      <c r="AJ38" s="27"/>
      <c r="BC38" s="9">
        <v>5200</v>
      </c>
      <c r="BD38" s="30">
        <f t="shared" si="5"/>
        <v>0</v>
      </c>
      <c r="BE38" s="30">
        <f t="shared" si="5"/>
        <v>0</v>
      </c>
      <c r="BF38" s="30">
        <f t="shared" si="5"/>
        <v>0</v>
      </c>
      <c r="BG38" s="30">
        <f t="shared" si="5"/>
        <v>0</v>
      </c>
      <c r="BH38" s="30">
        <f t="shared" si="5"/>
        <v>0</v>
      </c>
      <c r="BI38" s="31">
        <f t="shared" si="6"/>
        <v>0</v>
      </c>
      <c r="BK38" s="9" t="str">
        <f t="shared" si="7"/>
        <v>42001331</v>
      </c>
      <c r="BL38" s="26">
        <f t="shared" si="8"/>
        <v>0</v>
      </c>
    </row>
    <row r="39" spans="1:64">
      <c r="A39" s="10" t="str">
        <f t="shared" si="0"/>
        <v>4200</v>
      </c>
      <c r="B39" s="10" t="str">
        <f t="shared" si="1"/>
        <v>1335</v>
      </c>
      <c r="C39" s="35" t="s">
        <v>115</v>
      </c>
      <c r="D39" s="16"/>
      <c r="F39" s="18">
        <f>IFERROR(VLOOKUP(C39,'[4]Revenue Data - FY19 MAR-YTD '!$C$3:$Q$82,15,FALSE),0)</f>
        <v>0</v>
      </c>
      <c r="G39" s="18"/>
      <c r="H39" s="18">
        <f t="shared" si="9"/>
        <v>0</v>
      </c>
      <c r="I39" s="18"/>
      <c r="J39" s="18">
        <f t="shared" si="10"/>
        <v>0</v>
      </c>
      <c r="K39" s="19"/>
      <c r="L39" s="20">
        <f t="shared" si="2"/>
        <v>1.04</v>
      </c>
      <c r="M39" s="18">
        <f t="shared" si="11"/>
        <v>0</v>
      </c>
      <c r="N39" s="19"/>
      <c r="O39" s="21">
        <v>0</v>
      </c>
      <c r="P39" s="18">
        <f t="shared" si="12"/>
        <v>0</v>
      </c>
      <c r="Q39" s="22"/>
      <c r="R39" s="24"/>
      <c r="S39" s="24"/>
      <c r="T39" s="24"/>
      <c r="U39" s="24"/>
      <c r="V39" s="24"/>
      <c r="W39" s="24"/>
      <c r="X39" s="24"/>
      <c r="Y39" s="33">
        <v>0</v>
      </c>
      <c r="Z39" s="33">
        <v>0</v>
      </c>
      <c r="AA39" s="33">
        <v>0</v>
      </c>
      <c r="AB39" s="33">
        <v>0</v>
      </c>
      <c r="AC39" s="33">
        <v>0</v>
      </c>
      <c r="AD39" s="21">
        <f t="shared" si="13"/>
        <v>0</v>
      </c>
      <c r="AE39" s="26">
        <f t="shared" si="3"/>
        <v>0</v>
      </c>
      <c r="AF39" s="27"/>
      <c r="AG39" s="27"/>
      <c r="AH39" s="27"/>
      <c r="AI39" s="27"/>
      <c r="AJ39" s="27"/>
      <c r="BC39" s="9">
        <v>5200</v>
      </c>
      <c r="BD39" s="30">
        <f t="shared" ref="BD39:BH70" si="42">Y39-AT39</f>
        <v>0</v>
      </c>
      <c r="BE39" s="30">
        <f t="shared" si="42"/>
        <v>0</v>
      </c>
      <c r="BF39" s="30">
        <f t="shared" si="42"/>
        <v>0</v>
      </c>
      <c r="BG39" s="30">
        <f t="shared" si="42"/>
        <v>0</v>
      </c>
      <c r="BH39" s="30">
        <f t="shared" si="42"/>
        <v>0</v>
      </c>
      <c r="BI39" s="31">
        <f t="shared" si="6"/>
        <v>0</v>
      </c>
      <c r="BK39" s="9" t="str">
        <f t="shared" si="7"/>
        <v>42001335</v>
      </c>
      <c r="BL39" s="26">
        <f t="shared" si="8"/>
        <v>0</v>
      </c>
    </row>
    <row r="40" spans="1:64">
      <c r="A40" s="10" t="str">
        <f t="shared" si="0"/>
        <v>4200</v>
      </c>
      <c r="B40" s="10" t="str">
        <f t="shared" si="1"/>
        <v>1342</v>
      </c>
      <c r="C40" s="35" t="s">
        <v>116</v>
      </c>
      <c r="D40" s="16"/>
      <c r="F40" s="18">
        <f>IFERROR(VLOOKUP(C40,'[4]Revenue Data - FY19 MAR-YTD '!$C$3:$Q$82,15,FALSE),0)</f>
        <v>0</v>
      </c>
      <c r="G40" s="18"/>
      <c r="H40" s="18">
        <f t="shared" si="9"/>
        <v>0</v>
      </c>
      <c r="I40" s="18"/>
      <c r="J40" s="18">
        <f t="shared" si="10"/>
        <v>0</v>
      </c>
      <c r="K40" s="19"/>
      <c r="L40" s="20">
        <f t="shared" si="2"/>
        <v>1.04</v>
      </c>
      <c r="M40" s="18">
        <f t="shared" si="11"/>
        <v>0</v>
      </c>
      <c r="N40" s="19"/>
      <c r="O40" s="21">
        <v>0</v>
      </c>
      <c r="P40" s="18">
        <f t="shared" si="12"/>
        <v>0</v>
      </c>
      <c r="Q40" s="22"/>
      <c r="R40" s="24"/>
      <c r="S40" s="24"/>
      <c r="T40" s="24"/>
      <c r="U40" s="24"/>
      <c r="V40" s="24"/>
      <c r="W40" s="24"/>
      <c r="X40" s="24"/>
      <c r="Y40" s="33">
        <v>0</v>
      </c>
      <c r="Z40" s="33">
        <v>0</v>
      </c>
      <c r="AA40" s="33">
        <v>0</v>
      </c>
      <c r="AB40" s="33">
        <v>0</v>
      </c>
      <c r="AC40" s="33">
        <v>0</v>
      </c>
      <c r="AD40" s="21">
        <f t="shared" si="13"/>
        <v>0</v>
      </c>
      <c r="AE40" s="26">
        <f t="shared" si="3"/>
        <v>0</v>
      </c>
      <c r="AF40" s="27"/>
      <c r="AG40" s="27"/>
      <c r="AH40" s="27"/>
      <c r="AI40" s="27"/>
      <c r="AJ40" s="27"/>
      <c r="BC40" s="9">
        <v>5200</v>
      </c>
      <c r="BD40" s="30">
        <f t="shared" si="42"/>
        <v>0</v>
      </c>
      <c r="BE40" s="30">
        <f t="shared" si="42"/>
        <v>0</v>
      </c>
      <c r="BF40" s="30">
        <f t="shared" si="42"/>
        <v>0</v>
      </c>
      <c r="BG40" s="30">
        <f t="shared" si="42"/>
        <v>0</v>
      </c>
      <c r="BH40" s="30">
        <f t="shared" si="42"/>
        <v>0</v>
      </c>
      <c r="BI40" s="31">
        <f t="shared" si="6"/>
        <v>0</v>
      </c>
      <c r="BK40" s="9" t="str">
        <f t="shared" si="7"/>
        <v>42001342</v>
      </c>
      <c r="BL40" s="26">
        <f t="shared" si="8"/>
        <v>0</v>
      </c>
    </row>
    <row r="41" spans="1:64">
      <c r="A41" s="10" t="str">
        <f t="shared" si="0"/>
        <v>4200</v>
      </c>
      <c r="B41" s="10" t="str">
        <f t="shared" si="1"/>
        <v>1376</v>
      </c>
      <c r="C41" s="35" t="s">
        <v>117</v>
      </c>
      <c r="D41" s="16"/>
      <c r="F41" s="18">
        <f>IFERROR(VLOOKUP(C41,'[4]Revenue Data - FY19 MAR-YTD '!$C$3:$Q$82,15,FALSE),0)</f>
        <v>0</v>
      </c>
      <c r="G41" s="18"/>
      <c r="H41" s="18">
        <f t="shared" si="9"/>
        <v>0</v>
      </c>
      <c r="I41" s="18"/>
      <c r="J41" s="18">
        <f t="shared" si="10"/>
        <v>0</v>
      </c>
      <c r="K41" s="19"/>
      <c r="L41" s="20">
        <f t="shared" si="2"/>
        <v>1.04</v>
      </c>
      <c r="M41" s="18">
        <f t="shared" si="11"/>
        <v>0</v>
      </c>
      <c r="N41" s="19"/>
      <c r="O41" s="21">
        <v>0</v>
      </c>
      <c r="P41" s="18">
        <f t="shared" si="12"/>
        <v>0</v>
      </c>
      <c r="Q41" s="22"/>
      <c r="R41" s="24"/>
      <c r="S41" s="24"/>
      <c r="T41" s="24"/>
      <c r="U41" s="24"/>
      <c r="V41" s="24"/>
      <c r="W41" s="24"/>
      <c r="X41" s="24"/>
      <c r="Y41" s="33">
        <v>0</v>
      </c>
      <c r="Z41" s="33">
        <v>0</v>
      </c>
      <c r="AA41" s="33">
        <v>0</v>
      </c>
      <c r="AB41" s="33">
        <v>0</v>
      </c>
      <c r="AC41" s="33">
        <v>0</v>
      </c>
      <c r="AD41" s="21">
        <f t="shared" si="13"/>
        <v>0</v>
      </c>
      <c r="AE41" s="26">
        <f t="shared" si="3"/>
        <v>0</v>
      </c>
      <c r="AF41" s="27"/>
      <c r="AG41" s="27"/>
      <c r="AH41" s="27"/>
      <c r="AI41" s="27"/>
      <c r="AJ41" s="27"/>
      <c r="BC41" s="9">
        <v>5200</v>
      </c>
      <c r="BD41" s="30">
        <f t="shared" si="42"/>
        <v>0</v>
      </c>
      <c r="BE41" s="30">
        <f t="shared" si="42"/>
        <v>0</v>
      </c>
      <c r="BF41" s="30">
        <f t="shared" si="42"/>
        <v>0</v>
      </c>
      <c r="BG41" s="30">
        <f t="shared" si="42"/>
        <v>0</v>
      </c>
      <c r="BH41" s="30">
        <f t="shared" si="42"/>
        <v>0</v>
      </c>
      <c r="BI41" s="31">
        <f t="shared" si="6"/>
        <v>0</v>
      </c>
      <c r="BK41" s="9" t="str">
        <f t="shared" si="7"/>
        <v>42001376</v>
      </c>
      <c r="BL41" s="26">
        <f t="shared" si="8"/>
        <v>0</v>
      </c>
    </row>
    <row r="42" spans="1:64">
      <c r="A42" s="10" t="str">
        <f t="shared" si="0"/>
        <v>4200</v>
      </c>
      <c r="B42" s="10" t="str">
        <f t="shared" si="1"/>
        <v>1381</v>
      </c>
      <c r="C42" s="35" t="s">
        <v>118</v>
      </c>
      <c r="D42" s="16"/>
      <c r="F42" s="18">
        <f>IFERROR(VLOOKUP(C42,'[4]Revenue Data - FY19 MAR-YTD '!$C$3:$Q$82,15,FALSE),0)</f>
        <v>0</v>
      </c>
      <c r="G42" s="18"/>
      <c r="H42" s="18">
        <f t="shared" si="9"/>
        <v>0</v>
      </c>
      <c r="I42" s="18"/>
      <c r="J42" s="18">
        <f t="shared" si="10"/>
        <v>0</v>
      </c>
      <c r="K42" s="19"/>
      <c r="L42" s="20">
        <f t="shared" si="2"/>
        <v>1.04</v>
      </c>
      <c r="M42" s="18">
        <f t="shared" si="11"/>
        <v>0</v>
      </c>
      <c r="N42" s="19"/>
      <c r="O42" s="21">
        <v>0</v>
      </c>
      <c r="P42" s="18">
        <f t="shared" si="12"/>
        <v>0</v>
      </c>
      <c r="Q42" s="22"/>
      <c r="R42" s="24"/>
      <c r="S42" s="24"/>
      <c r="T42" s="24"/>
      <c r="U42" s="24"/>
      <c r="V42" s="24"/>
      <c r="W42" s="24"/>
      <c r="X42" s="24"/>
      <c r="Y42" s="33">
        <v>0</v>
      </c>
      <c r="Z42" s="33">
        <v>0</v>
      </c>
      <c r="AA42" s="33">
        <v>0</v>
      </c>
      <c r="AB42" s="33">
        <v>0</v>
      </c>
      <c r="AC42" s="33">
        <v>0</v>
      </c>
      <c r="AD42" s="21">
        <f t="shared" si="13"/>
        <v>0</v>
      </c>
      <c r="AE42" s="26">
        <f t="shared" si="3"/>
        <v>0</v>
      </c>
      <c r="AF42" s="27"/>
      <c r="AG42" s="27"/>
      <c r="AH42" s="27"/>
      <c r="AI42" s="27"/>
      <c r="AJ42" s="27"/>
      <c r="BC42" s="9">
        <v>5200</v>
      </c>
      <c r="BD42" s="30">
        <f t="shared" si="42"/>
        <v>0</v>
      </c>
      <c r="BE42" s="30">
        <f t="shared" si="42"/>
        <v>0</v>
      </c>
      <c r="BF42" s="30">
        <f t="shared" si="42"/>
        <v>0</v>
      </c>
      <c r="BG42" s="30">
        <f t="shared" si="42"/>
        <v>0</v>
      </c>
      <c r="BH42" s="30">
        <f t="shared" si="42"/>
        <v>0</v>
      </c>
      <c r="BI42" s="31">
        <f t="shared" si="6"/>
        <v>0</v>
      </c>
      <c r="BK42" s="9" t="str">
        <f t="shared" si="7"/>
        <v>42001381</v>
      </c>
      <c r="BL42" s="26">
        <f t="shared" si="8"/>
        <v>0</v>
      </c>
    </row>
    <row r="43" spans="1:64">
      <c r="A43" s="10" t="str">
        <f t="shared" si="0"/>
        <v>4200</v>
      </c>
      <c r="B43" s="10" t="str">
        <f t="shared" si="1"/>
        <v>1383</v>
      </c>
      <c r="C43" s="35" t="s">
        <v>119</v>
      </c>
      <c r="D43" s="16"/>
      <c r="F43" s="18">
        <f>IFERROR(VLOOKUP(C43,'[4]Revenue Data - FY19 MAR-YTD '!$C$3:$Q$82,15,FALSE),0)</f>
        <v>0</v>
      </c>
      <c r="G43" s="18"/>
      <c r="H43" s="18">
        <f t="shared" si="9"/>
        <v>0</v>
      </c>
      <c r="I43" s="18"/>
      <c r="J43" s="18">
        <f t="shared" si="10"/>
        <v>0</v>
      </c>
      <c r="K43" s="19"/>
      <c r="L43" s="20">
        <f t="shared" si="2"/>
        <v>1.04</v>
      </c>
      <c r="M43" s="18">
        <f t="shared" si="11"/>
        <v>0</v>
      </c>
      <c r="N43" s="19"/>
      <c r="O43" s="21">
        <v>0</v>
      </c>
      <c r="P43" s="18">
        <f t="shared" si="12"/>
        <v>0</v>
      </c>
      <c r="Q43" s="22"/>
      <c r="R43" s="24"/>
      <c r="S43" s="24"/>
      <c r="T43" s="24"/>
      <c r="U43" s="24"/>
      <c r="V43" s="24"/>
      <c r="W43" s="24"/>
      <c r="X43" s="24"/>
      <c r="Y43" s="33">
        <v>0</v>
      </c>
      <c r="Z43" s="33">
        <v>0</v>
      </c>
      <c r="AA43" s="33">
        <v>0</v>
      </c>
      <c r="AB43" s="33">
        <v>0</v>
      </c>
      <c r="AC43" s="33">
        <v>0</v>
      </c>
      <c r="AD43" s="21">
        <f t="shared" si="13"/>
        <v>0</v>
      </c>
      <c r="AE43" s="26">
        <f t="shared" si="3"/>
        <v>0</v>
      </c>
      <c r="AF43" s="27"/>
      <c r="AG43" s="27"/>
      <c r="AH43" s="27"/>
      <c r="AI43" s="27"/>
      <c r="AJ43" s="27"/>
      <c r="BC43" s="9">
        <v>5200</v>
      </c>
      <c r="BD43" s="30">
        <f t="shared" si="42"/>
        <v>0</v>
      </c>
      <c r="BE43" s="30">
        <f t="shared" si="42"/>
        <v>0</v>
      </c>
      <c r="BF43" s="30">
        <f t="shared" si="42"/>
        <v>0</v>
      </c>
      <c r="BG43" s="30">
        <f t="shared" si="42"/>
        <v>0</v>
      </c>
      <c r="BH43" s="30">
        <f t="shared" si="42"/>
        <v>0</v>
      </c>
      <c r="BI43" s="31">
        <f t="shared" si="6"/>
        <v>0</v>
      </c>
      <c r="BK43" s="9" t="str">
        <f t="shared" si="7"/>
        <v>42001383</v>
      </c>
      <c r="BL43" s="26">
        <f t="shared" si="8"/>
        <v>0</v>
      </c>
    </row>
    <row r="44" spans="1:64">
      <c r="A44" s="10" t="str">
        <f t="shared" si="0"/>
        <v>4200</v>
      </c>
      <c r="B44" s="10" t="str">
        <f t="shared" si="1"/>
        <v>1393</v>
      </c>
      <c r="C44" s="35" t="s">
        <v>120</v>
      </c>
      <c r="D44" s="16"/>
      <c r="F44" s="18">
        <f>IFERROR(VLOOKUP(C44,'[4]Revenue Data - FY19 MAR-YTD '!$C$3:$Q$82,15,FALSE),0)</f>
        <v>0</v>
      </c>
      <c r="G44" s="18"/>
      <c r="H44" s="18">
        <f t="shared" si="9"/>
        <v>0</v>
      </c>
      <c r="I44" s="18"/>
      <c r="J44" s="18">
        <f t="shared" si="10"/>
        <v>0</v>
      </c>
      <c r="K44" s="19"/>
      <c r="L44" s="20">
        <f t="shared" si="2"/>
        <v>1.04</v>
      </c>
      <c r="M44" s="18">
        <f t="shared" si="11"/>
        <v>0</v>
      </c>
      <c r="N44" s="19"/>
      <c r="O44" s="21">
        <v>0</v>
      </c>
      <c r="P44" s="18">
        <f t="shared" si="12"/>
        <v>0</v>
      </c>
      <c r="Q44" s="22"/>
      <c r="R44" s="24"/>
      <c r="S44" s="24"/>
      <c r="T44" s="24"/>
      <c r="U44" s="24"/>
      <c r="V44" s="24"/>
      <c r="W44" s="24"/>
      <c r="X44" s="24"/>
      <c r="Y44" s="33">
        <v>0</v>
      </c>
      <c r="Z44" s="33">
        <v>0</v>
      </c>
      <c r="AA44" s="33">
        <v>0</v>
      </c>
      <c r="AB44" s="33">
        <v>0</v>
      </c>
      <c r="AC44" s="33">
        <v>0</v>
      </c>
      <c r="AD44" s="21">
        <f t="shared" si="13"/>
        <v>0</v>
      </c>
      <c r="AE44" s="26">
        <f t="shared" si="3"/>
        <v>0</v>
      </c>
      <c r="AF44" s="27"/>
      <c r="AG44" s="27"/>
      <c r="AH44" s="27"/>
      <c r="AI44" s="27"/>
      <c r="AJ44" s="27"/>
      <c r="BC44" s="9">
        <v>5200</v>
      </c>
      <c r="BD44" s="30">
        <f t="shared" si="42"/>
        <v>0</v>
      </c>
      <c r="BE44" s="30">
        <f t="shared" si="42"/>
        <v>0</v>
      </c>
      <c r="BF44" s="30">
        <f t="shared" si="42"/>
        <v>0</v>
      </c>
      <c r="BG44" s="30">
        <f t="shared" si="42"/>
        <v>0</v>
      </c>
      <c r="BH44" s="30">
        <f t="shared" si="42"/>
        <v>0</v>
      </c>
      <c r="BI44" s="31">
        <f t="shared" si="6"/>
        <v>0</v>
      </c>
      <c r="BK44" s="9" t="str">
        <f t="shared" si="7"/>
        <v>42001393</v>
      </c>
      <c r="BL44" s="26">
        <f t="shared" si="8"/>
        <v>0</v>
      </c>
    </row>
    <row r="45" spans="1:64">
      <c r="A45" s="10" t="str">
        <f t="shared" si="0"/>
        <v>4200</v>
      </c>
      <c r="B45" s="10" t="str">
        <f t="shared" si="1"/>
        <v>1394</v>
      </c>
      <c r="C45" s="35" t="s">
        <v>121</v>
      </c>
      <c r="D45" s="16"/>
      <c r="F45" s="18">
        <f>IFERROR(VLOOKUP(C45,'[4]Revenue Data - FY19 MAR-YTD '!$C$3:$Q$82,15,FALSE),0)</f>
        <v>0</v>
      </c>
      <c r="G45" s="18"/>
      <c r="H45" s="18">
        <f t="shared" si="9"/>
        <v>0</v>
      </c>
      <c r="I45" s="18"/>
      <c r="J45" s="18">
        <f t="shared" si="10"/>
        <v>0</v>
      </c>
      <c r="K45" s="19"/>
      <c r="L45" s="20">
        <f t="shared" si="2"/>
        <v>1.04</v>
      </c>
      <c r="M45" s="18">
        <f t="shared" si="11"/>
        <v>0</v>
      </c>
      <c r="N45" s="19"/>
      <c r="O45" s="21">
        <v>0</v>
      </c>
      <c r="P45" s="18">
        <f t="shared" si="12"/>
        <v>0</v>
      </c>
      <c r="Q45" s="22"/>
      <c r="R45" s="24"/>
      <c r="S45" s="24"/>
      <c r="T45" s="24"/>
      <c r="U45" s="24"/>
      <c r="V45" s="24"/>
      <c r="W45" s="24"/>
      <c r="X45" s="24"/>
      <c r="Y45" s="33">
        <v>0</v>
      </c>
      <c r="Z45" s="33">
        <v>0</v>
      </c>
      <c r="AA45" s="33">
        <v>0</v>
      </c>
      <c r="AB45" s="33">
        <v>0</v>
      </c>
      <c r="AC45" s="33">
        <v>0</v>
      </c>
      <c r="AD45" s="21">
        <f t="shared" si="13"/>
        <v>0</v>
      </c>
      <c r="AE45" s="26">
        <f t="shared" si="3"/>
        <v>0</v>
      </c>
      <c r="AF45" s="27"/>
      <c r="AG45" s="27"/>
      <c r="AH45" s="27"/>
      <c r="AI45" s="27"/>
      <c r="AJ45" s="27"/>
      <c r="BC45" s="9">
        <v>5200</v>
      </c>
      <c r="BD45" s="30">
        <f t="shared" si="42"/>
        <v>0</v>
      </c>
      <c r="BE45" s="30">
        <f t="shared" si="42"/>
        <v>0</v>
      </c>
      <c r="BF45" s="30">
        <f t="shared" si="42"/>
        <v>0</v>
      </c>
      <c r="BG45" s="30">
        <f t="shared" si="42"/>
        <v>0</v>
      </c>
      <c r="BH45" s="30">
        <f t="shared" si="42"/>
        <v>0</v>
      </c>
      <c r="BI45" s="31">
        <f t="shared" si="6"/>
        <v>0</v>
      </c>
      <c r="BK45" s="9" t="str">
        <f t="shared" si="7"/>
        <v>42001394</v>
      </c>
      <c r="BL45" s="26">
        <f t="shared" si="8"/>
        <v>0</v>
      </c>
    </row>
    <row r="46" spans="1:64">
      <c r="A46" s="10" t="str">
        <f t="shared" si="0"/>
        <v>4200</v>
      </c>
      <c r="B46" s="10" t="str">
        <f t="shared" si="1"/>
        <v>1395</v>
      </c>
      <c r="C46" s="35" t="s">
        <v>122</v>
      </c>
      <c r="D46" s="55"/>
      <c r="F46" s="18">
        <f>IFERROR(VLOOKUP(C46,'[4]Revenue Data - FY19 MAR-YTD '!$C$3:$Q$82,15,FALSE),0)</f>
        <v>0</v>
      </c>
      <c r="G46" s="18"/>
      <c r="H46" s="18">
        <f t="shared" si="9"/>
        <v>0</v>
      </c>
      <c r="I46" s="18"/>
      <c r="J46" s="18">
        <f t="shared" si="10"/>
        <v>0</v>
      </c>
      <c r="K46" s="19"/>
      <c r="L46" s="20">
        <f t="shared" si="2"/>
        <v>1.04</v>
      </c>
      <c r="M46" s="18">
        <f t="shared" si="11"/>
        <v>0</v>
      </c>
      <c r="N46" s="19"/>
      <c r="O46" s="21">
        <v>0</v>
      </c>
      <c r="P46" s="18">
        <f t="shared" si="12"/>
        <v>0</v>
      </c>
      <c r="Q46" s="22"/>
      <c r="R46" s="24"/>
      <c r="S46" s="24"/>
      <c r="T46" s="24"/>
      <c r="U46" s="24"/>
      <c r="V46" s="24"/>
      <c r="W46" s="24"/>
      <c r="X46" s="24"/>
      <c r="Y46" s="33">
        <v>0</v>
      </c>
      <c r="Z46" s="33">
        <v>0</v>
      </c>
      <c r="AA46" s="33">
        <v>0</v>
      </c>
      <c r="AB46" s="33">
        <v>0</v>
      </c>
      <c r="AC46" s="33">
        <v>0</v>
      </c>
      <c r="AD46" s="21">
        <f t="shared" si="13"/>
        <v>0</v>
      </c>
      <c r="AE46" s="26">
        <f t="shared" si="3"/>
        <v>0</v>
      </c>
      <c r="AF46" s="27"/>
      <c r="AG46" s="27"/>
      <c r="AH46" s="27"/>
      <c r="AI46" s="27"/>
      <c r="AJ46" s="27"/>
      <c r="BC46" s="9">
        <v>5200</v>
      </c>
      <c r="BD46" s="30">
        <f t="shared" si="42"/>
        <v>0</v>
      </c>
      <c r="BE46" s="30">
        <f t="shared" si="42"/>
        <v>0</v>
      </c>
      <c r="BF46" s="30">
        <f t="shared" si="42"/>
        <v>0</v>
      </c>
      <c r="BG46" s="30">
        <f t="shared" si="42"/>
        <v>0</v>
      </c>
      <c r="BH46" s="30">
        <f t="shared" si="42"/>
        <v>0</v>
      </c>
      <c r="BI46" s="31">
        <f t="shared" si="6"/>
        <v>0</v>
      </c>
      <c r="BK46" s="9" t="str">
        <f t="shared" si="7"/>
        <v>42001395</v>
      </c>
      <c r="BL46" s="26">
        <f t="shared" si="8"/>
        <v>0</v>
      </c>
    </row>
    <row r="47" spans="1:64">
      <c r="A47" s="36" t="str">
        <f t="shared" si="0"/>
        <v>4200</v>
      </c>
      <c r="B47" s="36" t="str">
        <f t="shared" si="1"/>
        <v>1437</v>
      </c>
      <c r="C47" s="56" t="s">
        <v>123</v>
      </c>
      <c r="D47" s="38"/>
      <c r="E47" s="39"/>
      <c r="F47" s="43">
        <f>IFERROR(VLOOKUP(C47,'[4]Revenue Data - FY19 MAR-YTD '!$C$3:$Q$82,15,FALSE),0)</f>
        <v>0</v>
      </c>
      <c r="G47" s="43"/>
      <c r="H47" s="43">
        <f t="shared" si="9"/>
        <v>0</v>
      </c>
      <c r="I47" s="43"/>
      <c r="J47" s="43">
        <f t="shared" si="10"/>
        <v>0</v>
      </c>
      <c r="K47" s="41"/>
      <c r="L47" s="20">
        <f t="shared" si="2"/>
        <v>1.04</v>
      </c>
      <c r="M47" s="43">
        <f t="shared" si="11"/>
        <v>0</v>
      </c>
      <c r="N47" s="41"/>
      <c r="O47" s="42">
        <v>0</v>
      </c>
      <c r="P47" s="43">
        <f t="shared" si="12"/>
        <v>0</v>
      </c>
      <c r="Q47" s="44"/>
      <c r="R47" s="45"/>
      <c r="S47" s="45"/>
      <c r="T47" s="45"/>
      <c r="U47" s="45"/>
      <c r="V47" s="45"/>
      <c r="W47" s="45"/>
      <c r="X47" s="45"/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2">
        <f t="shared" si="13"/>
        <v>0</v>
      </c>
      <c r="AE47" s="26">
        <f t="shared" si="3"/>
        <v>0</v>
      </c>
      <c r="AF47" s="47"/>
      <c r="AG47" s="47"/>
      <c r="AH47" s="47"/>
      <c r="AI47" s="47"/>
      <c r="AJ47" s="47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>
        <v>5200</v>
      </c>
      <c r="BD47" s="49">
        <f t="shared" si="42"/>
        <v>0</v>
      </c>
      <c r="BE47" s="49">
        <f t="shared" si="42"/>
        <v>0</v>
      </c>
      <c r="BF47" s="49">
        <f t="shared" si="42"/>
        <v>0</v>
      </c>
      <c r="BG47" s="49">
        <f t="shared" si="42"/>
        <v>0</v>
      </c>
      <c r="BH47" s="49">
        <f t="shared" si="42"/>
        <v>0</v>
      </c>
      <c r="BI47" s="50">
        <f t="shared" si="6"/>
        <v>0</v>
      </c>
      <c r="BJ47" s="39"/>
      <c r="BK47" s="39" t="str">
        <f t="shared" si="7"/>
        <v>42001437</v>
      </c>
      <c r="BL47" s="51">
        <f t="shared" si="8"/>
        <v>0</v>
      </c>
    </row>
    <row r="48" spans="1:64">
      <c r="A48" s="10" t="str">
        <f t="shared" si="0"/>
        <v>4300</v>
      </c>
      <c r="B48" s="10" t="str">
        <f t="shared" si="1"/>
        <v>1101</v>
      </c>
      <c r="C48" s="35" t="s">
        <v>124</v>
      </c>
      <c r="D48" s="16"/>
      <c r="F48" s="18">
        <f>IFERROR(VLOOKUP(C48,'[4]Revenue Data - FY19 MAR-YTD '!$C$3:$Q$82,15,FALSE),0)</f>
        <v>0</v>
      </c>
      <c r="G48" s="18"/>
      <c r="H48" s="18">
        <v>0</v>
      </c>
      <c r="I48" s="18"/>
      <c r="J48" s="18">
        <f t="shared" si="10"/>
        <v>0</v>
      </c>
      <c r="K48" s="19"/>
      <c r="L48" s="20">
        <f t="shared" si="2"/>
        <v>1.04</v>
      </c>
      <c r="M48" s="18">
        <f t="shared" si="11"/>
        <v>0</v>
      </c>
      <c r="N48" s="19"/>
      <c r="O48" s="21"/>
      <c r="P48" s="18">
        <f t="shared" si="12"/>
        <v>0</v>
      </c>
      <c r="Q48" s="22"/>
      <c r="R48" s="24"/>
      <c r="S48" s="24"/>
      <c r="T48" s="24"/>
      <c r="U48" s="24"/>
      <c r="V48" s="24"/>
      <c r="W48" s="24"/>
      <c r="X48" s="24"/>
      <c r="Y48" s="33">
        <v>0</v>
      </c>
      <c r="Z48" s="33">
        <v>0</v>
      </c>
      <c r="AA48" s="33">
        <v>0</v>
      </c>
      <c r="AB48" s="33">
        <v>0</v>
      </c>
      <c r="AC48" s="33">
        <v>0</v>
      </c>
      <c r="AD48" s="21">
        <f t="shared" si="13"/>
        <v>0</v>
      </c>
      <c r="AE48" s="26">
        <f t="shared" si="3"/>
        <v>0</v>
      </c>
      <c r="AF48" s="27"/>
      <c r="AG48" s="27"/>
      <c r="AH48" s="27"/>
      <c r="AI48" s="27"/>
      <c r="AJ48" s="27"/>
      <c r="BC48" s="9">
        <v>5300</v>
      </c>
      <c r="BD48" s="30">
        <f t="shared" si="42"/>
        <v>0</v>
      </c>
      <c r="BE48" s="30">
        <f t="shared" si="42"/>
        <v>0</v>
      </c>
      <c r="BF48" s="30">
        <f t="shared" si="42"/>
        <v>0</v>
      </c>
      <c r="BG48" s="30">
        <f t="shared" si="42"/>
        <v>0</v>
      </c>
      <c r="BH48" s="30">
        <f t="shared" si="42"/>
        <v>0</v>
      </c>
      <c r="BI48" s="31">
        <f t="shared" si="6"/>
        <v>0</v>
      </c>
      <c r="BK48" s="9" t="str">
        <f t="shared" si="7"/>
        <v>43001101</v>
      </c>
      <c r="BL48" s="26">
        <f t="shared" si="8"/>
        <v>0</v>
      </c>
    </row>
    <row r="49" spans="1:64">
      <c r="A49" s="10" t="str">
        <f t="shared" si="0"/>
        <v>4300</v>
      </c>
      <c r="B49" s="10" t="str">
        <f t="shared" si="1"/>
        <v>1104</v>
      </c>
      <c r="C49" s="35" t="s">
        <v>125</v>
      </c>
      <c r="D49" s="16">
        <v>800000</v>
      </c>
      <c r="E49" s="32" t="s">
        <v>62</v>
      </c>
      <c r="F49" s="18">
        <f>IFERROR(VLOOKUP(C49,'[4]Revenue Data - FY19 MAR-YTD '!$C$3:$Q$82,15,FALSE),0)</f>
        <v>-3621940.78</v>
      </c>
      <c r="G49" s="18"/>
      <c r="H49" s="18">
        <f t="shared" si="9"/>
        <v>-3621940.78</v>
      </c>
      <c r="I49" s="18">
        <f>'[4]Statistics Projections'!J12</f>
        <v>1487</v>
      </c>
      <c r="J49" s="18">
        <f t="shared" si="10"/>
        <v>-2435.736906523201</v>
      </c>
      <c r="K49" s="19"/>
      <c r="L49" s="20">
        <f t="shared" si="2"/>
        <v>1.04</v>
      </c>
      <c r="M49" s="18">
        <f>ROUND(J49*L49,2)</f>
        <v>-2533.17</v>
      </c>
      <c r="N49" s="19"/>
      <c r="O49" s="21">
        <f>'[4]Statistics Projections'!L12</f>
        <v>3000</v>
      </c>
      <c r="P49" s="18">
        <f t="shared" si="12"/>
        <v>7599510</v>
      </c>
      <c r="Q49" s="22"/>
      <c r="R49" s="24">
        <f>VLOOKUP($C49,'[4]Revenue Data - FY19 MAR-YTD '!$C$3:$V$82,20,FALSE)</f>
        <v>0.64663094795271614</v>
      </c>
      <c r="S49" s="24">
        <f>VLOOKUP($C49,'[4]Revenue Data - FY19 MAR-YTD '!$C$3:$V$82,19,FALSE)</f>
        <v>7.982847251301553E-2</v>
      </c>
      <c r="T49" s="24">
        <f>VLOOKUP($C49,'[4]Revenue Data - FY19 MAR-YTD '!$C$3:$V$82,17,FALSE)</f>
        <v>0.11640968906178527</v>
      </c>
      <c r="U49" s="24">
        <f>VLOOKUP($C49,'[4]Revenue Data - FY19 MAR-YTD '!$C$3:$V$82,18,FALSE)</f>
        <v>0.15376507619210716</v>
      </c>
      <c r="V49" s="23">
        <f>VLOOKUP($C49,'[4]Revenue Data - FY19 MAR-YTD '!$C$3:$W$82,21,FALSE)</f>
        <v>3.3658142803759485E-3</v>
      </c>
      <c r="W49" s="24">
        <f>SUM(R49:V49)</f>
        <v>1</v>
      </c>
      <c r="X49" s="24"/>
      <c r="Y49" s="25">
        <f>P49*R49</f>
        <v>4914078.355276146</v>
      </c>
      <c r="Z49" s="25">
        <f>P49*S49</f>
        <v>606657.27514738671</v>
      </c>
      <c r="AA49" s="25">
        <f>P49*T49</f>
        <v>884656.59612192772</v>
      </c>
      <c r="AB49" s="25">
        <f>P49*U49</f>
        <v>1168539.2341726804</v>
      </c>
      <c r="AC49" s="25">
        <f>P49*V49</f>
        <v>25578.539281859823</v>
      </c>
      <c r="AD49" s="21">
        <f>SUM(Y49:AC49)</f>
        <v>7599510.0000000009</v>
      </c>
      <c r="AE49" s="26">
        <f t="shared" si="3"/>
        <v>0</v>
      </c>
      <c r="AF49" s="27">
        <f>1-0.6196</f>
        <v>0.38039999999999996</v>
      </c>
      <c r="AG49" s="27">
        <f>1-0.6241</f>
        <v>0.37590000000000001</v>
      </c>
      <c r="AH49" s="27">
        <f>1-0.0941-0.0839</f>
        <v>0.82200000000000006</v>
      </c>
      <c r="AI49" s="27">
        <f>1-0.0692</f>
        <v>0.93079999999999996</v>
      </c>
      <c r="AJ49" s="27">
        <v>0</v>
      </c>
      <c r="AT49" s="18">
        <f>Y49*AF49</f>
        <v>1869315.4063470457</v>
      </c>
      <c r="AU49" s="18">
        <f>Z49*AG49</f>
        <v>228042.46972790267</v>
      </c>
      <c r="AV49" s="18">
        <f>AA49*AH49</f>
        <v>727187.72201222461</v>
      </c>
      <c r="AW49" s="18">
        <f>AB49*AI49</f>
        <v>1087676.3191679309</v>
      </c>
      <c r="AX49" s="18">
        <f>AC49*AJ49</f>
        <v>0</v>
      </c>
      <c r="AY49" s="26">
        <f>SUM(AT49:AX49)</f>
        <v>3912221.9172551036</v>
      </c>
      <c r="AZ49" s="26"/>
      <c r="BA49" s="20">
        <f>AY49/AD49</f>
        <v>0.51479923274725647</v>
      </c>
      <c r="BB49" s="20">
        <f>1-BA49</f>
        <v>0.48520076725274353</v>
      </c>
      <c r="BC49" s="9">
        <v>5300</v>
      </c>
      <c r="BD49" s="30">
        <f t="shared" si="42"/>
        <v>3044762.9489291003</v>
      </c>
      <c r="BE49" s="30">
        <f t="shared" si="42"/>
        <v>378614.80541948404</v>
      </c>
      <c r="BF49" s="30">
        <f t="shared" si="42"/>
        <v>157468.87410970312</v>
      </c>
      <c r="BG49" s="30">
        <f t="shared" si="42"/>
        <v>80862.91500474955</v>
      </c>
      <c r="BH49" s="30">
        <f t="shared" si="42"/>
        <v>25578.539281859823</v>
      </c>
      <c r="BI49" s="31">
        <f t="shared" si="6"/>
        <v>3687288.0827448973</v>
      </c>
      <c r="BK49" s="9" t="str">
        <f t="shared" si="7"/>
        <v>43001104</v>
      </c>
      <c r="BL49" s="26">
        <f t="shared" si="8"/>
        <v>7599510</v>
      </c>
    </row>
    <row r="50" spans="1:64">
      <c r="A50" s="10" t="str">
        <f t="shared" si="0"/>
        <v>4300</v>
      </c>
      <c r="B50" s="10" t="str">
        <f t="shared" si="1"/>
        <v>1106</v>
      </c>
      <c r="C50" s="35" t="s">
        <v>126</v>
      </c>
      <c r="D50" s="16"/>
      <c r="F50" s="18">
        <f>IFERROR(VLOOKUP(C50,'[4]Revenue Data - FY19 MAR-YTD '!$C$3:$Q$82,15,FALSE),0)</f>
        <v>0</v>
      </c>
      <c r="G50" s="18"/>
      <c r="H50" s="18">
        <f t="shared" si="9"/>
        <v>0</v>
      </c>
      <c r="I50" s="18"/>
      <c r="J50" s="18">
        <f t="shared" si="10"/>
        <v>0</v>
      </c>
      <c r="K50" s="19"/>
      <c r="L50" s="20">
        <f t="shared" si="2"/>
        <v>1.04</v>
      </c>
      <c r="M50" s="18">
        <f t="shared" si="11"/>
        <v>0</v>
      </c>
      <c r="N50" s="19"/>
      <c r="O50" s="21">
        <v>0</v>
      </c>
      <c r="P50" s="18">
        <f t="shared" si="12"/>
        <v>0</v>
      </c>
      <c r="Q50" s="22"/>
      <c r="R50" s="24"/>
      <c r="S50" s="24"/>
      <c r="T50" s="24"/>
      <c r="U50" s="24"/>
      <c r="V50" s="24"/>
      <c r="W50" s="24"/>
      <c r="X50" s="24"/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1">
        <f t="shared" ref="AD50:AD74" si="43">SUM(Y50:AC50)</f>
        <v>0</v>
      </c>
      <c r="AE50" s="26">
        <f t="shared" si="3"/>
        <v>0</v>
      </c>
      <c r="AF50" s="27"/>
      <c r="AG50" s="27"/>
      <c r="AH50" s="27"/>
      <c r="AI50" s="27"/>
      <c r="AJ50" s="27"/>
      <c r="BC50" s="9">
        <v>5300</v>
      </c>
      <c r="BD50" s="30">
        <f t="shared" si="42"/>
        <v>0</v>
      </c>
      <c r="BE50" s="30">
        <f t="shared" si="42"/>
        <v>0</v>
      </c>
      <c r="BF50" s="30">
        <f t="shared" si="42"/>
        <v>0</v>
      </c>
      <c r="BG50" s="30">
        <f t="shared" si="42"/>
        <v>0</v>
      </c>
      <c r="BH50" s="30">
        <f t="shared" si="42"/>
        <v>0</v>
      </c>
      <c r="BI50" s="31">
        <f t="shared" si="6"/>
        <v>0</v>
      </c>
      <c r="BK50" s="9" t="str">
        <f t="shared" si="7"/>
        <v>43001106</v>
      </c>
      <c r="BL50" s="26">
        <f t="shared" si="8"/>
        <v>0</v>
      </c>
    </row>
    <row r="51" spans="1:64">
      <c r="A51" s="10" t="str">
        <f t="shared" si="0"/>
        <v>4300</v>
      </c>
      <c r="B51" s="10" t="str">
        <f t="shared" si="1"/>
        <v>1211</v>
      </c>
      <c r="C51" s="35" t="s">
        <v>127</v>
      </c>
      <c r="D51" s="16">
        <v>830011</v>
      </c>
      <c r="E51" s="32" t="s">
        <v>128</v>
      </c>
      <c r="F51" s="18">
        <f>IFERROR(VLOOKUP(C51,'[4]Revenue Data - FY19 MAR-YTD '!$C$3:$Q$82,15,FALSE),0)</f>
        <v>-2121.8000000000002</v>
      </c>
      <c r="G51" s="18">
        <v>2122</v>
      </c>
      <c r="H51" s="18">
        <f t="shared" si="9"/>
        <v>0.1999999999998181</v>
      </c>
      <c r="I51" s="18"/>
      <c r="J51" s="18">
        <f t="shared" si="10"/>
        <v>0</v>
      </c>
      <c r="K51" s="19"/>
      <c r="L51" s="20">
        <f t="shared" si="2"/>
        <v>1.04</v>
      </c>
      <c r="M51" s="18">
        <f t="shared" si="11"/>
        <v>0</v>
      </c>
      <c r="N51" s="19"/>
      <c r="O51" s="21">
        <v>0</v>
      </c>
      <c r="P51" s="18">
        <f t="shared" si="12"/>
        <v>0</v>
      </c>
      <c r="Q51" s="22"/>
      <c r="R51" s="24"/>
      <c r="S51" s="24"/>
      <c r="T51" s="24"/>
      <c r="U51" s="24"/>
      <c r="V51" s="24"/>
      <c r="W51" s="24"/>
      <c r="X51" s="24"/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1">
        <f t="shared" si="43"/>
        <v>0</v>
      </c>
      <c r="AE51" s="26">
        <f t="shared" si="3"/>
        <v>0</v>
      </c>
      <c r="AF51" s="27">
        <f t="shared" ref="AF51:AF59" si="44">1-0.6196</f>
        <v>0.38039999999999996</v>
      </c>
      <c r="AG51" s="27">
        <f t="shared" ref="AG51:AG59" si="45">1-0.6241</f>
        <v>0.37590000000000001</v>
      </c>
      <c r="AH51" s="27">
        <f t="shared" ref="AH51:AH59" si="46">1-0.0941-0.0839</f>
        <v>0.82200000000000006</v>
      </c>
      <c r="AI51" s="27">
        <f t="shared" ref="AI51:AI59" si="47">1-0.0692</f>
        <v>0.93079999999999996</v>
      </c>
      <c r="AJ51" s="27">
        <v>0</v>
      </c>
      <c r="BC51" s="9">
        <v>5300</v>
      </c>
      <c r="BD51" s="30">
        <f t="shared" si="42"/>
        <v>0</v>
      </c>
      <c r="BE51" s="30">
        <f t="shared" si="42"/>
        <v>0</v>
      </c>
      <c r="BF51" s="30">
        <f t="shared" si="42"/>
        <v>0</v>
      </c>
      <c r="BG51" s="30">
        <f t="shared" si="42"/>
        <v>0</v>
      </c>
      <c r="BH51" s="30">
        <f t="shared" si="42"/>
        <v>0</v>
      </c>
      <c r="BI51" s="31">
        <f t="shared" si="6"/>
        <v>0</v>
      </c>
      <c r="BK51" s="9" t="str">
        <f t="shared" si="7"/>
        <v>43001211</v>
      </c>
      <c r="BL51" s="26">
        <f t="shared" si="8"/>
        <v>0</v>
      </c>
    </row>
    <row r="52" spans="1:64">
      <c r="A52" s="10" t="str">
        <f t="shared" si="0"/>
        <v>4300</v>
      </c>
      <c r="B52" s="10" t="str">
        <f t="shared" si="1"/>
        <v>1215</v>
      </c>
      <c r="C52" s="35" t="s">
        <v>129</v>
      </c>
      <c r="D52" s="16">
        <v>830125</v>
      </c>
      <c r="E52" s="32" t="s">
        <v>130</v>
      </c>
      <c r="F52" s="18">
        <f>IFERROR(VLOOKUP(C52,'[4]Revenue Data - FY19 MAR-YTD '!$C$3:$Q$82,15,FALSE),0)</f>
        <v>-464.86</v>
      </c>
      <c r="G52" s="18">
        <v>465</v>
      </c>
      <c r="H52" s="18">
        <f t="shared" si="9"/>
        <v>0.13999999999998636</v>
      </c>
      <c r="I52" s="18"/>
      <c r="J52" s="18">
        <f t="shared" si="10"/>
        <v>0</v>
      </c>
      <c r="K52" s="19"/>
      <c r="L52" s="20">
        <f t="shared" si="2"/>
        <v>1.04</v>
      </c>
      <c r="M52" s="18">
        <f t="shared" si="11"/>
        <v>0</v>
      </c>
      <c r="N52" s="19"/>
      <c r="O52" s="21">
        <v>0</v>
      </c>
      <c r="P52" s="18">
        <f t="shared" si="12"/>
        <v>0</v>
      </c>
      <c r="Q52" s="22"/>
      <c r="R52" s="24">
        <f>VLOOKUP($C52,'[4]Revenue Data - FY19 MAR-YTD '!$C$3:$V$82,20,FALSE)</f>
        <v>1</v>
      </c>
      <c r="S52" s="24">
        <f>VLOOKUP($C52,'[4]Revenue Data - FY19 MAR-YTD '!$C$3:$V$82,19,FALSE)</f>
        <v>0</v>
      </c>
      <c r="T52" s="24">
        <f>VLOOKUP($C52,'[4]Revenue Data - FY19 MAR-YTD '!$C$3:$V$82,17,FALSE)</f>
        <v>0</v>
      </c>
      <c r="U52" s="24">
        <f>VLOOKUP($C52,'[4]Revenue Data - FY19 MAR-YTD '!$C$3:$V$82,18,FALSE)</f>
        <v>0</v>
      </c>
      <c r="V52" s="23">
        <f>VLOOKUP($C52,'[4]Revenue Data - FY19 MAR-YTD '!$C$3:$W$82,21,FALSE)</f>
        <v>0</v>
      </c>
      <c r="W52" s="24">
        <f t="shared" ref="W52:W59" si="48">SUM(R52:V52)</f>
        <v>1</v>
      </c>
      <c r="X52" s="24"/>
      <c r="Y52" s="25">
        <f t="shared" ref="Y52:Y59" si="49">P52*R52</f>
        <v>0</v>
      </c>
      <c r="Z52" s="25">
        <f t="shared" ref="Z52:Z59" si="50">P52*S52</f>
        <v>0</v>
      </c>
      <c r="AA52" s="25">
        <f t="shared" ref="AA52:AA59" si="51">P52*T52</f>
        <v>0</v>
      </c>
      <c r="AB52" s="25">
        <f t="shared" ref="AB52:AB59" si="52">P52*U52</f>
        <v>0</v>
      </c>
      <c r="AC52" s="25">
        <f t="shared" ref="AC52:AC59" si="53">P52*V52</f>
        <v>0</v>
      </c>
      <c r="AD52" s="21">
        <f t="shared" si="43"/>
        <v>0</v>
      </c>
      <c r="AE52" s="26">
        <f t="shared" si="3"/>
        <v>0</v>
      </c>
      <c r="AF52" s="27">
        <f t="shared" si="44"/>
        <v>0.38039999999999996</v>
      </c>
      <c r="AG52" s="27">
        <f t="shared" si="45"/>
        <v>0.37590000000000001</v>
      </c>
      <c r="AH52" s="27">
        <f t="shared" si="46"/>
        <v>0.82200000000000006</v>
      </c>
      <c r="AI52" s="27">
        <f t="shared" si="47"/>
        <v>0.93079999999999996</v>
      </c>
      <c r="AJ52" s="27">
        <v>0</v>
      </c>
      <c r="AT52" s="18">
        <f t="shared" ref="AT52:AX59" si="54">Y52*AF52</f>
        <v>0</v>
      </c>
      <c r="AU52" s="18">
        <f t="shared" si="54"/>
        <v>0</v>
      </c>
      <c r="AV52" s="18">
        <f t="shared" si="54"/>
        <v>0</v>
      </c>
      <c r="AW52" s="18">
        <f t="shared" si="54"/>
        <v>0</v>
      </c>
      <c r="AX52" s="18">
        <f t="shared" si="54"/>
        <v>0</v>
      </c>
      <c r="AY52" s="26">
        <f t="shared" ref="AY52:AY59" si="55">SUM(AT52:AX52)</f>
        <v>0</v>
      </c>
      <c r="AZ52" s="26"/>
      <c r="BA52" s="20"/>
      <c r="BB52" s="20"/>
      <c r="BC52" s="9">
        <v>5300</v>
      </c>
      <c r="BD52" s="30">
        <f t="shared" si="42"/>
        <v>0</v>
      </c>
      <c r="BE52" s="30">
        <f t="shared" si="42"/>
        <v>0</v>
      </c>
      <c r="BF52" s="30">
        <f t="shared" si="42"/>
        <v>0</v>
      </c>
      <c r="BG52" s="30">
        <f t="shared" si="42"/>
        <v>0</v>
      </c>
      <c r="BH52" s="30">
        <f t="shared" si="42"/>
        <v>0</v>
      </c>
      <c r="BI52" s="31">
        <f t="shared" si="6"/>
        <v>0</v>
      </c>
      <c r="BK52" s="9" t="str">
        <f t="shared" si="7"/>
        <v>43001215</v>
      </c>
      <c r="BL52" s="26">
        <f t="shared" si="8"/>
        <v>0</v>
      </c>
    </row>
    <row r="53" spans="1:64">
      <c r="A53" s="10" t="str">
        <f t="shared" si="0"/>
        <v>4300</v>
      </c>
      <c r="B53" s="10" t="str">
        <f t="shared" si="1"/>
        <v>1216</v>
      </c>
      <c r="C53" s="35" t="s">
        <v>131</v>
      </c>
      <c r="D53" s="16">
        <v>830020</v>
      </c>
      <c r="E53" s="32" t="s">
        <v>132</v>
      </c>
      <c r="F53" s="18">
        <f>IFERROR(VLOOKUP(C53,'[4]Revenue Data - FY19 MAR-YTD '!$C$3:$Q$82,15,FALSE),0)</f>
        <v>-71025</v>
      </c>
      <c r="G53" s="18"/>
      <c r="H53" s="18">
        <f t="shared" si="9"/>
        <v>-71025</v>
      </c>
      <c r="I53" s="18">
        <f>'[4]Statistics Projections'!J53</f>
        <v>49</v>
      </c>
      <c r="J53" s="18">
        <f t="shared" si="10"/>
        <v>-1449.4897959183672</v>
      </c>
      <c r="K53" s="19"/>
      <c r="L53" s="20">
        <f t="shared" si="2"/>
        <v>1.04</v>
      </c>
      <c r="M53" s="18">
        <f t="shared" ref="M53:M59" si="56">ROUND(J53*L53,2)</f>
        <v>-1507.47</v>
      </c>
      <c r="N53" s="19"/>
      <c r="O53" s="21">
        <f>'[4]Statistics Projections'!L53</f>
        <v>91</v>
      </c>
      <c r="P53" s="18">
        <f t="shared" si="12"/>
        <v>137179.76999999999</v>
      </c>
      <c r="Q53" s="22"/>
      <c r="R53" s="24">
        <f>VLOOKUP($C53,'[4]Revenue Data - FY19 MAR-YTD '!$C$3:$V$82,20,FALSE)</f>
        <v>0.63467793030623021</v>
      </c>
      <c r="S53" s="24">
        <f>VLOOKUP($C53,'[4]Revenue Data - FY19 MAR-YTD '!$C$3:$V$82,19,FALSE)</f>
        <v>0.19746568109820486</v>
      </c>
      <c r="T53" s="24">
        <f>VLOOKUP($C53,'[4]Revenue Data - FY19 MAR-YTD '!$C$3:$V$82,17,FALSE)</f>
        <v>8.6293558606124601E-2</v>
      </c>
      <c r="U53" s="24">
        <f>VLOOKUP($C53,'[4]Revenue Data - FY19 MAR-YTD '!$C$3:$V$82,18,FALSE)</f>
        <v>8.1562829989440339E-2</v>
      </c>
      <c r="V53" s="23">
        <f>VLOOKUP($C53,'[4]Revenue Data - FY19 MAR-YTD '!$C$3:$W$82,21,FALSE)</f>
        <v>0</v>
      </c>
      <c r="W53" s="24">
        <f t="shared" si="48"/>
        <v>1</v>
      </c>
      <c r="X53" s="24"/>
      <c r="Y53" s="25">
        <f t="shared" si="49"/>
        <v>87064.972503484678</v>
      </c>
      <c r="Z53" s="25">
        <f t="shared" si="50"/>
        <v>27088.296715945089</v>
      </c>
      <c r="AA53" s="25">
        <f t="shared" si="51"/>
        <v>11837.730522069693</v>
      </c>
      <c r="AB53" s="25">
        <f t="shared" si="52"/>
        <v>11188.770258500526</v>
      </c>
      <c r="AC53" s="25">
        <f t="shared" si="53"/>
        <v>0</v>
      </c>
      <c r="AD53" s="21">
        <f t="shared" si="43"/>
        <v>137179.76999999999</v>
      </c>
      <c r="AE53" s="26">
        <f t="shared" si="3"/>
        <v>0</v>
      </c>
      <c r="AF53" s="27">
        <f t="shared" si="44"/>
        <v>0.38039999999999996</v>
      </c>
      <c r="AG53" s="27">
        <f t="shared" si="45"/>
        <v>0.37590000000000001</v>
      </c>
      <c r="AH53" s="27">
        <f t="shared" si="46"/>
        <v>0.82200000000000006</v>
      </c>
      <c r="AI53" s="27">
        <f t="shared" si="47"/>
        <v>0.93079999999999996</v>
      </c>
      <c r="AJ53" s="27">
        <v>0</v>
      </c>
      <c r="AT53" s="18">
        <f t="shared" si="54"/>
        <v>33119.51554032557</v>
      </c>
      <c r="AU53" s="18">
        <f t="shared" si="54"/>
        <v>10182.490735523759</v>
      </c>
      <c r="AV53" s="18">
        <f t="shared" si="54"/>
        <v>9730.6144891412878</v>
      </c>
      <c r="AW53" s="18">
        <f t="shared" si="54"/>
        <v>10414.50735661229</v>
      </c>
      <c r="AX53" s="18">
        <f t="shared" si="54"/>
        <v>0</v>
      </c>
      <c r="AY53" s="26">
        <f t="shared" si="55"/>
        <v>63447.128121602902</v>
      </c>
      <c r="AZ53" s="26"/>
      <c r="BA53" s="20">
        <f t="shared" ref="BA53:BA59" si="57">AY53/AD53</f>
        <v>0.46251082154171058</v>
      </c>
      <c r="BB53" s="20">
        <f t="shared" ref="BB53:BB59" si="58">1-BA53</f>
        <v>0.53748917845828936</v>
      </c>
      <c r="BC53" s="9">
        <v>5300</v>
      </c>
      <c r="BD53" s="30">
        <f t="shared" si="42"/>
        <v>53945.456963159108</v>
      </c>
      <c r="BE53" s="30">
        <f t="shared" si="42"/>
        <v>16905.80598042133</v>
      </c>
      <c r="BF53" s="30">
        <f t="shared" si="42"/>
        <v>2107.1160329284048</v>
      </c>
      <c r="BG53" s="30">
        <f t="shared" si="42"/>
        <v>774.26290188823623</v>
      </c>
      <c r="BH53" s="30">
        <f t="shared" si="42"/>
        <v>0</v>
      </c>
      <c r="BI53" s="31">
        <f t="shared" si="6"/>
        <v>73732.641878397088</v>
      </c>
      <c r="BK53" s="9" t="str">
        <f t="shared" si="7"/>
        <v>43001216</v>
      </c>
      <c r="BL53" s="26">
        <f t="shared" si="8"/>
        <v>137179.76999999999</v>
      </c>
    </row>
    <row r="54" spans="1:64">
      <c r="A54" s="10" t="str">
        <f t="shared" si="0"/>
        <v>4300</v>
      </c>
      <c r="B54" s="10" t="str">
        <f t="shared" si="1"/>
        <v>1217</v>
      </c>
      <c r="C54" s="35" t="s">
        <v>133</v>
      </c>
      <c r="D54" s="16">
        <v>830030</v>
      </c>
      <c r="E54" s="32" t="s">
        <v>134</v>
      </c>
      <c r="F54" s="18">
        <f>IFERROR(VLOOKUP(C54,'[4]Revenue Data - FY19 MAR-YTD '!$C$3:$Q$82,15,FALSE),0)</f>
        <v>-144302</v>
      </c>
      <c r="G54" s="18"/>
      <c r="H54" s="18">
        <f t="shared" si="9"/>
        <v>-144302</v>
      </c>
      <c r="I54" s="18">
        <f>'[4]Statistics Projections'!J68</f>
        <v>973</v>
      </c>
      <c r="J54" s="18">
        <f t="shared" si="10"/>
        <v>-148.30626927029806</v>
      </c>
      <c r="K54" s="19"/>
      <c r="L54" s="20">
        <f t="shared" si="2"/>
        <v>1.04</v>
      </c>
      <c r="M54" s="18">
        <f t="shared" si="56"/>
        <v>-154.24</v>
      </c>
      <c r="N54" s="19"/>
      <c r="O54" s="21">
        <f>'[4]Statistics Projections'!L68</f>
        <v>2220</v>
      </c>
      <c r="P54" s="18">
        <f t="shared" si="12"/>
        <v>342412.80000000005</v>
      </c>
      <c r="Q54" s="22"/>
      <c r="R54" s="24">
        <f>VLOOKUP($C54,'[4]Revenue Data - FY19 MAR-YTD '!$C$3:$V$82,20,FALSE)</f>
        <v>0.69552743551717922</v>
      </c>
      <c r="S54" s="24">
        <f>VLOOKUP($C54,'[4]Revenue Data - FY19 MAR-YTD '!$C$3:$V$82,19,FALSE)</f>
        <v>0.11268035093068703</v>
      </c>
      <c r="T54" s="24">
        <f>VLOOKUP($C54,'[4]Revenue Data - FY19 MAR-YTD '!$C$3:$V$82,17,FALSE)</f>
        <v>8.7095119956757353E-2</v>
      </c>
      <c r="U54" s="24">
        <f>VLOOKUP($C54,'[4]Revenue Data - FY19 MAR-YTD '!$C$3:$V$82,18,FALSE)</f>
        <v>0.10469709359537636</v>
      </c>
      <c r="V54" s="23">
        <f>VLOOKUP($C54,'[4]Revenue Data - FY19 MAR-YTD '!$C$3:$W$82,21,FALSE)</f>
        <v>0</v>
      </c>
      <c r="W54" s="24">
        <f t="shared" si="48"/>
        <v>1</v>
      </c>
      <c r="X54" s="24"/>
      <c r="Y54" s="25">
        <f t="shared" si="49"/>
        <v>238157.49667225682</v>
      </c>
      <c r="Z54" s="25">
        <f t="shared" si="50"/>
        <v>38583.194467159155</v>
      </c>
      <c r="AA54" s="25">
        <f t="shared" si="51"/>
        <v>29822.483890729167</v>
      </c>
      <c r="AB54" s="25">
        <f t="shared" si="52"/>
        <v>35849.624969854893</v>
      </c>
      <c r="AC54" s="25">
        <f t="shared" si="53"/>
        <v>0</v>
      </c>
      <c r="AD54" s="21">
        <f t="shared" si="43"/>
        <v>342412.79999999999</v>
      </c>
      <c r="AE54" s="26">
        <f t="shared" si="3"/>
        <v>0</v>
      </c>
      <c r="AF54" s="27">
        <f t="shared" si="44"/>
        <v>0.38039999999999996</v>
      </c>
      <c r="AG54" s="27">
        <f t="shared" si="45"/>
        <v>0.37590000000000001</v>
      </c>
      <c r="AH54" s="27">
        <f t="shared" si="46"/>
        <v>0.82200000000000006</v>
      </c>
      <c r="AI54" s="27">
        <f t="shared" si="47"/>
        <v>0.93079999999999996</v>
      </c>
      <c r="AJ54" s="27">
        <v>0</v>
      </c>
      <c r="AT54" s="18">
        <f t="shared" si="54"/>
        <v>90595.111734126491</v>
      </c>
      <c r="AU54" s="18">
        <f t="shared" si="54"/>
        <v>14503.422800205128</v>
      </c>
      <c r="AV54" s="18">
        <f t="shared" si="54"/>
        <v>24514.081758179378</v>
      </c>
      <c r="AW54" s="18">
        <f t="shared" si="54"/>
        <v>33368.830921940935</v>
      </c>
      <c r="AX54" s="18">
        <f t="shared" si="54"/>
        <v>0</v>
      </c>
      <c r="AY54" s="26">
        <f t="shared" si="55"/>
        <v>162981.44721445194</v>
      </c>
      <c r="AZ54" s="26"/>
      <c r="BA54" s="20">
        <f t="shared" si="57"/>
        <v>0.47597942370861118</v>
      </c>
      <c r="BB54" s="20">
        <f t="shared" si="58"/>
        <v>0.52402057629138876</v>
      </c>
      <c r="BC54" s="9">
        <v>5300</v>
      </c>
      <c r="BD54" s="30">
        <f t="shared" si="42"/>
        <v>147562.38493813033</v>
      </c>
      <c r="BE54" s="30">
        <f t="shared" si="42"/>
        <v>24079.771666954028</v>
      </c>
      <c r="BF54" s="30">
        <f t="shared" si="42"/>
        <v>5308.4021325497888</v>
      </c>
      <c r="BG54" s="30">
        <f t="shared" si="42"/>
        <v>2480.7940479139579</v>
      </c>
      <c r="BH54" s="30">
        <f t="shared" si="42"/>
        <v>0</v>
      </c>
      <c r="BI54" s="31">
        <f t="shared" si="6"/>
        <v>179431.35278554811</v>
      </c>
      <c r="BK54" s="9" t="str">
        <f t="shared" si="7"/>
        <v>43001217</v>
      </c>
      <c r="BL54" s="26">
        <f t="shared" si="8"/>
        <v>342412.80000000005</v>
      </c>
    </row>
    <row r="55" spans="1:64">
      <c r="A55" s="10" t="str">
        <f t="shared" si="0"/>
        <v>4300</v>
      </c>
      <c r="B55" s="10" t="str">
        <f t="shared" si="1"/>
        <v>1219</v>
      </c>
      <c r="C55" s="35" t="s">
        <v>135</v>
      </c>
      <c r="D55" s="16">
        <v>830045</v>
      </c>
      <c r="E55" s="32" t="s">
        <v>136</v>
      </c>
      <c r="F55" s="18">
        <f>IFERROR(VLOOKUP(C55,'[4]Revenue Data - FY19 MAR-YTD '!$C$3:$Q$82,15,FALSE),0)</f>
        <v>-161720.15</v>
      </c>
      <c r="G55" s="18"/>
      <c r="H55" s="18">
        <f t="shared" si="9"/>
        <v>-161720.15</v>
      </c>
      <c r="I55" s="18">
        <f>'[4]Statistics Projections'!J74</f>
        <v>33199.370000000003</v>
      </c>
      <c r="J55" s="18">
        <f t="shared" si="10"/>
        <v>-4.8711812904883427</v>
      </c>
      <c r="K55" s="19"/>
      <c r="L55" s="20">
        <v>1</v>
      </c>
      <c r="M55" s="18">
        <f t="shared" si="56"/>
        <v>-4.87</v>
      </c>
      <c r="N55" s="19"/>
      <c r="O55" s="21">
        <f>'[4]Statistics Projections'!L74</f>
        <v>65000</v>
      </c>
      <c r="P55" s="18">
        <f t="shared" si="12"/>
        <v>316550</v>
      </c>
      <c r="Q55" s="22"/>
      <c r="R55" s="24">
        <f>VLOOKUP($C55,'[4]Revenue Data - FY19 MAR-YTD '!$C$3:$V$82,20,FALSE)</f>
        <v>0.68798291369380993</v>
      </c>
      <c r="S55" s="24">
        <f>VLOOKUP($C55,'[4]Revenue Data - FY19 MAR-YTD '!$C$3:$V$82,19,FALSE)</f>
        <v>6.5329212222471969E-2</v>
      </c>
      <c r="T55" s="24">
        <f>VLOOKUP($C55,'[4]Revenue Data - FY19 MAR-YTD '!$C$3:$V$82,17,FALSE)</f>
        <v>9.1871668434638482E-2</v>
      </c>
      <c r="U55" s="24">
        <f>VLOOKUP($C55,'[4]Revenue Data - FY19 MAR-YTD '!$C$3:$V$82,18,FALSE)</f>
        <v>0.15481620564907961</v>
      </c>
      <c r="V55" s="23">
        <f>VLOOKUP($C55,'[4]Revenue Data - FY19 MAR-YTD '!$C$3:$W$82,21,FALSE)</f>
        <v>0</v>
      </c>
      <c r="W55" s="24">
        <f t="shared" si="48"/>
        <v>1</v>
      </c>
      <c r="X55" s="24"/>
      <c r="Y55" s="25">
        <f t="shared" si="49"/>
        <v>217780.99132977554</v>
      </c>
      <c r="Z55" s="25">
        <f t="shared" si="50"/>
        <v>20679.962129023501</v>
      </c>
      <c r="AA55" s="25">
        <f t="shared" si="51"/>
        <v>29081.97664298481</v>
      </c>
      <c r="AB55" s="25">
        <f t="shared" si="52"/>
        <v>49007.069898216148</v>
      </c>
      <c r="AC55" s="25">
        <f t="shared" si="53"/>
        <v>0</v>
      </c>
      <c r="AD55" s="21">
        <f t="shared" si="43"/>
        <v>316550</v>
      </c>
      <c r="AE55" s="26">
        <f t="shared" si="3"/>
        <v>0</v>
      </c>
      <c r="AF55" s="27">
        <f t="shared" si="44"/>
        <v>0.38039999999999996</v>
      </c>
      <c r="AG55" s="27">
        <f t="shared" si="45"/>
        <v>0.37590000000000001</v>
      </c>
      <c r="AH55" s="27">
        <f t="shared" si="46"/>
        <v>0.82200000000000006</v>
      </c>
      <c r="AI55" s="27">
        <f t="shared" si="47"/>
        <v>0.93079999999999996</v>
      </c>
      <c r="AJ55" s="27">
        <v>0</v>
      </c>
      <c r="AT55" s="18">
        <f t="shared" si="54"/>
        <v>82843.889101846609</v>
      </c>
      <c r="AU55" s="18">
        <f t="shared" si="54"/>
        <v>7773.5977642999342</v>
      </c>
      <c r="AV55" s="18">
        <f t="shared" si="54"/>
        <v>23905.384800533517</v>
      </c>
      <c r="AW55" s="18">
        <f t="shared" si="54"/>
        <v>45615.780661259589</v>
      </c>
      <c r="AX55" s="18">
        <f t="shared" si="54"/>
        <v>0</v>
      </c>
      <c r="AY55" s="26">
        <f t="shared" si="55"/>
        <v>160138.65232793964</v>
      </c>
      <c r="AZ55" s="26"/>
      <c r="BA55" s="20">
        <f t="shared" si="57"/>
        <v>0.50588738691498858</v>
      </c>
      <c r="BB55" s="20">
        <f t="shared" si="58"/>
        <v>0.49411261308501142</v>
      </c>
      <c r="BC55" s="9">
        <v>5300</v>
      </c>
      <c r="BD55" s="30">
        <f t="shared" si="42"/>
        <v>134937.10222792893</v>
      </c>
      <c r="BE55" s="30">
        <f t="shared" si="42"/>
        <v>12906.364364723566</v>
      </c>
      <c r="BF55" s="30">
        <f t="shared" si="42"/>
        <v>5176.5918424512929</v>
      </c>
      <c r="BG55" s="30">
        <f t="shared" si="42"/>
        <v>3391.2892369565598</v>
      </c>
      <c r="BH55" s="30">
        <f t="shared" si="42"/>
        <v>0</v>
      </c>
      <c r="BI55" s="31">
        <f t="shared" si="6"/>
        <v>156411.34767206036</v>
      </c>
      <c r="BK55" s="9" t="str">
        <f t="shared" si="7"/>
        <v>43001219</v>
      </c>
      <c r="BL55" s="26">
        <f t="shared" si="8"/>
        <v>316550</v>
      </c>
    </row>
    <row r="56" spans="1:64">
      <c r="A56" s="10" t="str">
        <f t="shared" si="0"/>
        <v>4300</v>
      </c>
      <c r="B56" s="10" t="str">
        <f t="shared" si="1"/>
        <v>1220</v>
      </c>
      <c r="C56" s="35" t="s">
        <v>137</v>
      </c>
      <c r="D56" s="16">
        <v>830050</v>
      </c>
      <c r="E56" s="32" t="s">
        <v>138</v>
      </c>
      <c r="F56" s="18">
        <f>IFERROR(VLOOKUP(C56,'[4]Revenue Data - FY19 MAR-YTD '!$C$3:$Q$82,15,FALSE),0)</f>
        <v>-48843</v>
      </c>
      <c r="G56" s="18"/>
      <c r="H56" s="18">
        <f t="shared" si="9"/>
        <v>-48843</v>
      </c>
      <c r="I56" s="18">
        <f>'[4]Statistics Projections'!J80</f>
        <v>377</v>
      </c>
      <c r="J56" s="18">
        <f t="shared" si="10"/>
        <v>-129.55702917771885</v>
      </c>
      <c r="K56" s="19"/>
      <c r="L56" s="20">
        <f t="shared" si="2"/>
        <v>1.04</v>
      </c>
      <c r="M56" s="18">
        <f t="shared" si="56"/>
        <v>-134.74</v>
      </c>
      <c r="N56" s="19"/>
      <c r="O56" s="21">
        <f>'[4]Statistics Projections'!L80</f>
        <v>737</v>
      </c>
      <c r="P56" s="18">
        <f t="shared" si="12"/>
        <v>99303.38</v>
      </c>
      <c r="Q56" s="22"/>
      <c r="R56" s="24">
        <f>VLOOKUP($C56,'[4]Revenue Data - FY19 MAR-YTD '!$C$3:$V$82,20,FALSE)</f>
        <v>0.74104784718383387</v>
      </c>
      <c r="S56" s="24">
        <f>VLOOKUP($C56,'[4]Revenue Data - FY19 MAR-YTD '!$C$3:$V$82,19,FALSE)</f>
        <v>0</v>
      </c>
      <c r="T56" s="24">
        <f>VLOOKUP($C56,'[4]Revenue Data - FY19 MAR-YTD '!$C$3:$V$82,17,FALSE)</f>
        <v>7.5200131032082382E-2</v>
      </c>
      <c r="U56" s="24">
        <f>VLOOKUP($C56,'[4]Revenue Data - FY19 MAR-YTD '!$C$3:$V$82,18,FALSE)</f>
        <v>0.16974796797903488</v>
      </c>
      <c r="V56" s="23">
        <f>VLOOKUP($C56,'[4]Revenue Data - FY19 MAR-YTD '!$C$3:$W$82,21,FALSE)</f>
        <v>1.400405380504883E-2</v>
      </c>
      <c r="W56" s="24">
        <f t="shared" si="48"/>
        <v>1</v>
      </c>
      <c r="X56" s="24"/>
      <c r="Y56" s="25">
        <f t="shared" si="49"/>
        <v>73588.555967078195</v>
      </c>
      <c r="Z56" s="25">
        <f t="shared" si="50"/>
        <v>0</v>
      </c>
      <c r="AA56" s="25">
        <f t="shared" si="51"/>
        <v>7467.6271879286696</v>
      </c>
      <c r="AB56" s="25">
        <f t="shared" si="52"/>
        <v>16856.546968449933</v>
      </c>
      <c r="AC56" s="25">
        <f t="shared" si="53"/>
        <v>1390.64987654321</v>
      </c>
      <c r="AD56" s="21">
        <f t="shared" si="43"/>
        <v>99303.38</v>
      </c>
      <c r="AE56" s="26">
        <f t="shared" si="3"/>
        <v>0</v>
      </c>
      <c r="AF56" s="27">
        <f t="shared" si="44"/>
        <v>0.38039999999999996</v>
      </c>
      <c r="AG56" s="27">
        <f t="shared" si="45"/>
        <v>0.37590000000000001</v>
      </c>
      <c r="AH56" s="27">
        <f t="shared" si="46"/>
        <v>0.82200000000000006</v>
      </c>
      <c r="AI56" s="27">
        <f t="shared" si="47"/>
        <v>0.93079999999999996</v>
      </c>
      <c r="AJ56" s="27">
        <v>0</v>
      </c>
      <c r="AT56" s="18">
        <f t="shared" si="54"/>
        <v>27993.086689876542</v>
      </c>
      <c r="AU56" s="18">
        <f t="shared" si="54"/>
        <v>0</v>
      </c>
      <c r="AV56" s="18">
        <f t="shared" si="54"/>
        <v>6138.3895484773666</v>
      </c>
      <c r="AW56" s="18">
        <f t="shared" si="54"/>
        <v>15690.073918233196</v>
      </c>
      <c r="AX56" s="18">
        <f t="shared" si="54"/>
        <v>0</v>
      </c>
      <c r="AY56" s="26">
        <f t="shared" si="55"/>
        <v>49821.550156587102</v>
      </c>
      <c r="AZ56" s="26"/>
      <c r="BA56" s="20">
        <f t="shared" si="57"/>
        <v>0.50171051737198769</v>
      </c>
      <c r="BB56" s="20">
        <f t="shared" si="58"/>
        <v>0.49828948262801231</v>
      </c>
      <c r="BC56" s="9">
        <v>5300</v>
      </c>
      <c r="BD56" s="30">
        <f t="shared" si="42"/>
        <v>45595.469277201657</v>
      </c>
      <c r="BE56" s="30">
        <f t="shared" si="42"/>
        <v>0</v>
      </c>
      <c r="BF56" s="30">
        <f t="shared" si="42"/>
        <v>1329.237639451303</v>
      </c>
      <c r="BG56" s="30">
        <f t="shared" si="42"/>
        <v>1166.4730502167367</v>
      </c>
      <c r="BH56" s="30">
        <f t="shared" si="42"/>
        <v>1390.64987654321</v>
      </c>
      <c r="BI56" s="31">
        <f t="shared" si="6"/>
        <v>49481.82984341291</v>
      </c>
      <c r="BK56" s="9" t="str">
        <f t="shared" si="7"/>
        <v>43001220</v>
      </c>
      <c r="BL56" s="26">
        <f t="shared" si="8"/>
        <v>99303.38</v>
      </c>
    </row>
    <row r="57" spans="1:64">
      <c r="A57" s="10" t="str">
        <f t="shared" si="0"/>
        <v>4300</v>
      </c>
      <c r="B57" s="10" t="str">
        <f t="shared" si="1"/>
        <v>1222</v>
      </c>
      <c r="C57" s="35" t="s">
        <v>139</v>
      </c>
      <c r="D57" s="16">
        <v>830060</v>
      </c>
      <c r="E57" s="32" t="s">
        <v>140</v>
      </c>
      <c r="F57" s="18">
        <f>IFERROR(VLOOKUP(C57,'[4]Revenue Data - FY19 MAR-YTD '!$C$3:$Q$82,15,FALSE),0)</f>
        <v>-1092011</v>
      </c>
      <c r="G57" s="18"/>
      <c r="H57" s="18">
        <f t="shared" si="9"/>
        <v>-1092011</v>
      </c>
      <c r="I57" s="18">
        <f>'[4]Statistics Projections'!J86</f>
        <v>5563</v>
      </c>
      <c r="J57" s="18">
        <f t="shared" si="10"/>
        <v>-196.29893942117562</v>
      </c>
      <c r="K57" s="19"/>
      <c r="L57" s="20">
        <f t="shared" si="2"/>
        <v>1.04</v>
      </c>
      <c r="M57" s="18">
        <f t="shared" si="56"/>
        <v>-204.15</v>
      </c>
      <c r="N57" s="19"/>
      <c r="O57" s="21">
        <f>'[4]Statistics Projections'!L86</f>
        <v>11500</v>
      </c>
      <c r="P57" s="18">
        <f t="shared" si="12"/>
        <v>2347725</v>
      </c>
      <c r="Q57" s="22"/>
      <c r="R57" s="24">
        <f>VLOOKUP($C57,'[4]Revenue Data - FY19 MAR-YTD '!$C$3:$V$82,20,FALSE)</f>
        <v>0.65187713310580209</v>
      </c>
      <c r="S57" s="24">
        <f>VLOOKUP($C57,'[4]Revenue Data - FY19 MAR-YTD '!$C$3:$V$82,19,FALSE)</f>
        <v>8.3750987856349435E-2</v>
      </c>
      <c r="T57" s="24">
        <f>VLOOKUP($C57,'[4]Revenue Data - FY19 MAR-YTD '!$C$3:$V$82,17,FALSE)</f>
        <v>0.11504279718794042</v>
      </c>
      <c r="U57" s="24">
        <f>VLOOKUP($C57,'[4]Revenue Data - FY19 MAR-YTD '!$C$3:$V$82,18,FALSE)</f>
        <v>0.14932908184990812</v>
      </c>
      <c r="V57" s="23">
        <f>VLOOKUP($C57,'[4]Revenue Data - FY19 MAR-YTD '!$C$3:$W$82,21,FALSE)</f>
        <v>0</v>
      </c>
      <c r="W57" s="24">
        <f t="shared" si="48"/>
        <v>1</v>
      </c>
      <c r="X57" s="24"/>
      <c r="Y57" s="25">
        <f t="shared" si="49"/>
        <v>1530428.2423208193</v>
      </c>
      <c r="Z57" s="25">
        <f t="shared" si="50"/>
        <v>196624.28796504799</v>
      </c>
      <c r="AA57" s="25">
        <f t="shared" si="51"/>
        <v>270088.8510280574</v>
      </c>
      <c r="AB57" s="25">
        <f t="shared" si="52"/>
        <v>350583.61868607556</v>
      </c>
      <c r="AC57" s="25">
        <f t="shared" si="53"/>
        <v>0</v>
      </c>
      <c r="AD57" s="21">
        <f t="shared" si="43"/>
        <v>2347725</v>
      </c>
      <c r="AE57" s="26">
        <f t="shared" si="3"/>
        <v>0</v>
      </c>
      <c r="AF57" s="27">
        <f t="shared" si="44"/>
        <v>0.38039999999999996</v>
      </c>
      <c r="AG57" s="27">
        <f t="shared" si="45"/>
        <v>0.37590000000000001</v>
      </c>
      <c r="AH57" s="27">
        <f t="shared" si="46"/>
        <v>0.82200000000000006</v>
      </c>
      <c r="AI57" s="27">
        <f t="shared" si="47"/>
        <v>0.93079999999999996</v>
      </c>
      <c r="AJ57" s="27">
        <v>0</v>
      </c>
      <c r="AT57" s="18">
        <f t="shared" si="54"/>
        <v>582174.9033788396</v>
      </c>
      <c r="AU57" s="18">
        <f t="shared" si="54"/>
        <v>73911.069846061539</v>
      </c>
      <c r="AV57" s="18">
        <f t="shared" si="54"/>
        <v>222013.03554506321</v>
      </c>
      <c r="AW57" s="18">
        <f t="shared" si="54"/>
        <v>326323.23227299913</v>
      </c>
      <c r="AX57" s="18">
        <f t="shared" si="54"/>
        <v>0</v>
      </c>
      <c r="AY57" s="26">
        <f t="shared" si="55"/>
        <v>1204422.2410429635</v>
      </c>
      <c r="AZ57" s="26"/>
      <c r="BA57" s="20">
        <f t="shared" si="57"/>
        <v>0.51301674644303041</v>
      </c>
      <c r="BB57" s="20">
        <f t="shared" si="58"/>
        <v>0.48698325355696959</v>
      </c>
      <c r="BC57" s="9">
        <v>5300</v>
      </c>
      <c r="BD57" s="30">
        <f t="shared" si="42"/>
        <v>948253.33894197969</v>
      </c>
      <c r="BE57" s="30">
        <f t="shared" si="42"/>
        <v>122713.21811898645</v>
      </c>
      <c r="BF57" s="30">
        <f t="shared" si="42"/>
        <v>48075.815482994192</v>
      </c>
      <c r="BG57" s="30">
        <f t="shared" si="42"/>
        <v>24260.386413076427</v>
      </c>
      <c r="BH57" s="30">
        <f t="shared" si="42"/>
        <v>0</v>
      </c>
      <c r="BI57" s="31">
        <f t="shared" si="6"/>
        <v>1143302.7589570368</v>
      </c>
      <c r="BK57" s="9" t="str">
        <f t="shared" si="7"/>
        <v>43001222</v>
      </c>
      <c r="BL57" s="26">
        <f t="shared" si="8"/>
        <v>2347725</v>
      </c>
    </row>
    <row r="58" spans="1:64">
      <c r="A58" s="10" t="str">
        <f t="shared" si="0"/>
        <v>4300</v>
      </c>
      <c r="B58" s="10" t="str">
        <f t="shared" si="1"/>
        <v>1223</v>
      </c>
      <c r="C58" s="35" t="s">
        <v>141</v>
      </c>
      <c r="D58" s="16">
        <v>830060</v>
      </c>
      <c r="E58" s="32" t="s">
        <v>142</v>
      </c>
      <c r="F58" s="18">
        <f>IFERROR(VLOOKUP(C58,'[4]Revenue Data - FY19 MAR-YTD '!$C$3:$Q$82,15,FALSE),0)</f>
        <v>-1119454</v>
      </c>
      <c r="G58" s="18"/>
      <c r="H58" s="18">
        <f t="shared" si="9"/>
        <v>-1119454</v>
      </c>
      <c r="I58" s="18">
        <f>'[4]Statistics Projections'!J92</f>
        <v>5614</v>
      </c>
      <c r="J58" s="18">
        <f t="shared" si="10"/>
        <v>-199.40399002493766</v>
      </c>
      <c r="K58" s="19"/>
      <c r="L58" s="20">
        <f t="shared" si="2"/>
        <v>1.04</v>
      </c>
      <c r="M58" s="18">
        <f t="shared" si="56"/>
        <v>-207.38</v>
      </c>
      <c r="N58" s="19"/>
      <c r="O58" s="21">
        <f>'[4]Statistics Projections'!L92</f>
        <v>11357</v>
      </c>
      <c r="P58" s="18">
        <f t="shared" si="12"/>
        <v>2355214.66</v>
      </c>
      <c r="Q58" s="22"/>
      <c r="R58" s="24">
        <f>VLOOKUP($C58,'[4]Revenue Data - FY19 MAR-YTD '!$C$3:$V$82,20,FALSE)</f>
        <v>0.64943534973299488</v>
      </c>
      <c r="S58" s="24">
        <f>VLOOKUP($C58,'[4]Revenue Data - FY19 MAR-YTD '!$C$3:$V$82,19,FALSE)</f>
        <v>8.0485665333278542E-2</v>
      </c>
      <c r="T58" s="24">
        <f>VLOOKUP($C58,'[4]Revenue Data - FY19 MAR-YTD '!$C$3:$V$82,17,FALSE)</f>
        <v>0.11236281258542111</v>
      </c>
      <c r="U58" s="24">
        <f>VLOOKUP($C58,'[4]Revenue Data - FY19 MAR-YTD '!$C$3:$V$82,18,FALSE)</f>
        <v>0.15771617234830551</v>
      </c>
      <c r="V58" s="23">
        <f>VLOOKUP($C58,'[4]Revenue Data - FY19 MAR-YTD '!$C$3:$W$82,21,FALSE)</f>
        <v>0</v>
      </c>
      <c r="W58" s="24">
        <f t="shared" si="48"/>
        <v>1</v>
      </c>
      <c r="X58" s="24"/>
      <c r="Y58" s="25">
        <f t="shared" si="49"/>
        <v>1529559.6564133768</v>
      </c>
      <c r="Z58" s="25">
        <f t="shared" si="50"/>
        <v>189561.01891279142</v>
      </c>
      <c r="AA58" s="25">
        <f t="shared" si="51"/>
        <v>264638.54344001634</v>
      </c>
      <c r="AB58" s="25">
        <f t="shared" si="52"/>
        <v>371455.4412338158</v>
      </c>
      <c r="AC58" s="25">
        <f t="shared" si="53"/>
        <v>0</v>
      </c>
      <c r="AD58" s="21">
        <f t="shared" si="43"/>
        <v>2355214.66</v>
      </c>
      <c r="AE58" s="26">
        <f t="shared" si="3"/>
        <v>0</v>
      </c>
      <c r="AF58" s="27">
        <f t="shared" si="44"/>
        <v>0.38039999999999996</v>
      </c>
      <c r="AG58" s="27">
        <f t="shared" si="45"/>
        <v>0.37590000000000001</v>
      </c>
      <c r="AH58" s="27">
        <f t="shared" si="46"/>
        <v>0.82200000000000006</v>
      </c>
      <c r="AI58" s="27">
        <f t="shared" si="47"/>
        <v>0.93079999999999996</v>
      </c>
      <c r="AJ58" s="27">
        <v>0</v>
      </c>
      <c r="AT58" s="18">
        <f t="shared" si="54"/>
        <v>581844.49329964851</v>
      </c>
      <c r="AU58" s="18">
        <f t="shared" si="54"/>
        <v>71255.987009318298</v>
      </c>
      <c r="AV58" s="18">
        <f t="shared" si="54"/>
        <v>217532.88270769344</v>
      </c>
      <c r="AW58" s="18">
        <f t="shared" si="54"/>
        <v>345750.72470043571</v>
      </c>
      <c r="AX58" s="18">
        <f t="shared" si="54"/>
        <v>0</v>
      </c>
      <c r="AY58" s="26">
        <f t="shared" si="55"/>
        <v>1216384.0877170961</v>
      </c>
      <c r="AZ58" s="26"/>
      <c r="BA58" s="20">
        <f t="shared" si="57"/>
        <v>0.51646421380422969</v>
      </c>
      <c r="BB58" s="20">
        <f t="shared" si="58"/>
        <v>0.48353578619577031</v>
      </c>
      <c r="BC58" s="9">
        <v>5300</v>
      </c>
      <c r="BD58" s="30">
        <f t="shared" si="42"/>
        <v>947715.16311372828</v>
      </c>
      <c r="BE58" s="30">
        <f t="shared" si="42"/>
        <v>118305.03190347312</v>
      </c>
      <c r="BF58" s="30">
        <f t="shared" si="42"/>
        <v>47105.660732322896</v>
      </c>
      <c r="BG58" s="30">
        <f t="shared" si="42"/>
        <v>25704.716533380095</v>
      </c>
      <c r="BH58" s="30">
        <f t="shared" si="42"/>
        <v>0</v>
      </c>
      <c r="BI58" s="31">
        <f t="shared" si="6"/>
        <v>1138830.5722829043</v>
      </c>
      <c r="BK58" s="9" t="str">
        <f t="shared" si="7"/>
        <v>43001223</v>
      </c>
      <c r="BL58" s="26">
        <f t="shared" si="8"/>
        <v>2355214.66</v>
      </c>
    </row>
    <row r="59" spans="1:64">
      <c r="A59" s="10" t="str">
        <f t="shared" si="0"/>
        <v>4300</v>
      </c>
      <c r="B59" s="10" t="str">
        <f t="shared" si="1"/>
        <v>1224</v>
      </c>
      <c r="C59" s="35" t="s">
        <v>143</v>
      </c>
      <c r="D59" s="16">
        <v>830060</v>
      </c>
      <c r="E59" s="32" t="s">
        <v>144</v>
      </c>
      <c r="F59" s="18">
        <f>IFERROR(VLOOKUP(C59,'[4]Revenue Data - FY19 MAR-YTD '!$C$3:$Q$82,15,FALSE),0)</f>
        <v>-158855</v>
      </c>
      <c r="G59" s="18"/>
      <c r="H59" s="18">
        <f t="shared" si="9"/>
        <v>-158855</v>
      </c>
      <c r="I59" s="18">
        <f>'[4]Statistics Projections'!J98</f>
        <v>438</v>
      </c>
      <c r="J59" s="18">
        <f t="shared" si="10"/>
        <v>-362.6826484018265</v>
      </c>
      <c r="K59" s="19"/>
      <c r="L59" s="20">
        <f t="shared" si="2"/>
        <v>1.04</v>
      </c>
      <c r="M59" s="18">
        <f t="shared" si="56"/>
        <v>-377.19</v>
      </c>
      <c r="N59" s="19"/>
      <c r="O59" s="21">
        <f>'[4]Statistics Projections'!L98</f>
        <v>850</v>
      </c>
      <c r="P59" s="18">
        <f t="shared" si="12"/>
        <v>320611.5</v>
      </c>
      <c r="Q59" s="22"/>
      <c r="R59" s="24">
        <f>VLOOKUP($C59,'[4]Revenue Data - FY19 MAR-YTD '!$C$3:$V$82,20,FALSE)</f>
        <v>0.68793553869881341</v>
      </c>
      <c r="S59" s="24">
        <f>VLOOKUP($C59,'[4]Revenue Data - FY19 MAR-YTD '!$C$3:$V$82,19,FALSE)</f>
        <v>2.838437568852098E-2</v>
      </c>
      <c r="T59" s="24">
        <f>VLOOKUP($C59,'[4]Revenue Data - FY19 MAR-YTD '!$C$3:$V$82,17,FALSE)</f>
        <v>9.9178496112807282E-2</v>
      </c>
      <c r="U59" s="24">
        <f>VLOOKUP($C59,'[4]Revenue Data - FY19 MAR-YTD '!$C$3:$V$82,18,FALSE)</f>
        <v>0.18450158949985837</v>
      </c>
      <c r="V59" s="23">
        <f>VLOOKUP($C59,'[4]Revenue Data - FY19 MAR-YTD '!$C$3:$W$82,21,FALSE)</f>
        <v>0</v>
      </c>
      <c r="W59" s="24">
        <f t="shared" si="48"/>
        <v>1</v>
      </c>
      <c r="X59" s="24"/>
      <c r="Y59" s="25">
        <f t="shared" si="49"/>
        <v>220560.04496553462</v>
      </c>
      <c r="Z59" s="25">
        <f t="shared" si="50"/>
        <v>9100.357266060244</v>
      </c>
      <c r="AA59" s="25">
        <f t="shared" si="51"/>
        <v>31797.766406471314</v>
      </c>
      <c r="AB59" s="25">
        <f t="shared" si="52"/>
        <v>59153.331361933844</v>
      </c>
      <c r="AC59" s="25">
        <f t="shared" si="53"/>
        <v>0</v>
      </c>
      <c r="AD59" s="21">
        <f t="shared" si="43"/>
        <v>320611.5</v>
      </c>
      <c r="AE59" s="26">
        <f t="shared" si="3"/>
        <v>0</v>
      </c>
      <c r="AF59" s="27">
        <f t="shared" si="44"/>
        <v>0.38039999999999996</v>
      </c>
      <c r="AG59" s="27">
        <f t="shared" si="45"/>
        <v>0.37590000000000001</v>
      </c>
      <c r="AH59" s="27">
        <f t="shared" si="46"/>
        <v>0.82200000000000006</v>
      </c>
      <c r="AI59" s="27">
        <f t="shared" si="47"/>
        <v>0.93079999999999996</v>
      </c>
      <c r="AJ59" s="27">
        <v>0</v>
      </c>
      <c r="AT59" s="18">
        <f t="shared" si="54"/>
        <v>83901.041104889358</v>
      </c>
      <c r="AU59" s="18">
        <f t="shared" si="54"/>
        <v>3420.824296312046</v>
      </c>
      <c r="AV59" s="18">
        <f t="shared" si="54"/>
        <v>26137.763986119422</v>
      </c>
      <c r="AW59" s="18">
        <f t="shared" si="54"/>
        <v>55059.920831688018</v>
      </c>
      <c r="AX59" s="18">
        <f t="shared" si="54"/>
        <v>0</v>
      </c>
      <c r="AY59" s="26">
        <f t="shared" si="55"/>
        <v>168519.55021900884</v>
      </c>
      <c r="AZ59" s="26"/>
      <c r="BA59" s="20">
        <f t="shared" si="57"/>
        <v>0.52561916905353934</v>
      </c>
      <c r="BB59" s="20">
        <f t="shared" si="58"/>
        <v>0.47438083094646066</v>
      </c>
      <c r="BC59" s="9">
        <v>5300</v>
      </c>
      <c r="BD59" s="30">
        <f t="shared" si="42"/>
        <v>136659.00386064526</v>
      </c>
      <c r="BE59" s="30">
        <f t="shared" si="42"/>
        <v>5679.5329697481975</v>
      </c>
      <c r="BF59" s="30">
        <f t="shared" si="42"/>
        <v>5660.0024203518915</v>
      </c>
      <c r="BG59" s="30">
        <f t="shared" si="42"/>
        <v>4093.4105302458265</v>
      </c>
      <c r="BH59" s="30">
        <f t="shared" si="42"/>
        <v>0</v>
      </c>
      <c r="BI59" s="31">
        <f t="shared" si="6"/>
        <v>152091.94978099118</v>
      </c>
      <c r="BK59" s="9" t="str">
        <f t="shared" si="7"/>
        <v>43001224</v>
      </c>
      <c r="BL59" s="26">
        <f t="shared" si="8"/>
        <v>320611.5</v>
      </c>
    </row>
    <row r="60" spans="1:64">
      <c r="A60" s="36" t="str">
        <f t="shared" si="0"/>
        <v>4300</v>
      </c>
      <c r="B60" s="36" t="str">
        <f t="shared" si="1"/>
        <v>1382</v>
      </c>
      <c r="C60" s="56" t="s">
        <v>145</v>
      </c>
      <c r="D60" s="38"/>
      <c r="E60" s="39"/>
      <c r="F60" s="43">
        <f>IFERROR(VLOOKUP(C60,'[4]Revenue Data - FY19 MAR-YTD '!$C$3:$Q$82,15,FALSE),0)</f>
        <v>0</v>
      </c>
      <c r="G60" s="43"/>
      <c r="H60" s="43">
        <f t="shared" si="9"/>
        <v>0</v>
      </c>
      <c r="I60" s="43"/>
      <c r="J60" s="43">
        <f t="shared" si="10"/>
        <v>0</v>
      </c>
      <c r="K60" s="41"/>
      <c r="L60" s="20">
        <f t="shared" si="2"/>
        <v>1.04</v>
      </c>
      <c r="M60" s="43">
        <f t="shared" si="11"/>
        <v>0</v>
      </c>
      <c r="N60" s="41"/>
      <c r="O60" s="42">
        <v>0</v>
      </c>
      <c r="P60" s="43">
        <f t="shared" si="12"/>
        <v>0</v>
      </c>
      <c r="Q60" s="44"/>
      <c r="R60" s="45"/>
      <c r="S60" s="45"/>
      <c r="T60" s="45"/>
      <c r="U60" s="45"/>
      <c r="V60" s="45"/>
      <c r="W60" s="45"/>
      <c r="X60" s="45"/>
      <c r="Y60" s="46">
        <v>0</v>
      </c>
      <c r="Z60" s="46">
        <v>0</v>
      </c>
      <c r="AA60" s="46">
        <v>0</v>
      </c>
      <c r="AB60" s="46">
        <v>0</v>
      </c>
      <c r="AC60" s="46">
        <v>0</v>
      </c>
      <c r="AD60" s="42">
        <f t="shared" si="43"/>
        <v>0</v>
      </c>
      <c r="AE60" s="26">
        <f t="shared" si="3"/>
        <v>0</v>
      </c>
      <c r="AF60" s="47"/>
      <c r="AG60" s="47"/>
      <c r="AH60" s="47"/>
      <c r="AI60" s="47"/>
      <c r="AJ60" s="47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>
        <v>5300</v>
      </c>
      <c r="BD60" s="49">
        <f t="shared" si="42"/>
        <v>0</v>
      </c>
      <c r="BE60" s="49">
        <f t="shared" si="42"/>
        <v>0</v>
      </c>
      <c r="BF60" s="49">
        <f t="shared" si="42"/>
        <v>0</v>
      </c>
      <c r="BG60" s="49">
        <f t="shared" si="42"/>
        <v>0</v>
      </c>
      <c r="BH60" s="49">
        <f t="shared" si="42"/>
        <v>0</v>
      </c>
      <c r="BI60" s="50">
        <f t="shared" si="6"/>
        <v>0</v>
      </c>
      <c r="BJ60" s="39"/>
      <c r="BK60" s="39" t="str">
        <f t="shared" si="7"/>
        <v>43001382</v>
      </c>
      <c r="BL60" s="51">
        <f t="shared" si="8"/>
        <v>0</v>
      </c>
    </row>
    <row r="61" spans="1:64">
      <c r="A61" s="10" t="str">
        <f t="shared" si="0"/>
        <v>4400</v>
      </c>
      <c r="B61" s="10" t="str">
        <f t="shared" si="1"/>
        <v>1101</v>
      </c>
      <c r="C61" s="35" t="s">
        <v>146</v>
      </c>
      <c r="D61" s="16"/>
      <c r="F61" s="18">
        <f>IFERROR(VLOOKUP(C61,'[4]Revenue Data - FY19 MAR-YTD '!$C$3:$Q$82,15,FALSE),0)</f>
        <v>0</v>
      </c>
      <c r="G61" s="18"/>
      <c r="H61" s="18">
        <f t="shared" si="9"/>
        <v>0</v>
      </c>
      <c r="I61" s="18"/>
      <c r="J61" s="18">
        <f t="shared" si="10"/>
        <v>0</v>
      </c>
      <c r="K61" s="19"/>
      <c r="L61" s="20">
        <f t="shared" si="2"/>
        <v>1.04</v>
      </c>
      <c r="M61" s="18">
        <f t="shared" si="11"/>
        <v>0</v>
      </c>
      <c r="N61" s="19"/>
      <c r="O61" s="21">
        <v>0</v>
      </c>
      <c r="P61" s="18">
        <f t="shared" si="12"/>
        <v>0</v>
      </c>
      <c r="Q61" s="22"/>
      <c r="R61" s="24"/>
      <c r="S61" s="24"/>
      <c r="T61" s="24"/>
      <c r="U61" s="24"/>
      <c r="V61" s="24"/>
      <c r="W61" s="24"/>
      <c r="X61" s="24"/>
      <c r="Y61" s="57">
        <v>0</v>
      </c>
      <c r="Z61" s="57">
        <v>0</v>
      </c>
      <c r="AA61" s="57">
        <v>0</v>
      </c>
      <c r="AB61" s="57">
        <v>0</v>
      </c>
      <c r="AC61" s="57">
        <v>0</v>
      </c>
      <c r="AD61" s="21">
        <f t="shared" si="43"/>
        <v>0</v>
      </c>
      <c r="AE61" s="26">
        <f t="shared" si="3"/>
        <v>0</v>
      </c>
      <c r="AF61" s="27"/>
      <c r="AG61" s="27"/>
      <c r="AH61" s="27"/>
      <c r="AI61" s="27"/>
      <c r="AJ61" s="27"/>
      <c r="BC61" s="9">
        <v>5400</v>
      </c>
      <c r="BD61" s="30">
        <f t="shared" si="42"/>
        <v>0</v>
      </c>
      <c r="BE61" s="30">
        <f t="shared" si="42"/>
        <v>0</v>
      </c>
      <c r="BF61" s="30">
        <f t="shared" si="42"/>
        <v>0</v>
      </c>
      <c r="BG61" s="30">
        <f t="shared" si="42"/>
        <v>0</v>
      </c>
      <c r="BH61" s="30">
        <f t="shared" si="42"/>
        <v>0</v>
      </c>
      <c r="BI61" s="31">
        <f t="shared" si="6"/>
        <v>0</v>
      </c>
      <c r="BK61" s="9" t="str">
        <f t="shared" si="7"/>
        <v>44001101</v>
      </c>
      <c r="BL61" s="26">
        <f t="shared" si="8"/>
        <v>0</v>
      </c>
    </row>
    <row r="62" spans="1:64">
      <c r="A62" s="10" t="str">
        <f t="shared" si="0"/>
        <v>4400</v>
      </c>
      <c r="B62" s="10" t="str">
        <f t="shared" si="1"/>
        <v>1106</v>
      </c>
      <c r="C62" s="35" t="s">
        <v>147</v>
      </c>
      <c r="D62" s="16"/>
      <c r="F62" s="18">
        <f>IFERROR(VLOOKUP(C62,'[4]Revenue Data - FY19 MAR-YTD '!$C$3:$Q$82,15,FALSE),0)</f>
        <v>0</v>
      </c>
      <c r="G62" s="18"/>
      <c r="H62" s="18">
        <f t="shared" si="9"/>
        <v>0</v>
      </c>
      <c r="I62" s="18"/>
      <c r="J62" s="18">
        <f t="shared" si="10"/>
        <v>0</v>
      </c>
      <c r="K62" s="19"/>
      <c r="L62" s="20">
        <f t="shared" si="2"/>
        <v>1.04</v>
      </c>
      <c r="M62" s="18">
        <f t="shared" si="11"/>
        <v>0</v>
      </c>
      <c r="N62" s="19"/>
      <c r="O62" s="21">
        <v>0</v>
      </c>
      <c r="P62" s="18">
        <f t="shared" si="12"/>
        <v>0</v>
      </c>
      <c r="Q62" s="22"/>
      <c r="R62" s="24"/>
      <c r="S62" s="24"/>
      <c r="T62" s="24"/>
      <c r="U62" s="24"/>
      <c r="V62" s="24"/>
      <c r="W62" s="24"/>
      <c r="X62" s="24"/>
      <c r="Y62" s="57">
        <v>0</v>
      </c>
      <c r="Z62" s="57">
        <v>0</v>
      </c>
      <c r="AA62" s="57">
        <v>0</v>
      </c>
      <c r="AB62" s="57">
        <v>0</v>
      </c>
      <c r="AC62" s="57">
        <v>0</v>
      </c>
      <c r="AD62" s="21">
        <f t="shared" si="43"/>
        <v>0</v>
      </c>
      <c r="AE62" s="26">
        <f t="shared" si="3"/>
        <v>0</v>
      </c>
      <c r="AF62" s="27"/>
      <c r="AG62" s="27"/>
      <c r="AH62" s="27"/>
      <c r="AI62" s="27"/>
      <c r="AJ62" s="27"/>
      <c r="BC62" s="9">
        <v>5400</v>
      </c>
      <c r="BD62" s="30">
        <f t="shared" si="42"/>
        <v>0</v>
      </c>
      <c r="BE62" s="30">
        <f t="shared" si="42"/>
        <v>0</v>
      </c>
      <c r="BF62" s="30">
        <f t="shared" si="42"/>
        <v>0</v>
      </c>
      <c r="BG62" s="30">
        <f t="shared" si="42"/>
        <v>0</v>
      </c>
      <c r="BH62" s="30">
        <f t="shared" si="42"/>
        <v>0</v>
      </c>
      <c r="BI62" s="31">
        <f t="shared" si="6"/>
        <v>0</v>
      </c>
      <c r="BK62" s="9" t="str">
        <f t="shared" si="7"/>
        <v>44001106</v>
      </c>
      <c r="BL62" s="26">
        <f t="shared" si="8"/>
        <v>0</v>
      </c>
    </row>
    <row r="63" spans="1:64">
      <c r="A63" s="10" t="str">
        <f t="shared" si="0"/>
        <v>4400</v>
      </c>
      <c r="B63" s="10" t="str">
        <f t="shared" si="1"/>
        <v>1216</v>
      </c>
      <c r="C63" s="35" t="s">
        <v>148</v>
      </c>
      <c r="D63" s="16"/>
      <c r="E63" s="32"/>
      <c r="F63" s="18">
        <f>IFERROR(VLOOKUP(C63,'[4]Revenue Data - FY19 MAR-YTD '!$C$3:$Q$82,15,FALSE),0)</f>
        <v>0</v>
      </c>
      <c r="G63" s="18"/>
      <c r="H63" s="18">
        <f t="shared" si="9"/>
        <v>0</v>
      </c>
      <c r="I63" s="18"/>
      <c r="J63" s="18">
        <f t="shared" si="10"/>
        <v>0</v>
      </c>
      <c r="K63" s="19"/>
      <c r="L63" s="20">
        <f t="shared" si="2"/>
        <v>1.04</v>
      </c>
      <c r="M63" s="18">
        <f t="shared" si="11"/>
        <v>0</v>
      </c>
      <c r="N63" s="19"/>
      <c r="O63" s="21">
        <v>0</v>
      </c>
      <c r="P63" s="18">
        <f t="shared" si="12"/>
        <v>0</v>
      </c>
      <c r="Q63" s="22"/>
      <c r="R63" s="24"/>
      <c r="S63" s="24"/>
      <c r="T63" s="24"/>
      <c r="U63" s="24"/>
      <c r="V63" s="24"/>
      <c r="W63" s="24"/>
      <c r="X63" s="24"/>
      <c r="Y63" s="57">
        <v>0</v>
      </c>
      <c r="Z63" s="57">
        <v>0</v>
      </c>
      <c r="AA63" s="57">
        <v>0</v>
      </c>
      <c r="AB63" s="57">
        <v>0</v>
      </c>
      <c r="AC63" s="57">
        <v>0</v>
      </c>
      <c r="AD63" s="21">
        <f t="shared" si="43"/>
        <v>0</v>
      </c>
      <c r="AE63" s="26">
        <f t="shared" si="3"/>
        <v>0</v>
      </c>
      <c r="AF63" s="27"/>
      <c r="AG63" s="27"/>
      <c r="AH63" s="27"/>
      <c r="AI63" s="27"/>
      <c r="AJ63" s="27"/>
      <c r="BC63" s="9">
        <v>5400</v>
      </c>
      <c r="BD63" s="30">
        <f t="shared" si="42"/>
        <v>0</v>
      </c>
      <c r="BE63" s="30">
        <f t="shared" si="42"/>
        <v>0</v>
      </c>
      <c r="BF63" s="30">
        <f t="shared" si="42"/>
        <v>0</v>
      </c>
      <c r="BG63" s="30">
        <f t="shared" si="42"/>
        <v>0</v>
      </c>
      <c r="BH63" s="30">
        <f t="shared" si="42"/>
        <v>0</v>
      </c>
      <c r="BI63" s="31">
        <f t="shared" si="6"/>
        <v>0</v>
      </c>
      <c r="BK63" s="9" t="str">
        <f t="shared" si="7"/>
        <v>44001216</v>
      </c>
      <c r="BL63" s="26">
        <f t="shared" si="8"/>
        <v>0</v>
      </c>
    </row>
    <row r="64" spans="1:64">
      <c r="A64" s="10" t="str">
        <f t="shared" si="0"/>
        <v>4400</v>
      </c>
      <c r="B64" s="10" t="str">
        <f t="shared" si="1"/>
        <v>1217</v>
      </c>
      <c r="C64" s="35" t="s">
        <v>149</v>
      </c>
      <c r="D64" s="16"/>
      <c r="E64" s="32"/>
      <c r="F64" s="18">
        <f>IFERROR(VLOOKUP(C64,'[4]Revenue Data - FY19 MAR-YTD '!$C$3:$Q$82,15,FALSE),0)</f>
        <v>0</v>
      </c>
      <c r="G64" s="18"/>
      <c r="H64" s="18">
        <f t="shared" si="9"/>
        <v>0</v>
      </c>
      <c r="I64" s="18"/>
      <c r="J64" s="18">
        <f t="shared" si="10"/>
        <v>0</v>
      </c>
      <c r="K64" s="19"/>
      <c r="L64" s="20">
        <f t="shared" si="2"/>
        <v>1.04</v>
      </c>
      <c r="M64" s="18">
        <f t="shared" si="11"/>
        <v>0</v>
      </c>
      <c r="N64" s="19"/>
      <c r="O64" s="21">
        <v>0</v>
      </c>
      <c r="P64" s="18">
        <f t="shared" si="12"/>
        <v>0</v>
      </c>
      <c r="Q64" s="22"/>
      <c r="R64" s="24"/>
      <c r="S64" s="24"/>
      <c r="T64" s="24"/>
      <c r="U64" s="24"/>
      <c r="V64" s="24"/>
      <c r="W64" s="24"/>
      <c r="X64" s="24"/>
      <c r="Y64" s="57">
        <v>0</v>
      </c>
      <c r="Z64" s="57">
        <v>0</v>
      </c>
      <c r="AA64" s="57">
        <v>0</v>
      </c>
      <c r="AB64" s="57">
        <v>0</v>
      </c>
      <c r="AC64" s="57">
        <v>0</v>
      </c>
      <c r="AD64" s="21">
        <f t="shared" si="43"/>
        <v>0</v>
      </c>
      <c r="AE64" s="26">
        <f t="shared" si="3"/>
        <v>0</v>
      </c>
      <c r="AF64" s="27"/>
      <c r="AG64" s="27"/>
      <c r="AH64" s="27"/>
      <c r="AI64" s="27"/>
      <c r="AJ64" s="27"/>
      <c r="BC64" s="9">
        <v>5400</v>
      </c>
      <c r="BD64" s="30">
        <f t="shared" si="42"/>
        <v>0</v>
      </c>
      <c r="BE64" s="30">
        <f t="shared" si="42"/>
        <v>0</v>
      </c>
      <c r="BF64" s="30">
        <f t="shared" si="42"/>
        <v>0</v>
      </c>
      <c r="BG64" s="30">
        <f t="shared" si="42"/>
        <v>0</v>
      </c>
      <c r="BH64" s="30">
        <f t="shared" si="42"/>
        <v>0</v>
      </c>
      <c r="BI64" s="31">
        <f t="shared" si="6"/>
        <v>0</v>
      </c>
      <c r="BK64" s="9" t="str">
        <f t="shared" si="7"/>
        <v>44001217</v>
      </c>
      <c r="BL64" s="26">
        <f t="shared" si="8"/>
        <v>0</v>
      </c>
    </row>
    <row r="65" spans="1:64">
      <c r="A65" s="10" t="str">
        <f t="shared" si="0"/>
        <v>4400</v>
      </c>
      <c r="B65" s="10" t="str">
        <f t="shared" si="1"/>
        <v>1219</v>
      </c>
      <c r="C65" s="35" t="s">
        <v>150</v>
      </c>
      <c r="D65" s="16"/>
      <c r="E65" s="32"/>
      <c r="F65" s="18">
        <f>IFERROR(VLOOKUP(C65,'[4]Revenue Data - FY19 MAR-YTD '!$C$3:$Q$82,15,FALSE),0)</f>
        <v>0</v>
      </c>
      <c r="G65" s="18"/>
      <c r="H65" s="18">
        <f t="shared" si="9"/>
        <v>0</v>
      </c>
      <c r="I65" s="18"/>
      <c r="J65" s="18">
        <f t="shared" si="10"/>
        <v>0</v>
      </c>
      <c r="K65" s="19"/>
      <c r="L65" s="20">
        <f t="shared" si="2"/>
        <v>1.04</v>
      </c>
      <c r="M65" s="18">
        <f t="shared" si="11"/>
        <v>0</v>
      </c>
      <c r="N65" s="19"/>
      <c r="O65" s="21">
        <v>0</v>
      </c>
      <c r="P65" s="18">
        <f t="shared" si="12"/>
        <v>0</v>
      </c>
      <c r="Q65" s="22"/>
      <c r="R65" s="24"/>
      <c r="S65" s="20"/>
      <c r="T65" s="24"/>
      <c r="U65" s="24"/>
      <c r="V65" s="24"/>
      <c r="W65" s="24"/>
      <c r="X65" s="24"/>
      <c r="Y65" s="57">
        <v>0</v>
      </c>
      <c r="Z65" s="57">
        <v>0</v>
      </c>
      <c r="AA65" s="57">
        <v>0</v>
      </c>
      <c r="AB65" s="57">
        <v>0</v>
      </c>
      <c r="AC65" s="57">
        <v>0</v>
      </c>
      <c r="AD65" s="21">
        <f t="shared" si="43"/>
        <v>0</v>
      </c>
      <c r="AE65" s="26">
        <f t="shared" si="3"/>
        <v>0</v>
      </c>
      <c r="AF65" s="27"/>
      <c r="AG65" s="27"/>
      <c r="AH65" s="27"/>
      <c r="AI65" s="27"/>
      <c r="AJ65" s="27"/>
      <c r="BC65" s="9">
        <v>5400</v>
      </c>
      <c r="BD65" s="30">
        <f t="shared" si="42"/>
        <v>0</v>
      </c>
      <c r="BE65" s="30">
        <f t="shared" si="42"/>
        <v>0</v>
      </c>
      <c r="BF65" s="30">
        <f t="shared" si="42"/>
        <v>0</v>
      </c>
      <c r="BG65" s="30">
        <f t="shared" si="42"/>
        <v>0</v>
      </c>
      <c r="BH65" s="30">
        <f t="shared" si="42"/>
        <v>0</v>
      </c>
      <c r="BI65" s="31">
        <f t="shared" si="6"/>
        <v>0</v>
      </c>
      <c r="BK65" s="9" t="str">
        <f t="shared" si="7"/>
        <v>44001219</v>
      </c>
      <c r="BL65" s="26">
        <f t="shared" si="8"/>
        <v>0</v>
      </c>
    </row>
    <row r="66" spans="1:64">
      <c r="A66" s="10" t="str">
        <f t="shared" si="0"/>
        <v>4400</v>
      </c>
      <c r="B66" s="10" t="str">
        <f t="shared" si="1"/>
        <v>1220</v>
      </c>
      <c r="C66" s="35" t="s">
        <v>151</v>
      </c>
      <c r="D66" s="16"/>
      <c r="E66" s="32"/>
      <c r="F66" s="18">
        <f>IFERROR(VLOOKUP(C66,'[4]Revenue Data - FY19 MAR-YTD '!$C$3:$Q$82,15,FALSE),0)</f>
        <v>0</v>
      </c>
      <c r="G66" s="18"/>
      <c r="H66" s="18">
        <f t="shared" si="9"/>
        <v>0</v>
      </c>
      <c r="I66" s="18"/>
      <c r="J66" s="18">
        <f t="shared" si="10"/>
        <v>0</v>
      </c>
      <c r="K66" s="19"/>
      <c r="L66" s="20">
        <f t="shared" si="2"/>
        <v>1.04</v>
      </c>
      <c r="M66" s="18">
        <f t="shared" si="11"/>
        <v>0</v>
      </c>
      <c r="N66" s="19"/>
      <c r="O66" s="21">
        <v>0</v>
      </c>
      <c r="P66" s="18">
        <f t="shared" si="12"/>
        <v>0</v>
      </c>
      <c r="Q66" s="22"/>
      <c r="R66" s="24"/>
      <c r="S66" s="58"/>
      <c r="T66" s="24"/>
      <c r="U66" s="24"/>
      <c r="V66" s="24"/>
      <c r="W66" s="24"/>
      <c r="X66" s="24"/>
      <c r="Y66" s="57">
        <v>0</v>
      </c>
      <c r="Z66" s="57">
        <v>0</v>
      </c>
      <c r="AA66" s="57">
        <v>0</v>
      </c>
      <c r="AB66" s="57">
        <v>0</v>
      </c>
      <c r="AC66" s="57">
        <v>0</v>
      </c>
      <c r="AD66" s="21">
        <f t="shared" si="43"/>
        <v>0</v>
      </c>
      <c r="AE66" s="26">
        <f t="shared" si="3"/>
        <v>0</v>
      </c>
      <c r="AF66" s="27"/>
      <c r="AG66" s="27"/>
      <c r="AH66" s="27"/>
      <c r="AI66" s="27"/>
      <c r="AJ66" s="27"/>
      <c r="BC66" s="9">
        <v>5400</v>
      </c>
      <c r="BD66" s="30">
        <f t="shared" si="42"/>
        <v>0</v>
      </c>
      <c r="BE66" s="30">
        <f t="shared" si="42"/>
        <v>0</v>
      </c>
      <c r="BF66" s="30">
        <f t="shared" si="42"/>
        <v>0</v>
      </c>
      <c r="BG66" s="30">
        <f t="shared" si="42"/>
        <v>0</v>
      </c>
      <c r="BH66" s="30">
        <f t="shared" si="42"/>
        <v>0</v>
      </c>
      <c r="BI66" s="31">
        <f t="shared" si="6"/>
        <v>0</v>
      </c>
      <c r="BK66" s="9" t="str">
        <f t="shared" si="7"/>
        <v>44001220</v>
      </c>
      <c r="BL66" s="26">
        <f t="shared" si="8"/>
        <v>0</v>
      </c>
    </row>
    <row r="67" spans="1:64">
      <c r="A67" s="10" t="str">
        <f t="shared" si="0"/>
        <v>4400</v>
      </c>
      <c r="B67" s="10" t="str">
        <f t="shared" si="1"/>
        <v>1222</v>
      </c>
      <c r="C67" s="35" t="s">
        <v>152</v>
      </c>
      <c r="D67" s="16"/>
      <c r="E67" s="32"/>
      <c r="F67" s="18">
        <f>IFERROR(VLOOKUP(C67,'[4]Revenue Data - FY19 MAR-YTD '!$C$3:$Q$82,15,FALSE),0)</f>
        <v>0</v>
      </c>
      <c r="G67" s="18"/>
      <c r="H67" s="18">
        <f t="shared" si="9"/>
        <v>0</v>
      </c>
      <c r="I67" s="18"/>
      <c r="J67" s="18">
        <f t="shared" si="10"/>
        <v>0</v>
      </c>
      <c r="K67" s="19"/>
      <c r="L67" s="20">
        <f t="shared" si="2"/>
        <v>1.04</v>
      </c>
      <c r="M67" s="18">
        <f t="shared" si="11"/>
        <v>0</v>
      </c>
      <c r="N67" s="19"/>
      <c r="O67" s="21">
        <v>0</v>
      </c>
      <c r="P67" s="18">
        <f t="shared" si="12"/>
        <v>0</v>
      </c>
      <c r="Q67" s="22"/>
      <c r="R67" s="24"/>
      <c r="S67" s="58"/>
      <c r="T67" s="24"/>
      <c r="U67" s="24"/>
      <c r="V67" s="24"/>
      <c r="W67" s="24"/>
      <c r="X67" s="24"/>
      <c r="Y67" s="57">
        <v>0</v>
      </c>
      <c r="Z67" s="57">
        <v>0</v>
      </c>
      <c r="AA67" s="57">
        <v>0</v>
      </c>
      <c r="AB67" s="57">
        <v>0</v>
      </c>
      <c r="AC67" s="57">
        <v>0</v>
      </c>
      <c r="AD67" s="21">
        <f t="shared" si="43"/>
        <v>0</v>
      </c>
      <c r="AE67" s="26">
        <f t="shared" si="3"/>
        <v>0</v>
      </c>
      <c r="AF67" s="27"/>
      <c r="AG67" s="27"/>
      <c r="AH67" s="27"/>
      <c r="AI67" s="27"/>
      <c r="AJ67" s="27"/>
      <c r="BC67" s="9">
        <v>5400</v>
      </c>
      <c r="BD67" s="30">
        <f t="shared" si="42"/>
        <v>0</v>
      </c>
      <c r="BE67" s="30">
        <f t="shared" si="42"/>
        <v>0</v>
      </c>
      <c r="BF67" s="30">
        <f t="shared" si="42"/>
        <v>0</v>
      </c>
      <c r="BG67" s="30">
        <f t="shared" si="42"/>
        <v>0</v>
      </c>
      <c r="BH67" s="30">
        <f t="shared" si="42"/>
        <v>0</v>
      </c>
      <c r="BI67" s="31">
        <f t="shared" si="6"/>
        <v>0</v>
      </c>
      <c r="BK67" s="9" t="str">
        <f t="shared" si="7"/>
        <v>44001222</v>
      </c>
      <c r="BL67" s="26">
        <f t="shared" si="8"/>
        <v>0</v>
      </c>
    </row>
    <row r="68" spans="1:64">
      <c r="A68" s="10" t="str">
        <f t="shared" si="0"/>
        <v>4400</v>
      </c>
      <c r="B68" s="10" t="str">
        <f t="shared" si="1"/>
        <v>1223</v>
      </c>
      <c r="C68" s="35" t="s">
        <v>153</v>
      </c>
      <c r="D68" s="16"/>
      <c r="E68" s="32"/>
      <c r="F68" s="18">
        <f>IFERROR(VLOOKUP(C68,'[4]Revenue Data - FY19 MAR-YTD '!$C$3:$Q$82,15,FALSE),0)</f>
        <v>0</v>
      </c>
      <c r="G68" s="18"/>
      <c r="H68" s="18">
        <f t="shared" si="9"/>
        <v>0</v>
      </c>
      <c r="I68" s="18"/>
      <c r="J68" s="18">
        <f t="shared" si="10"/>
        <v>0</v>
      </c>
      <c r="K68" s="19"/>
      <c r="L68" s="20">
        <f t="shared" si="2"/>
        <v>1.04</v>
      </c>
      <c r="M68" s="18">
        <f t="shared" si="11"/>
        <v>0</v>
      </c>
      <c r="N68" s="19"/>
      <c r="O68" s="21">
        <v>0</v>
      </c>
      <c r="P68" s="18">
        <f t="shared" si="12"/>
        <v>0</v>
      </c>
      <c r="Q68" s="22"/>
      <c r="R68" s="24"/>
      <c r="S68" s="24"/>
      <c r="T68" s="24"/>
      <c r="U68" s="24"/>
      <c r="V68" s="24"/>
      <c r="W68" s="24"/>
      <c r="X68" s="24"/>
      <c r="Y68" s="57">
        <v>0</v>
      </c>
      <c r="Z68" s="57">
        <v>0</v>
      </c>
      <c r="AA68" s="57">
        <v>0</v>
      </c>
      <c r="AB68" s="57">
        <v>0</v>
      </c>
      <c r="AC68" s="57">
        <v>0</v>
      </c>
      <c r="AD68" s="21">
        <f t="shared" si="43"/>
        <v>0</v>
      </c>
      <c r="AE68" s="26">
        <f t="shared" si="3"/>
        <v>0</v>
      </c>
      <c r="AF68" s="27"/>
      <c r="AG68" s="27"/>
      <c r="AH68" s="27"/>
      <c r="AI68" s="27"/>
      <c r="AJ68" s="27"/>
      <c r="BC68" s="9">
        <v>5400</v>
      </c>
      <c r="BD68" s="30">
        <f t="shared" si="42"/>
        <v>0</v>
      </c>
      <c r="BE68" s="30">
        <f t="shared" si="42"/>
        <v>0</v>
      </c>
      <c r="BF68" s="30">
        <f t="shared" si="42"/>
        <v>0</v>
      </c>
      <c r="BG68" s="30">
        <f t="shared" si="42"/>
        <v>0</v>
      </c>
      <c r="BH68" s="30">
        <f t="shared" si="42"/>
        <v>0</v>
      </c>
      <c r="BI68" s="31">
        <f t="shared" si="6"/>
        <v>0</v>
      </c>
      <c r="BK68" s="9" t="str">
        <f t="shared" si="7"/>
        <v>44001223</v>
      </c>
      <c r="BL68" s="26">
        <f t="shared" si="8"/>
        <v>0</v>
      </c>
    </row>
    <row r="69" spans="1:64">
      <c r="A69" s="36" t="str">
        <f t="shared" si="0"/>
        <v>4400</v>
      </c>
      <c r="B69" s="36" t="str">
        <f t="shared" si="1"/>
        <v>1224</v>
      </c>
      <c r="C69" s="56" t="s">
        <v>154</v>
      </c>
      <c r="D69" s="38"/>
      <c r="E69" s="59"/>
      <c r="F69" s="43">
        <f>IFERROR(VLOOKUP(C69,'[4]Revenue Data - FY19 MAR-YTD '!$C$3:$Q$82,15,FALSE),0)</f>
        <v>0</v>
      </c>
      <c r="G69" s="43"/>
      <c r="H69" s="43">
        <f t="shared" si="9"/>
        <v>0</v>
      </c>
      <c r="I69" s="43"/>
      <c r="J69" s="43">
        <f t="shared" si="10"/>
        <v>0</v>
      </c>
      <c r="K69" s="41"/>
      <c r="L69" s="20">
        <f t="shared" si="2"/>
        <v>1.04</v>
      </c>
      <c r="M69" s="43">
        <f t="shared" si="11"/>
        <v>0</v>
      </c>
      <c r="N69" s="41"/>
      <c r="O69" s="42">
        <v>0</v>
      </c>
      <c r="P69" s="43">
        <f t="shared" si="12"/>
        <v>0</v>
      </c>
      <c r="Q69" s="44"/>
      <c r="R69" s="45"/>
      <c r="S69" s="45"/>
      <c r="T69" s="45"/>
      <c r="U69" s="45"/>
      <c r="V69" s="45"/>
      <c r="W69" s="45"/>
      <c r="X69" s="45"/>
      <c r="Y69" s="60">
        <v>0</v>
      </c>
      <c r="Z69" s="60">
        <v>0</v>
      </c>
      <c r="AA69" s="60">
        <v>0</v>
      </c>
      <c r="AB69" s="60">
        <v>0</v>
      </c>
      <c r="AC69" s="60">
        <v>0</v>
      </c>
      <c r="AD69" s="42">
        <f t="shared" si="43"/>
        <v>0</v>
      </c>
      <c r="AE69" s="26">
        <f t="shared" si="3"/>
        <v>0</v>
      </c>
      <c r="AF69" s="47"/>
      <c r="AG69" s="47"/>
      <c r="AH69" s="47"/>
      <c r="AI69" s="47"/>
      <c r="AJ69" s="47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>
        <v>5400</v>
      </c>
      <c r="BD69" s="49">
        <f t="shared" si="42"/>
        <v>0</v>
      </c>
      <c r="BE69" s="49">
        <f t="shared" si="42"/>
        <v>0</v>
      </c>
      <c r="BF69" s="49">
        <f t="shared" si="42"/>
        <v>0</v>
      </c>
      <c r="BG69" s="49">
        <f t="shared" si="42"/>
        <v>0</v>
      </c>
      <c r="BH69" s="49">
        <f t="shared" si="42"/>
        <v>0</v>
      </c>
      <c r="BI69" s="50">
        <f t="shared" si="6"/>
        <v>0</v>
      </c>
      <c r="BJ69" s="39"/>
      <c r="BK69" s="39" t="str">
        <f t="shared" si="7"/>
        <v>44001224</v>
      </c>
      <c r="BL69" s="51">
        <f t="shared" si="8"/>
        <v>0</v>
      </c>
    </row>
    <row r="70" spans="1:64">
      <c r="A70" s="10" t="str">
        <f t="shared" si="0"/>
        <v>4500</v>
      </c>
      <c r="B70" s="10" t="str">
        <f t="shared" si="1"/>
        <v>1101</v>
      </c>
      <c r="C70" s="35" t="s">
        <v>155</v>
      </c>
      <c r="D70" s="16">
        <v>800003</v>
      </c>
      <c r="E70" s="32" t="s">
        <v>156</v>
      </c>
      <c r="F70" s="18">
        <f>IFERROR(VLOOKUP(C70,'[4]Revenue Data - FY19 MAR-YTD '!$C$3:$Q$82,15,FALSE),0)</f>
        <v>-2284633</v>
      </c>
      <c r="G70" s="18"/>
      <c r="H70" s="18">
        <f t="shared" si="9"/>
        <v>-2284633</v>
      </c>
      <c r="I70" s="18">
        <f>'[4]Statistics Projections'!J5</f>
        <v>2978</v>
      </c>
      <c r="J70" s="18">
        <f t="shared" si="10"/>
        <v>-767.17024848891879</v>
      </c>
      <c r="K70" s="19"/>
      <c r="L70" s="20">
        <v>1</v>
      </c>
      <c r="M70" s="18">
        <f>ROUND(J70*L70,2)</f>
        <v>-767.17</v>
      </c>
      <c r="N70" s="19"/>
      <c r="O70" s="21">
        <f>'[4]Statistics Projections'!L5</f>
        <v>5850</v>
      </c>
      <c r="P70" s="18">
        <f t="shared" si="12"/>
        <v>4487944.5</v>
      </c>
      <c r="Q70" s="22"/>
      <c r="R70" s="24">
        <f>VLOOKUP($C70,'[4]Revenue Data - FY19 MAR-YTD '!$C$3:$V$82,20,FALSE)</f>
        <v>0.85793079238547287</v>
      </c>
      <c r="S70" s="24">
        <f>VLOOKUP($C70,'[4]Revenue Data - FY19 MAR-YTD '!$C$3:$V$82,19,FALSE)</f>
        <v>3.8255597288492288E-2</v>
      </c>
      <c r="T70" s="24">
        <f>VLOOKUP($C70,'[4]Revenue Data - FY19 MAR-YTD '!$C$3:$V$82,17,FALSE)</f>
        <v>4.6860042728963471E-2</v>
      </c>
      <c r="U70" s="24">
        <f>VLOOKUP($C70,'[4]Revenue Data - FY19 MAR-YTD '!$C$3:$V$82,18,FALSE)</f>
        <v>5.6953567597071389E-2</v>
      </c>
      <c r="V70" s="23">
        <f>VLOOKUP($C70,'[4]Revenue Data - FY19 MAR-YTD '!$C$3:$W$82,21,FALSE)</f>
        <v>0</v>
      </c>
      <c r="W70" s="24">
        <f>SUM(R70:V70)</f>
        <v>1</v>
      </c>
      <c r="X70" s="24"/>
      <c r="Y70" s="25">
        <f t="shared" ref="Y70" si="59">P70*R70</f>
        <v>3850345.7810670249</v>
      </c>
      <c r="Z70" s="25">
        <f t="shared" ref="Z70" si="60">P70*S70</f>
        <v>171688.99744510389</v>
      </c>
      <c r="AA70" s="25">
        <f t="shared" ref="AA70" si="61">P70*T70</f>
        <v>210305.2710352166</v>
      </c>
      <c r="AB70" s="25">
        <f t="shared" ref="AB70" si="62">P70*U70</f>
        <v>255604.45045265477</v>
      </c>
      <c r="AC70" s="25">
        <f t="shared" ref="AC70" si="63">P70*V70</f>
        <v>0</v>
      </c>
      <c r="AD70" s="21">
        <f t="shared" si="43"/>
        <v>4487944.5</v>
      </c>
      <c r="AE70" s="26">
        <f t="shared" si="3"/>
        <v>0</v>
      </c>
      <c r="AF70" s="27"/>
      <c r="AG70" s="27"/>
      <c r="AH70" s="27"/>
      <c r="AI70" s="27"/>
      <c r="AJ70" s="27"/>
      <c r="AT70" s="18">
        <f>Y70*AF70</f>
        <v>0</v>
      </c>
      <c r="AU70" s="18">
        <f>Z70*AG70</f>
        <v>0</v>
      </c>
      <c r="AV70" s="18">
        <f>AA70*AH70</f>
        <v>0</v>
      </c>
      <c r="AW70" s="18">
        <f>AB70*AI70</f>
        <v>0</v>
      </c>
      <c r="AX70" s="18">
        <f>AC70*AJ70</f>
        <v>0</v>
      </c>
      <c r="AY70" s="26">
        <f>SUM(AT70:AX70)</f>
        <v>0</v>
      </c>
      <c r="AZ70" s="26"/>
      <c r="BA70" s="20">
        <f>AY70/AD70</f>
        <v>0</v>
      </c>
      <c r="BB70" s="20">
        <f>1-BA70</f>
        <v>1</v>
      </c>
      <c r="BC70" s="9">
        <v>5500</v>
      </c>
      <c r="BD70" s="61">
        <f t="shared" si="42"/>
        <v>3850345.7810670249</v>
      </c>
      <c r="BE70" s="30">
        <f t="shared" si="42"/>
        <v>171688.99744510389</v>
      </c>
      <c r="BF70" s="30">
        <f t="shared" si="42"/>
        <v>210305.2710352166</v>
      </c>
      <c r="BG70" s="30">
        <f t="shared" si="42"/>
        <v>255604.45045265477</v>
      </c>
      <c r="BH70" s="30">
        <f t="shared" si="42"/>
        <v>0</v>
      </c>
      <c r="BI70" s="31">
        <f t="shared" si="6"/>
        <v>4487944.5</v>
      </c>
      <c r="BK70" s="9" t="str">
        <f t="shared" si="7"/>
        <v>45001101</v>
      </c>
      <c r="BL70" s="26">
        <f t="shared" si="8"/>
        <v>4487944.5</v>
      </c>
    </row>
    <row r="71" spans="1:64">
      <c r="A71" s="10" t="str">
        <f t="shared" ref="A71:A119" si="64">LEFT(C71,4)</f>
        <v>4500</v>
      </c>
      <c r="B71" s="10" t="str">
        <f t="shared" ref="B71:B119" si="65">RIGHT(C71,4)</f>
        <v>1104</v>
      </c>
      <c r="C71" s="35" t="s">
        <v>157</v>
      </c>
      <c r="D71" s="16"/>
      <c r="F71" s="18">
        <f>IFERROR(VLOOKUP(C71,'[4]Revenue Data - FY19 MAR-YTD '!$C$3:$Q$82,15,FALSE),0)</f>
        <v>0</v>
      </c>
      <c r="G71" s="18"/>
      <c r="H71" s="18">
        <f t="shared" si="9"/>
        <v>0</v>
      </c>
      <c r="I71" s="18"/>
      <c r="J71" s="18">
        <f t="shared" si="10"/>
        <v>0</v>
      </c>
      <c r="K71" s="19"/>
      <c r="L71" s="20">
        <v>1.04</v>
      </c>
      <c r="M71" s="18">
        <f t="shared" si="11"/>
        <v>0</v>
      </c>
      <c r="N71" s="19"/>
      <c r="O71" s="21">
        <v>0</v>
      </c>
      <c r="P71" s="18">
        <f t="shared" si="12"/>
        <v>0</v>
      </c>
      <c r="Q71" s="22"/>
      <c r="R71" s="24"/>
      <c r="S71" s="24"/>
      <c r="T71" s="24"/>
      <c r="U71" s="24"/>
      <c r="V71" s="24"/>
      <c r="W71" s="24"/>
      <c r="X71" s="24"/>
      <c r="Y71" s="25">
        <f t="shared" ref="Y71:AC85" si="66">L71*R71</f>
        <v>0</v>
      </c>
      <c r="Z71" s="25">
        <f t="shared" si="66"/>
        <v>0</v>
      </c>
      <c r="AA71" s="25">
        <f t="shared" si="66"/>
        <v>0</v>
      </c>
      <c r="AB71" s="25">
        <f t="shared" si="66"/>
        <v>0</v>
      </c>
      <c r="AC71" s="25">
        <f t="shared" si="66"/>
        <v>0</v>
      </c>
      <c r="AD71" s="21">
        <f t="shared" si="43"/>
        <v>0</v>
      </c>
      <c r="AE71" s="26">
        <f t="shared" ref="AE71:AE114" si="67">P71-AD71</f>
        <v>0</v>
      </c>
      <c r="AF71" s="27"/>
      <c r="AG71" s="27"/>
      <c r="AH71" s="27"/>
      <c r="AI71" s="27"/>
      <c r="AJ71" s="27"/>
      <c r="BC71" s="9">
        <v>5500</v>
      </c>
      <c r="BD71" s="62">
        <f t="shared" ref="BD71:BH102" si="68">Y71-AT71</f>
        <v>0</v>
      </c>
      <c r="BE71" s="30">
        <f t="shared" si="68"/>
        <v>0</v>
      </c>
      <c r="BF71" s="30">
        <f t="shared" si="68"/>
        <v>0</v>
      </c>
      <c r="BG71" s="30">
        <f t="shared" si="68"/>
        <v>0</v>
      </c>
      <c r="BH71" s="30">
        <f t="shared" si="68"/>
        <v>0</v>
      </c>
      <c r="BI71" s="31">
        <f t="shared" ref="BI71:BI119" si="69">SUM(BD71:BH71)</f>
        <v>0</v>
      </c>
      <c r="BK71" s="9" t="str">
        <f t="shared" ref="BK71:BK119" si="70">CONCATENATE(A71,B71)</f>
        <v>45001104</v>
      </c>
      <c r="BL71" s="26">
        <f t="shared" ref="BL71:BL119" si="71">P71</f>
        <v>0</v>
      </c>
    </row>
    <row r="72" spans="1:64">
      <c r="A72" s="10" t="str">
        <f t="shared" si="64"/>
        <v>4500</v>
      </c>
      <c r="B72" s="10" t="str">
        <f t="shared" si="65"/>
        <v>1106</v>
      </c>
      <c r="C72" s="35" t="s">
        <v>158</v>
      </c>
      <c r="D72" s="16"/>
      <c r="F72" s="18">
        <f>IFERROR(VLOOKUP(C72,'[4]Revenue Data - FY19 MAR-YTD '!$C$3:$Q$82,15,FALSE),0)</f>
        <v>0</v>
      </c>
      <c r="G72" s="18"/>
      <c r="H72" s="18">
        <f t="shared" ref="H72:H119" si="72">SUM(F72:G72)</f>
        <v>0</v>
      </c>
      <c r="I72" s="18"/>
      <c r="J72" s="18">
        <f t="shared" ref="J72:J119" si="73">IF(ISERROR(H72/I72),0,H72/I72)</f>
        <v>0</v>
      </c>
      <c r="K72" s="19"/>
      <c r="L72" s="20">
        <v>1.04</v>
      </c>
      <c r="M72" s="18">
        <f t="shared" ref="M72:M99" si="74">J72*L72</f>
        <v>0</v>
      </c>
      <c r="N72" s="19"/>
      <c r="O72" s="21">
        <v>0</v>
      </c>
      <c r="P72" s="18">
        <f t="shared" ref="P72:P119" si="75">O72*M72*-1</f>
        <v>0</v>
      </c>
      <c r="Q72" s="22"/>
      <c r="R72" s="24"/>
      <c r="S72" s="24"/>
      <c r="T72" s="24"/>
      <c r="U72" s="24"/>
      <c r="V72" s="24"/>
      <c r="W72" s="24"/>
      <c r="X72" s="24"/>
      <c r="Y72" s="25">
        <f t="shared" si="66"/>
        <v>0</v>
      </c>
      <c r="Z72" s="25">
        <f t="shared" si="66"/>
        <v>0</v>
      </c>
      <c r="AA72" s="25">
        <f t="shared" si="66"/>
        <v>0</v>
      </c>
      <c r="AB72" s="25">
        <f t="shared" si="66"/>
        <v>0</v>
      </c>
      <c r="AC72" s="25">
        <f t="shared" si="66"/>
        <v>0</v>
      </c>
      <c r="AD72" s="21">
        <f t="shared" si="43"/>
        <v>0</v>
      </c>
      <c r="AE72" s="26">
        <f t="shared" si="67"/>
        <v>0</v>
      </c>
      <c r="AF72" s="27"/>
      <c r="AG72" s="27"/>
      <c r="AH72" s="27"/>
      <c r="AI72" s="27"/>
      <c r="AJ72" s="27"/>
      <c r="BC72" s="9">
        <v>5500</v>
      </c>
      <c r="BD72" s="30">
        <f t="shared" si="68"/>
        <v>0</v>
      </c>
      <c r="BE72" s="30">
        <f t="shared" si="68"/>
        <v>0</v>
      </c>
      <c r="BF72" s="30">
        <f t="shared" si="68"/>
        <v>0</v>
      </c>
      <c r="BG72" s="30">
        <f t="shared" si="68"/>
        <v>0</v>
      </c>
      <c r="BH72" s="30">
        <f t="shared" si="68"/>
        <v>0</v>
      </c>
      <c r="BI72" s="31">
        <f t="shared" si="69"/>
        <v>0</v>
      </c>
      <c r="BK72" s="9" t="str">
        <f t="shared" si="70"/>
        <v>45001106</v>
      </c>
      <c r="BL72" s="26">
        <f t="shared" si="71"/>
        <v>0</v>
      </c>
    </row>
    <row r="73" spans="1:64">
      <c r="A73" s="10" t="str">
        <f t="shared" si="64"/>
        <v>4500</v>
      </c>
      <c r="B73" s="10" t="str">
        <f t="shared" si="65"/>
        <v>1172</v>
      </c>
      <c r="C73" s="35" t="s">
        <v>159</v>
      </c>
      <c r="D73" s="16"/>
      <c r="F73" s="18">
        <f>IFERROR(VLOOKUP(C73,'[4]Revenue Data - FY19 MAR-YTD '!$C$3:$Q$82,15,FALSE),0)</f>
        <v>0</v>
      </c>
      <c r="G73" s="18"/>
      <c r="H73" s="18">
        <f t="shared" si="72"/>
        <v>0</v>
      </c>
      <c r="I73" s="18"/>
      <c r="J73" s="18">
        <f t="shared" si="73"/>
        <v>0</v>
      </c>
      <c r="K73" s="19"/>
      <c r="L73" s="20">
        <v>1.04</v>
      </c>
      <c r="M73" s="18">
        <f t="shared" si="74"/>
        <v>0</v>
      </c>
      <c r="N73" s="19"/>
      <c r="O73" s="21">
        <v>0</v>
      </c>
      <c r="P73" s="18">
        <f t="shared" si="75"/>
        <v>0</v>
      </c>
      <c r="Q73" s="22"/>
      <c r="R73" s="24"/>
      <c r="S73" s="24"/>
      <c r="T73" s="24"/>
      <c r="U73" s="24"/>
      <c r="V73" s="24"/>
      <c r="W73" s="24"/>
      <c r="X73" s="24"/>
      <c r="Y73" s="25">
        <f t="shared" si="66"/>
        <v>0</v>
      </c>
      <c r="Z73" s="25">
        <f t="shared" si="66"/>
        <v>0</v>
      </c>
      <c r="AA73" s="25">
        <f t="shared" si="66"/>
        <v>0</v>
      </c>
      <c r="AB73" s="25">
        <f t="shared" si="66"/>
        <v>0</v>
      </c>
      <c r="AC73" s="25">
        <f t="shared" si="66"/>
        <v>0</v>
      </c>
      <c r="AD73" s="21">
        <f t="shared" si="43"/>
        <v>0</v>
      </c>
      <c r="AE73" s="26">
        <f t="shared" si="67"/>
        <v>0</v>
      </c>
      <c r="AF73" s="27"/>
      <c r="AG73" s="27"/>
      <c r="AH73" s="27"/>
      <c r="AI73" s="27"/>
      <c r="AJ73" s="27"/>
      <c r="BC73" s="9">
        <v>5500</v>
      </c>
      <c r="BD73" s="30">
        <f t="shared" si="68"/>
        <v>0</v>
      </c>
      <c r="BE73" s="30">
        <f t="shared" si="68"/>
        <v>0</v>
      </c>
      <c r="BF73" s="30">
        <f t="shared" si="68"/>
        <v>0</v>
      </c>
      <c r="BG73" s="30">
        <f t="shared" si="68"/>
        <v>0</v>
      </c>
      <c r="BH73" s="30">
        <f t="shared" si="68"/>
        <v>0</v>
      </c>
      <c r="BI73" s="31">
        <f t="shared" si="69"/>
        <v>0</v>
      </c>
      <c r="BK73" s="9" t="str">
        <f t="shared" si="70"/>
        <v>45001172</v>
      </c>
      <c r="BL73" s="26">
        <f t="shared" si="71"/>
        <v>0</v>
      </c>
    </row>
    <row r="74" spans="1:64">
      <c r="A74" s="10" t="str">
        <f t="shared" si="64"/>
        <v>4500</v>
      </c>
      <c r="B74" s="10" t="str">
        <f t="shared" si="65"/>
        <v>1210</v>
      </c>
      <c r="C74" s="35" t="s">
        <v>160</v>
      </c>
      <c r="D74" s="16">
        <v>850010</v>
      </c>
      <c r="E74" s="32" t="s">
        <v>161</v>
      </c>
      <c r="F74" s="18">
        <f>IFERROR(VLOOKUP(C74,'[4]Revenue Data - FY19 MAR-YTD '!$C$3:$Q$82,15,FALSE),0)</f>
        <v>-1863</v>
      </c>
      <c r="G74" s="18">
        <v>1863</v>
      </c>
      <c r="H74" s="18">
        <f t="shared" si="72"/>
        <v>0</v>
      </c>
      <c r="I74" s="18"/>
      <c r="J74" s="18">
        <f t="shared" si="73"/>
        <v>0</v>
      </c>
      <c r="K74" s="19"/>
      <c r="L74" s="20">
        <v>1.04</v>
      </c>
      <c r="M74" s="18">
        <f t="shared" si="74"/>
        <v>0</v>
      </c>
      <c r="N74" s="19"/>
      <c r="O74" s="21">
        <v>0</v>
      </c>
      <c r="P74" s="18">
        <f t="shared" si="75"/>
        <v>0</v>
      </c>
      <c r="Q74" s="22"/>
      <c r="R74" s="24"/>
      <c r="S74" s="24"/>
      <c r="T74" s="24"/>
      <c r="U74" s="24"/>
      <c r="V74" s="24"/>
      <c r="W74" s="24"/>
      <c r="X74" s="24"/>
      <c r="Y74" s="25">
        <f t="shared" si="66"/>
        <v>0</v>
      </c>
      <c r="Z74" s="25">
        <f t="shared" si="66"/>
        <v>0</v>
      </c>
      <c r="AA74" s="25">
        <f t="shared" si="66"/>
        <v>0</v>
      </c>
      <c r="AB74" s="25">
        <f t="shared" si="66"/>
        <v>0</v>
      </c>
      <c r="AC74" s="25">
        <f t="shared" si="66"/>
        <v>0</v>
      </c>
      <c r="AD74" s="21">
        <f t="shared" si="43"/>
        <v>0</v>
      </c>
      <c r="AE74" s="26">
        <f t="shared" si="67"/>
        <v>0</v>
      </c>
      <c r="AF74" s="27">
        <f>1-0.012</f>
        <v>0.98799999999999999</v>
      </c>
      <c r="AG74" s="27">
        <f>1-0.8682</f>
        <v>0.13180000000000003</v>
      </c>
      <c r="AH74" s="27">
        <f t="shared" ref="AH74:AH84" si="76">1-0.0491-0.0839</f>
        <v>0.86699999999999999</v>
      </c>
      <c r="AI74" s="27">
        <f>1-0.1677</f>
        <v>0.83230000000000004</v>
      </c>
      <c r="AJ74" s="27">
        <v>0</v>
      </c>
      <c r="BC74" s="9">
        <v>5500</v>
      </c>
      <c r="BD74" s="30">
        <f t="shared" si="68"/>
        <v>0</v>
      </c>
      <c r="BE74" s="30">
        <f t="shared" si="68"/>
        <v>0</v>
      </c>
      <c r="BF74" s="30">
        <f t="shared" si="68"/>
        <v>0</v>
      </c>
      <c r="BG74" s="30">
        <f t="shared" si="68"/>
        <v>0</v>
      </c>
      <c r="BH74" s="30">
        <f t="shared" si="68"/>
        <v>0</v>
      </c>
      <c r="BI74" s="31">
        <f t="shared" si="69"/>
        <v>0</v>
      </c>
      <c r="BK74" s="9" t="str">
        <f t="shared" si="70"/>
        <v>45001210</v>
      </c>
      <c r="BL74" s="26">
        <f t="shared" si="71"/>
        <v>0</v>
      </c>
    </row>
    <row r="75" spans="1:64">
      <c r="A75" s="10" t="str">
        <f t="shared" si="64"/>
        <v>4500</v>
      </c>
      <c r="B75" s="10" t="str">
        <f t="shared" si="65"/>
        <v>1211</v>
      </c>
      <c r="C75" s="35" t="s">
        <v>162</v>
      </c>
      <c r="D75" s="16">
        <v>850011</v>
      </c>
      <c r="E75" s="32" t="s">
        <v>163</v>
      </c>
      <c r="F75" s="18">
        <f>IFERROR(VLOOKUP(C75,'[4]Revenue Data - FY19 MAR-YTD '!$C$3:$Q$82,15,FALSE),0)</f>
        <v>-3491.39</v>
      </c>
      <c r="G75" s="18"/>
      <c r="H75" s="18">
        <f>SUM(F75:G75)</f>
        <v>-3491.39</v>
      </c>
      <c r="I75" s="18">
        <f>'[4]Statistics Projections'!J28</f>
        <v>2</v>
      </c>
      <c r="J75" s="18">
        <f t="shared" si="73"/>
        <v>-1745.6949999999999</v>
      </c>
      <c r="K75" s="19"/>
      <c r="L75" s="20">
        <f t="shared" ref="L75:L84" si="77">$AW$132</f>
        <v>1.04</v>
      </c>
      <c r="M75" s="18">
        <f>ROUND(J75*L75,2)</f>
        <v>-1815.52</v>
      </c>
      <c r="N75" s="19"/>
      <c r="O75" s="21">
        <f>'[4]Statistics Projections'!L28</f>
        <v>3</v>
      </c>
      <c r="P75" s="18">
        <f t="shared" si="75"/>
        <v>5446.5599999999995</v>
      </c>
      <c r="Q75" s="22"/>
      <c r="R75" s="24">
        <f>VLOOKUP($C75,'[4]Revenue Data - FY19 MAR-YTD '!$C$3:$V$82,20,FALSE)</f>
        <v>1</v>
      </c>
      <c r="S75" s="24">
        <f>VLOOKUP($C75,'[4]Revenue Data - FY19 MAR-YTD '!$C$3:$V$82,19,FALSE)</f>
        <v>0</v>
      </c>
      <c r="T75" s="24">
        <f>VLOOKUP($C75,'[4]Revenue Data - FY19 MAR-YTD '!$C$3:$V$82,17,FALSE)</f>
        <v>0</v>
      </c>
      <c r="U75" s="24">
        <f>VLOOKUP($C75,'[4]Revenue Data - FY19 MAR-YTD '!$C$3:$V$82,18,FALSE)</f>
        <v>0</v>
      </c>
      <c r="V75" s="23">
        <f>VLOOKUP($C75,'[4]Revenue Data - FY19 MAR-YTD '!$C$3:$W$82,21,FALSE)</f>
        <v>0</v>
      </c>
      <c r="W75" s="24">
        <f>SUM(R75:V75)</f>
        <v>1</v>
      </c>
      <c r="X75" s="24"/>
      <c r="Y75" s="25">
        <f t="shared" ref="Y75:Y83" si="78">P75*R75</f>
        <v>5446.5599999999995</v>
      </c>
      <c r="Z75" s="25">
        <f t="shared" ref="Z75:Z83" si="79">P75*S75</f>
        <v>0</v>
      </c>
      <c r="AA75" s="25">
        <f t="shared" ref="AA75:AA83" si="80">P75*T75</f>
        <v>0</v>
      </c>
      <c r="AB75" s="25">
        <f t="shared" ref="AB75:AB83" si="81">P75*U75</f>
        <v>0</v>
      </c>
      <c r="AC75" s="25">
        <f t="shared" si="66"/>
        <v>0</v>
      </c>
      <c r="AD75" s="21">
        <f>SUM(Y75:AC75)</f>
        <v>5446.5599999999995</v>
      </c>
      <c r="AE75" s="26">
        <f t="shared" si="67"/>
        <v>0</v>
      </c>
      <c r="AF75" s="27">
        <f t="shared" ref="AF75:AF84" si="82">1-0.012</f>
        <v>0.98799999999999999</v>
      </c>
      <c r="AG75" s="27">
        <f t="shared" ref="AG75:AG84" si="83">1-0.8682</f>
        <v>0.13180000000000003</v>
      </c>
      <c r="AH75" s="27">
        <f t="shared" si="76"/>
        <v>0.86699999999999999</v>
      </c>
      <c r="AI75" s="27">
        <f t="shared" ref="AI75:AI84" si="84">1-0.1677</f>
        <v>0.83230000000000004</v>
      </c>
      <c r="AJ75" s="27">
        <v>0</v>
      </c>
      <c r="AT75" s="18">
        <f>Y75*AF75</f>
        <v>5381.2012799999993</v>
      </c>
      <c r="AU75" s="18">
        <f>Z75*AG75</f>
        <v>0</v>
      </c>
      <c r="AV75" s="18">
        <f>AA75*AH75</f>
        <v>0</v>
      </c>
      <c r="AW75" s="18">
        <f>AB75*AI75</f>
        <v>0</v>
      </c>
      <c r="AX75" s="18">
        <f>AC75*AJ75</f>
        <v>0</v>
      </c>
      <c r="AY75" s="26">
        <f>SUM(AT75:AX75)</f>
        <v>5381.2012799999993</v>
      </c>
      <c r="AZ75" s="26"/>
      <c r="BA75" s="20"/>
      <c r="BB75" s="20"/>
      <c r="BC75" s="9">
        <v>5500</v>
      </c>
      <c r="BD75" s="30">
        <f t="shared" si="68"/>
        <v>65.358720000000176</v>
      </c>
      <c r="BE75" s="30">
        <f t="shared" si="68"/>
        <v>0</v>
      </c>
      <c r="BF75" s="30">
        <f t="shared" si="68"/>
        <v>0</v>
      </c>
      <c r="BG75" s="30">
        <f t="shared" si="68"/>
        <v>0</v>
      </c>
      <c r="BH75" s="30">
        <f t="shared" si="68"/>
        <v>0</v>
      </c>
      <c r="BI75" s="31">
        <f t="shared" si="69"/>
        <v>65.358720000000176</v>
      </c>
      <c r="BK75" s="9" t="str">
        <f t="shared" si="70"/>
        <v>45001211</v>
      </c>
      <c r="BL75" s="26">
        <f t="shared" si="71"/>
        <v>5446.5599999999995</v>
      </c>
    </row>
    <row r="76" spans="1:64">
      <c r="A76" s="10" t="str">
        <f t="shared" si="64"/>
        <v>4500</v>
      </c>
      <c r="B76" s="10" t="str">
        <f t="shared" si="65"/>
        <v>1215</v>
      </c>
      <c r="C76" s="35" t="s">
        <v>164</v>
      </c>
      <c r="D76" s="16">
        <v>850125</v>
      </c>
      <c r="E76" s="32" t="s">
        <v>165</v>
      </c>
      <c r="F76" s="18">
        <f>IFERROR(VLOOKUP(C76,'[4]Revenue Data - FY19 MAR-YTD '!$C$3:$Q$82,15,FALSE),0)</f>
        <v>-1288.93</v>
      </c>
      <c r="G76" s="18"/>
      <c r="H76" s="18">
        <f t="shared" si="72"/>
        <v>-1288.93</v>
      </c>
      <c r="I76" s="18">
        <f>'[4]Statistics Projections'!J35</f>
        <v>61</v>
      </c>
      <c r="J76" s="18">
        <f t="shared" si="73"/>
        <v>-21.130000000000003</v>
      </c>
      <c r="K76" s="19"/>
      <c r="L76" s="20">
        <f t="shared" si="77"/>
        <v>1.04</v>
      </c>
      <c r="M76" s="18">
        <f>J76*L76</f>
        <v>-21.975200000000005</v>
      </c>
      <c r="N76" s="19"/>
      <c r="O76" s="21">
        <f>'[4]Statistics Projections'!L35</f>
        <v>178</v>
      </c>
      <c r="P76" s="18">
        <f t="shared" si="75"/>
        <v>3911.5856000000008</v>
      </c>
      <c r="Q76" s="22"/>
      <c r="R76" s="24">
        <f>VLOOKUP($C76,'[4]Revenue Data - FY19 MAR-YTD '!$C$3:$V$82,20,FALSE)</f>
        <v>1</v>
      </c>
      <c r="S76" s="24">
        <f>VLOOKUP($C76,'[4]Revenue Data - FY19 MAR-YTD '!$C$3:$V$82,19,FALSE)</f>
        <v>0</v>
      </c>
      <c r="T76" s="24">
        <f>VLOOKUP($C76,'[4]Revenue Data - FY19 MAR-YTD '!$C$3:$V$82,17,FALSE)</f>
        <v>0</v>
      </c>
      <c r="U76" s="24">
        <f>VLOOKUP($C76,'[4]Revenue Data - FY19 MAR-YTD '!$C$3:$V$82,18,FALSE)</f>
        <v>0</v>
      </c>
      <c r="V76" s="23">
        <f>VLOOKUP($C76,'[4]Revenue Data - FY19 MAR-YTD '!$C$3:$W$82,21,FALSE)</f>
        <v>0</v>
      </c>
      <c r="W76" s="24">
        <f t="shared" ref="W76:W83" si="85">SUM(R76:V76)</f>
        <v>1</v>
      </c>
      <c r="X76" s="24"/>
      <c r="Y76" s="25">
        <f t="shared" si="78"/>
        <v>3911.5856000000008</v>
      </c>
      <c r="Z76" s="25">
        <f t="shared" si="79"/>
        <v>0</v>
      </c>
      <c r="AA76" s="25">
        <f t="shared" si="80"/>
        <v>0</v>
      </c>
      <c r="AB76" s="25">
        <f t="shared" si="81"/>
        <v>0</v>
      </c>
      <c r="AC76" s="25">
        <f t="shared" si="66"/>
        <v>0</v>
      </c>
      <c r="AD76" s="21">
        <f t="shared" ref="AD76:AD85" si="86">SUM(Y76:AC76)</f>
        <v>3911.5856000000008</v>
      </c>
      <c r="AE76" s="26">
        <f t="shared" si="67"/>
        <v>0</v>
      </c>
      <c r="AF76" s="27">
        <f t="shared" si="82"/>
        <v>0.98799999999999999</v>
      </c>
      <c r="AG76" s="27">
        <f t="shared" si="83"/>
        <v>0.13180000000000003</v>
      </c>
      <c r="AH76" s="27">
        <f t="shared" si="76"/>
        <v>0.86699999999999999</v>
      </c>
      <c r="AI76" s="27">
        <f t="shared" si="84"/>
        <v>0.83230000000000004</v>
      </c>
      <c r="AJ76" s="27">
        <v>0</v>
      </c>
      <c r="AT76" s="18"/>
      <c r="AY76" s="26">
        <f>SUM(AT76:AX76)</f>
        <v>0</v>
      </c>
      <c r="BC76" s="9">
        <v>5500</v>
      </c>
      <c r="BD76" s="30">
        <f t="shared" si="68"/>
        <v>3911.5856000000008</v>
      </c>
      <c r="BE76" s="30">
        <f t="shared" si="68"/>
        <v>0</v>
      </c>
      <c r="BF76" s="30">
        <f t="shared" si="68"/>
        <v>0</v>
      </c>
      <c r="BG76" s="30">
        <f t="shared" si="68"/>
        <v>0</v>
      </c>
      <c r="BH76" s="30">
        <f t="shared" si="68"/>
        <v>0</v>
      </c>
      <c r="BI76" s="31">
        <f t="shared" si="69"/>
        <v>3911.5856000000008</v>
      </c>
      <c r="BK76" s="9" t="str">
        <f t="shared" si="70"/>
        <v>45001215</v>
      </c>
      <c r="BL76" s="26">
        <f t="shared" si="71"/>
        <v>3911.5856000000008</v>
      </c>
    </row>
    <row r="77" spans="1:64">
      <c r="A77" s="10" t="str">
        <f t="shared" si="64"/>
        <v>4500</v>
      </c>
      <c r="B77" s="10" t="str">
        <f t="shared" si="65"/>
        <v>1216</v>
      </c>
      <c r="C77" s="35" t="s">
        <v>166</v>
      </c>
      <c r="D77" s="16">
        <v>850020</v>
      </c>
      <c r="E77" s="32" t="s">
        <v>167</v>
      </c>
      <c r="F77" s="18">
        <f>IFERROR(VLOOKUP(C77,'[4]Revenue Data - FY19 MAR-YTD '!$C$3:$Q$82,15,FALSE),0)</f>
        <v>-225804</v>
      </c>
      <c r="G77" s="18"/>
      <c r="H77" s="18">
        <f t="shared" si="72"/>
        <v>-225804</v>
      </c>
      <c r="I77" s="18">
        <f>'[4]Statistics Projections'!J59</f>
        <v>132</v>
      </c>
      <c r="J77" s="18">
        <f t="shared" si="73"/>
        <v>-1710.6363636363637</v>
      </c>
      <c r="K77" s="19"/>
      <c r="L77" s="20">
        <f t="shared" si="77"/>
        <v>1.04</v>
      </c>
      <c r="M77" s="18">
        <f t="shared" ref="M77:M83" si="87">ROUND(J77*L77,2)</f>
        <v>-1779.06</v>
      </c>
      <c r="N77" s="19"/>
      <c r="O77" s="21">
        <f>'[4]Statistics Projections'!L59</f>
        <v>262</v>
      </c>
      <c r="P77" s="18">
        <f t="shared" si="75"/>
        <v>466113.72</v>
      </c>
      <c r="Q77" s="22"/>
      <c r="R77" s="24">
        <f>VLOOKUP($C77,'[4]Revenue Data - FY19 MAR-YTD '!$C$3:$V$82,20,FALSE)</f>
        <v>0.79516749038989565</v>
      </c>
      <c r="S77" s="24">
        <f>VLOOKUP($C77,'[4]Revenue Data - FY19 MAR-YTD '!$C$3:$V$82,19,FALSE)</f>
        <v>7.738569733042816E-2</v>
      </c>
      <c r="T77" s="24">
        <f>VLOOKUP($C77,'[4]Revenue Data - FY19 MAR-YTD '!$C$3:$V$82,17,FALSE)</f>
        <v>4.7855662432906412E-2</v>
      </c>
      <c r="U77" s="24">
        <f>VLOOKUP($C77,'[4]Revenue Data - FY19 MAR-YTD '!$C$3:$V$82,18,FALSE)</f>
        <v>7.9591149846769765E-2</v>
      </c>
      <c r="V77" s="23">
        <f>VLOOKUP($C77,'[4]Revenue Data - FY19 MAR-YTD '!$C$3:$W$82,21,FALSE)</f>
        <v>0</v>
      </c>
      <c r="W77" s="24">
        <f t="shared" si="85"/>
        <v>1</v>
      </c>
      <c r="X77" s="24"/>
      <c r="Y77" s="25">
        <f t="shared" si="78"/>
        <v>370638.47696869849</v>
      </c>
      <c r="Z77" s="25">
        <f t="shared" si="79"/>
        <v>36070.53525747994</v>
      </c>
      <c r="AA77" s="25">
        <f t="shared" si="80"/>
        <v>22306.180839666256</v>
      </c>
      <c r="AB77" s="25">
        <f t="shared" si="81"/>
        <v>37098.526934155285</v>
      </c>
      <c r="AC77" s="25">
        <f t="shared" si="66"/>
        <v>0</v>
      </c>
      <c r="AD77" s="21">
        <f t="shared" si="86"/>
        <v>466113.72</v>
      </c>
      <c r="AE77" s="26">
        <f t="shared" si="67"/>
        <v>0</v>
      </c>
      <c r="AF77" s="27">
        <f t="shared" si="82"/>
        <v>0.98799999999999999</v>
      </c>
      <c r="AG77" s="27">
        <f t="shared" si="83"/>
        <v>0.13180000000000003</v>
      </c>
      <c r="AH77" s="27">
        <f t="shared" si="76"/>
        <v>0.86699999999999999</v>
      </c>
      <c r="AI77" s="27">
        <f t="shared" si="84"/>
        <v>0.83230000000000004</v>
      </c>
      <c r="AJ77" s="27">
        <v>0</v>
      </c>
      <c r="AT77" s="18">
        <f t="shared" ref="AT77:AX83" si="88">Y77*AF77</f>
        <v>366190.8152450741</v>
      </c>
      <c r="AU77" s="18">
        <f t="shared" si="88"/>
        <v>4754.0965469358571</v>
      </c>
      <c r="AV77" s="18">
        <f t="shared" si="88"/>
        <v>19339.458787990643</v>
      </c>
      <c r="AW77" s="18">
        <f t="shared" si="88"/>
        <v>30877.103967297444</v>
      </c>
      <c r="AX77" s="18">
        <f t="shared" si="88"/>
        <v>0</v>
      </c>
      <c r="AY77" s="26">
        <f t="shared" ref="AY77:AY83" si="89">SUM(AT77:AX77)</f>
        <v>421161.47454729804</v>
      </c>
      <c r="AZ77" s="26"/>
      <c r="BA77" s="20">
        <f t="shared" ref="BA77:BA83" si="90">AY77/AD77</f>
        <v>0.90355948876016368</v>
      </c>
      <c r="BB77" s="20">
        <f t="shared" ref="BB77:BB83" si="91">1-BA77</f>
        <v>9.6440511239836324E-2</v>
      </c>
      <c r="BC77" s="9">
        <v>5500</v>
      </c>
      <c r="BD77" s="30">
        <f t="shared" si="68"/>
        <v>4447.661723624391</v>
      </c>
      <c r="BE77" s="30">
        <f t="shared" si="68"/>
        <v>31316.438710544084</v>
      </c>
      <c r="BF77" s="30">
        <f t="shared" si="68"/>
        <v>2966.7220516756133</v>
      </c>
      <c r="BG77" s="30">
        <f t="shared" si="68"/>
        <v>6221.4229668578409</v>
      </c>
      <c r="BH77" s="30">
        <f t="shared" si="68"/>
        <v>0</v>
      </c>
      <c r="BI77" s="31">
        <f t="shared" si="69"/>
        <v>44952.245452701929</v>
      </c>
      <c r="BK77" s="9" t="str">
        <f t="shared" si="70"/>
        <v>45001216</v>
      </c>
      <c r="BL77" s="26">
        <f t="shared" si="71"/>
        <v>466113.72</v>
      </c>
    </row>
    <row r="78" spans="1:64">
      <c r="A78" s="10" t="str">
        <f t="shared" si="64"/>
        <v>4500</v>
      </c>
      <c r="B78" s="10" t="str">
        <f t="shared" si="65"/>
        <v>1217</v>
      </c>
      <c r="C78" s="35" t="s">
        <v>168</v>
      </c>
      <c r="D78" s="16">
        <v>850030</v>
      </c>
      <c r="E78" s="32" t="s">
        <v>169</v>
      </c>
      <c r="F78" s="18">
        <f>IFERROR(VLOOKUP(C78,'[4]Revenue Data - FY19 MAR-YTD '!$C$3:$Q$82,15,FALSE),0)</f>
        <v>-233325.3</v>
      </c>
      <c r="G78" s="18"/>
      <c r="H78" s="18">
        <f t="shared" si="72"/>
        <v>-233325.3</v>
      </c>
      <c r="I78" s="18">
        <f>'[4]Statistics Projections'!J69</f>
        <v>1625</v>
      </c>
      <c r="J78" s="18">
        <f t="shared" si="73"/>
        <v>-143.5848</v>
      </c>
      <c r="K78" s="19"/>
      <c r="L78" s="20">
        <f t="shared" si="77"/>
        <v>1.04</v>
      </c>
      <c r="M78" s="18">
        <f t="shared" si="87"/>
        <v>-149.33000000000001</v>
      </c>
      <c r="N78" s="19"/>
      <c r="O78" s="21">
        <f>'[4]Statistics Projections'!L69</f>
        <v>3675</v>
      </c>
      <c r="P78" s="18">
        <f t="shared" si="75"/>
        <v>548787.75</v>
      </c>
      <c r="Q78" s="22"/>
      <c r="R78" s="24">
        <f>VLOOKUP($C78,'[4]Revenue Data - FY19 MAR-YTD '!$C$3:$V$82,20,FALSE)</f>
        <v>0.85425498220724461</v>
      </c>
      <c r="S78" s="24">
        <f>VLOOKUP($C78,'[4]Revenue Data - FY19 MAR-YTD '!$C$3:$V$82,19,FALSE)</f>
        <v>4.703733371391787E-2</v>
      </c>
      <c r="T78" s="24">
        <f>VLOOKUP($C78,'[4]Revenue Data - FY19 MAR-YTD '!$C$3:$V$82,17,FALSE)</f>
        <v>2.756666336655305E-2</v>
      </c>
      <c r="U78" s="24">
        <f>VLOOKUP($C78,'[4]Revenue Data - FY19 MAR-YTD '!$C$3:$V$82,18,FALSE)</f>
        <v>7.1141020712284522E-2</v>
      </c>
      <c r="V78" s="23">
        <f>VLOOKUP($C78,'[4]Revenue Data - FY19 MAR-YTD '!$C$3:$W$82,21,FALSE)</f>
        <v>0</v>
      </c>
      <c r="W78" s="24">
        <f t="shared" si="85"/>
        <v>1</v>
      </c>
      <c r="X78" s="24"/>
      <c r="Y78" s="25">
        <f t="shared" si="78"/>
        <v>468804.66961180378</v>
      </c>
      <c r="Z78" s="25">
        <f t="shared" si="79"/>
        <v>25813.512534860132</v>
      </c>
      <c r="AA78" s="25">
        <f t="shared" si="80"/>
        <v>15128.247163938073</v>
      </c>
      <c r="AB78" s="25">
        <f t="shared" si="81"/>
        <v>39041.320689398017</v>
      </c>
      <c r="AC78" s="25">
        <f t="shared" si="66"/>
        <v>0</v>
      </c>
      <c r="AD78" s="21">
        <f t="shared" si="86"/>
        <v>548787.75</v>
      </c>
      <c r="AE78" s="26">
        <f t="shared" si="67"/>
        <v>0</v>
      </c>
      <c r="AF78" s="27">
        <f t="shared" si="82"/>
        <v>0.98799999999999999</v>
      </c>
      <c r="AG78" s="27">
        <f t="shared" si="83"/>
        <v>0.13180000000000003</v>
      </c>
      <c r="AH78" s="27">
        <f t="shared" si="76"/>
        <v>0.86699999999999999</v>
      </c>
      <c r="AI78" s="27">
        <f t="shared" si="84"/>
        <v>0.83230000000000004</v>
      </c>
      <c r="AJ78" s="27">
        <v>0</v>
      </c>
      <c r="AT78" s="18">
        <f t="shared" si="88"/>
        <v>463179.01357646211</v>
      </c>
      <c r="AU78" s="18">
        <f t="shared" si="88"/>
        <v>3402.2209520945662</v>
      </c>
      <c r="AV78" s="18">
        <f t="shared" si="88"/>
        <v>13116.19029113431</v>
      </c>
      <c r="AW78" s="18">
        <f t="shared" si="88"/>
        <v>32494.091209785973</v>
      </c>
      <c r="AX78" s="18">
        <f t="shared" si="88"/>
        <v>0</v>
      </c>
      <c r="AY78" s="26">
        <f t="shared" si="89"/>
        <v>512191.51602947694</v>
      </c>
      <c r="AZ78" s="26"/>
      <c r="BA78" s="20">
        <f t="shared" si="90"/>
        <v>0.93331441168188789</v>
      </c>
      <c r="BB78" s="20">
        <f t="shared" si="91"/>
        <v>6.668558831811211E-2</v>
      </c>
      <c r="BC78" s="9">
        <v>5500</v>
      </c>
      <c r="BD78" s="30">
        <f t="shared" si="68"/>
        <v>5625.6560353416717</v>
      </c>
      <c r="BE78" s="30">
        <f t="shared" si="68"/>
        <v>22411.291582765567</v>
      </c>
      <c r="BF78" s="30">
        <f t="shared" si="68"/>
        <v>2012.0568728037633</v>
      </c>
      <c r="BG78" s="30">
        <f t="shared" si="68"/>
        <v>6547.2294796120441</v>
      </c>
      <c r="BH78" s="30">
        <f t="shared" si="68"/>
        <v>0</v>
      </c>
      <c r="BI78" s="31">
        <f t="shared" si="69"/>
        <v>36596.233970523041</v>
      </c>
      <c r="BK78" s="9" t="str">
        <f t="shared" si="70"/>
        <v>45001217</v>
      </c>
      <c r="BL78" s="26">
        <f t="shared" si="71"/>
        <v>548787.75</v>
      </c>
    </row>
    <row r="79" spans="1:64">
      <c r="A79" s="10" t="str">
        <f t="shared" si="64"/>
        <v>4500</v>
      </c>
      <c r="B79" s="10" t="str">
        <f t="shared" si="65"/>
        <v>1219</v>
      </c>
      <c r="C79" s="35" t="s">
        <v>170</v>
      </c>
      <c r="D79" s="16">
        <v>850045</v>
      </c>
      <c r="E79" s="32" t="s">
        <v>171</v>
      </c>
      <c r="F79" s="18">
        <f>IFERROR(VLOOKUP(C79,'[4]Revenue Data - FY19 MAR-YTD '!$C$3:$Q$82,15,FALSE),0)</f>
        <v>-570242.19999999995</v>
      </c>
      <c r="G79" s="18"/>
      <c r="H79" s="18">
        <f t="shared" si="72"/>
        <v>-570242.19999999995</v>
      </c>
      <c r="I79" s="18">
        <f>'[4]Statistics Projections'!J75</f>
        <v>59513.49</v>
      </c>
      <c r="J79" s="18">
        <f t="shared" si="73"/>
        <v>-9.5817301253883773</v>
      </c>
      <c r="K79" s="19"/>
      <c r="L79" s="20">
        <v>1</v>
      </c>
      <c r="M79" s="18">
        <f t="shared" si="87"/>
        <v>-9.58</v>
      </c>
      <c r="N79" s="19"/>
      <c r="O79" s="21">
        <f>'[4]Statistics Projections'!L75</f>
        <v>119000</v>
      </c>
      <c r="P79" s="18">
        <f t="shared" si="75"/>
        <v>1140020</v>
      </c>
      <c r="Q79" s="22"/>
      <c r="R79" s="24">
        <f>VLOOKUP($C79,'[4]Revenue Data - FY19 MAR-YTD '!$C$3:$V$82,20,FALSE)</f>
        <v>0.90283961797285439</v>
      </c>
      <c r="S79" s="24">
        <f>VLOOKUP($C79,'[4]Revenue Data - FY19 MAR-YTD '!$C$3:$V$82,19,FALSE)</f>
        <v>2.7307957916829027E-2</v>
      </c>
      <c r="T79" s="24">
        <f>VLOOKUP($C79,'[4]Revenue Data - FY19 MAR-YTD '!$C$3:$V$82,17,FALSE)</f>
        <v>1.7369636971799E-2</v>
      </c>
      <c r="U79" s="24">
        <f>VLOOKUP($C79,'[4]Revenue Data - FY19 MAR-YTD '!$C$3:$V$82,18,FALSE)</f>
        <v>5.2482787138517638E-2</v>
      </c>
      <c r="V79" s="23">
        <f>VLOOKUP($C79,'[4]Revenue Data - FY19 MAR-YTD '!$C$3:$W$82,21,FALSE)</f>
        <v>0</v>
      </c>
      <c r="W79" s="24">
        <f t="shared" si="85"/>
        <v>1.0000000000000002</v>
      </c>
      <c r="X79" s="24"/>
      <c r="Y79" s="25">
        <f t="shared" si="78"/>
        <v>1029255.2212814135</v>
      </c>
      <c r="Z79" s="25">
        <f t="shared" si="79"/>
        <v>31131.618184343428</v>
      </c>
      <c r="AA79" s="25">
        <f t="shared" si="80"/>
        <v>19801.733540590296</v>
      </c>
      <c r="AB79" s="25">
        <f t="shared" si="81"/>
        <v>59831.42699365288</v>
      </c>
      <c r="AC79" s="25">
        <f t="shared" si="66"/>
        <v>0</v>
      </c>
      <c r="AD79" s="21">
        <f t="shared" si="86"/>
        <v>1140020.0000000002</v>
      </c>
      <c r="AE79" s="26">
        <f t="shared" si="67"/>
        <v>0</v>
      </c>
      <c r="AF79" s="27">
        <f t="shared" si="82"/>
        <v>0.98799999999999999</v>
      </c>
      <c r="AG79" s="27">
        <f t="shared" si="83"/>
        <v>0.13180000000000003</v>
      </c>
      <c r="AH79" s="27">
        <f t="shared" si="76"/>
        <v>0.86699999999999999</v>
      </c>
      <c r="AI79" s="27">
        <f t="shared" si="84"/>
        <v>0.83230000000000004</v>
      </c>
      <c r="AJ79" s="27">
        <v>0</v>
      </c>
      <c r="AT79" s="18">
        <f t="shared" si="88"/>
        <v>1016904.1586260365</v>
      </c>
      <c r="AU79" s="18">
        <f t="shared" si="88"/>
        <v>4103.1472766964644</v>
      </c>
      <c r="AV79" s="18">
        <f t="shared" si="88"/>
        <v>17168.102979691786</v>
      </c>
      <c r="AW79" s="18">
        <f t="shared" si="88"/>
        <v>49797.696686817297</v>
      </c>
      <c r="AX79" s="18">
        <f t="shared" si="88"/>
        <v>0</v>
      </c>
      <c r="AY79" s="26">
        <f t="shared" si="89"/>
        <v>1087973.105569242</v>
      </c>
      <c r="AZ79" s="26"/>
      <c r="BA79" s="20">
        <f t="shared" si="90"/>
        <v>0.95434563040055598</v>
      </c>
      <c r="BB79" s="20">
        <f t="shared" si="91"/>
        <v>4.5654369599444022E-2</v>
      </c>
      <c r="BC79" s="9">
        <v>5500</v>
      </c>
      <c r="BD79" s="30">
        <f t="shared" si="68"/>
        <v>12351.062655376969</v>
      </c>
      <c r="BE79" s="30">
        <f t="shared" si="68"/>
        <v>27028.470907646963</v>
      </c>
      <c r="BF79" s="30">
        <f t="shared" si="68"/>
        <v>2633.6305608985094</v>
      </c>
      <c r="BG79" s="30">
        <f t="shared" si="68"/>
        <v>10033.730306835583</v>
      </c>
      <c r="BH79" s="30">
        <f t="shared" si="68"/>
        <v>0</v>
      </c>
      <c r="BI79" s="31">
        <f t="shared" si="69"/>
        <v>52046.894430758024</v>
      </c>
      <c r="BK79" s="9" t="str">
        <f t="shared" si="70"/>
        <v>45001219</v>
      </c>
      <c r="BL79" s="26">
        <f t="shared" si="71"/>
        <v>1140020</v>
      </c>
    </row>
    <row r="80" spans="1:64">
      <c r="A80" s="10" t="str">
        <f t="shared" si="64"/>
        <v>4500</v>
      </c>
      <c r="B80" s="10" t="str">
        <f t="shared" si="65"/>
        <v>1220</v>
      </c>
      <c r="C80" s="35" t="s">
        <v>172</v>
      </c>
      <c r="D80" s="16">
        <v>850050</v>
      </c>
      <c r="E80" s="32" t="s">
        <v>173</v>
      </c>
      <c r="F80" s="18">
        <f>IFERROR(VLOOKUP(C80,'[4]Revenue Data - FY19 MAR-YTD '!$C$3:$Q$82,15,FALSE),0)</f>
        <v>-342711</v>
      </c>
      <c r="G80" s="18"/>
      <c r="H80" s="18">
        <f t="shared" si="72"/>
        <v>-342711</v>
      </c>
      <c r="I80" s="18">
        <f>'[4]Statistics Projections'!J81</f>
        <v>2432</v>
      </c>
      <c r="J80" s="18">
        <f t="shared" si="73"/>
        <v>-140.91735197368422</v>
      </c>
      <c r="K80" s="19"/>
      <c r="L80" s="20">
        <f t="shared" si="77"/>
        <v>1.04</v>
      </c>
      <c r="M80" s="18">
        <f t="shared" si="87"/>
        <v>-146.55000000000001</v>
      </c>
      <c r="N80" s="19"/>
      <c r="O80" s="21">
        <f>'[4]Statistics Projections'!L81</f>
        <v>4612</v>
      </c>
      <c r="P80" s="18">
        <f t="shared" si="75"/>
        <v>675888.60000000009</v>
      </c>
      <c r="Q80" s="22"/>
      <c r="R80" s="24">
        <f>VLOOKUP($C80,'[4]Revenue Data - FY19 MAR-YTD '!$C$3:$V$82,20,FALSE)</f>
        <v>0.94581440338944478</v>
      </c>
      <c r="S80" s="24">
        <f>VLOOKUP($C80,'[4]Revenue Data - FY19 MAR-YTD '!$C$3:$V$82,19,FALSE)</f>
        <v>8.9871641120360885E-4</v>
      </c>
      <c r="T80" s="24">
        <f>VLOOKUP($C80,'[4]Revenue Data - FY19 MAR-YTD '!$C$3:$V$82,17,FALSE)</f>
        <v>1.4014723776009524E-2</v>
      </c>
      <c r="U80" s="24">
        <f>VLOOKUP($C80,'[4]Revenue Data - FY19 MAR-YTD '!$C$3:$V$82,18,FALSE)</f>
        <v>3.9272156423342114E-2</v>
      </c>
      <c r="V80" s="23">
        <f>VLOOKUP($C80,'[4]Revenue Data - FY19 MAR-YTD '!$C$3:$W$82,21,FALSE)</f>
        <v>0</v>
      </c>
      <c r="W80" s="24">
        <f t="shared" si="85"/>
        <v>1</v>
      </c>
      <c r="X80" s="24"/>
      <c r="Y80" s="25">
        <f t="shared" si="78"/>
        <v>639265.17296672717</v>
      </c>
      <c r="Z80" s="25">
        <f t="shared" si="79"/>
        <v>607.43217696543161</v>
      </c>
      <c r="AA80" s="25">
        <f t="shared" si="80"/>
        <v>9472.3920323537914</v>
      </c>
      <c r="AB80" s="25">
        <f t="shared" si="81"/>
        <v>26543.602823953712</v>
      </c>
      <c r="AC80" s="25">
        <f t="shared" si="66"/>
        <v>0</v>
      </c>
      <c r="AD80" s="21">
        <f t="shared" si="86"/>
        <v>675888.60000000009</v>
      </c>
      <c r="AE80" s="26">
        <f t="shared" si="67"/>
        <v>0</v>
      </c>
      <c r="AF80" s="27">
        <f t="shared" si="82"/>
        <v>0.98799999999999999</v>
      </c>
      <c r="AG80" s="27">
        <f t="shared" si="83"/>
        <v>0.13180000000000003</v>
      </c>
      <c r="AH80" s="27">
        <f t="shared" si="76"/>
        <v>0.86699999999999999</v>
      </c>
      <c r="AI80" s="27">
        <f t="shared" si="84"/>
        <v>0.83230000000000004</v>
      </c>
      <c r="AJ80" s="27">
        <v>0</v>
      </c>
      <c r="AT80" s="18">
        <f t="shared" si="88"/>
        <v>631593.99089112645</v>
      </c>
      <c r="AU80" s="18">
        <f t="shared" si="88"/>
        <v>80.059560924043907</v>
      </c>
      <c r="AV80" s="18">
        <f t="shared" si="88"/>
        <v>8212.5638920507372</v>
      </c>
      <c r="AW80" s="18">
        <f t="shared" si="88"/>
        <v>22092.240630376677</v>
      </c>
      <c r="AX80" s="18">
        <f t="shared" si="88"/>
        <v>0</v>
      </c>
      <c r="AY80" s="26">
        <f t="shared" si="89"/>
        <v>661978.85497447802</v>
      </c>
      <c r="AZ80" s="26"/>
      <c r="BA80" s="20">
        <f t="shared" si="90"/>
        <v>0.97942006267671611</v>
      </c>
      <c r="BB80" s="20">
        <f t="shared" si="91"/>
        <v>2.0579937323283892E-2</v>
      </c>
      <c r="BC80" s="9">
        <v>5500</v>
      </c>
      <c r="BD80" s="30">
        <f t="shared" si="68"/>
        <v>7671.1820756007219</v>
      </c>
      <c r="BE80" s="30">
        <f t="shared" si="68"/>
        <v>527.37261604138769</v>
      </c>
      <c r="BF80" s="30">
        <f t="shared" si="68"/>
        <v>1259.8281403030542</v>
      </c>
      <c r="BG80" s="30">
        <f t="shared" si="68"/>
        <v>4451.3621935770352</v>
      </c>
      <c r="BH80" s="30">
        <f t="shared" si="68"/>
        <v>0</v>
      </c>
      <c r="BI80" s="31">
        <f t="shared" si="69"/>
        <v>13909.745025522199</v>
      </c>
      <c r="BK80" s="9" t="str">
        <f t="shared" si="70"/>
        <v>45001220</v>
      </c>
      <c r="BL80" s="26">
        <f t="shared" si="71"/>
        <v>675888.60000000009</v>
      </c>
    </row>
    <row r="81" spans="1:64">
      <c r="A81" s="10" t="str">
        <f t="shared" si="64"/>
        <v>4500</v>
      </c>
      <c r="B81" s="10" t="str">
        <f t="shared" si="65"/>
        <v>1222</v>
      </c>
      <c r="C81" s="35" t="s">
        <v>174</v>
      </c>
      <c r="D81" s="16">
        <v>850060</v>
      </c>
      <c r="E81" s="32" t="s">
        <v>175</v>
      </c>
      <c r="F81" s="18">
        <f>IFERROR(VLOOKUP(C81,'[4]Revenue Data - FY19 MAR-YTD '!$C$3:$Q$82,15,FALSE),0)</f>
        <v>-426406.07</v>
      </c>
      <c r="G81" s="18"/>
      <c r="H81" s="18">
        <f t="shared" si="72"/>
        <v>-426406.07</v>
      </c>
      <c r="I81" s="18">
        <f>'[4]Statistics Projections'!J87</f>
        <v>2025</v>
      </c>
      <c r="J81" s="18">
        <f t="shared" si="73"/>
        <v>-210.5708987654321</v>
      </c>
      <c r="K81" s="19"/>
      <c r="L81" s="20">
        <f t="shared" si="77"/>
        <v>1.04</v>
      </c>
      <c r="M81" s="18">
        <f t="shared" si="87"/>
        <v>-218.99</v>
      </c>
      <c r="N81" s="19"/>
      <c r="O81" s="21">
        <f>'[4]Statistics Projections'!L87</f>
        <v>4500</v>
      </c>
      <c r="P81" s="18">
        <f t="shared" si="75"/>
        <v>985455</v>
      </c>
      <c r="Q81" s="22"/>
      <c r="R81" s="24">
        <f>VLOOKUP($C81,'[4]Revenue Data - FY19 MAR-YTD '!$C$3:$V$82,20,FALSE)</f>
        <v>0.83954245773283664</v>
      </c>
      <c r="S81" s="24">
        <f>VLOOKUP($C81,'[4]Revenue Data - FY19 MAR-YTD '!$C$3:$V$82,19,FALSE)</f>
        <v>3.1570845133607035E-2</v>
      </c>
      <c r="T81" s="24">
        <f>VLOOKUP($C81,'[4]Revenue Data - FY19 MAR-YTD '!$C$3:$V$82,17,FALSE)</f>
        <v>4.3540655976121542E-2</v>
      </c>
      <c r="U81" s="24">
        <f>VLOOKUP($C81,'[4]Revenue Data - FY19 MAR-YTD '!$C$3:$V$82,18,FALSE)</f>
        <v>8.5346041157434743E-2</v>
      </c>
      <c r="V81" s="23">
        <f>VLOOKUP($C81,'[4]Revenue Data - FY19 MAR-YTD '!$C$3:$W$82,21,FALSE)</f>
        <v>0</v>
      </c>
      <c r="W81" s="24">
        <f t="shared" si="85"/>
        <v>1</v>
      </c>
      <c r="X81" s="24"/>
      <c r="Y81" s="25">
        <f t="shared" si="78"/>
        <v>827331.31268511259</v>
      </c>
      <c r="Z81" s="25">
        <f t="shared" si="79"/>
        <v>31111.64719113872</v>
      </c>
      <c r="AA81" s="25">
        <f t="shared" si="80"/>
        <v>42907.357134948856</v>
      </c>
      <c r="AB81" s="25">
        <f t="shared" si="81"/>
        <v>84104.682988799861</v>
      </c>
      <c r="AC81" s="25">
        <f t="shared" si="66"/>
        <v>0</v>
      </c>
      <c r="AD81" s="21">
        <f t="shared" si="86"/>
        <v>985455</v>
      </c>
      <c r="AE81" s="26">
        <f t="shared" si="67"/>
        <v>0</v>
      </c>
      <c r="AF81" s="27">
        <f t="shared" si="82"/>
        <v>0.98799999999999999</v>
      </c>
      <c r="AG81" s="27">
        <f t="shared" si="83"/>
        <v>0.13180000000000003</v>
      </c>
      <c r="AH81" s="27">
        <f t="shared" si="76"/>
        <v>0.86699999999999999</v>
      </c>
      <c r="AI81" s="27">
        <f t="shared" si="84"/>
        <v>0.83230000000000004</v>
      </c>
      <c r="AJ81" s="27">
        <v>0</v>
      </c>
      <c r="AT81" s="18">
        <f t="shared" si="88"/>
        <v>817403.33693289128</v>
      </c>
      <c r="AU81" s="18">
        <f t="shared" si="88"/>
        <v>4100.5150997920846</v>
      </c>
      <c r="AV81" s="18">
        <f t="shared" si="88"/>
        <v>37200.678636000659</v>
      </c>
      <c r="AW81" s="18">
        <f t="shared" si="88"/>
        <v>70000.327651578133</v>
      </c>
      <c r="AX81" s="18">
        <f t="shared" si="88"/>
        <v>0</v>
      </c>
      <c r="AY81" s="26">
        <f t="shared" si="89"/>
        <v>928704.85832026205</v>
      </c>
      <c r="AZ81" s="26"/>
      <c r="BA81" s="20">
        <f t="shared" si="90"/>
        <v>0.94241224441528237</v>
      </c>
      <c r="BB81" s="20">
        <f t="shared" si="91"/>
        <v>5.7587755584717626E-2</v>
      </c>
      <c r="BC81" s="9">
        <v>5500</v>
      </c>
      <c r="BD81" s="30">
        <f t="shared" si="68"/>
        <v>9927.975752221304</v>
      </c>
      <c r="BE81" s="30">
        <f t="shared" si="68"/>
        <v>27011.132091346633</v>
      </c>
      <c r="BF81" s="30">
        <f t="shared" si="68"/>
        <v>5706.6784989481966</v>
      </c>
      <c r="BG81" s="30">
        <f t="shared" si="68"/>
        <v>14104.355337221728</v>
      </c>
      <c r="BH81" s="30">
        <f t="shared" si="68"/>
        <v>0</v>
      </c>
      <c r="BI81" s="31">
        <f t="shared" si="69"/>
        <v>56750.141679737862</v>
      </c>
      <c r="BK81" s="9" t="str">
        <f t="shared" si="70"/>
        <v>45001222</v>
      </c>
      <c r="BL81" s="26">
        <f t="shared" si="71"/>
        <v>985455</v>
      </c>
    </row>
    <row r="82" spans="1:64">
      <c r="A82" s="10" t="str">
        <f t="shared" si="64"/>
        <v>4500</v>
      </c>
      <c r="B82" s="10" t="str">
        <f t="shared" si="65"/>
        <v>1223</v>
      </c>
      <c r="C82" s="35" t="s">
        <v>176</v>
      </c>
      <c r="D82" s="16">
        <v>850060</v>
      </c>
      <c r="E82" s="32" t="s">
        <v>177</v>
      </c>
      <c r="F82" s="18">
        <f>IFERROR(VLOOKUP(C82,'[4]Revenue Data - FY19 MAR-YTD '!$C$3:$Q$82,15,FALSE),0)</f>
        <v>-454724.01999999996</v>
      </c>
      <c r="G82" s="18"/>
      <c r="H82" s="18">
        <f t="shared" si="72"/>
        <v>-454724.01999999996</v>
      </c>
      <c r="I82" s="18">
        <f>'[4]Statistics Projections'!J93</f>
        <v>2161</v>
      </c>
      <c r="J82" s="18">
        <f t="shared" si="73"/>
        <v>-210.4229615918556</v>
      </c>
      <c r="K82" s="19"/>
      <c r="L82" s="20">
        <f t="shared" si="77"/>
        <v>1.04</v>
      </c>
      <c r="M82" s="18">
        <f t="shared" si="87"/>
        <v>-218.84</v>
      </c>
      <c r="N82" s="19"/>
      <c r="O82" s="21">
        <f>'[4]Statistics Projections'!L93</f>
        <v>4650</v>
      </c>
      <c r="P82" s="18">
        <f t="shared" si="75"/>
        <v>1017606</v>
      </c>
      <c r="Q82" s="22"/>
      <c r="R82" s="24">
        <f>VLOOKUP($C82,'[4]Revenue Data - FY19 MAR-YTD '!$C$3:$V$82,20,FALSE)</f>
        <v>0.86035694793514539</v>
      </c>
      <c r="S82" s="24">
        <f>VLOOKUP($C82,'[4]Revenue Data - FY19 MAR-YTD '!$C$3:$V$82,19,FALSE)</f>
        <v>2.8353461512765483E-2</v>
      </c>
      <c r="T82" s="24">
        <f>VLOOKUP($C82,'[4]Revenue Data - FY19 MAR-YTD '!$C$3:$V$82,17,FALSE)</f>
        <v>4.3305387738259357E-2</v>
      </c>
      <c r="U82" s="24">
        <f>VLOOKUP($C82,'[4]Revenue Data - FY19 MAR-YTD '!$C$3:$V$82,18,FALSE)</f>
        <v>6.7984202813829803E-2</v>
      </c>
      <c r="V82" s="23">
        <f>VLOOKUP($C82,'[4]Revenue Data - FY19 MAR-YTD '!$C$3:$W$82,21,FALSE)</f>
        <v>0</v>
      </c>
      <c r="W82" s="24">
        <f t="shared" si="85"/>
        <v>1</v>
      </c>
      <c r="X82" s="24"/>
      <c r="Y82" s="25">
        <f t="shared" si="78"/>
        <v>875504.39236049156</v>
      </c>
      <c r="Z82" s="25">
        <f t="shared" si="79"/>
        <v>28852.652556159232</v>
      </c>
      <c r="AA82" s="25">
        <f t="shared" si="80"/>
        <v>44067.822394779148</v>
      </c>
      <c r="AB82" s="25">
        <f t="shared" si="81"/>
        <v>69181.132688570084</v>
      </c>
      <c r="AC82" s="25">
        <f t="shared" si="66"/>
        <v>0</v>
      </c>
      <c r="AD82" s="21">
        <f t="shared" si="86"/>
        <v>1017606</v>
      </c>
      <c r="AE82" s="26">
        <f t="shared" si="67"/>
        <v>0</v>
      </c>
      <c r="AF82" s="27">
        <f t="shared" si="82"/>
        <v>0.98799999999999999</v>
      </c>
      <c r="AG82" s="27">
        <f t="shared" si="83"/>
        <v>0.13180000000000003</v>
      </c>
      <c r="AH82" s="27">
        <f t="shared" si="76"/>
        <v>0.86699999999999999</v>
      </c>
      <c r="AI82" s="27">
        <f t="shared" si="84"/>
        <v>0.83230000000000004</v>
      </c>
      <c r="AJ82" s="27">
        <v>0</v>
      </c>
      <c r="AT82" s="18">
        <f t="shared" si="88"/>
        <v>864998.33965216565</v>
      </c>
      <c r="AU82" s="18">
        <f t="shared" si="88"/>
        <v>3802.7796069017877</v>
      </c>
      <c r="AV82" s="18">
        <f t="shared" si="88"/>
        <v>38206.802016273519</v>
      </c>
      <c r="AW82" s="18">
        <f t="shared" si="88"/>
        <v>57579.456736696884</v>
      </c>
      <c r="AX82" s="18">
        <f t="shared" si="88"/>
        <v>0</v>
      </c>
      <c r="AY82" s="26">
        <f t="shared" si="89"/>
        <v>964587.37801203784</v>
      </c>
      <c r="AZ82" s="26"/>
      <c r="BA82" s="20">
        <f t="shared" si="90"/>
        <v>0.9478986739583275</v>
      </c>
      <c r="BB82" s="20">
        <f t="shared" si="91"/>
        <v>5.2101326041672502E-2</v>
      </c>
      <c r="BC82" s="9">
        <v>5500</v>
      </c>
      <c r="BD82" s="30">
        <f t="shared" si="68"/>
        <v>10506.052708325908</v>
      </c>
      <c r="BE82" s="30">
        <f t="shared" si="68"/>
        <v>25049.872949257442</v>
      </c>
      <c r="BF82" s="30">
        <f t="shared" si="68"/>
        <v>5861.0203785056292</v>
      </c>
      <c r="BG82" s="30">
        <f t="shared" si="68"/>
        <v>11601.6759518732</v>
      </c>
      <c r="BH82" s="30">
        <f t="shared" si="68"/>
        <v>0</v>
      </c>
      <c r="BI82" s="31">
        <f t="shared" si="69"/>
        <v>53018.621987962179</v>
      </c>
      <c r="BK82" s="9" t="str">
        <f t="shared" si="70"/>
        <v>45001223</v>
      </c>
      <c r="BL82" s="26">
        <f t="shared" si="71"/>
        <v>1017606</v>
      </c>
    </row>
    <row r="83" spans="1:64">
      <c r="A83" s="10" t="str">
        <f t="shared" si="64"/>
        <v>4500</v>
      </c>
      <c r="B83" s="10" t="str">
        <f t="shared" si="65"/>
        <v>1224</v>
      </c>
      <c r="C83" s="35" t="s">
        <v>178</v>
      </c>
      <c r="D83" s="16">
        <v>850060</v>
      </c>
      <c r="E83" s="32" t="s">
        <v>179</v>
      </c>
      <c r="F83" s="18">
        <f>IFERROR(VLOOKUP(C83,'[4]Revenue Data - FY19 MAR-YTD '!$C$3:$Q$82,15,FALSE),0)</f>
        <v>-30064</v>
      </c>
      <c r="G83" s="18"/>
      <c r="H83" s="18">
        <f>SUM(F83:G83)</f>
        <v>-30064</v>
      </c>
      <c r="I83" s="18">
        <f>'[4]Statistics Projections'!J99</f>
        <v>81</v>
      </c>
      <c r="J83" s="18">
        <f t="shared" si="73"/>
        <v>-371.16049382716051</v>
      </c>
      <c r="K83" s="19"/>
      <c r="L83" s="20">
        <f t="shared" si="77"/>
        <v>1.04</v>
      </c>
      <c r="M83" s="18">
        <f t="shared" si="87"/>
        <v>-386.01</v>
      </c>
      <c r="N83" s="19"/>
      <c r="O83" s="21">
        <f>'[4]Statistics Projections'!L99</f>
        <v>171</v>
      </c>
      <c r="P83" s="18">
        <f t="shared" si="75"/>
        <v>66007.709999999992</v>
      </c>
      <c r="Q83" s="22"/>
      <c r="R83" s="24">
        <f>VLOOKUP($C83,'[4]Revenue Data - FY19 MAR-YTD '!$C$3:$V$82,20,FALSE)</f>
        <v>0.59542974986695052</v>
      </c>
      <c r="S83" s="24">
        <f>VLOOKUP($C83,'[4]Revenue Data - FY19 MAR-YTD '!$C$3:$V$82,19,FALSE)</f>
        <v>0.33122671633847789</v>
      </c>
      <c r="T83" s="24">
        <f>VLOOKUP($C83,'[4]Revenue Data - FY19 MAR-YTD '!$C$3:$V$82,17,FALSE)</f>
        <v>7.3343533794571578E-2</v>
      </c>
      <c r="U83" s="24">
        <f>VLOOKUP($C83,'[4]Revenue Data - FY19 MAR-YTD '!$C$3:$V$82,18,FALSE)</f>
        <v>0</v>
      </c>
      <c r="V83" s="23">
        <f>VLOOKUP($C83,'[4]Revenue Data - FY19 MAR-YTD '!$C$3:$W$82,21,FALSE)</f>
        <v>0</v>
      </c>
      <c r="W83" s="24">
        <f t="shared" si="85"/>
        <v>1</v>
      </c>
      <c r="X83" s="24"/>
      <c r="Y83" s="25">
        <f t="shared" si="78"/>
        <v>39302.9542545902</v>
      </c>
      <c r="Z83" s="25">
        <f t="shared" si="79"/>
        <v>21863.517036322508</v>
      </c>
      <c r="AA83" s="25">
        <f t="shared" si="80"/>
        <v>4841.2387090872799</v>
      </c>
      <c r="AB83" s="25">
        <f t="shared" si="81"/>
        <v>0</v>
      </c>
      <c r="AC83" s="25">
        <f t="shared" si="66"/>
        <v>0</v>
      </c>
      <c r="AD83" s="21">
        <f t="shared" si="86"/>
        <v>66007.709999999992</v>
      </c>
      <c r="AE83" s="26">
        <f t="shared" si="67"/>
        <v>0</v>
      </c>
      <c r="AF83" s="27">
        <f t="shared" si="82"/>
        <v>0.98799999999999999</v>
      </c>
      <c r="AG83" s="27">
        <f t="shared" si="83"/>
        <v>0.13180000000000003</v>
      </c>
      <c r="AH83" s="27">
        <f t="shared" si="76"/>
        <v>0.86699999999999999</v>
      </c>
      <c r="AI83" s="27">
        <f t="shared" si="84"/>
        <v>0.83230000000000004</v>
      </c>
      <c r="AJ83" s="27">
        <v>0</v>
      </c>
      <c r="AT83" s="18">
        <f t="shared" si="88"/>
        <v>38831.31880353512</v>
      </c>
      <c r="AU83" s="18">
        <f t="shared" si="88"/>
        <v>2881.6115453873072</v>
      </c>
      <c r="AV83" s="18">
        <f t="shared" si="88"/>
        <v>4197.3539607786715</v>
      </c>
      <c r="AW83" s="18">
        <f t="shared" si="88"/>
        <v>0</v>
      </c>
      <c r="AX83" s="18">
        <f t="shared" si="88"/>
        <v>0</v>
      </c>
      <c r="AY83" s="26">
        <f t="shared" si="89"/>
        <v>45910.284309701099</v>
      </c>
      <c r="AZ83" s="26"/>
      <c r="BA83" s="20">
        <f t="shared" si="90"/>
        <v>0.69552911788185201</v>
      </c>
      <c r="BB83" s="20">
        <f t="shared" si="91"/>
        <v>0.30447088211814799</v>
      </c>
      <c r="BC83" s="9">
        <v>5500</v>
      </c>
      <c r="BD83" s="30">
        <f t="shared" si="68"/>
        <v>471.63545105508092</v>
      </c>
      <c r="BE83" s="30">
        <f t="shared" si="68"/>
        <v>18981.905490935202</v>
      </c>
      <c r="BF83" s="30">
        <f t="shared" si="68"/>
        <v>643.88474830860832</v>
      </c>
      <c r="BG83" s="30">
        <f t="shared" si="68"/>
        <v>0</v>
      </c>
      <c r="BH83" s="30">
        <f t="shared" si="68"/>
        <v>0</v>
      </c>
      <c r="BI83" s="31">
        <f t="shared" si="69"/>
        <v>20097.425690298893</v>
      </c>
      <c r="BK83" s="9" t="str">
        <f t="shared" si="70"/>
        <v>45001224</v>
      </c>
      <c r="BL83" s="26">
        <f t="shared" si="71"/>
        <v>66007.709999999992</v>
      </c>
    </row>
    <row r="84" spans="1:64">
      <c r="A84" s="36" t="str">
        <f t="shared" si="64"/>
        <v>4500</v>
      </c>
      <c r="B84" s="36" t="str">
        <f t="shared" si="65"/>
        <v>1245</v>
      </c>
      <c r="C84" s="56" t="s">
        <v>180</v>
      </c>
      <c r="D84" s="38">
        <v>820100</v>
      </c>
      <c r="E84" s="59" t="s">
        <v>112</v>
      </c>
      <c r="F84" s="43">
        <f>IFERROR(VLOOKUP(C84,'[4]Revenue Data - FY19 MAR-YTD '!$C$3:$Q$82,15,FALSE),0)</f>
        <v>0</v>
      </c>
      <c r="G84" s="43"/>
      <c r="H84" s="43">
        <f t="shared" si="72"/>
        <v>0</v>
      </c>
      <c r="I84" s="43"/>
      <c r="J84" s="43">
        <f t="shared" si="73"/>
        <v>0</v>
      </c>
      <c r="K84" s="41"/>
      <c r="L84" s="20">
        <f t="shared" si="77"/>
        <v>1.04</v>
      </c>
      <c r="M84" s="43">
        <f t="shared" si="74"/>
        <v>0</v>
      </c>
      <c r="N84" s="39"/>
      <c r="O84" s="42">
        <v>0</v>
      </c>
      <c r="P84" s="43">
        <f t="shared" si="75"/>
        <v>0</v>
      </c>
      <c r="Q84" s="44"/>
      <c r="R84" s="45"/>
      <c r="S84" s="45"/>
      <c r="T84" s="45"/>
      <c r="U84" s="45"/>
      <c r="V84" s="45"/>
      <c r="W84" s="45"/>
      <c r="X84" s="45"/>
      <c r="Y84" s="63">
        <f t="shared" ref="Y84:AA85" si="92">L84*R84</f>
        <v>0</v>
      </c>
      <c r="Z84" s="63">
        <f t="shared" si="92"/>
        <v>0</v>
      </c>
      <c r="AA84" s="63">
        <f>N119*T84</f>
        <v>0</v>
      </c>
      <c r="AB84" s="63">
        <f t="shared" ref="AB84:AB85" si="93">O84*U84</f>
        <v>0</v>
      </c>
      <c r="AC84" s="63">
        <f t="shared" si="66"/>
        <v>0</v>
      </c>
      <c r="AD84" s="42">
        <f t="shared" si="86"/>
        <v>0</v>
      </c>
      <c r="AE84" s="26">
        <f t="shared" si="67"/>
        <v>0</v>
      </c>
      <c r="AF84" s="47">
        <f t="shared" si="82"/>
        <v>0.98799999999999999</v>
      </c>
      <c r="AG84" s="47">
        <f t="shared" si="83"/>
        <v>0.13180000000000003</v>
      </c>
      <c r="AH84" s="47">
        <f t="shared" si="76"/>
        <v>0.86699999999999999</v>
      </c>
      <c r="AI84" s="47">
        <f t="shared" si="84"/>
        <v>0.83230000000000004</v>
      </c>
      <c r="AJ84" s="47">
        <v>0</v>
      </c>
      <c r="AK84" s="39"/>
      <c r="AL84" s="39"/>
      <c r="AM84" s="39"/>
      <c r="AN84" s="39"/>
      <c r="AO84" s="39"/>
      <c r="AP84" s="39"/>
      <c r="AQ84" s="39"/>
      <c r="AR84" s="39"/>
      <c r="AS84" s="39"/>
      <c r="AT84" s="43"/>
      <c r="AU84" s="39"/>
      <c r="AV84" s="39"/>
      <c r="AW84" s="39"/>
      <c r="AX84" s="39"/>
      <c r="AY84" s="39"/>
      <c r="AZ84" s="39"/>
      <c r="BA84" s="39"/>
      <c r="BB84" s="39"/>
      <c r="BC84" s="39">
        <v>5500</v>
      </c>
      <c r="BD84" s="49">
        <f t="shared" si="68"/>
        <v>0</v>
      </c>
      <c r="BE84" s="49">
        <f t="shared" si="68"/>
        <v>0</v>
      </c>
      <c r="BF84" s="49">
        <f t="shared" si="68"/>
        <v>0</v>
      </c>
      <c r="BG84" s="49">
        <f t="shared" si="68"/>
        <v>0</v>
      </c>
      <c r="BH84" s="49">
        <f t="shared" si="68"/>
        <v>0</v>
      </c>
      <c r="BI84" s="50">
        <f t="shared" si="69"/>
        <v>0</v>
      </c>
      <c r="BJ84" s="39"/>
      <c r="BK84" s="39" t="str">
        <f t="shared" si="70"/>
        <v>45001245</v>
      </c>
      <c r="BL84" s="51">
        <f t="shared" si="71"/>
        <v>0</v>
      </c>
    </row>
    <row r="85" spans="1:64">
      <c r="A85" s="10" t="str">
        <f t="shared" si="64"/>
        <v>4600</v>
      </c>
      <c r="B85" s="10" t="str">
        <f t="shared" si="65"/>
        <v>1101</v>
      </c>
      <c r="C85" s="35" t="s">
        <v>181</v>
      </c>
      <c r="D85" s="16"/>
      <c r="F85" s="18">
        <f>IFERROR(VLOOKUP(C85,'[4]Revenue Data - FY19 MAR-YTD '!$C$3:$Q$82,15,FALSE),0)</f>
        <v>0</v>
      </c>
      <c r="G85" s="18"/>
      <c r="H85" s="18">
        <f t="shared" si="72"/>
        <v>0</v>
      </c>
      <c r="I85" s="18"/>
      <c r="J85" s="18">
        <f t="shared" si="73"/>
        <v>0</v>
      </c>
      <c r="K85" s="19"/>
      <c r="L85" s="20">
        <f t="shared" ref="L85:L118" si="94">$AW$131</f>
        <v>1.03</v>
      </c>
      <c r="M85" s="18">
        <f t="shared" si="74"/>
        <v>0</v>
      </c>
      <c r="N85" s="19"/>
      <c r="O85" s="21">
        <v>0</v>
      </c>
      <c r="P85" s="18">
        <f t="shared" si="75"/>
        <v>0</v>
      </c>
      <c r="Q85" s="22"/>
      <c r="R85" s="24"/>
      <c r="S85" s="24"/>
      <c r="T85" s="24"/>
      <c r="U85" s="24"/>
      <c r="V85" s="24"/>
      <c r="W85" s="24"/>
      <c r="X85" s="24"/>
      <c r="Y85" s="25">
        <f t="shared" si="92"/>
        <v>0</v>
      </c>
      <c r="Z85" s="25">
        <f t="shared" si="92"/>
        <v>0</v>
      </c>
      <c r="AA85" s="25">
        <f t="shared" si="92"/>
        <v>0</v>
      </c>
      <c r="AB85" s="25">
        <f t="shared" si="93"/>
        <v>0</v>
      </c>
      <c r="AC85" s="25">
        <f t="shared" si="66"/>
        <v>0</v>
      </c>
      <c r="AD85" s="21">
        <f t="shared" si="86"/>
        <v>0</v>
      </c>
      <c r="AE85" s="26">
        <f t="shared" si="67"/>
        <v>0</v>
      </c>
      <c r="AF85" s="27"/>
      <c r="AG85" s="27"/>
      <c r="AH85" s="27"/>
      <c r="AI85" s="27"/>
      <c r="AJ85" s="27"/>
      <c r="BC85" s="9">
        <v>5600</v>
      </c>
      <c r="BD85" s="30">
        <f t="shared" si="68"/>
        <v>0</v>
      </c>
      <c r="BE85" s="30">
        <f t="shared" si="68"/>
        <v>0</v>
      </c>
      <c r="BF85" s="30">
        <f t="shared" si="68"/>
        <v>0</v>
      </c>
      <c r="BG85" s="30">
        <f t="shared" si="68"/>
        <v>0</v>
      </c>
      <c r="BH85" s="30">
        <f t="shared" si="68"/>
        <v>0</v>
      </c>
      <c r="BI85" s="31">
        <f t="shared" si="69"/>
        <v>0</v>
      </c>
      <c r="BK85" s="9" t="str">
        <f t="shared" si="70"/>
        <v>46001101</v>
      </c>
      <c r="BL85" s="26">
        <f t="shared" si="71"/>
        <v>0</v>
      </c>
    </row>
    <row r="86" spans="1:64">
      <c r="A86" s="10" t="str">
        <f t="shared" si="64"/>
        <v>4600</v>
      </c>
      <c r="B86" s="10" t="str">
        <f t="shared" si="65"/>
        <v>1104</v>
      </c>
      <c r="C86" s="35" t="s">
        <v>182</v>
      </c>
      <c r="D86" s="16">
        <v>860010</v>
      </c>
      <c r="E86" s="32" t="s">
        <v>183</v>
      </c>
      <c r="F86" s="18">
        <f>IFERROR(VLOOKUP(C86,'[4]Revenue Data - FY19 MAR-YTD '!$C$3:$Q$82,15,FALSE),0)</f>
        <v>-262699.2</v>
      </c>
      <c r="G86" s="18"/>
      <c r="H86" s="18">
        <f t="shared" si="72"/>
        <v>-262699.2</v>
      </c>
      <c r="I86" s="18">
        <f>'[4]Statistics Projections'!J15</f>
        <v>1047</v>
      </c>
      <c r="J86" s="18">
        <f t="shared" si="73"/>
        <v>-250.90659025787966</v>
      </c>
      <c r="K86" s="19"/>
      <c r="L86" s="20">
        <f t="shared" si="94"/>
        <v>1.03</v>
      </c>
      <c r="M86" s="18">
        <f>ROUND(J86*L86,2)</f>
        <v>-258.43</v>
      </c>
      <c r="N86" s="19"/>
      <c r="O86" s="21">
        <f>'[4]Statistics Projections'!L15</f>
        <v>2112</v>
      </c>
      <c r="P86" s="18">
        <f t="shared" si="75"/>
        <v>545804.16</v>
      </c>
      <c r="Q86" s="22"/>
      <c r="R86" s="24">
        <f>VLOOKUP($C86,'[4]Revenue Data - FY19 MAR-YTD '!$C$3:$V$82,20,FALSE)</f>
        <v>0.63639211691546838</v>
      </c>
      <c r="S86" s="24">
        <f>VLOOKUP($C86,'[4]Revenue Data - FY19 MAR-YTD '!$C$3:$V$82,19,FALSE)</f>
        <v>0.10002504765907166</v>
      </c>
      <c r="T86" s="24">
        <f>VLOOKUP($C86,'[4]Revenue Data - FY19 MAR-YTD '!$C$3:$V$82,17,FALSE)</f>
        <v>0.12601484892226547</v>
      </c>
      <c r="U86" s="24">
        <f>VLOOKUP($C86,'[4]Revenue Data - FY19 MAR-YTD '!$C$3:$V$82,18,FALSE)</f>
        <v>0.13756798650319452</v>
      </c>
      <c r="V86" s="23">
        <f>VLOOKUP($C86,'[4]Revenue Data - FY19 MAR-YTD '!$C$3:$W$82,21,FALSE)</f>
        <v>0</v>
      </c>
      <c r="W86" s="24">
        <f>SUM(R86:V86)</f>
        <v>1</v>
      </c>
      <c r="X86" s="24"/>
      <c r="Y86" s="25">
        <f>P86*R86</f>
        <v>347345.46480366902</v>
      </c>
      <c r="Z86" s="25">
        <f>P86*S86</f>
        <v>54594.087116519579</v>
      </c>
      <c r="AA86" s="25">
        <f>P86*T86</f>
        <v>68779.428763544012</v>
      </c>
      <c r="AB86" s="25">
        <f>P86*U86</f>
        <v>75085.179316267429</v>
      </c>
      <c r="AC86" s="25">
        <f>P86*V86</f>
        <v>0</v>
      </c>
      <c r="AD86" s="21">
        <f>SUM(Y86:AC86)</f>
        <v>545804.16</v>
      </c>
      <c r="AE86" s="26">
        <f t="shared" si="67"/>
        <v>0</v>
      </c>
      <c r="AF86" s="27">
        <f>1-0.6385</f>
        <v>0.36150000000000004</v>
      </c>
      <c r="AG86" s="27">
        <f>1-0.6604</f>
        <v>0.33960000000000001</v>
      </c>
      <c r="AH86" s="27">
        <f>1-0.4591-0.0839</f>
        <v>0.45699999999999996</v>
      </c>
      <c r="AI86" s="27">
        <f>1-0.4622</f>
        <v>0.53780000000000006</v>
      </c>
      <c r="AJ86" s="27">
        <v>0</v>
      </c>
      <c r="AT86" s="18">
        <f>Y86*AF86</f>
        <v>125565.38552652637</v>
      </c>
      <c r="AU86" s="18">
        <f>Z86*AG86</f>
        <v>18540.151984770051</v>
      </c>
      <c r="AV86" s="18">
        <f>AA86*AH86</f>
        <v>31432.19894493961</v>
      </c>
      <c r="AW86" s="18">
        <f>AB86*AI86</f>
        <v>40380.809436288626</v>
      </c>
      <c r="AX86" s="18">
        <f>AC86*AJ86</f>
        <v>0</v>
      </c>
      <c r="AY86" s="26">
        <f>SUM(AT86:AX86)</f>
        <v>215918.54589252468</v>
      </c>
      <c r="AZ86" s="26"/>
      <c r="BA86" s="20">
        <f>AY86/AD86</f>
        <v>0.39559710554885597</v>
      </c>
      <c r="BB86" s="20">
        <f>1-BA86</f>
        <v>0.60440289445114403</v>
      </c>
      <c r="BC86" s="9">
        <v>5600</v>
      </c>
      <c r="BD86" s="30">
        <f t="shared" si="68"/>
        <v>221780.07927714265</v>
      </c>
      <c r="BE86" s="30">
        <f t="shared" si="68"/>
        <v>36053.935131749531</v>
      </c>
      <c r="BF86" s="30">
        <f t="shared" si="68"/>
        <v>37347.229818604406</v>
      </c>
      <c r="BG86" s="30">
        <f t="shared" si="68"/>
        <v>34704.369879978804</v>
      </c>
      <c r="BH86" s="30">
        <f t="shared" si="68"/>
        <v>0</v>
      </c>
      <c r="BI86" s="31">
        <f t="shared" si="69"/>
        <v>329885.61410747544</v>
      </c>
      <c r="BK86" s="9" t="str">
        <f t="shared" si="70"/>
        <v>46001104</v>
      </c>
      <c r="BL86" s="26">
        <f t="shared" si="71"/>
        <v>545804.16</v>
      </c>
    </row>
    <row r="87" spans="1:64">
      <c r="A87" s="10" t="str">
        <f t="shared" si="64"/>
        <v>4600</v>
      </c>
      <c r="B87" s="10" t="str">
        <f t="shared" si="65"/>
        <v>1106</v>
      </c>
      <c r="C87" s="35" t="s">
        <v>184</v>
      </c>
      <c r="D87" s="16"/>
      <c r="F87" s="18">
        <f>IFERROR(VLOOKUP(C87,'[4]Revenue Data - FY19 MAR-YTD '!$C$3:$Q$82,15,FALSE),0)</f>
        <v>0</v>
      </c>
      <c r="G87" s="18"/>
      <c r="H87" s="18">
        <f t="shared" si="72"/>
        <v>0</v>
      </c>
      <c r="I87" s="18">
        <v>0</v>
      </c>
      <c r="J87" s="18">
        <f t="shared" si="73"/>
        <v>0</v>
      </c>
      <c r="K87" s="19"/>
      <c r="L87" s="20">
        <f t="shared" si="94"/>
        <v>1.03</v>
      </c>
      <c r="M87" s="18">
        <f t="shared" si="74"/>
        <v>0</v>
      </c>
      <c r="N87" s="19"/>
      <c r="O87" s="21">
        <v>0</v>
      </c>
      <c r="P87" s="18">
        <f t="shared" si="75"/>
        <v>0</v>
      </c>
      <c r="Q87" s="22"/>
      <c r="R87" s="24"/>
      <c r="S87" s="24"/>
      <c r="T87" s="24"/>
      <c r="U87" s="24"/>
      <c r="V87" s="24"/>
      <c r="W87" s="24"/>
      <c r="X87" s="24"/>
      <c r="Y87" s="25">
        <f>P87*R87</f>
        <v>0</v>
      </c>
      <c r="Z87" s="25">
        <f>P87*S87</f>
        <v>0</v>
      </c>
      <c r="AA87" s="25">
        <f>P87*T87</f>
        <v>0</v>
      </c>
      <c r="AB87" s="25">
        <f>P87*U87</f>
        <v>0</v>
      </c>
      <c r="AC87" s="25">
        <f>P87*V87</f>
        <v>0</v>
      </c>
      <c r="AD87" s="21">
        <f>SUM(Y87:AC87)</f>
        <v>0</v>
      </c>
      <c r="AE87" s="26">
        <f t="shared" si="67"/>
        <v>0</v>
      </c>
      <c r="AF87" s="27"/>
      <c r="AG87" s="27"/>
      <c r="AH87" s="27"/>
      <c r="AI87" s="27"/>
      <c r="AJ87" s="27"/>
      <c r="AT87" s="18"/>
      <c r="AU87" s="18"/>
      <c r="AV87" s="18"/>
      <c r="AW87" s="18"/>
      <c r="AX87" s="18"/>
      <c r="AY87" s="26"/>
      <c r="AZ87" s="26"/>
      <c r="BA87" s="20"/>
      <c r="BB87" s="20"/>
      <c r="BC87" s="9">
        <v>5600</v>
      </c>
      <c r="BD87" s="30">
        <f t="shared" si="68"/>
        <v>0</v>
      </c>
      <c r="BE87" s="30">
        <f t="shared" si="68"/>
        <v>0</v>
      </c>
      <c r="BF87" s="30">
        <f t="shared" si="68"/>
        <v>0</v>
      </c>
      <c r="BG87" s="30">
        <f t="shared" si="68"/>
        <v>0</v>
      </c>
      <c r="BH87" s="30">
        <f t="shared" si="68"/>
        <v>0</v>
      </c>
      <c r="BI87" s="31">
        <f t="shared" si="69"/>
        <v>0</v>
      </c>
      <c r="BK87" s="9" t="str">
        <f t="shared" si="70"/>
        <v>46001106</v>
      </c>
      <c r="BL87" s="26">
        <f t="shared" si="71"/>
        <v>0</v>
      </c>
    </row>
    <row r="88" spans="1:64">
      <c r="A88" s="10" t="str">
        <f t="shared" si="64"/>
        <v>4600</v>
      </c>
      <c r="B88" s="10" t="str">
        <f t="shared" si="65"/>
        <v>1172</v>
      </c>
      <c r="C88" s="35" t="s">
        <v>185</v>
      </c>
      <c r="D88" s="16">
        <v>860010</v>
      </c>
      <c r="E88" s="32" t="s">
        <v>186</v>
      </c>
      <c r="F88" s="18">
        <f>IFERROR(VLOOKUP(C88,'[4]Revenue Data - FY19 MAR-YTD '!$C$3:$Q$82,15,FALSE),0)</f>
        <v>-468565.1</v>
      </c>
      <c r="G88" s="18"/>
      <c r="H88" s="18">
        <f t="shared" si="72"/>
        <v>-468565.1</v>
      </c>
      <c r="I88" s="18">
        <f>'[4]Statistics Projections'!J17</f>
        <v>1831</v>
      </c>
      <c r="J88" s="18">
        <f t="shared" si="73"/>
        <v>-255.90666302566902</v>
      </c>
      <c r="K88" s="19"/>
      <c r="L88" s="20">
        <f t="shared" si="94"/>
        <v>1.03</v>
      </c>
      <c r="M88" s="18">
        <f>ROUND(J88*L88,2)</f>
        <v>-263.58</v>
      </c>
      <c r="N88" s="19"/>
      <c r="O88" s="21">
        <f>'[4]Statistics Projections'!L17</f>
        <v>3659</v>
      </c>
      <c r="P88" s="18">
        <f t="shared" si="75"/>
        <v>964439.22</v>
      </c>
      <c r="Q88" s="22"/>
      <c r="R88" s="24">
        <f>VLOOKUP($C88,'[4]Revenue Data - FY19 MAR-YTD '!$C$3:$V$82,20,FALSE)</f>
        <v>0.80714099278840867</v>
      </c>
      <c r="S88" s="24">
        <f>VLOOKUP($C88,'[4]Revenue Data - FY19 MAR-YTD '!$C$3:$V$82,19,FALSE)</f>
        <v>5.9692879388584426E-2</v>
      </c>
      <c r="T88" s="24">
        <f>VLOOKUP($C88,'[4]Revenue Data - FY19 MAR-YTD '!$C$3:$V$82,17,FALSE)</f>
        <v>7.3163793035375457E-2</v>
      </c>
      <c r="U88" s="24">
        <f>VLOOKUP($C88,'[4]Revenue Data - FY19 MAR-YTD '!$C$3:$V$82,18,FALSE)</f>
        <v>5.734528670615887E-2</v>
      </c>
      <c r="V88" s="23">
        <f>VLOOKUP($C88,'[4]Revenue Data - FY19 MAR-YTD '!$C$3:$W$82,21,FALSE)</f>
        <v>2.6570480814725639E-3</v>
      </c>
      <c r="W88" s="24">
        <f>SUM(R88:V88)</f>
        <v>1</v>
      </c>
      <c r="X88" s="24"/>
      <c r="Y88" s="25">
        <f>P88*R88</f>
        <v>778438.42951487843</v>
      </c>
      <c r="Z88" s="25">
        <f>P88*S88</f>
        <v>57570.154037080436</v>
      </c>
      <c r="AA88" s="25">
        <f>P88*T88</f>
        <v>70562.031487278931</v>
      </c>
      <c r="AB88" s="25">
        <f>P88*U88</f>
        <v>55306.043581564227</v>
      </c>
      <c r="AC88" s="25">
        <f>P88*V88</f>
        <v>2562.5613791978958</v>
      </c>
      <c r="AD88" s="21">
        <f>SUM(Y88:AC88)</f>
        <v>964439.21999999986</v>
      </c>
      <c r="AE88" s="26">
        <f t="shared" si="67"/>
        <v>0</v>
      </c>
      <c r="AF88" s="27">
        <f t="shared" ref="AF88:AF89" si="95">1-0.6385</f>
        <v>0.36150000000000004</v>
      </c>
      <c r="AG88" s="27">
        <f t="shared" ref="AG88:AG89" si="96">1-0.6604</f>
        <v>0.33960000000000001</v>
      </c>
      <c r="AH88" s="27">
        <f>1-0.4591-0.0839</f>
        <v>0.45699999999999996</v>
      </c>
      <c r="AI88" s="27">
        <f t="shared" ref="AI88:AI89" si="97">1-0.4622</f>
        <v>0.53780000000000006</v>
      </c>
      <c r="AJ88" s="27">
        <v>0</v>
      </c>
      <c r="AT88" s="18">
        <f t="shared" ref="AT88:AX89" si="98">Y88*AF88</f>
        <v>281405.49226962856</v>
      </c>
      <c r="AU88" s="18">
        <f t="shared" si="98"/>
        <v>19550.824310992517</v>
      </c>
      <c r="AV88" s="18">
        <f t="shared" si="98"/>
        <v>32246.848389686467</v>
      </c>
      <c r="AW88" s="18">
        <f t="shared" si="98"/>
        <v>29743.590238165245</v>
      </c>
      <c r="AX88" s="18">
        <f t="shared" si="98"/>
        <v>0</v>
      </c>
      <c r="AY88" s="26">
        <f>SUM(AT88:AX88)</f>
        <v>362946.75520847278</v>
      </c>
      <c r="AZ88" s="26"/>
      <c r="BA88" s="20">
        <f>AY88/AD88</f>
        <v>0.37632931934111186</v>
      </c>
      <c r="BB88" s="20">
        <f>1-BA88</f>
        <v>0.62367068065888809</v>
      </c>
      <c r="BC88" s="9">
        <v>5600</v>
      </c>
      <c r="BD88" s="30">
        <f t="shared" si="68"/>
        <v>497032.93724524986</v>
      </c>
      <c r="BE88" s="30">
        <f t="shared" si="68"/>
        <v>38019.329726087919</v>
      </c>
      <c r="BF88" s="30">
        <f t="shared" si="68"/>
        <v>38315.183097592468</v>
      </c>
      <c r="BG88" s="30">
        <f t="shared" si="68"/>
        <v>25562.453343398982</v>
      </c>
      <c r="BH88" s="30">
        <f t="shared" si="68"/>
        <v>2562.5613791978958</v>
      </c>
      <c r="BI88" s="31">
        <f t="shared" si="69"/>
        <v>601492.46479152713</v>
      </c>
      <c r="BK88" s="9" t="str">
        <f t="shared" si="70"/>
        <v>46001172</v>
      </c>
      <c r="BL88" s="26">
        <f t="shared" si="71"/>
        <v>964439.22</v>
      </c>
    </row>
    <row r="89" spans="1:64">
      <c r="A89" s="10" t="str">
        <f t="shared" si="64"/>
        <v>4600</v>
      </c>
      <c r="B89" s="10" t="str">
        <f t="shared" si="65"/>
        <v>1210</v>
      </c>
      <c r="C89" s="35" t="s">
        <v>187</v>
      </c>
      <c r="D89" s="16">
        <v>860010</v>
      </c>
      <c r="E89" s="32" t="s">
        <v>188</v>
      </c>
      <c r="F89" s="18">
        <f>IFERROR(VLOOKUP(C89,'[4]Revenue Data - FY19 MAR-YTD '!$C$3:$Q$82,15,FALSE),0)</f>
        <v>-1146627.73</v>
      </c>
      <c r="G89" s="18"/>
      <c r="H89" s="18">
        <f t="shared" si="72"/>
        <v>-1146627.73</v>
      </c>
      <c r="I89" s="18">
        <f>'[4]Statistics Projections'!J23</f>
        <v>2335</v>
      </c>
      <c r="J89" s="18">
        <f t="shared" si="73"/>
        <v>-491.06112633832976</v>
      </c>
      <c r="K89" s="19"/>
      <c r="L89" s="20">
        <f t="shared" si="94"/>
        <v>1.03</v>
      </c>
      <c r="M89" s="18">
        <f>ROUND(J89*L89,2)</f>
        <v>-505.79</v>
      </c>
      <c r="N89" s="19"/>
      <c r="O89" s="21">
        <f>'[4]Statistics Projections'!L23</f>
        <v>4729</v>
      </c>
      <c r="P89" s="18">
        <f t="shared" si="75"/>
        <v>2391880.91</v>
      </c>
      <c r="Q89" s="22"/>
      <c r="R89" s="24">
        <f>VLOOKUP($C89,'[4]Revenue Data - FY19 MAR-YTD '!$C$3:$V$82,20,FALSE)</f>
        <v>0.4435903534270883</v>
      </c>
      <c r="S89" s="24">
        <f>VLOOKUP($C89,'[4]Revenue Data - FY19 MAR-YTD '!$C$3:$V$82,19,FALSE)</f>
        <v>0.20579840677671385</v>
      </c>
      <c r="T89" s="24">
        <f>VLOOKUP($C89,'[4]Revenue Data - FY19 MAR-YTD '!$C$3:$V$82,17,FALSE)</f>
        <v>0.16014351929200246</v>
      </c>
      <c r="U89" s="24">
        <f>VLOOKUP($C89,'[4]Revenue Data - FY19 MAR-YTD '!$C$3:$V$82,18,FALSE)</f>
        <v>0.15031345003316815</v>
      </c>
      <c r="V89" s="23">
        <f>VLOOKUP($C89,'[4]Revenue Data - FY19 MAR-YTD '!$C$3:$W$82,21,FALSE)</f>
        <v>4.0154270471027244E-2</v>
      </c>
      <c r="W89" s="24">
        <f>SUM(R89:V89)</f>
        <v>1</v>
      </c>
      <c r="X89" s="24"/>
      <c r="Y89" s="25">
        <f>P89*R89</f>
        <v>1061015.2982224056</v>
      </c>
      <c r="Z89" s="25">
        <f>P89*S89</f>
        <v>492245.28047763649</v>
      </c>
      <c r="AA89" s="25">
        <f>P89*T89</f>
        <v>383044.22665475745</v>
      </c>
      <c r="AB89" s="25">
        <f>P89*U89</f>
        <v>359531.8716505738</v>
      </c>
      <c r="AC89" s="25">
        <f>P89*V89</f>
        <v>96044.232994626786</v>
      </c>
      <c r="AD89" s="21">
        <f>SUM(Y89:AC89)</f>
        <v>2391880.91</v>
      </c>
      <c r="AE89" s="26">
        <f t="shared" si="67"/>
        <v>0</v>
      </c>
      <c r="AF89" s="27">
        <f t="shared" si="95"/>
        <v>0.36150000000000004</v>
      </c>
      <c r="AG89" s="27">
        <f t="shared" si="96"/>
        <v>0.33960000000000001</v>
      </c>
      <c r="AH89" s="27">
        <f>1-0.4591-0.0839</f>
        <v>0.45699999999999996</v>
      </c>
      <c r="AI89" s="27">
        <f t="shared" si="97"/>
        <v>0.53780000000000006</v>
      </c>
      <c r="AJ89" s="27">
        <v>0</v>
      </c>
      <c r="AT89" s="18">
        <f t="shared" si="98"/>
        <v>383557.03030739969</v>
      </c>
      <c r="AU89" s="18">
        <f t="shared" si="98"/>
        <v>167166.49725020537</v>
      </c>
      <c r="AV89" s="18">
        <f t="shared" si="98"/>
        <v>175051.21158122414</v>
      </c>
      <c r="AW89" s="18">
        <f t="shared" si="98"/>
        <v>193356.2405736786</v>
      </c>
      <c r="AX89" s="18">
        <f t="shared" si="98"/>
        <v>0</v>
      </c>
      <c r="AY89" s="26">
        <f>SUM(AT89:AX89)</f>
        <v>919130.9797125078</v>
      </c>
      <c r="AZ89" s="26"/>
      <c r="BA89" s="20">
        <f>AY89/AD89</f>
        <v>0.38427121344954746</v>
      </c>
      <c r="BB89" s="20">
        <f>1-BA89</f>
        <v>0.6157287865504526</v>
      </c>
      <c r="BC89" s="9">
        <v>5600</v>
      </c>
      <c r="BD89" s="30">
        <f t="shared" si="68"/>
        <v>677458.26791500591</v>
      </c>
      <c r="BE89" s="30">
        <f t="shared" si="68"/>
        <v>325078.78322743112</v>
      </c>
      <c r="BF89" s="30">
        <f t="shared" si="68"/>
        <v>207993.01507353332</v>
      </c>
      <c r="BG89" s="30">
        <f t="shared" si="68"/>
        <v>166175.6310768952</v>
      </c>
      <c r="BH89" s="30">
        <f t="shared" si="68"/>
        <v>96044.232994626786</v>
      </c>
      <c r="BI89" s="31">
        <f t="shared" si="69"/>
        <v>1472749.9302874922</v>
      </c>
      <c r="BK89" s="9" t="str">
        <f t="shared" si="70"/>
        <v>46001210</v>
      </c>
      <c r="BL89" s="26">
        <f t="shared" si="71"/>
        <v>2391880.91</v>
      </c>
    </row>
    <row r="90" spans="1:64">
      <c r="A90" s="10" t="str">
        <f t="shared" si="64"/>
        <v>4600</v>
      </c>
      <c r="B90" s="10" t="str">
        <f t="shared" si="65"/>
        <v>1211</v>
      </c>
      <c r="C90" s="35" t="s">
        <v>189</v>
      </c>
      <c r="D90" s="16">
        <v>860010</v>
      </c>
      <c r="E90" s="32" t="s">
        <v>190</v>
      </c>
      <c r="F90" s="18">
        <f>IFERROR(VLOOKUP(C90,'[4]Revenue Data - FY19 MAR-YTD '!$C$3:$Q$82,15,FALSE),0)</f>
        <v>0</v>
      </c>
      <c r="G90" s="18"/>
      <c r="H90" s="18">
        <f t="shared" si="72"/>
        <v>0</v>
      </c>
      <c r="I90" s="18"/>
      <c r="J90" s="18">
        <f t="shared" si="73"/>
        <v>0</v>
      </c>
      <c r="K90" s="19"/>
      <c r="L90" s="20">
        <f t="shared" si="94"/>
        <v>1.03</v>
      </c>
      <c r="M90" s="18">
        <f t="shared" si="74"/>
        <v>0</v>
      </c>
      <c r="N90" s="19"/>
      <c r="O90" s="21">
        <v>0</v>
      </c>
      <c r="P90" s="18">
        <f t="shared" si="75"/>
        <v>0</v>
      </c>
      <c r="Q90" s="22"/>
      <c r="R90" s="24"/>
      <c r="S90" s="24"/>
      <c r="T90" s="24"/>
      <c r="U90" s="24"/>
      <c r="V90" s="24"/>
      <c r="W90" s="24"/>
      <c r="X90" s="24"/>
      <c r="Y90" s="10">
        <v>0</v>
      </c>
      <c r="Z90" s="10">
        <v>0</v>
      </c>
      <c r="AA90" s="10">
        <v>0</v>
      </c>
      <c r="AB90" s="10">
        <v>0</v>
      </c>
      <c r="AC90" s="10">
        <v>0</v>
      </c>
      <c r="AD90" s="10">
        <v>0</v>
      </c>
      <c r="AE90" s="26">
        <f t="shared" si="67"/>
        <v>0</v>
      </c>
      <c r="AF90" s="27"/>
      <c r="AG90" s="27"/>
      <c r="AH90" s="27"/>
      <c r="AI90" s="27"/>
      <c r="AJ90" s="27"/>
      <c r="BC90" s="9">
        <v>5600</v>
      </c>
      <c r="BD90" s="30">
        <f t="shared" si="68"/>
        <v>0</v>
      </c>
      <c r="BE90" s="30">
        <f t="shared" si="68"/>
        <v>0</v>
      </c>
      <c r="BF90" s="30">
        <f t="shared" si="68"/>
        <v>0</v>
      </c>
      <c r="BG90" s="30">
        <f t="shared" si="68"/>
        <v>0</v>
      </c>
      <c r="BH90" s="30">
        <f t="shared" si="68"/>
        <v>0</v>
      </c>
      <c r="BI90" s="31">
        <f t="shared" si="69"/>
        <v>0</v>
      </c>
      <c r="BK90" s="9" t="str">
        <f t="shared" si="70"/>
        <v>46001211</v>
      </c>
      <c r="BL90" s="26">
        <f t="shared" si="71"/>
        <v>0</v>
      </c>
    </row>
    <row r="91" spans="1:64">
      <c r="A91" s="10" t="str">
        <f t="shared" si="64"/>
        <v>4600</v>
      </c>
      <c r="B91" s="10" t="str">
        <f t="shared" si="65"/>
        <v>1215</v>
      </c>
      <c r="C91" s="35" t="s">
        <v>191</v>
      </c>
      <c r="D91" s="16">
        <v>860125</v>
      </c>
      <c r="E91" s="32" t="s">
        <v>192</v>
      </c>
      <c r="F91" s="18">
        <f>IFERROR(VLOOKUP(C91,'[4]Revenue Data - FY19 MAR-YTD '!$C$3:$Q$82,15,FALSE),0)</f>
        <v>-464915</v>
      </c>
      <c r="G91" s="18"/>
      <c r="H91" s="18">
        <f t="shared" si="72"/>
        <v>-464915</v>
      </c>
      <c r="I91" s="18">
        <f>'[4]Statistics Projections'!J33</f>
        <v>755</v>
      </c>
      <c r="J91" s="18">
        <f t="shared" si="73"/>
        <v>-615.78145695364242</v>
      </c>
      <c r="K91" s="19"/>
      <c r="L91" s="20">
        <f t="shared" si="94"/>
        <v>1.03</v>
      </c>
      <c r="M91" s="18">
        <f>ROUND(J91*L91,2)</f>
        <v>-634.25</v>
      </c>
      <c r="N91" s="19"/>
      <c r="O91" s="21">
        <f>'[4]Statistics Projections'!L33</f>
        <v>1613.6730135142573</v>
      </c>
      <c r="P91" s="18">
        <f t="shared" si="75"/>
        <v>1023472.1088214177</v>
      </c>
      <c r="Q91" s="22"/>
      <c r="R91" s="24">
        <f>VLOOKUP($C91,'[4]Revenue Data - FY19 MAR-YTD '!$C$3:$V$82,20,FALSE)</f>
        <v>0.4795500252734371</v>
      </c>
      <c r="S91" s="24">
        <f>VLOOKUP($C91,'[4]Revenue Data - FY19 MAR-YTD '!$C$3:$V$82,19,FALSE)</f>
        <v>5.3091425314304767E-2</v>
      </c>
      <c r="T91" s="24">
        <f>VLOOKUP($C91,'[4]Revenue Data - FY19 MAR-YTD '!$C$3:$V$82,17,FALSE)</f>
        <v>0.24352838690943507</v>
      </c>
      <c r="U91" s="24">
        <f>VLOOKUP($C91,'[4]Revenue Data - FY19 MAR-YTD '!$C$3:$V$82,18,FALSE)</f>
        <v>0.21877977694847445</v>
      </c>
      <c r="V91" s="23">
        <f>VLOOKUP($C91,'[4]Revenue Data - FY19 MAR-YTD '!$C$3:$W$82,21,FALSE)</f>
        <v>5.0503855543486444E-3</v>
      </c>
      <c r="W91" s="24">
        <f>SUM(R91:V91)</f>
        <v>1</v>
      </c>
      <c r="X91" s="24"/>
      <c r="Y91" s="25">
        <f>P91*R91</f>
        <v>490806.07565196883</v>
      </c>
      <c r="Z91" s="25">
        <f>P91*S91</f>
        <v>54337.593026766299</v>
      </c>
      <c r="AA91" s="25">
        <f>P91*T91</f>
        <v>249244.51170807763</v>
      </c>
      <c r="AB91" s="25">
        <f>P91*U91</f>
        <v>223914.99968093453</v>
      </c>
      <c r="AC91" s="25">
        <f>P91*V91</f>
        <v>5168.9287536704314</v>
      </c>
      <c r="AD91" s="21">
        <f>SUM(Y91:AC91)</f>
        <v>1023472.1088214178</v>
      </c>
      <c r="AE91" s="26">
        <f t="shared" si="67"/>
        <v>0</v>
      </c>
      <c r="AF91" s="27">
        <f>1-0.6385</f>
        <v>0.36150000000000004</v>
      </c>
      <c r="AG91" s="27">
        <f>1-0.6604</f>
        <v>0.33960000000000001</v>
      </c>
      <c r="AH91" s="27">
        <f>1-0.4591-0.0839</f>
        <v>0.45699999999999996</v>
      </c>
      <c r="AI91" s="27">
        <f>1-0.4622</f>
        <v>0.53780000000000006</v>
      </c>
      <c r="AJ91" s="27">
        <v>0</v>
      </c>
      <c r="AT91" s="18">
        <f>Y91*AF91</f>
        <v>177426.39634818674</v>
      </c>
      <c r="AU91" s="18">
        <f>Z91*AG91</f>
        <v>18453.046591889837</v>
      </c>
      <c r="AV91" s="18">
        <f>AA91*AH91</f>
        <v>113904.74185059147</v>
      </c>
      <c r="AW91" s="18">
        <f>AB91*AI91</f>
        <v>120421.4868284066</v>
      </c>
      <c r="AX91" s="18">
        <f>AC91*AJ91</f>
        <v>0</v>
      </c>
      <c r="AY91" s="26">
        <f>SUM(AT91:AX91)</f>
        <v>430205.67161907465</v>
      </c>
      <c r="AZ91" s="26"/>
      <c r="BA91" s="20">
        <f>AY91/AD91</f>
        <v>0.42033941903358679</v>
      </c>
      <c r="BB91" s="20">
        <f>1-BA91</f>
        <v>0.57966058096641326</v>
      </c>
      <c r="BC91" s="9">
        <v>5600</v>
      </c>
      <c r="BD91" s="30">
        <f t="shared" si="68"/>
        <v>313379.67930378206</v>
      </c>
      <c r="BE91" s="30">
        <f t="shared" si="68"/>
        <v>35884.546434876465</v>
      </c>
      <c r="BF91" s="30">
        <f t="shared" si="68"/>
        <v>135339.76985748616</v>
      </c>
      <c r="BG91" s="30">
        <f t="shared" si="68"/>
        <v>103493.51285252793</v>
      </c>
      <c r="BH91" s="30">
        <f t="shared" si="68"/>
        <v>5168.9287536704314</v>
      </c>
      <c r="BI91" s="31">
        <f t="shared" si="69"/>
        <v>593266.43720234302</v>
      </c>
      <c r="BK91" s="9" t="str">
        <f t="shared" si="70"/>
        <v>46001215</v>
      </c>
      <c r="BL91" s="26">
        <f t="shared" si="71"/>
        <v>1023472.1088214177</v>
      </c>
    </row>
    <row r="92" spans="1:64">
      <c r="A92" s="10" t="str">
        <f t="shared" si="64"/>
        <v>4600</v>
      </c>
      <c r="B92" s="10" t="str">
        <f t="shared" si="65"/>
        <v>1216</v>
      </c>
      <c r="C92" s="35" t="s">
        <v>193</v>
      </c>
      <c r="D92" s="16">
        <v>860010</v>
      </c>
      <c r="E92" s="32" t="s">
        <v>194</v>
      </c>
      <c r="F92" s="18">
        <f>IFERROR(VLOOKUP(C92,'[4]Revenue Data - FY19 MAR-YTD '!$C$3:$Q$82,15,FALSE),0)</f>
        <v>0</v>
      </c>
      <c r="G92" s="18"/>
      <c r="H92" s="18">
        <f t="shared" si="72"/>
        <v>0</v>
      </c>
      <c r="I92" s="18"/>
      <c r="J92" s="18">
        <f t="shared" si="73"/>
        <v>0</v>
      </c>
      <c r="K92" s="19"/>
      <c r="L92" s="20">
        <f t="shared" si="94"/>
        <v>1.03</v>
      </c>
      <c r="M92" s="18">
        <f t="shared" si="74"/>
        <v>0</v>
      </c>
      <c r="N92" s="19"/>
      <c r="O92" s="21">
        <v>0</v>
      </c>
      <c r="P92" s="18">
        <f t="shared" si="75"/>
        <v>0</v>
      </c>
      <c r="Q92" s="22"/>
      <c r="R92" s="24"/>
      <c r="S92" s="24"/>
      <c r="T92" s="24"/>
      <c r="U92" s="24"/>
      <c r="V92" s="23"/>
      <c r="W92" s="24"/>
      <c r="X92" s="24"/>
      <c r="Y92" s="25">
        <f t="shared" ref="Y92:Y119" si="99">P92*R92</f>
        <v>0</v>
      </c>
      <c r="Z92" s="25">
        <f t="shared" ref="Z92:Z119" si="100">P92*S92</f>
        <v>0</v>
      </c>
      <c r="AA92" s="25">
        <f t="shared" ref="AA92:AA119" si="101">P92*T92</f>
        <v>0</v>
      </c>
      <c r="AB92" s="25">
        <f t="shared" ref="AB92:AB119" si="102">P92*U92</f>
        <v>0</v>
      </c>
      <c r="AC92" s="25">
        <f t="shared" ref="AC92:AC119" si="103">P92*V92</f>
        <v>0</v>
      </c>
      <c r="AD92" s="21">
        <f t="shared" ref="AD92:AD115" si="104">SUM(Y92:AC92)</f>
        <v>0</v>
      </c>
      <c r="AE92" s="26">
        <f t="shared" si="67"/>
        <v>0</v>
      </c>
      <c r="AF92" s="27"/>
      <c r="AG92" s="27"/>
      <c r="AH92" s="27"/>
      <c r="AI92" s="27"/>
      <c r="AJ92" s="27"/>
      <c r="BC92" s="9">
        <v>5600</v>
      </c>
      <c r="BD92" s="30">
        <f t="shared" si="68"/>
        <v>0</v>
      </c>
      <c r="BE92" s="30">
        <f t="shared" si="68"/>
        <v>0</v>
      </c>
      <c r="BF92" s="30">
        <f t="shared" si="68"/>
        <v>0</v>
      </c>
      <c r="BG92" s="30">
        <f t="shared" si="68"/>
        <v>0</v>
      </c>
      <c r="BH92" s="30">
        <f t="shared" si="68"/>
        <v>0</v>
      </c>
      <c r="BI92" s="31">
        <f t="shared" si="69"/>
        <v>0</v>
      </c>
      <c r="BK92" s="9" t="str">
        <f t="shared" si="70"/>
        <v>46001216</v>
      </c>
      <c r="BL92" s="26">
        <f t="shared" si="71"/>
        <v>0</v>
      </c>
    </row>
    <row r="93" spans="1:64">
      <c r="A93" s="10" t="str">
        <f t="shared" si="64"/>
        <v>4600</v>
      </c>
      <c r="B93" s="10" t="str">
        <f t="shared" si="65"/>
        <v>1217</v>
      </c>
      <c r="C93" s="35" t="s">
        <v>195</v>
      </c>
      <c r="D93" s="16">
        <v>860010</v>
      </c>
      <c r="E93" s="32" t="s">
        <v>196</v>
      </c>
      <c r="F93" s="18">
        <f>IFERROR(VLOOKUP(C93,'[4]Revenue Data - FY19 MAR-YTD '!$C$3:$Q$82,15,FALSE),0)</f>
        <v>0</v>
      </c>
      <c r="G93" s="18"/>
      <c r="H93" s="18">
        <f t="shared" si="72"/>
        <v>0</v>
      </c>
      <c r="I93" s="18"/>
      <c r="J93" s="18">
        <f t="shared" si="73"/>
        <v>0</v>
      </c>
      <c r="K93" s="19"/>
      <c r="L93" s="20">
        <f t="shared" si="94"/>
        <v>1.03</v>
      </c>
      <c r="M93" s="18">
        <f t="shared" si="74"/>
        <v>0</v>
      </c>
      <c r="N93" s="19"/>
      <c r="O93" s="21">
        <v>0</v>
      </c>
      <c r="P93" s="18">
        <f t="shared" si="75"/>
        <v>0</v>
      </c>
      <c r="Q93" s="22"/>
      <c r="R93" s="24"/>
      <c r="S93" s="24"/>
      <c r="T93" s="24"/>
      <c r="U93" s="24"/>
      <c r="V93" s="23"/>
      <c r="W93" s="24"/>
      <c r="X93" s="24"/>
      <c r="Y93" s="25">
        <f t="shared" si="99"/>
        <v>0</v>
      </c>
      <c r="Z93" s="25">
        <f t="shared" si="100"/>
        <v>0</v>
      </c>
      <c r="AA93" s="25">
        <f t="shared" si="101"/>
        <v>0</v>
      </c>
      <c r="AB93" s="25">
        <f t="shared" si="102"/>
        <v>0</v>
      </c>
      <c r="AC93" s="25">
        <f t="shared" si="103"/>
        <v>0</v>
      </c>
      <c r="AD93" s="21">
        <f t="shared" si="104"/>
        <v>0</v>
      </c>
      <c r="AE93" s="26">
        <f t="shared" si="67"/>
        <v>0</v>
      </c>
      <c r="AF93" s="27"/>
      <c r="AG93" s="27"/>
      <c r="AH93" s="27"/>
      <c r="AI93" s="27"/>
      <c r="AJ93" s="27"/>
      <c r="BC93" s="9">
        <v>5600</v>
      </c>
      <c r="BD93" s="30">
        <f t="shared" si="68"/>
        <v>0</v>
      </c>
      <c r="BE93" s="30">
        <f t="shared" si="68"/>
        <v>0</v>
      </c>
      <c r="BF93" s="30">
        <f t="shared" si="68"/>
        <v>0</v>
      </c>
      <c r="BG93" s="30">
        <f t="shared" si="68"/>
        <v>0</v>
      </c>
      <c r="BH93" s="30">
        <f t="shared" si="68"/>
        <v>0</v>
      </c>
      <c r="BI93" s="31">
        <f t="shared" si="69"/>
        <v>0</v>
      </c>
      <c r="BK93" s="9" t="str">
        <f t="shared" si="70"/>
        <v>46001217</v>
      </c>
      <c r="BL93" s="26">
        <f t="shared" si="71"/>
        <v>0</v>
      </c>
    </row>
    <row r="94" spans="1:64">
      <c r="A94" s="10" t="str">
        <f t="shared" si="64"/>
        <v>4600</v>
      </c>
      <c r="B94" s="10" t="str">
        <f t="shared" si="65"/>
        <v>1219</v>
      </c>
      <c r="C94" s="35" t="s">
        <v>197</v>
      </c>
      <c r="D94" s="16">
        <v>860010</v>
      </c>
      <c r="E94" s="32" t="s">
        <v>198</v>
      </c>
      <c r="F94" s="18">
        <f>IFERROR(VLOOKUP(C94,'[4]Revenue Data - FY19 MAR-YTD '!$C$3:$Q$82,15,FALSE),0)</f>
        <v>0</v>
      </c>
      <c r="G94" s="18"/>
      <c r="H94" s="18">
        <f t="shared" si="72"/>
        <v>0</v>
      </c>
      <c r="I94" s="18"/>
      <c r="J94" s="18">
        <f t="shared" si="73"/>
        <v>0</v>
      </c>
      <c r="K94" s="19"/>
      <c r="L94" s="20">
        <f t="shared" si="94"/>
        <v>1.03</v>
      </c>
      <c r="M94" s="18">
        <f t="shared" si="74"/>
        <v>0</v>
      </c>
      <c r="N94" s="19"/>
      <c r="O94" s="21">
        <v>0</v>
      </c>
      <c r="P94" s="18">
        <f t="shared" si="75"/>
        <v>0</v>
      </c>
      <c r="Q94" s="22"/>
      <c r="R94" s="24"/>
      <c r="S94" s="24"/>
      <c r="T94" s="24"/>
      <c r="U94" s="24"/>
      <c r="V94" s="23"/>
      <c r="W94" s="24"/>
      <c r="X94" s="24"/>
      <c r="Y94" s="25">
        <f t="shared" si="99"/>
        <v>0</v>
      </c>
      <c r="Z94" s="25">
        <f t="shared" si="100"/>
        <v>0</v>
      </c>
      <c r="AA94" s="25">
        <f t="shared" si="101"/>
        <v>0</v>
      </c>
      <c r="AB94" s="25">
        <f t="shared" si="102"/>
        <v>0</v>
      </c>
      <c r="AC94" s="25">
        <f t="shared" si="103"/>
        <v>0</v>
      </c>
      <c r="AD94" s="21">
        <f t="shared" si="104"/>
        <v>0</v>
      </c>
      <c r="AE94" s="26">
        <f t="shared" si="67"/>
        <v>0</v>
      </c>
      <c r="AF94" s="27"/>
      <c r="AG94" s="27"/>
      <c r="AH94" s="27"/>
      <c r="AI94" s="27"/>
      <c r="AJ94" s="27"/>
      <c r="BC94" s="9">
        <v>5600</v>
      </c>
      <c r="BD94" s="30">
        <f t="shared" si="68"/>
        <v>0</v>
      </c>
      <c r="BE94" s="30">
        <f t="shared" si="68"/>
        <v>0</v>
      </c>
      <c r="BF94" s="30">
        <f t="shared" si="68"/>
        <v>0</v>
      </c>
      <c r="BG94" s="30">
        <f t="shared" si="68"/>
        <v>0</v>
      </c>
      <c r="BH94" s="30">
        <f t="shared" si="68"/>
        <v>0</v>
      </c>
      <c r="BI94" s="31">
        <f t="shared" si="69"/>
        <v>0</v>
      </c>
      <c r="BK94" s="9" t="str">
        <f t="shared" si="70"/>
        <v>46001219</v>
      </c>
      <c r="BL94" s="26">
        <f t="shared" si="71"/>
        <v>0</v>
      </c>
    </row>
    <row r="95" spans="1:64">
      <c r="A95" s="10" t="str">
        <f t="shared" si="64"/>
        <v>4600</v>
      </c>
      <c r="B95" s="10" t="str">
        <f t="shared" si="65"/>
        <v>1220</v>
      </c>
      <c r="C95" s="35" t="s">
        <v>199</v>
      </c>
      <c r="D95" s="16">
        <v>860010</v>
      </c>
      <c r="E95" s="32" t="s">
        <v>200</v>
      </c>
      <c r="F95" s="18">
        <f>IFERROR(VLOOKUP(C95,'[4]Revenue Data - FY19 MAR-YTD '!$C$3:$Q$82,15,FALSE),0)</f>
        <v>0</v>
      </c>
      <c r="G95" s="18"/>
      <c r="H95" s="18">
        <f t="shared" si="72"/>
        <v>0</v>
      </c>
      <c r="I95" s="18">
        <v>0</v>
      </c>
      <c r="J95" s="18">
        <f t="shared" si="73"/>
        <v>0</v>
      </c>
      <c r="K95" s="19"/>
      <c r="L95" s="20">
        <f t="shared" si="94"/>
        <v>1.03</v>
      </c>
      <c r="M95" s="18">
        <f t="shared" si="74"/>
        <v>0</v>
      </c>
      <c r="N95" s="19"/>
      <c r="O95" s="21">
        <v>0</v>
      </c>
      <c r="P95" s="18">
        <f t="shared" si="75"/>
        <v>0</v>
      </c>
      <c r="Q95" s="22"/>
      <c r="R95" s="24"/>
      <c r="S95" s="24"/>
      <c r="T95" s="24"/>
      <c r="U95" s="24"/>
      <c r="V95" s="23"/>
      <c r="W95" s="24"/>
      <c r="X95" s="24"/>
      <c r="Y95" s="25">
        <f t="shared" si="99"/>
        <v>0</v>
      </c>
      <c r="Z95" s="25">
        <f t="shared" si="100"/>
        <v>0</v>
      </c>
      <c r="AA95" s="25">
        <f t="shared" si="101"/>
        <v>0</v>
      </c>
      <c r="AB95" s="25">
        <f t="shared" si="102"/>
        <v>0</v>
      </c>
      <c r="AC95" s="25">
        <f t="shared" si="103"/>
        <v>0</v>
      </c>
      <c r="AD95" s="21">
        <f t="shared" si="104"/>
        <v>0</v>
      </c>
      <c r="AE95" s="26">
        <f t="shared" si="67"/>
        <v>0</v>
      </c>
      <c r="AF95" s="27"/>
      <c r="AG95" s="27"/>
      <c r="AH95" s="27"/>
      <c r="AI95" s="27"/>
      <c r="AJ95" s="27"/>
      <c r="BC95" s="9">
        <v>5600</v>
      </c>
      <c r="BD95" s="30">
        <f t="shared" si="68"/>
        <v>0</v>
      </c>
      <c r="BE95" s="30">
        <f t="shared" si="68"/>
        <v>0</v>
      </c>
      <c r="BF95" s="30">
        <f t="shared" si="68"/>
        <v>0</v>
      </c>
      <c r="BG95" s="30">
        <f t="shared" si="68"/>
        <v>0</v>
      </c>
      <c r="BH95" s="30">
        <f t="shared" si="68"/>
        <v>0</v>
      </c>
      <c r="BI95" s="31">
        <f t="shared" si="69"/>
        <v>0</v>
      </c>
      <c r="BK95" s="9" t="str">
        <f t="shared" si="70"/>
        <v>46001220</v>
      </c>
      <c r="BL95" s="26">
        <f t="shared" si="71"/>
        <v>0</v>
      </c>
    </row>
    <row r="96" spans="1:64">
      <c r="A96" s="10" t="str">
        <f t="shared" si="64"/>
        <v>4600</v>
      </c>
      <c r="B96" s="10" t="str">
        <f t="shared" si="65"/>
        <v>1222</v>
      </c>
      <c r="C96" s="35" t="s">
        <v>201</v>
      </c>
      <c r="D96" s="16">
        <v>860010</v>
      </c>
      <c r="E96" s="32" t="s">
        <v>202</v>
      </c>
      <c r="F96" s="18">
        <f>IFERROR(VLOOKUP(C96,'[4]Revenue Data - FY19 MAR-YTD '!$C$3:$Q$82,15,FALSE),0)</f>
        <v>0</v>
      </c>
      <c r="G96" s="18"/>
      <c r="H96" s="18">
        <f t="shared" si="72"/>
        <v>0</v>
      </c>
      <c r="I96" s="18"/>
      <c r="J96" s="18">
        <f t="shared" si="73"/>
        <v>0</v>
      </c>
      <c r="K96" s="19"/>
      <c r="L96" s="20">
        <f t="shared" si="94"/>
        <v>1.03</v>
      </c>
      <c r="M96" s="18">
        <f t="shared" si="74"/>
        <v>0</v>
      </c>
      <c r="N96" s="19"/>
      <c r="O96" s="21">
        <v>0</v>
      </c>
      <c r="P96" s="18">
        <f t="shared" si="75"/>
        <v>0</v>
      </c>
      <c r="Q96" s="22"/>
      <c r="R96" s="24"/>
      <c r="S96" s="24"/>
      <c r="T96" s="24"/>
      <c r="U96" s="24"/>
      <c r="V96" s="23"/>
      <c r="W96" s="24"/>
      <c r="X96" s="24"/>
      <c r="Y96" s="25">
        <f t="shared" si="99"/>
        <v>0</v>
      </c>
      <c r="Z96" s="25">
        <f t="shared" si="100"/>
        <v>0</v>
      </c>
      <c r="AA96" s="25">
        <f t="shared" si="101"/>
        <v>0</v>
      </c>
      <c r="AB96" s="25">
        <f t="shared" si="102"/>
        <v>0</v>
      </c>
      <c r="AC96" s="25">
        <f t="shared" si="103"/>
        <v>0</v>
      </c>
      <c r="AD96" s="21">
        <f t="shared" si="104"/>
        <v>0</v>
      </c>
      <c r="AE96" s="26">
        <f t="shared" si="67"/>
        <v>0</v>
      </c>
      <c r="AF96" s="27"/>
      <c r="AG96" s="27"/>
      <c r="AH96" s="27"/>
      <c r="AI96" s="27"/>
      <c r="AJ96" s="27"/>
      <c r="BC96" s="9">
        <v>5600</v>
      </c>
      <c r="BD96" s="30">
        <f t="shared" si="68"/>
        <v>0</v>
      </c>
      <c r="BE96" s="30">
        <f t="shared" si="68"/>
        <v>0</v>
      </c>
      <c r="BF96" s="30">
        <f t="shared" si="68"/>
        <v>0</v>
      </c>
      <c r="BG96" s="30">
        <f t="shared" si="68"/>
        <v>0</v>
      </c>
      <c r="BH96" s="30">
        <f t="shared" si="68"/>
        <v>0</v>
      </c>
      <c r="BI96" s="31">
        <f t="shared" si="69"/>
        <v>0</v>
      </c>
      <c r="BK96" s="9" t="str">
        <f t="shared" si="70"/>
        <v>46001222</v>
      </c>
      <c r="BL96" s="26">
        <f t="shared" si="71"/>
        <v>0</v>
      </c>
    </row>
    <row r="97" spans="1:64">
      <c r="A97" s="10" t="str">
        <f t="shared" si="64"/>
        <v>4600</v>
      </c>
      <c r="B97" s="10" t="str">
        <f t="shared" si="65"/>
        <v>1223</v>
      </c>
      <c r="C97" s="35" t="s">
        <v>203</v>
      </c>
      <c r="D97" s="16">
        <v>860010</v>
      </c>
      <c r="E97" s="32" t="s">
        <v>204</v>
      </c>
      <c r="F97" s="18">
        <f>IFERROR(VLOOKUP(C97,'[4]Revenue Data - FY19 MAR-YTD '!$C$3:$Q$82,15,FALSE),0)</f>
        <v>0</v>
      </c>
      <c r="G97" s="18"/>
      <c r="H97" s="18">
        <f t="shared" si="72"/>
        <v>0</v>
      </c>
      <c r="I97" s="18"/>
      <c r="J97" s="18">
        <f t="shared" si="73"/>
        <v>0</v>
      </c>
      <c r="K97" s="19"/>
      <c r="L97" s="20">
        <f t="shared" si="94"/>
        <v>1.03</v>
      </c>
      <c r="M97" s="18">
        <f t="shared" si="74"/>
        <v>0</v>
      </c>
      <c r="N97" s="19"/>
      <c r="O97" s="21">
        <v>0</v>
      </c>
      <c r="P97" s="18">
        <f t="shared" si="75"/>
        <v>0</v>
      </c>
      <c r="Q97" s="22"/>
      <c r="R97" s="24"/>
      <c r="S97" s="24"/>
      <c r="T97" s="24"/>
      <c r="U97" s="24"/>
      <c r="V97" s="24"/>
      <c r="W97" s="24"/>
      <c r="X97" s="24"/>
      <c r="Y97" s="25">
        <f t="shared" si="99"/>
        <v>0</v>
      </c>
      <c r="Z97" s="25">
        <f t="shared" si="100"/>
        <v>0</v>
      </c>
      <c r="AA97" s="25">
        <f t="shared" si="101"/>
        <v>0</v>
      </c>
      <c r="AB97" s="25">
        <f t="shared" si="102"/>
        <v>0</v>
      </c>
      <c r="AC97" s="25">
        <f t="shared" si="103"/>
        <v>0</v>
      </c>
      <c r="AD97" s="21">
        <f t="shared" si="104"/>
        <v>0</v>
      </c>
      <c r="AE97" s="26">
        <f t="shared" si="67"/>
        <v>0</v>
      </c>
      <c r="AF97" s="27"/>
      <c r="AG97" s="27"/>
      <c r="AH97" s="27"/>
      <c r="AI97" s="27"/>
      <c r="AJ97" s="27"/>
      <c r="BC97" s="9">
        <v>5600</v>
      </c>
      <c r="BD97" s="30">
        <f t="shared" si="68"/>
        <v>0</v>
      </c>
      <c r="BE97" s="30">
        <f t="shared" si="68"/>
        <v>0</v>
      </c>
      <c r="BF97" s="30">
        <f t="shared" si="68"/>
        <v>0</v>
      </c>
      <c r="BG97" s="30">
        <f t="shared" si="68"/>
        <v>0</v>
      </c>
      <c r="BH97" s="30">
        <f t="shared" si="68"/>
        <v>0</v>
      </c>
      <c r="BI97" s="31">
        <f t="shared" si="69"/>
        <v>0</v>
      </c>
      <c r="BK97" s="9" t="str">
        <f t="shared" si="70"/>
        <v>46001223</v>
      </c>
      <c r="BL97" s="26">
        <f t="shared" si="71"/>
        <v>0</v>
      </c>
    </row>
    <row r="98" spans="1:64">
      <c r="A98" s="10" t="str">
        <f t="shared" si="64"/>
        <v>4600</v>
      </c>
      <c r="B98" s="10" t="str">
        <f t="shared" si="65"/>
        <v>1225</v>
      </c>
      <c r="C98" s="35" t="s">
        <v>205</v>
      </c>
      <c r="D98" s="16">
        <v>860010</v>
      </c>
      <c r="E98" s="32" t="s">
        <v>206</v>
      </c>
      <c r="F98" s="18">
        <f>IFERROR(VLOOKUP(C98,'[4]Revenue Data - FY19 MAR-YTD '!$C$3:$Q$82,15,FALSE),0)</f>
        <v>-1287</v>
      </c>
      <c r="G98" s="18"/>
      <c r="H98" s="18">
        <f t="shared" si="72"/>
        <v>-1287</v>
      </c>
      <c r="I98" s="18"/>
      <c r="J98" s="18">
        <f t="shared" si="73"/>
        <v>0</v>
      </c>
      <c r="K98" s="19"/>
      <c r="L98" s="20">
        <f t="shared" si="94"/>
        <v>1.03</v>
      </c>
      <c r="M98" s="18">
        <f t="shared" si="74"/>
        <v>0</v>
      </c>
      <c r="N98" s="19"/>
      <c r="O98" s="21">
        <v>0</v>
      </c>
      <c r="P98" s="18">
        <f t="shared" si="75"/>
        <v>0</v>
      </c>
      <c r="Q98" s="22"/>
      <c r="R98" s="24"/>
      <c r="S98" s="24"/>
      <c r="T98" s="24"/>
      <c r="U98" s="24"/>
      <c r="V98" s="24"/>
      <c r="W98" s="24"/>
      <c r="X98" s="24"/>
      <c r="Y98" s="25">
        <f t="shared" si="99"/>
        <v>0</v>
      </c>
      <c r="Z98" s="25">
        <f t="shared" si="100"/>
        <v>0</v>
      </c>
      <c r="AA98" s="25">
        <f t="shared" si="101"/>
        <v>0</v>
      </c>
      <c r="AB98" s="25">
        <f t="shared" si="102"/>
        <v>0</v>
      </c>
      <c r="AC98" s="25">
        <f t="shared" si="103"/>
        <v>0</v>
      </c>
      <c r="AD98" s="21">
        <f t="shared" si="104"/>
        <v>0</v>
      </c>
      <c r="AE98" s="26">
        <f t="shared" si="67"/>
        <v>0</v>
      </c>
      <c r="AF98" s="27"/>
      <c r="AG98" s="27"/>
      <c r="AH98" s="27"/>
      <c r="AI98" s="27"/>
      <c r="AJ98" s="27"/>
      <c r="BC98" s="9">
        <v>5600</v>
      </c>
      <c r="BD98" s="30">
        <f t="shared" si="68"/>
        <v>0</v>
      </c>
      <c r="BE98" s="30">
        <f t="shared" si="68"/>
        <v>0</v>
      </c>
      <c r="BF98" s="30">
        <f t="shared" si="68"/>
        <v>0</v>
      </c>
      <c r="BG98" s="30">
        <f t="shared" si="68"/>
        <v>0</v>
      </c>
      <c r="BH98" s="30">
        <f t="shared" si="68"/>
        <v>0</v>
      </c>
      <c r="BI98" s="31">
        <f t="shared" si="69"/>
        <v>0</v>
      </c>
      <c r="BK98" s="9" t="str">
        <f t="shared" si="70"/>
        <v>46001225</v>
      </c>
      <c r="BL98" s="26">
        <f t="shared" si="71"/>
        <v>0</v>
      </c>
    </row>
    <row r="99" spans="1:64">
      <c r="A99" s="10" t="str">
        <f t="shared" si="64"/>
        <v>4600</v>
      </c>
      <c r="B99" s="10" t="str">
        <f t="shared" si="65"/>
        <v>1245</v>
      </c>
      <c r="C99" s="35" t="s">
        <v>207</v>
      </c>
      <c r="D99" s="16">
        <v>860010</v>
      </c>
      <c r="E99" s="32" t="s">
        <v>208</v>
      </c>
      <c r="F99" s="18">
        <f>IFERROR(VLOOKUP(C99,'[4]Revenue Data - FY19 MAR-YTD '!$C$3:$Q$82,15,FALSE),0)</f>
        <v>0</v>
      </c>
      <c r="G99" s="18"/>
      <c r="H99" s="18">
        <f t="shared" si="72"/>
        <v>0</v>
      </c>
      <c r="I99" s="18"/>
      <c r="J99" s="18">
        <f t="shared" si="73"/>
        <v>0</v>
      </c>
      <c r="K99" s="19"/>
      <c r="L99" s="20">
        <f t="shared" si="94"/>
        <v>1.03</v>
      </c>
      <c r="M99" s="18">
        <f t="shared" si="74"/>
        <v>0</v>
      </c>
      <c r="N99" s="19"/>
      <c r="O99" s="21">
        <v>0</v>
      </c>
      <c r="P99" s="18">
        <f t="shared" si="75"/>
        <v>0</v>
      </c>
      <c r="Q99" s="22"/>
      <c r="R99" s="24"/>
      <c r="S99" s="24"/>
      <c r="T99" s="24"/>
      <c r="U99" s="24"/>
      <c r="V99" s="24"/>
      <c r="W99" s="24"/>
      <c r="X99" s="24"/>
      <c r="Y99" s="25">
        <f t="shared" si="99"/>
        <v>0</v>
      </c>
      <c r="Z99" s="25">
        <f t="shared" si="100"/>
        <v>0</v>
      </c>
      <c r="AA99" s="25">
        <f t="shared" si="101"/>
        <v>0</v>
      </c>
      <c r="AB99" s="25">
        <f t="shared" si="102"/>
        <v>0</v>
      </c>
      <c r="AC99" s="25">
        <f t="shared" si="103"/>
        <v>0</v>
      </c>
      <c r="AD99" s="21">
        <f t="shared" si="104"/>
        <v>0</v>
      </c>
      <c r="AE99" s="26">
        <f t="shared" si="67"/>
        <v>0</v>
      </c>
      <c r="AF99" s="27"/>
      <c r="AG99" s="27"/>
      <c r="AH99" s="27"/>
      <c r="AI99" s="27"/>
      <c r="AJ99" s="27"/>
      <c r="BC99" s="9">
        <v>5600</v>
      </c>
      <c r="BD99" s="30">
        <f t="shared" si="68"/>
        <v>0</v>
      </c>
      <c r="BE99" s="30">
        <f t="shared" si="68"/>
        <v>0</v>
      </c>
      <c r="BF99" s="30">
        <f t="shared" si="68"/>
        <v>0</v>
      </c>
      <c r="BG99" s="30">
        <f t="shared" si="68"/>
        <v>0</v>
      </c>
      <c r="BH99" s="30">
        <f t="shared" si="68"/>
        <v>0</v>
      </c>
      <c r="BI99" s="31">
        <f t="shared" si="69"/>
        <v>0</v>
      </c>
      <c r="BK99" s="9" t="str">
        <f t="shared" si="70"/>
        <v>46001245</v>
      </c>
      <c r="BL99" s="26">
        <f t="shared" si="71"/>
        <v>0</v>
      </c>
    </row>
    <row r="100" spans="1:64">
      <c r="A100" s="10" t="str">
        <f t="shared" si="64"/>
        <v>4600</v>
      </c>
      <c r="B100" s="10" t="str">
        <f t="shared" si="65"/>
        <v>1330</v>
      </c>
      <c r="C100" s="35" t="s">
        <v>209</v>
      </c>
      <c r="D100" s="16">
        <v>900010</v>
      </c>
      <c r="E100" s="32" t="s">
        <v>210</v>
      </c>
      <c r="F100" s="18">
        <f>IFERROR(VLOOKUP(C100,'[4]Revenue Data - FY19 MAR-YTD '!$C$3:$Q$82,15,FALSE),0)</f>
        <v>-1880614.06</v>
      </c>
      <c r="G100" s="18"/>
      <c r="H100" s="18">
        <f t="shared" si="72"/>
        <v>-1880614.06</v>
      </c>
      <c r="I100" s="18">
        <f>'[4]Statistics Projections'!J110</f>
        <v>6819</v>
      </c>
      <c r="J100" s="18">
        <f t="shared" si="73"/>
        <v>-275.79030063059099</v>
      </c>
      <c r="K100" s="19"/>
      <c r="L100" s="20">
        <f t="shared" si="94"/>
        <v>1.03</v>
      </c>
      <c r="M100" s="18">
        <f>(ROUND(J100*L100,2))</f>
        <v>-284.06</v>
      </c>
      <c r="N100" s="19"/>
      <c r="O100" s="21">
        <f>'[4]Statistics Projections'!L110</f>
        <v>16097.971999999998</v>
      </c>
      <c r="P100" s="18">
        <f t="shared" si="75"/>
        <v>4572789.9263199996</v>
      </c>
      <c r="Q100" s="22"/>
      <c r="R100" s="24">
        <f>VLOOKUP($C100,'[4]Revenue Data - FY19 MAR-YTD '!$C$3:$V$82,20,FALSE)</f>
        <v>0.46271975122848968</v>
      </c>
      <c r="S100" s="24">
        <f>VLOOKUP($C100,'[4]Revenue Data - FY19 MAR-YTD '!$C$3:$V$82,19,FALSE)</f>
        <v>0.10748329192008699</v>
      </c>
      <c r="T100" s="24">
        <f>VLOOKUP($C100,'[4]Revenue Data - FY19 MAR-YTD '!$C$3:$V$82,17,FALSE)</f>
        <v>0.18831715530192303</v>
      </c>
      <c r="U100" s="24">
        <f>VLOOKUP($C100,'[4]Revenue Data - FY19 MAR-YTD '!$C$3:$V$82,18,FALSE)</f>
        <v>0.2265159710653232</v>
      </c>
      <c r="V100" s="23">
        <f>VLOOKUP($C100,'[4]Revenue Data - FY19 MAR-YTD '!$C$3:$W$82,21,FALSE)</f>
        <v>1.4963830484177066E-2</v>
      </c>
      <c r="W100" s="24">
        <f t="shared" ref="W100:W115" si="105">SUM(R100:V100)</f>
        <v>1</v>
      </c>
      <c r="X100" s="24"/>
      <c r="Y100" s="25">
        <f t="shared" si="99"/>
        <v>2115920.2171269339</v>
      </c>
      <c r="Z100" s="25">
        <f t="shared" si="100"/>
        <v>491498.51453988557</v>
      </c>
      <c r="AA100" s="25">
        <f t="shared" si="101"/>
        <v>861134.79071787256</v>
      </c>
      <c r="AB100" s="25">
        <f t="shared" si="102"/>
        <v>1035809.9506381025</v>
      </c>
      <c r="AC100" s="25">
        <f t="shared" si="103"/>
        <v>68426.453297205007</v>
      </c>
      <c r="AD100" s="21">
        <f t="shared" si="104"/>
        <v>4572789.9263199996</v>
      </c>
      <c r="AE100" s="26">
        <f t="shared" si="67"/>
        <v>0</v>
      </c>
      <c r="AF100" s="27">
        <f t="shared" ref="AF100:AF118" si="106">1-0.6385</f>
        <v>0.36150000000000004</v>
      </c>
      <c r="AG100" s="27">
        <f t="shared" ref="AG100:AG118" si="107">1-0.6604</f>
        <v>0.33960000000000001</v>
      </c>
      <c r="AH100" s="27">
        <f t="shared" ref="AH100:AH118" si="108">1-0.4591-0.0839</f>
        <v>0.45699999999999996</v>
      </c>
      <c r="AI100" s="27">
        <f t="shared" ref="AI100:AI118" si="109">1-0.4622</f>
        <v>0.53780000000000006</v>
      </c>
      <c r="AJ100" s="27">
        <v>0</v>
      </c>
      <c r="AT100" s="18">
        <f t="shared" ref="AT100:AX119" si="110">Y100*AF100</f>
        <v>764905.15849138668</v>
      </c>
      <c r="AU100" s="18">
        <f t="shared" si="110"/>
        <v>166912.89553774515</v>
      </c>
      <c r="AV100" s="18">
        <f t="shared" si="110"/>
        <v>393538.59935806773</v>
      </c>
      <c r="AW100" s="18">
        <f t="shared" si="110"/>
        <v>557058.59145317157</v>
      </c>
      <c r="AX100" s="18">
        <f t="shared" si="110"/>
        <v>0</v>
      </c>
      <c r="AY100" s="26">
        <f t="shared" ref="AY100:AY115" si="111">SUM(AT100:AX100)</f>
        <v>1882415.2448403712</v>
      </c>
      <c r="AZ100" s="26"/>
      <c r="BA100" s="20">
        <f t="shared" ref="BA100:BA109" si="112">AY100/AD100</f>
        <v>0.41165574521707027</v>
      </c>
      <c r="BB100" s="20">
        <f t="shared" ref="BB100:BB115" si="113">1-BA100</f>
        <v>0.58834425478292973</v>
      </c>
      <c r="BC100" s="9">
        <v>5600</v>
      </c>
      <c r="BD100" s="30">
        <f t="shared" si="68"/>
        <v>1351015.0586355473</v>
      </c>
      <c r="BE100" s="30">
        <f t="shared" si="68"/>
        <v>324585.61900214042</v>
      </c>
      <c r="BF100" s="30">
        <f t="shared" si="68"/>
        <v>467596.19135980483</v>
      </c>
      <c r="BG100" s="30">
        <f t="shared" si="68"/>
        <v>478751.35918493092</v>
      </c>
      <c r="BH100" s="30">
        <f t="shared" si="68"/>
        <v>68426.453297205007</v>
      </c>
      <c r="BI100" s="31">
        <f t="shared" si="69"/>
        <v>2690374.6814796282</v>
      </c>
      <c r="BK100" s="9" t="str">
        <f t="shared" si="70"/>
        <v>46001330</v>
      </c>
      <c r="BL100" s="26">
        <f t="shared" si="71"/>
        <v>4572789.9263199996</v>
      </c>
    </row>
    <row r="101" spans="1:64">
      <c r="A101" s="10" t="str">
        <f t="shared" si="64"/>
        <v>4600</v>
      </c>
      <c r="B101" s="10" t="str">
        <f t="shared" si="65"/>
        <v>1331</v>
      </c>
      <c r="C101" s="35" t="s">
        <v>211</v>
      </c>
      <c r="D101" s="16">
        <v>900010</v>
      </c>
      <c r="E101" s="32" t="s">
        <v>212</v>
      </c>
      <c r="F101" s="18">
        <f>IFERROR(VLOOKUP(C101,'[4]Revenue Data - FY19 MAR-YTD '!$C$3:$Q$82,15,FALSE),0)</f>
        <v>-1177021.51</v>
      </c>
      <c r="G101" s="18"/>
      <c r="H101" s="18">
        <f t="shared" si="72"/>
        <v>-1177021.51</v>
      </c>
      <c r="I101" s="18">
        <f>'[4]Statistics Projections'!J114</f>
        <v>1846</v>
      </c>
      <c r="J101" s="18">
        <f t="shared" si="73"/>
        <v>-637.60645178764901</v>
      </c>
      <c r="K101" s="19"/>
      <c r="L101" s="20">
        <f t="shared" si="94"/>
        <v>1.03</v>
      </c>
      <c r="M101" s="18">
        <f t="shared" ref="M101:M115" si="114">ROUND(J101*L101,2)</f>
        <v>-656.73</v>
      </c>
      <c r="N101" s="19"/>
      <c r="O101" s="21">
        <f>'[4]Statistics Projections'!L114</f>
        <v>3454</v>
      </c>
      <c r="P101" s="18">
        <f t="shared" si="75"/>
        <v>2268345.42</v>
      </c>
      <c r="Q101" s="22"/>
      <c r="R101" s="24">
        <f>VLOOKUP($C101,'[4]Revenue Data - FY19 MAR-YTD '!$C$3:$V$82,20,FALSE)</f>
        <v>0.43109322615522971</v>
      </c>
      <c r="S101" s="24">
        <f>VLOOKUP($C101,'[4]Revenue Data - FY19 MAR-YTD '!$C$3:$V$82,19,FALSE)</f>
        <v>6.7821190455559302E-2</v>
      </c>
      <c r="T101" s="24">
        <f>VLOOKUP($C101,'[4]Revenue Data - FY19 MAR-YTD '!$C$3:$V$82,17,FALSE)</f>
        <v>0.25585428765868518</v>
      </c>
      <c r="U101" s="24">
        <f>VLOOKUP($C101,'[4]Revenue Data - FY19 MAR-YTD '!$C$3:$V$82,18,FALSE)</f>
        <v>0.24084904786489417</v>
      </c>
      <c r="V101" s="23">
        <f>VLOOKUP($C101,'[4]Revenue Data - FY19 MAR-YTD '!$C$3:$W$82,21,FALSE)</f>
        <v>4.3822478656316147E-3</v>
      </c>
      <c r="W101" s="24">
        <f t="shared" si="105"/>
        <v>0.99999999999999989</v>
      </c>
      <c r="X101" s="24"/>
      <c r="Y101" s="25">
        <f t="shared" si="99"/>
        <v>977868.34514223947</v>
      </c>
      <c r="Z101" s="25">
        <f t="shared" si="100"/>
        <v>153841.88674881565</v>
      </c>
      <c r="AA101" s="25">
        <f t="shared" si="101"/>
        <v>580365.90159794106</v>
      </c>
      <c r="AB101" s="25">
        <f t="shared" si="102"/>
        <v>546328.83463569346</v>
      </c>
      <c r="AC101" s="25">
        <f t="shared" si="103"/>
        <v>9940.4518753102475</v>
      </c>
      <c r="AD101" s="21">
        <f t="shared" si="104"/>
        <v>2268345.42</v>
      </c>
      <c r="AE101" s="26">
        <f t="shared" si="67"/>
        <v>0</v>
      </c>
      <c r="AF101" s="27">
        <f t="shared" si="106"/>
        <v>0.36150000000000004</v>
      </c>
      <c r="AG101" s="27">
        <f t="shared" si="107"/>
        <v>0.33960000000000001</v>
      </c>
      <c r="AH101" s="27">
        <f t="shared" si="108"/>
        <v>0.45699999999999996</v>
      </c>
      <c r="AI101" s="27">
        <f t="shared" si="109"/>
        <v>0.53780000000000006</v>
      </c>
      <c r="AJ101" s="27">
        <v>0</v>
      </c>
      <c r="AT101" s="18">
        <f t="shared" si="110"/>
        <v>353499.40676891961</v>
      </c>
      <c r="AU101" s="18">
        <f t="shared" si="110"/>
        <v>52244.704739897796</v>
      </c>
      <c r="AV101" s="18">
        <f t="shared" si="110"/>
        <v>265227.21703025902</v>
      </c>
      <c r="AW101" s="18">
        <f t="shared" si="110"/>
        <v>293815.64726707595</v>
      </c>
      <c r="AX101" s="18">
        <f t="shared" si="110"/>
        <v>0</v>
      </c>
      <c r="AY101" s="26">
        <f t="shared" si="111"/>
        <v>964786.97580615245</v>
      </c>
      <c r="AZ101" s="26"/>
      <c r="BA101" s="20">
        <f t="shared" si="112"/>
        <v>0.42532630493558271</v>
      </c>
      <c r="BB101" s="20">
        <f t="shared" si="113"/>
        <v>0.57467369506441734</v>
      </c>
      <c r="BC101" s="9">
        <v>5600</v>
      </c>
      <c r="BD101" s="30">
        <f t="shared" si="68"/>
        <v>624368.9383733198</v>
      </c>
      <c r="BE101" s="30">
        <f t="shared" si="68"/>
        <v>101597.18200891785</v>
      </c>
      <c r="BF101" s="30">
        <f t="shared" si="68"/>
        <v>315138.68456768204</v>
      </c>
      <c r="BG101" s="30">
        <f t="shared" si="68"/>
        <v>252513.18736861751</v>
      </c>
      <c r="BH101" s="30">
        <f t="shared" si="68"/>
        <v>9940.4518753102475</v>
      </c>
      <c r="BI101" s="31">
        <f t="shared" si="69"/>
        <v>1303558.4441938472</v>
      </c>
      <c r="BK101" s="9" t="str">
        <f t="shared" si="70"/>
        <v>46001331</v>
      </c>
      <c r="BL101" s="26">
        <f t="shared" si="71"/>
        <v>2268345.42</v>
      </c>
    </row>
    <row r="102" spans="1:64">
      <c r="A102" s="10" t="str">
        <f t="shared" si="64"/>
        <v>4600</v>
      </c>
      <c r="B102" s="10" t="str">
        <f t="shared" si="65"/>
        <v>1335</v>
      </c>
      <c r="C102" s="35" t="s">
        <v>213</v>
      </c>
      <c r="D102" s="16">
        <v>900010</v>
      </c>
      <c r="E102" s="32" t="s">
        <v>214</v>
      </c>
      <c r="F102" s="18">
        <f>IFERROR(VLOOKUP(C102,'[4]Revenue Data - FY19 MAR-YTD '!$C$3:$Q$82,15,FALSE),0)</f>
        <v>-161591.02000000002</v>
      </c>
      <c r="G102" s="18"/>
      <c r="H102" s="18">
        <f>SUM(F102:G102)</f>
        <v>-161591.02000000002</v>
      </c>
      <c r="I102" s="18">
        <f>'[4]Statistics Projections'!J116</f>
        <v>583</v>
      </c>
      <c r="J102" s="18">
        <f t="shared" si="73"/>
        <v>-277.17156089193827</v>
      </c>
      <c r="K102" s="19"/>
      <c r="L102" s="20">
        <f t="shared" si="94"/>
        <v>1.03</v>
      </c>
      <c r="M102" s="18">
        <f>ROUND(J102*L102,2)</f>
        <v>-285.49</v>
      </c>
      <c r="N102" s="19"/>
      <c r="O102" s="21">
        <f>'[4]Statistics Projections'!L116</f>
        <v>2013</v>
      </c>
      <c r="P102" s="18">
        <f t="shared" si="75"/>
        <v>574691.37</v>
      </c>
      <c r="Q102" s="64"/>
      <c r="R102" s="24">
        <f>VLOOKUP($C102,'[4]Revenue Data - FY19 MAR-YTD '!$C$3:$V$82,20,FALSE)</f>
        <v>0.24245159167879499</v>
      </c>
      <c r="S102" s="24">
        <f>VLOOKUP($C102,'[4]Revenue Data - FY19 MAR-YTD '!$C$3:$V$82,19,FALSE)</f>
        <v>0.28877848533909867</v>
      </c>
      <c r="T102" s="24">
        <f>VLOOKUP($C102,'[4]Revenue Data - FY19 MAR-YTD '!$C$3:$V$82,17,FALSE)</f>
        <v>0.21345251734904575</v>
      </c>
      <c r="U102" s="24">
        <f>VLOOKUP($C102,'[4]Revenue Data - FY19 MAR-YTD '!$C$3:$V$82,18,FALSE)</f>
        <v>0.23597845969410922</v>
      </c>
      <c r="V102" s="23">
        <f>VLOOKUP($C102,'[4]Revenue Data - FY19 MAR-YTD '!$C$3:$W$82,21,FALSE)</f>
        <v>1.9338945938951309E-2</v>
      </c>
      <c r="W102" s="24">
        <f t="shared" si="105"/>
        <v>1</v>
      </c>
      <c r="X102" s="24"/>
      <c r="Y102" s="25">
        <f t="shared" si="99"/>
        <v>139334.8373805673</v>
      </c>
      <c r="Z102" s="25">
        <f t="shared" si="100"/>
        <v>165958.50336605153</v>
      </c>
      <c r="AA102" s="25">
        <f t="shared" si="101"/>
        <v>122669.31962527186</v>
      </c>
      <c r="AB102" s="25">
        <f t="shared" si="102"/>
        <v>135614.78429209741</v>
      </c>
      <c r="AC102" s="25">
        <f t="shared" si="103"/>
        <v>11113.925336011864</v>
      </c>
      <c r="AD102" s="21">
        <f t="shared" si="104"/>
        <v>574691.37</v>
      </c>
      <c r="AE102" s="26">
        <f t="shared" si="67"/>
        <v>0</v>
      </c>
      <c r="AF102" s="27">
        <f t="shared" si="106"/>
        <v>0.36150000000000004</v>
      </c>
      <c r="AG102" s="27">
        <f t="shared" si="107"/>
        <v>0.33960000000000001</v>
      </c>
      <c r="AH102" s="27">
        <f t="shared" si="108"/>
        <v>0.45699999999999996</v>
      </c>
      <c r="AI102" s="27">
        <f t="shared" si="109"/>
        <v>0.53780000000000006</v>
      </c>
      <c r="AJ102" s="27">
        <v>0</v>
      </c>
      <c r="AT102" s="18">
        <f t="shared" si="110"/>
        <v>50369.543713075087</v>
      </c>
      <c r="AU102" s="18">
        <f t="shared" si="110"/>
        <v>56359.507743111106</v>
      </c>
      <c r="AV102" s="18">
        <f t="shared" si="110"/>
        <v>56059.879068749236</v>
      </c>
      <c r="AW102" s="18">
        <f t="shared" si="110"/>
        <v>72933.630992289996</v>
      </c>
      <c r="AX102" s="18">
        <f t="shared" si="110"/>
        <v>0</v>
      </c>
      <c r="AY102" s="26">
        <f t="shared" si="111"/>
        <v>235722.5615172254</v>
      </c>
      <c r="AZ102" s="26"/>
      <c r="BA102" s="20">
        <f t="shared" si="112"/>
        <v>0.41017244006504816</v>
      </c>
      <c r="BB102" s="20">
        <f t="shared" si="113"/>
        <v>0.58982755993495184</v>
      </c>
      <c r="BC102" s="9">
        <v>5600</v>
      </c>
      <c r="BD102" s="30">
        <f t="shared" si="68"/>
        <v>88965.293667492224</v>
      </c>
      <c r="BE102" s="30">
        <f t="shared" si="68"/>
        <v>109598.99562294042</v>
      </c>
      <c r="BF102" s="30">
        <f t="shared" si="68"/>
        <v>66609.440556522633</v>
      </c>
      <c r="BG102" s="30">
        <f t="shared" si="68"/>
        <v>62681.153299807411</v>
      </c>
      <c r="BH102" s="30">
        <f t="shared" si="68"/>
        <v>11113.925336011864</v>
      </c>
      <c r="BI102" s="31">
        <f t="shared" si="69"/>
        <v>338968.80848277453</v>
      </c>
      <c r="BK102" s="9" t="str">
        <f t="shared" si="70"/>
        <v>46001335</v>
      </c>
      <c r="BL102" s="26">
        <f t="shared" si="71"/>
        <v>574691.37</v>
      </c>
    </row>
    <row r="103" spans="1:64">
      <c r="A103" s="10" t="str">
        <f t="shared" si="64"/>
        <v>4600</v>
      </c>
      <c r="B103" s="10" t="str">
        <f t="shared" si="65"/>
        <v>1342</v>
      </c>
      <c r="C103" s="35" t="s">
        <v>215</v>
      </c>
      <c r="D103" s="16">
        <v>900010</v>
      </c>
      <c r="E103" s="32" t="s">
        <v>216</v>
      </c>
      <c r="F103" s="18">
        <f>IFERROR(VLOOKUP(C103,'[4]Revenue Data - FY19 MAR-YTD '!$C$3:$Q$82,15,FALSE),0)</f>
        <v>0</v>
      </c>
      <c r="G103" s="18"/>
      <c r="H103" s="18">
        <f t="shared" si="72"/>
        <v>0</v>
      </c>
      <c r="I103" s="18"/>
      <c r="J103" s="18">
        <f>IF(ISERROR(H103/I103),0,H103/I103)</f>
        <v>0</v>
      </c>
      <c r="K103" s="19"/>
      <c r="L103" s="20">
        <f t="shared" si="94"/>
        <v>1.03</v>
      </c>
      <c r="M103" s="18">
        <f t="shared" si="114"/>
        <v>0</v>
      </c>
      <c r="N103" s="19"/>
      <c r="O103" s="21">
        <v>0</v>
      </c>
      <c r="P103" s="18">
        <f t="shared" si="75"/>
        <v>0</v>
      </c>
      <c r="Q103" s="22"/>
      <c r="R103" s="24"/>
      <c r="S103" s="24"/>
      <c r="T103" s="24"/>
      <c r="U103" s="24"/>
      <c r="V103" s="24"/>
      <c r="W103" s="24">
        <f t="shared" si="105"/>
        <v>0</v>
      </c>
      <c r="X103" s="24"/>
      <c r="Y103" s="25">
        <f t="shared" si="99"/>
        <v>0</v>
      </c>
      <c r="Z103" s="25">
        <f t="shared" si="100"/>
        <v>0</v>
      </c>
      <c r="AA103" s="25">
        <f t="shared" si="101"/>
        <v>0</v>
      </c>
      <c r="AB103" s="25">
        <f t="shared" si="102"/>
        <v>0</v>
      </c>
      <c r="AC103" s="25">
        <f t="shared" si="103"/>
        <v>0</v>
      </c>
      <c r="AD103" s="21">
        <f t="shared" si="104"/>
        <v>0</v>
      </c>
      <c r="AE103" s="26">
        <f t="shared" si="67"/>
        <v>0</v>
      </c>
      <c r="AF103" s="27">
        <f t="shared" si="106"/>
        <v>0.36150000000000004</v>
      </c>
      <c r="AG103" s="27">
        <f t="shared" si="107"/>
        <v>0.33960000000000001</v>
      </c>
      <c r="AH103" s="27">
        <f t="shared" si="108"/>
        <v>0.45699999999999996</v>
      </c>
      <c r="AI103" s="27">
        <f t="shared" si="109"/>
        <v>0.53780000000000006</v>
      </c>
      <c r="AJ103" s="27">
        <v>0</v>
      </c>
      <c r="AT103" s="18">
        <f t="shared" si="110"/>
        <v>0</v>
      </c>
      <c r="AU103" s="18">
        <f t="shared" si="110"/>
        <v>0</v>
      </c>
      <c r="AV103" s="18">
        <f t="shared" si="110"/>
        <v>0</v>
      </c>
      <c r="AW103" s="18">
        <f t="shared" si="110"/>
        <v>0</v>
      </c>
      <c r="AX103" s="18">
        <f t="shared" si="110"/>
        <v>0</v>
      </c>
      <c r="AY103" s="26">
        <f t="shared" si="111"/>
        <v>0</v>
      </c>
      <c r="AZ103" s="26"/>
      <c r="BA103" s="20" t="e">
        <f t="shared" si="112"/>
        <v>#DIV/0!</v>
      </c>
      <c r="BB103" s="20" t="e">
        <f t="shared" si="113"/>
        <v>#DIV/0!</v>
      </c>
      <c r="BC103" s="9">
        <v>5600</v>
      </c>
      <c r="BD103" s="30">
        <f t="shared" ref="BD103:BH119" si="115">Y103-AT103</f>
        <v>0</v>
      </c>
      <c r="BE103" s="30">
        <f t="shared" si="115"/>
        <v>0</v>
      </c>
      <c r="BF103" s="30">
        <f t="shared" si="115"/>
        <v>0</v>
      </c>
      <c r="BG103" s="30">
        <f t="shared" si="115"/>
        <v>0</v>
      </c>
      <c r="BH103" s="30">
        <f t="shared" si="115"/>
        <v>0</v>
      </c>
      <c r="BI103" s="31">
        <f t="shared" si="69"/>
        <v>0</v>
      </c>
      <c r="BK103" s="9" t="str">
        <f t="shared" si="70"/>
        <v>46001342</v>
      </c>
      <c r="BL103" s="26">
        <f t="shared" si="71"/>
        <v>0</v>
      </c>
    </row>
    <row r="104" spans="1:64">
      <c r="A104" s="10" t="str">
        <f t="shared" si="64"/>
        <v>4600</v>
      </c>
      <c r="B104" s="10" t="str">
        <f t="shared" si="65"/>
        <v>1375</v>
      </c>
      <c r="C104" s="35" t="s">
        <v>217</v>
      </c>
      <c r="D104" s="16">
        <v>900010</v>
      </c>
      <c r="E104" s="32" t="s">
        <v>218</v>
      </c>
      <c r="F104" s="18">
        <f>IFERROR(VLOOKUP(C104,'[4]Revenue Data - FY19 MAR-YTD '!$C$3:$Q$82,15,FALSE),0)</f>
        <v>-88962.8</v>
      </c>
      <c r="G104" s="18"/>
      <c r="H104" s="18">
        <f t="shared" si="72"/>
        <v>-88962.8</v>
      </c>
      <c r="I104" s="18">
        <f>'[4]Statistics Projections'!J118</f>
        <v>261</v>
      </c>
      <c r="J104" s="18">
        <f t="shared" si="73"/>
        <v>-340.85363984674331</v>
      </c>
      <c r="K104" s="19"/>
      <c r="L104" s="20">
        <f t="shared" si="94"/>
        <v>1.03</v>
      </c>
      <c r="M104" s="18">
        <f t="shared" si="114"/>
        <v>-351.08</v>
      </c>
      <c r="N104" s="19"/>
      <c r="O104" s="21">
        <f>'[4]Statistics Projections'!L118</f>
        <v>462</v>
      </c>
      <c r="P104" s="18">
        <f t="shared" si="75"/>
        <v>162198.96</v>
      </c>
      <c r="Q104" s="22"/>
      <c r="R104" s="24">
        <f>VLOOKUP($C104,'[4]Revenue Data - FY19 MAR-YTD '!$C$3:$V$82,20,FALSE)</f>
        <v>0.55770501827730246</v>
      </c>
      <c r="S104" s="24">
        <f>VLOOKUP($C104,'[4]Revenue Data - FY19 MAR-YTD '!$C$3:$V$82,19,FALSE)</f>
        <v>6.1722427801283231E-2</v>
      </c>
      <c r="T104" s="24">
        <f>VLOOKUP($C104,'[4]Revenue Data - FY19 MAR-YTD '!$C$3:$V$82,17,FALSE)</f>
        <v>0.21460655464980868</v>
      </c>
      <c r="U104" s="24">
        <f>VLOOKUP($C104,'[4]Revenue Data - FY19 MAR-YTD '!$C$3:$V$82,18,FALSE)</f>
        <v>0.13408975436924198</v>
      </c>
      <c r="V104" s="23">
        <f>VLOOKUP($C104,'[4]Revenue Data - FY19 MAR-YTD '!$C$3:$W$82,21,FALSE)</f>
        <v>3.1876244902363689E-2</v>
      </c>
      <c r="W104" s="24">
        <f t="shared" si="105"/>
        <v>1</v>
      </c>
      <c r="X104" s="24"/>
      <c r="Y104" s="25">
        <f t="shared" si="99"/>
        <v>90459.173951359451</v>
      </c>
      <c r="Z104" s="25">
        <f t="shared" si="100"/>
        <v>10011.313598043225</v>
      </c>
      <c r="AA104" s="25">
        <f t="shared" si="101"/>
        <v>34808.959973382131</v>
      </c>
      <c r="AB104" s="25">
        <f t="shared" si="102"/>
        <v>21749.218705346502</v>
      </c>
      <c r="AC104" s="25">
        <f t="shared" si="103"/>
        <v>5170.2937718686917</v>
      </c>
      <c r="AD104" s="21">
        <f>SUM(Y104:AC104)</f>
        <v>162198.96000000002</v>
      </c>
      <c r="AE104" s="26">
        <f t="shared" si="67"/>
        <v>0</v>
      </c>
      <c r="AF104" s="27">
        <f t="shared" si="106"/>
        <v>0.36150000000000004</v>
      </c>
      <c r="AG104" s="27">
        <f t="shared" si="107"/>
        <v>0.33960000000000001</v>
      </c>
      <c r="AH104" s="27">
        <f t="shared" si="108"/>
        <v>0.45699999999999996</v>
      </c>
      <c r="AI104" s="27">
        <f t="shared" si="109"/>
        <v>0.53780000000000006</v>
      </c>
      <c r="AJ104" s="27">
        <v>0</v>
      </c>
      <c r="AT104" s="18">
        <f t="shared" si="110"/>
        <v>32700.991383416447</v>
      </c>
      <c r="AU104" s="18">
        <f t="shared" si="110"/>
        <v>3399.8420978954796</v>
      </c>
      <c r="AV104" s="18">
        <f t="shared" si="110"/>
        <v>15907.694707835632</v>
      </c>
      <c r="AW104" s="18">
        <f t="shared" si="110"/>
        <v>11696.72981973535</v>
      </c>
      <c r="AX104" s="18">
        <f t="shared" si="110"/>
        <v>0</v>
      </c>
      <c r="AY104" s="26">
        <f t="shared" si="111"/>
        <v>63705.258008882913</v>
      </c>
      <c r="AZ104" s="26"/>
      <c r="BA104" s="20">
        <f t="shared" si="112"/>
        <v>0.39275996596330154</v>
      </c>
      <c r="BB104" s="20">
        <f t="shared" si="113"/>
        <v>0.60724003403669846</v>
      </c>
      <c r="BC104" s="9">
        <v>5600</v>
      </c>
      <c r="BD104" s="30">
        <f t="shared" si="115"/>
        <v>57758.182567943004</v>
      </c>
      <c r="BE104" s="30">
        <f t="shared" si="115"/>
        <v>6611.4715001477452</v>
      </c>
      <c r="BF104" s="30">
        <f t="shared" si="115"/>
        <v>18901.265265546499</v>
      </c>
      <c r="BG104" s="30">
        <f t="shared" si="115"/>
        <v>10052.488885611152</v>
      </c>
      <c r="BH104" s="30">
        <f t="shared" si="115"/>
        <v>5170.2937718686917</v>
      </c>
      <c r="BI104" s="31">
        <f t="shared" si="69"/>
        <v>98493.701991117094</v>
      </c>
      <c r="BK104" s="9" t="str">
        <f t="shared" si="70"/>
        <v>46001375</v>
      </c>
      <c r="BL104" s="26">
        <f t="shared" si="71"/>
        <v>162198.96</v>
      </c>
    </row>
    <row r="105" spans="1:64">
      <c r="A105" s="10" t="str">
        <f t="shared" si="64"/>
        <v>4600</v>
      </c>
      <c r="B105" s="10" t="str">
        <f t="shared" si="65"/>
        <v>1376</v>
      </c>
      <c r="C105" s="35" t="s">
        <v>219</v>
      </c>
      <c r="D105" s="16">
        <v>900010</v>
      </c>
      <c r="E105" s="32" t="s">
        <v>220</v>
      </c>
      <c r="F105" s="18">
        <f>IFERROR(VLOOKUP(C105,'[4]Revenue Data - FY19 MAR-YTD '!$C$3:$Q$82,15,FALSE),0)</f>
        <v>-210195.6</v>
      </c>
      <c r="G105" s="18"/>
      <c r="H105" s="18">
        <f t="shared" si="72"/>
        <v>-210195.6</v>
      </c>
      <c r="I105" s="18">
        <f>'[4]Statistics Projections'!J122</f>
        <v>154</v>
      </c>
      <c r="J105" s="18">
        <f t="shared" si="73"/>
        <v>-1364.9064935064935</v>
      </c>
      <c r="K105" s="19"/>
      <c r="L105" s="20">
        <f t="shared" si="94"/>
        <v>1.03</v>
      </c>
      <c r="M105" s="18">
        <f t="shared" si="114"/>
        <v>-1405.85</v>
      </c>
      <c r="N105" s="19"/>
      <c r="O105" s="21">
        <f>'[4]Statistics Projections'!L122</f>
        <v>737</v>
      </c>
      <c r="P105" s="18">
        <f t="shared" si="75"/>
        <v>1036111.45</v>
      </c>
      <c r="Q105" s="22"/>
      <c r="R105" s="24">
        <v>0.6689159305701402</v>
      </c>
      <c r="S105" s="24">
        <v>0.12713818024584594</v>
      </c>
      <c r="T105" s="24">
        <v>0.16077830625733522</v>
      </c>
      <c r="U105" s="24">
        <v>4.3167582926678612E-2</v>
      </c>
      <c r="V105" s="24">
        <v>0</v>
      </c>
      <c r="W105" s="24">
        <f t="shared" si="105"/>
        <v>1</v>
      </c>
      <c r="X105" s="24"/>
      <c r="Y105" s="25">
        <f t="shared" si="99"/>
        <v>693071.45475112728</v>
      </c>
      <c r="Z105" s="25">
        <f t="shared" si="100"/>
        <v>131729.32428488479</v>
      </c>
      <c r="AA105" s="25">
        <f t="shared" si="101"/>
        <v>166584.24402483166</v>
      </c>
      <c r="AB105" s="25">
        <f t="shared" si="102"/>
        <v>44726.426939156219</v>
      </c>
      <c r="AC105" s="25">
        <f t="shared" si="103"/>
        <v>0</v>
      </c>
      <c r="AD105" s="21">
        <f t="shared" si="104"/>
        <v>1036111.45</v>
      </c>
      <c r="AE105" s="26">
        <f t="shared" si="67"/>
        <v>0</v>
      </c>
      <c r="AF105" s="27">
        <f t="shared" si="106"/>
        <v>0.36150000000000004</v>
      </c>
      <c r="AG105" s="27">
        <f t="shared" si="107"/>
        <v>0.33960000000000001</v>
      </c>
      <c r="AH105" s="27">
        <f t="shared" si="108"/>
        <v>0.45699999999999996</v>
      </c>
      <c r="AI105" s="27">
        <f t="shared" si="109"/>
        <v>0.53780000000000006</v>
      </c>
      <c r="AJ105" s="27">
        <v>0</v>
      </c>
      <c r="AT105" s="18">
        <f t="shared" si="110"/>
        <v>250545.33089253254</v>
      </c>
      <c r="AU105" s="18">
        <f t="shared" si="110"/>
        <v>44735.278527146875</v>
      </c>
      <c r="AV105" s="18">
        <f t="shared" si="110"/>
        <v>76128.999519348057</v>
      </c>
      <c r="AW105" s="18">
        <f t="shared" si="110"/>
        <v>24053.872407878218</v>
      </c>
      <c r="AX105" s="18">
        <f t="shared" si="110"/>
        <v>0</v>
      </c>
      <c r="AY105" s="26">
        <f t="shared" si="111"/>
        <v>395463.48134690564</v>
      </c>
      <c r="AZ105" s="26"/>
      <c r="BA105" s="20">
        <f t="shared" si="112"/>
        <v>0.3816804469701649</v>
      </c>
      <c r="BB105" s="20">
        <f t="shared" si="113"/>
        <v>0.6183195530298351</v>
      </c>
      <c r="BC105" s="9">
        <v>5600</v>
      </c>
      <c r="BD105" s="30">
        <f t="shared" si="115"/>
        <v>442526.12385859474</v>
      </c>
      <c r="BE105" s="30">
        <f t="shared" si="115"/>
        <v>86994.045757737913</v>
      </c>
      <c r="BF105" s="30">
        <f t="shared" si="115"/>
        <v>90455.244505483599</v>
      </c>
      <c r="BG105" s="30">
        <f t="shared" si="115"/>
        <v>20672.554531278001</v>
      </c>
      <c r="BH105" s="30">
        <f t="shared" si="115"/>
        <v>0</v>
      </c>
      <c r="BI105" s="31">
        <f t="shared" si="69"/>
        <v>640647.96865309414</v>
      </c>
      <c r="BK105" s="9" t="str">
        <f t="shared" si="70"/>
        <v>46001376</v>
      </c>
      <c r="BL105" s="26">
        <f t="shared" si="71"/>
        <v>1036111.45</v>
      </c>
    </row>
    <row r="106" spans="1:64">
      <c r="A106" s="10" t="str">
        <f t="shared" si="64"/>
        <v>4600</v>
      </c>
      <c r="B106" s="10" t="str">
        <f t="shared" si="65"/>
        <v>1381</v>
      </c>
      <c r="C106" s="35" t="s">
        <v>221</v>
      </c>
      <c r="D106" s="16">
        <v>900010</v>
      </c>
      <c r="E106" s="32" t="s">
        <v>222</v>
      </c>
      <c r="F106" s="18">
        <f>IFERROR(VLOOKUP(C106,'[4]Revenue Data - FY19 MAR-YTD '!$C$3:$Q$82,15,FALSE),0)</f>
        <v>-585021.4800000001</v>
      </c>
      <c r="G106" s="18"/>
      <c r="H106" s="18">
        <f t="shared" si="72"/>
        <v>-585021.4800000001</v>
      </c>
      <c r="I106" s="18">
        <f>'[4]Statistics Projections'!J124</f>
        <v>2178</v>
      </c>
      <c r="J106" s="18">
        <f t="shared" si="73"/>
        <v>-268.60490358126725</v>
      </c>
      <c r="K106" s="19"/>
      <c r="L106" s="20">
        <f t="shared" si="94"/>
        <v>1.03</v>
      </c>
      <c r="M106" s="18">
        <f t="shared" si="114"/>
        <v>-276.66000000000003</v>
      </c>
      <c r="N106" s="19"/>
      <c r="O106" s="21">
        <f>'[4]Statistics Projections'!L124</f>
        <v>4264</v>
      </c>
      <c r="P106" s="18">
        <f t="shared" si="75"/>
        <v>1179678.24</v>
      </c>
      <c r="Q106" s="22"/>
      <c r="R106" s="24">
        <f>VLOOKUP($C106,'[4]Revenue Data - FY19 MAR-YTD '!$C$3:$V$82,20,FALSE)</f>
        <v>5.9638835825310196E-3</v>
      </c>
      <c r="S106" s="24">
        <f>VLOOKUP($C106,'[4]Revenue Data - FY19 MAR-YTD '!$C$3:$V$82,19,FALSE)</f>
        <v>0.46796259515120697</v>
      </c>
      <c r="T106" s="24">
        <f>VLOOKUP($C106,'[4]Revenue Data - FY19 MAR-YTD '!$C$3:$V$82,17,FALSE)</f>
        <v>0.23266708087368002</v>
      </c>
      <c r="U106" s="24">
        <f>VLOOKUP($C106,'[4]Revenue Data - FY19 MAR-YTD '!$C$3:$V$82,18,FALSE)</f>
        <v>0.28129678247027778</v>
      </c>
      <c r="V106" s="23">
        <f>VLOOKUP($C106,'[4]Revenue Data - FY19 MAR-YTD '!$C$3:$W$82,21,FALSE)</f>
        <v>1.2109657922303979E-2</v>
      </c>
      <c r="W106" s="24">
        <f t="shared" si="105"/>
        <v>0.99999999999999978</v>
      </c>
      <c r="X106" s="24"/>
      <c r="Y106" s="25">
        <f t="shared" si="99"/>
        <v>7035.4636882050881</v>
      </c>
      <c r="Z106" s="25">
        <f t="shared" si="100"/>
        <v>552045.29063380836</v>
      </c>
      <c r="AA106" s="25">
        <f t="shared" si="101"/>
        <v>274472.29247100052</v>
      </c>
      <c r="AB106" s="25">
        <f t="shared" si="102"/>
        <v>331839.69326220016</v>
      </c>
      <c r="AC106" s="25">
        <f t="shared" si="103"/>
        <v>14285.499944785615</v>
      </c>
      <c r="AD106" s="21">
        <f t="shared" si="104"/>
        <v>1179678.2399999998</v>
      </c>
      <c r="AE106" s="26">
        <f t="shared" si="67"/>
        <v>0</v>
      </c>
      <c r="AF106" s="27">
        <f t="shared" si="106"/>
        <v>0.36150000000000004</v>
      </c>
      <c r="AG106" s="27">
        <f t="shared" si="107"/>
        <v>0.33960000000000001</v>
      </c>
      <c r="AH106" s="27">
        <f t="shared" si="108"/>
        <v>0.45699999999999996</v>
      </c>
      <c r="AI106" s="27">
        <f t="shared" si="109"/>
        <v>0.53780000000000006</v>
      </c>
      <c r="AJ106" s="27">
        <v>0</v>
      </c>
      <c r="AT106" s="18">
        <f t="shared" si="110"/>
        <v>2543.3201232861397</v>
      </c>
      <c r="AU106" s="18">
        <f t="shared" si="110"/>
        <v>187474.58069924131</v>
      </c>
      <c r="AV106" s="18">
        <f t="shared" si="110"/>
        <v>125433.83765924722</v>
      </c>
      <c r="AW106" s="18">
        <f t="shared" si="110"/>
        <v>178463.38703641127</v>
      </c>
      <c r="AX106" s="18">
        <f t="shared" si="110"/>
        <v>0</v>
      </c>
      <c r="AY106" s="26">
        <f t="shared" si="111"/>
        <v>493915.12551818596</v>
      </c>
      <c r="AZ106" s="26"/>
      <c r="BA106" s="20">
        <f t="shared" si="112"/>
        <v>0.41868630680022212</v>
      </c>
      <c r="BB106" s="20">
        <f t="shared" si="113"/>
        <v>0.58131369319977788</v>
      </c>
      <c r="BC106" s="9">
        <v>5600</v>
      </c>
      <c r="BD106" s="30">
        <f t="shared" si="115"/>
        <v>4492.143564918948</v>
      </c>
      <c r="BE106" s="30">
        <f t="shared" si="115"/>
        <v>364570.70993456704</v>
      </c>
      <c r="BF106" s="30">
        <f t="shared" si="115"/>
        <v>149038.4548117533</v>
      </c>
      <c r="BG106" s="30">
        <f t="shared" si="115"/>
        <v>153376.3062257889</v>
      </c>
      <c r="BH106" s="30">
        <f t="shared" si="115"/>
        <v>14285.499944785615</v>
      </c>
      <c r="BI106" s="31">
        <f t="shared" si="69"/>
        <v>685763.11448181374</v>
      </c>
      <c r="BK106" s="9" t="str">
        <f t="shared" si="70"/>
        <v>46001381</v>
      </c>
      <c r="BL106" s="26">
        <f t="shared" si="71"/>
        <v>1179678.24</v>
      </c>
    </row>
    <row r="107" spans="1:64">
      <c r="A107" s="10" t="str">
        <f t="shared" si="64"/>
        <v>4600</v>
      </c>
      <c r="B107" s="10" t="str">
        <f t="shared" si="65"/>
        <v>1382</v>
      </c>
      <c r="C107" s="35" t="s">
        <v>223</v>
      </c>
      <c r="D107" s="16">
        <v>900010</v>
      </c>
      <c r="E107" s="32" t="s">
        <v>224</v>
      </c>
      <c r="F107" s="18">
        <f>IFERROR(VLOOKUP(C107,'[4]Revenue Data - FY19 MAR-YTD '!$C$3:$Q$82,15,FALSE),0)</f>
        <v>-272713.59999999998</v>
      </c>
      <c r="G107" s="18"/>
      <c r="H107" s="18">
        <f t="shared" si="72"/>
        <v>-272713.59999999998</v>
      </c>
      <c r="I107" s="18">
        <f>'[4]Statistics Projections'!J126</f>
        <v>570</v>
      </c>
      <c r="J107" s="18">
        <f t="shared" si="73"/>
        <v>-478.44491228070171</v>
      </c>
      <c r="K107" s="19"/>
      <c r="L107" s="20">
        <f t="shared" si="94"/>
        <v>1.03</v>
      </c>
      <c r="M107" s="18">
        <f t="shared" si="114"/>
        <v>-492.8</v>
      </c>
      <c r="N107" s="19"/>
      <c r="O107" s="21">
        <f>'[4]Statistics Projections'!L126</f>
        <v>1260</v>
      </c>
      <c r="P107" s="18">
        <f t="shared" si="75"/>
        <v>620928</v>
      </c>
      <c r="Q107" s="22"/>
      <c r="R107" s="24">
        <f>VLOOKUP($C107,'[4]Revenue Data - FY19 MAR-YTD '!$C$3:$V$82,20,FALSE)</f>
        <v>0.30870480973446141</v>
      </c>
      <c r="S107" s="24">
        <f>VLOOKUP($C107,'[4]Revenue Data - FY19 MAR-YTD '!$C$3:$V$82,19,FALSE)</f>
        <v>0.12659434659657606</v>
      </c>
      <c r="T107" s="24">
        <f>VLOOKUP($C107,'[4]Revenue Data - FY19 MAR-YTD '!$C$3:$V$82,17,FALSE)</f>
        <v>0.25996503291365008</v>
      </c>
      <c r="U107" s="24">
        <f>VLOOKUP($C107,'[4]Revenue Data - FY19 MAR-YTD '!$C$3:$V$82,18,FALSE)</f>
        <v>0.298525632751722</v>
      </c>
      <c r="V107" s="23">
        <f>VLOOKUP($C107,'[4]Revenue Data - FY19 MAR-YTD '!$C$3:$W$82,21,FALSE)</f>
        <v>6.2101780035905803E-3</v>
      </c>
      <c r="W107" s="24">
        <f t="shared" si="105"/>
        <v>1.0000000000000002</v>
      </c>
      <c r="X107" s="24"/>
      <c r="Y107" s="25">
        <f t="shared" si="99"/>
        <v>191683.46009879964</v>
      </c>
      <c r="Z107" s="25">
        <f t="shared" si="100"/>
        <v>78605.974443518775</v>
      </c>
      <c r="AA107" s="25">
        <f t="shared" si="101"/>
        <v>161419.56795700692</v>
      </c>
      <c r="AB107" s="25">
        <f t="shared" si="102"/>
        <v>185362.92409326124</v>
      </c>
      <c r="AC107" s="25">
        <f t="shared" si="103"/>
        <v>3856.0734074134921</v>
      </c>
      <c r="AD107" s="21">
        <f t="shared" si="104"/>
        <v>620928</v>
      </c>
      <c r="AE107" s="26">
        <f t="shared" si="67"/>
        <v>0</v>
      </c>
      <c r="AF107" s="27">
        <f t="shared" si="106"/>
        <v>0.36150000000000004</v>
      </c>
      <c r="AG107" s="27">
        <f t="shared" si="107"/>
        <v>0.33960000000000001</v>
      </c>
      <c r="AH107" s="27">
        <f t="shared" si="108"/>
        <v>0.45699999999999996</v>
      </c>
      <c r="AI107" s="27">
        <f t="shared" si="109"/>
        <v>0.53780000000000006</v>
      </c>
      <c r="AJ107" s="27">
        <v>0</v>
      </c>
      <c r="AT107" s="18">
        <f t="shared" si="110"/>
        <v>69293.570825716073</v>
      </c>
      <c r="AU107" s="18">
        <f t="shared" si="110"/>
        <v>26694.588921018978</v>
      </c>
      <c r="AV107" s="18">
        <f t="shared" si="110"/>
        <v>73768.742556352154</v>
      </c>
      <c r="AW107" s="18">
        <f t="shared" si="110"/>
        <v>99688.180577355903</v>
      </c>
      <c r="AX107" s="18">
        <f t="shared" si="110"/>
        <v>0</v>
      </c>
      <c r="AY107" s="26">
        <f t="shared" si="111"/>
        <v>269445.08288044308</v>
      </c>
      <c r="AZ107" s="26"/>
      <c r="BA107" s="20">
        <f t="shared" si="112"/>
        <v>0.43393933415861918</v>
      </c>
      <c r="BB107" s="20">
        <f t="shared" si="113"/>
        <v>0.56606066584138082</v>
      </c>
      <c r="BC107" s="9">
        <v>5600</v>
      </c>
      <c r="BD107" s="30">
        <f t="shared" si="115"/>
        <v>122389.88927308357</v>
      </c>
      <c r="BE107" s="30">
        <f t="shared" si="115"/>
        <v>51911.385522499797</v>
      </c>
      <c r="BF107" s="30">
        <f t="shared" si="115"/>
        <v>87650.825400654765</v>
      </c>
      <c r="BG107" s="30">
        <f t="shared" si="115"/>
        <v>85674.743515905342</v>
      </c>
      <c r="BH107" s="30">
        <f t="shared" si="115"/>
        <v>3856.0734074134921</v>
      </c>
      <c r="BI107" s="31">
        <f t="shared" si="69"/>
        <v>351482.91711955698</v>
      </c>
      <c r="BK107" s="9" t="str">
        <f t="shared" si="70"/>
        <v>46001382</v>
      </c>
      <c r="BL107" s="26">
        <f t="shared" si="71"/>
        <v>620928</v>
      </c>
    </row>
    <row r="108" spans="1:64">
      <c r="A108" s="10" t="str">
        <f t="shared" si="64"/>
        <v>4600</v>
      </c>
      <c r="B108" s="10" t="str">
        <f t="shared" si="65"/>
        <v>1383</v>
      </c>
      <c r="C108" s="35" t="s">
        <v>225</v>
      </c>
      <c r="D108" s="16">
        <v>900010</v>
      </c>
      <c r="E108" s="32" t="s">
        <v>226</v>
      </c>
      <c r="F108" s="18">
        <f>IFERROR(VLOOKUP(C108,'[4]Revenue Data - FY19 MAR-YTD '!$C$3:$Q$82,15,FALSE),0)</f>
        <v>-49755.9</v>
      </c>
      <c r="G108" s="18"/>
      <c r="H108" s="18">
        <f t="shared" si="72"/>
        <v>-49755.9</v>
      </c>
      <c r="I108" s="18">
        <f>'[4]Statistics Projections'!J128</f>
        <v>194</v>
      </c>
      <c r="J108" s="18">
        <f t="shared" si="73"/>
        <v>-256.47371134020619</v>
      </c>
      <c r="K108" s="19"/>
      <c r="L108" s="20">
        <f t="shared" si="94"/>
        <v>1.03</v>
      </c>
      <c r="M108" s="18">
        <f t="shared" si="114"/>
        <v>-264.17</v>
      </c>
      <c r="N108" s="19"/>
      <c r="O108" s="21">
        <f>'[4]Statistics Projections'!L128</f>
        <v>396</v>
      </c>
      <c r="P108" s="18">
        <f t="shared" si="75"/>
        <v>104611.32</v>
      </c>
      <c r="Q108" s="22"/>
      <c r="R108" s="24">
        <f>VLOOKUP($C108,'[4]Revenue Data - FY19 MAR-YTD '!$C$3:$V$82,20,FALSE)</f>
        <v>0.72391213906290508</v>
      </c>
      <c r="S108" s="24">
        <f>VLOOKUP($C108,'[4]Revenue Data - FY19 MAR-YTD '!$C$3:$V$82,19,FALSE)</f>
        <v>4.9200195353716843E-2</v>
      </c>
      <c r="T108" s="24">
        <f>VLOOKUP($C108,'[4]Revenue Data - FY19 MAR-YTD '!$C$3:$V$82,17,FALSE)</f>
        <v>0.11262985897149885</v>
      </c>
      <c r="U108" s="24">
        <f>VLOOKUP($C108,'[4]Revenue Data - FY19 MAR-YTD '!$C$3:$V$82,18,FALSE)</f>
        <v>0.11425780661187919</v>
      </c>
      <c r="V108" s="24">
        <v>0</v>
      </c>
      <c r="W108" s="24">
        <f t="shared" si="105"/>
        <v>1</v>
      </c>
      <c r="X108" s="24"/>
      <c r="Y108" s="25">
        <f t="shared" si="99"/>
        <v>75729.404431394069</v>
      </c>
      <c r="Z108" s="25">
        <f t="shared" si="100"/>
        <v>5146.8973802101864</v>
      </c>
      <c r="AA108" s="25">
        <f t="shared" si="101"/>
        <v>11782.358218422338</v>
      </c>
      <c r="AB108" s="25">
        <f t="shared" si="102"/>
        <v>11952.659969973411</v>
      </c>
      <c r="AC108" s="25">
        <f t="shared" si="103"/>
        <v>0</v>
      </c>
      <c r="AD108" s="21">
        <f t="shared" si="104"/>
        <v>104611.31999999999</v>
      </c>
      <c r="AE108" s="26">
        <f t="shared" si="67"/>
        <v>0</v>
      </c>
      <c r="AF108" s="27">
        <f t="shared" si="106"/>
        <v>0.36150000000000004</v>
      </c>
      <c r="AG108" s="27">
        <f t="shared" si="107"/>
        <v>0.33960000000000001</v>
      </c>
      <c r="AH108" s="27">
        <f t="shared" si="108"/>
        <v>0.45699999999999996</v>
      </c>
      <c r="AI108" s="27">
        <f t="shared" si="109"/>
        <v>0.53780000000000006</v>
      </c>
      <c r="AJ108" s="27">
        <v>0</v>
      </c>
      <c r="AT108" s="18">
        <f t="shared" si="110"/>
        <v>27376.17970194896</v>
      </c>
      <c r="AU108" s="18">
        <f t="shared" si="110"/>
        <v>1747.8863503193793</v>
      </c>
      <c r="AV108" s="18">
        <f t="shared" si="110"/>
        <v>5384.5377058190079</v>
      </c>
      <c r="AW108" s="18">
        <f t="shared" si="110"/>
        <v>6428.1405318517009</v>
      </c>
      <c r="AX108" s="18">
        <f t="shared" si="110"/>
        <v>0</v>
      </c>
      <c r="AY108" s="26">
        <f t="shared" si="111"/>
        <v>40936.744289939044</v>
      </c>
      <c r="AZ108" s="26"/>
      <c r="BA108" s="20">
        <f t="shared" si="112"/>
        <v>0.39132231855920607</v>
      </c>
      <c r="BB108" s="20">
        <f t="shared" si="113"/>
        <v>0.60867768144079393</v>
      </c>
      <c r="BC108" s="9">
        <v>5600</v>
      </c>
      <c r="BD108" s="30">
        <f t="shared" si="115"/>
        <v>48353.224729445108</v>
      </c>
      <c r="BE108" s="30">
        <f t="shared" si="115"/>
        <v>3399.0110298908071</v>
      </c>
      <c r="BF108" s="30">
        <f t="shared" si="115"/>
        <v>6397.8205126033299</v>
      </c>
      <c r="BG108" s="30">
        <f t="shared" si="115"/>
        <v>5524.5194381217098</v>
      </c>
      <c r="BH108" s="30">
        <f t="shared" si="115"/>
        <v>0</v>
      </c>
      <c r="BI108" s="31">
        <f t="shared" si="69"/>
        <v>63674.575710060948</v>
      </c>
      <c r="BK108" s="9" t="str">
        <f t="shared" si="70"/>
        <v>46001383</v>
      </c>
      <c r="BL108" s="26">
        <f t="shared" si="71"/>
        <v>104611.32</v>
      </c>
    </row>
    <row r="109" spans="1:64">
      <c r="A109" s="10" t="str">
        <f t="shared" si="64"/>
        <v>4600</v>
      </c>
      <c r="B109" s="10" t="str">
        <f t="shared" si="65"/>
        <v>1388</v>
      </c>
      <c r="C109" s="35" t="s">
        <v>227</v>
      </c>
      <c r="D109" s="16">
        <v>900010</v>
      </c>
      <c r="E109" s="32" t="s">
        <v>228</v>
      </c>
      <c r="F109" s="18">
        <f>IFERROR(VLOOKUP(C109,'[4]Revenue Data - FY19 MAR-YTD '!$C$3:$Q$82,15,FALSE),0)</f>
        <v>-13112</v>
      </c>
      <c r="G109" s="18"/>
      <c r="H109" s="18">
        <f t="shared" si="72"/>
        <v>-13112</v>
      </c>
      <c r="I109" s="18">
        <v>1</v>
      </c>
      <c r="J109" s="18">
        <v>-30000</v>
      </c>
      <c r="K109" s="19"/>
      <c r="L109" s="20">
        <f t="shared" si="94"/>
        <v>1.03</v>
      </c>
      <c r="M109" s="18">
        <f t="shared" si="114"/>
        <v>-30900</v>
      </c>
      <c r="N109" s="19"/>
      <c r="O109" s="21">
        <v>1</v>
      </c>
      <c r="P109" s="18">
        <f t="shared" si="75"/>
        <v>30900</v>
      </c>
      <c r="Q109" s="22"/>
      <c r="R109" s="24">
        <f>VLOOKUP($C109,'[4]Revenue Data - FY19 MAR-YTD '!$C$3:$V$82,20,FALSE)</f>
        <v>0.47605247101891396</v>
      </c>
      <c r="S109" s="24">
        <f>VLOOKUP($C109,'[4]Revenue Data - FY19 MAR-YTD '!$C$3:$V$82,19,FALSE)</f>
        <v>0.16092129347162903</v>
      </c>
      <c r="T109" s="24">
        <f>VLOOKUP($C109,'[4]Revenue Data - FY19 MAR-YTD '!$C$3:$V$82,17,FALSE)</f>
        <v>0.18418242830994508</v>
      </c>
      <c r="U109" s="24">
        <f>VLOOKUP($C109,'[4]Revenue Data - FY19 MAR-YTD '!$C$3:$V$82,18,FALSE)</f>
        <v>0.17106467358145211</v>
      </c>
      <c r="V109" s="23">
        <f>VLOOKUP($C109,'[4]Revenue Data - FY19 MAR-YTD '!$C$3:$W$82,21,FALSE)</f>
        <v>7.7791336180597923E-3</v>
      </c>
      <c r="W109" s="24">
        <f t="shared" si="105"/>
        <v>0.99999999999999989</v>
      </c>
      <c r="X109" s="24"/>
      <c r="Y109" s="25">
        <f t="shared" si="99"/>
        <v>14710.021354484441</v>
      </c>
      <c r="Z109" s="25">
        <f t="shared" si="100"/>
        <v>4972.4679682733367</v>
      </c>
      <c r="AA109" s="25">
        <f t="shared" si="101"/>
        <v>5691.2370347773031</v>
      </c>
      <c r="AB109" s="25">
        <f t="shared" si="102"/>
        <v>5285.8984136668705</v>
      </c>
      <c r="AC109" s="25">
        <f t="shared" si="103"/>
        <v>240.37522879804757</v>
      </c>
      <c r="AD109" s="21">
        <f t="shared" si="104"/>
        <v>30899.999999999996</v>
      </c>
      <c r="AE109" s="26">
        <f t="shared" si="67"/>
        <v>0</v>
      </c>
      <c r="AF109" s="27">
        <f t="shared" si="106"/>
        <v>0.36150000000000004</v>
      </c>
      <c r="AG109" s="27">
        <f t="shared" si="107"/>
        <v>0.33960000000000001</v>
      </c>
      <c r="AH109" s="27">
        <f t="shared" si="108"/>
        <v>0.45699999999999996</v>
      </c>
      <c r="AI109" s="27">
        <f t="shared" si="109"/>
        <v>0.53780000000000006</v>
      </c>
      <c r="AJ109" s="27">
        <v>0</v>
      </c>
      <c r="AT109" s="18">
        <f t="shared" si="110"/>
        <v>5317.6727196461261</v>
      </c>
      <c r="AU109" s="18">
        <f t="shared" si="110"/>
        <v>1688.6501220256253</v>
      </c>
      <c r="AV109" s="18">
        <f t="shared" si="110"/>
        <v>2600.8953248932271</v>
      </c>
      <c r="AW109" s="18">
        <f t="shared" si="110"/>
        <v>2842.7561668700432</v>
      </c>
      <c r="AX109" s="18">
        <f t="shared" si="110"/>
        <v>0</v>
      </c>
      <c r="AY109" s="26">
        <f t="shared" si="111"/>
        <v>12449.974333435022</v>
      </c>
      <c r="AZ109" s="26"/>
      <c r="BA109" s="20">
        <f t="shared" si="112"/>
        <v>0.40291179072605254</v>
      </c>
      <c r="BB109" s="20">
        <f t="shared" si="113"/>
        <v>0.59708820927394746</v>
      </c>
      <c r="BC109" s="9">
        <v>5600</v>
      </c>
      <c r="BD109" s="30">
        <f t="shared" si="115"/>
        <v>9392.3486348383158</v>
      </c>
      <c r="BE109" s="30">
        <f t="shared" si="115"/>
        <v>3283.8178462477117</v>
      </c>
      <c r="BF109" s="30">
        <f t="shared" si="115"/>
        <v>3090.341709884076</v>
      </c>
      <c r="BG109" s="30">
        <f t="shared" si="115"/>
        <v>2443.1422467968273</v>
      </c>
      <c r="BH109" s="30">
        <f t="shared" si="115"/>
        <v>240.37522879804757</v>
      </c>
      <c r="BI109" s="31">
        <f t="shared" si="69"/>
        <v>18450.025666564976</v>
      </c>
      <c r="BK109" s="9" t="str">
        <f t="shared" si="70"/>
        <v>46001388</v>
      </c>
      <c r="BL109" s="26">
        <f t="shared" si="71"/>
        <v>30900</v>
      </c>
    </row>
    <row r="110" spans="1:64">
      <c r="A110" s="10" t="str">
        <f t="shared" si="64"/>
        <v>4600</v>
      </c>
      <c r="B110" s="10" t="str">
        <f t="shared" si="65"/>
        <v>1390</v>
      </c>
      <c r="C110" s="35" t="s">
        <v>229</v>
      </c>
      <c r="D110" s="16">
        <v>900010</v>
      </c>
      <c r="E110" s="32" t="s">
        <v>230</v>
      </c>
      <c r="F110" s="18">
        <f>IFERROR(VLOOKUP(C110,'[4]Revenue Data - FY19 MAR-YTD '!$C$3:$Q$82,15,FALSE),0)</f>
        <v>0</v>
      </c>
      <c r="G110" s="18"/>
      <c r="H110" s="18">
        <f t="shared" si="72"/>
        <v>0</v>
      </c>
      <c r="I110" s="18"/>
      <c r="J110" s="18">
        <f t="shared" si="73"/>
        <v>0</v>
      </c>
      <c r="K110" s="19"/>
      <c r="L110" s="20">
        <f t="shared" si="94"/>
        <v>1.03</v>
      </c>
      <c r="M110" s="18">
        <f t="shared" si="114"/>
        <v>0</v>
      </c>
      <c r="N110" s="19"/>
      <c r="O110" s="21">
        <v>0</v>
      </c>
      <c r="P110" s="18">
        <f t="shared" si="75"/>
        <v>0</v>
      </c>
      <c r="Q110" s="22"/>
      <c r="R110" s="24"/>
      <c r="S110" s="24"/>
      <c r="T110" s="24"/>
      <c r="U110" s="24"/>
      <c r="V110" s="24"/>
      <c r="W110" s="24"/>
      <c r="X110" s="24"/>
      <c r="Y110" s="25">
        <f t="shared" si="99"/>
        <v>0</v>
      </c>
      <c r="Z110" s="25">
        <f t="shared" si="100"/>
        <v>0</v>
      </c>
      <c r="AA110" s="25">
        <f t="shared" si="101"/>
        <v>0</v>
      </c>
      <c r="AB110" s="25">
        <f t="shared" si="102"/>
        <v>0</v>
      </c>
      <c r="AC110" s="25">
        <f t="shared" si="103"/>
        <v>0</v>
      </c>
      <c r="AD110" s="21">
        <f t="shared" si="104"/>
        <v>0</v>
      </c>
      <c r="AE110" s="26">
        <f t="shared" si="67"/>
        <v>0</v>
      </c>
      <c r="AF110" s="27">
        <f t="shared" si="106"/>
        <v>0.36150000000000004</v>
      </c>
      <c r="AG110" s="27">
        <f t="shared" si="107"/>
        <v>0.33960000000000001</v>
      </c>
      <c r="AH110" s="27">
        <f t="shared" si="108"/>
        <v>0.45699999999999996</v>
      </c>
      <c r="AI110" s="27">
        <f t="shared" si="109"/>
        <v>0.53780000000000006</v>
      </c>
      <c r="AJ110" s="27">
        <v>0</v>
      </c>
      <c r="AT110" s="18">
        <f t="shared" si="110"/>
        <v>0</v>
      </c>
      <c r="AU110" s="18">
        <f t="shared" si="110"/>
        <v>0</v>
      </c>
      <c r="AV110" s="18">
        <f t="shared" si="110"/>
        <v>0</v>
      </c>
      <c r="AW110" s="18">
        <f t="shared" si="110"/>
        <v>0</v>
      </c>
      <c r="AX110" s="18">
        <f t="shared" si="110"/>
        <v>0</v>
      </c>
      <c r="AY110" s="26">
        <f t="shared" si="111"/>
        <v>0</v>
      </c>
      <c r="AZ110" s="26"/>
      <c r="BA110" s="20"/>
      <c r="BB110" s="20"/>
      <c r="BC110" s="9">
        <v>5600</v>
      </c>
      <c r="BD110" s="30">
        <f t="shared" si="115"/>
        <v>0</v>
      </c>
      <c r="BE110" s="30">
        <f t="shared" si="115"/>
        <v>0</v>
      </c>
      <c r="BF110" s="30">
        <f t="shared" si="115"/>
        <v>0</v>
      </c>
      <c r="BG110" s="30">
        <f t="shared" si="115"/>
        <v>0</v>
      </c>
      <c r="BH110" s="30">
        <f t="shared" si="115"/>
        <v>0</v>
      </c>
      <c r="BI110" s="31">
        <f t="shared" si="69"/>
        <v>0</v>
      </c>
      <c r="BK110" s="9" t="str">
        <f t="shared" si="70"/>
        <v>46001390</v>
      </c>
      <c r="BL110" s="26">
        <f t="shared" si="71"/>
        <v>0</v>
      </c>
    </row>
    <row r="111" spans="1:64">
      <c r="A111" s="10" t="str">
        <f t="shared" si="64"/>
        <v>4600</v>
      </c>
      <c r="B111" s="10" t="str">
        <f t="shared" si="65"/>
        <v>1391</v>
      </c>
      <c r="C111" s="35" t="s">
        <v>231</v>
      </c>
      <c r="D111" s="16">
        <v>900010</v>
      </c>
      <c r="E111" s="32" t="s">
        <v>232</v>
      </c>
      <c r="F111" s="18">
        <f>IFERROR(VLOOKUP(C111,'[4]Revenue Data - FY19 MAR-YTD '!$C$3:$Q$82,15,FALSE),0)</f>
        <v>-289780.40000000002</v>
      </c>
      <c r="G111" s="18"/>
      <c r="H111" s="18">
        <f t="shared" si="72"/>
        <v>-289780.40000000002</v>
      </c>
      <c r="I111" s="18">
        <f>'[4]Statistics Projections'!J138</f>
        <v>1275</v>
      </c>
      <c r="J111" s="18">
        <f t="shared" si="73"/>
        <v>-227.27874509803922</v>
      </c>
      <c r="K111" s="19"/>
      <c r="L111" s="20">
        <f t="shared" si="94"/>
        <v>1.03</v>
      </c>
      <c r="M111" s="18">
        <f t="shared" si="114"/>
        <v>-234.1</v>
      </c>
      <c r="N111" s="19"/>
      <c r="O111" s="21">
        <f>'[4]Statistics Projections'!L138</f>
        <v>2241</v>
      </c>
      <c r="P111" s="18">
        <f t="shared" si="75"/>
        <v>524618.1</v>
      </c>
      <c r="Q111" s="22"/>
      <c r="R111" s="24">
        <f>VLOOKUP($C111,'[4]Revenue Data - FY19 MAR-YTD '!$C$3:$V$82,20,FALSE)</f>
        <v>0.55950436951567462</v>
      </c>
      <c r="S111" s="24">
        <f>VLOOKUP($C111,'[4]Revenue Data - FY19 MAR-YTD '!$C$3:$V$82,19,FALSE)</f>
        <v>0.11181225507315194</v>
      </c>
      <c r="T111" s="24">
        <f>VLOOKUP($C111,'[4]Revenue Data - FY19 MAR-YTD '!$C$3:$V$82,17,FALSE)</f>
        <v>0.16295097943132109</v>
      </c>
      <c r="U111" s="24">
        <f>VLOOKUP($C111,'[4]Revenue Data - FY19 MAR-YTD '!$C$3:$V$82,18,FALSE)</f>
        <v>0.16042492867012398</v>
      </c>
      <c r="V111" s="23">
        <f>VLOOKUP($C111,'[4]Revenue Data - FY19 MAR-YTD '!$C$3:$W$82,21,FALSE)</f>
        <v>5.3074673097283321E-3</v>
      </c>
      <c r="W111" s="24">
        <f t="shared" si="105"/>
        <v>0.99999999999999989</v>
      </c>
      <c r="X111" s="24"/>
      <c r="Y111" s="25">
        <f t="shared" si="99"/>
        <v>293526.11927701114</v>
      </c>
      <c r="Z111" s="25">
        <f t="shared" si="100"/>
        <v>58658.732813192328</v>
      </c>
      <c r="AA111" s="25">
        <f t="shared" si="101"/>
        <v>85487.03322239875</v>
      </c>
      <c r="AB111" s="25">
        <f t="shared" si="102"/>
        <v>84161.821271555964</v>
      </c>
      <c r="AC111" s="25">
        <f t="shared" si="103"/>
        <v>2784.3934158417892</v>
      </c>
      <c r="AD111" s="21">
        <f t="shared" si="104"/>
        <v>524618.09999999986</v>
      </c>
      <c r="AE111" s="26">
        <f t="shared" si="67"/>
        <v>0</v>
      </c>
      <c r="AF111" s="27">
        <f t="shared" si="106"/>
        <v>0.36150000000000004</v>
      </c>
      <c r="AG111" s="27">
        <f t="shared" si="107"/>
        <v>0.33960000000000001</v>
      </c>
      <c r="AH111" s="27">
        <f t="shared" si="108"/>
        <v>0.45699999999999996</v>
      </c>
      <c r="AI111" s="27">
        <f t="shared" si="109"/>
        <v>0.53780000000000006</v>
      </c>
      <c r="AJ111" s="27">
        <v>0</v>
      </c>
      <c r="AT111" s="18">
        <f t="shared" si="110"/>
        <v>106109.69211863953</v>
      </c>
      <c r="AU111" s="18">
        <f t="shared" si="110"/>
        <v>19920.505663360116</v>
      </c>
      <c r="AV111" s="18">
        <f t="shared" si="110"/>
        <v>39067.574182636228</v>
      </c>
      <c r="AW111" s="18">
        <f t="shared" si="110"/>
        <v>45262.227479842804</v>
      </c>
      <c r="AX111" s="18">
        <f t="shared" si="110"/>
        <v>0</v>
      </c>
      <c r="AY111" s="26">
        <f t="shared" si="111"/>
        <v>210359.99944447869</v>
      </c>
      <c r="AZ111" s="26"/>
      <c r="BA111" s="20">
        <f>AY111/AD111</f>
        <v>0.40097739564166535</v>
      </c>
      <c r="BB111" s="20">
        <f t="shared" si="113"/>
        <v>0.59902260435833465</v>
      </c>
      <c r="BC111" s="9">
        <v>5600</v>
      </c>
      <c r="BD111" s="30">
        <f t="shared" si="115"/>
        <v>187416.4271583716</v>
      </c>
      <c r="BE111" s="30">
        <f t="shared" si="115"/>
        <v>38738.227149832208</v>
      </c>
      <c r="BF111" s="30">
        <f t="shared" si="115"/>
        <v>46419.459039762522</v>
      </c>
      <c r="BG111" s="30">
        <f t="shared" si="115"/>
        <v>38899.59379171316</v>
      </c>
      <c r="BH111" s="30">
        <f t="shared" si="115"/>
        <v>2784.3934158417892</v>
      </c>
      <c r="BI111" s="31">
        <f t="shared" si="69"/>
        <v>314258.10055552132</v>
      </c>
      <c r="BK111" s="9" t="str">
        <f t="shared" si="70"/>
        <v>46001391</v>
      </c>
      <c r="BL111" s="26">
        <f t="shared" si="71"/>
        <v>524618.1</v>
      </c>
    </row>
    <row r="112" spans="1:64">
      <c r="A112" s="10" t="str">
        <f t="shared" si="64"/>
        <v>4600</v>
      </c>
      <c r="B112" s="10" t="str">
        <f t="shared" si="65"/>
        <v>1392</v>
      </c>
      <c r="C112" s="35" t="s">
        <v>233</v>
      </c>
      <c r="D112" s="16">
        <v>900010</v>
      </c>
      <c r="E112" s="32" t="s">
        <v>234</v>
      </c>
      <c r="F112" s="18">
        <f>IFERROR(VLOOKUP(C112,'[4]Revenue Data - FY19 MAR-YTD '!$C$3:$Q$82,15,FALSE),0)</f>
        <v>0</v>
      </c>
      <c r="G112" s="18"/>
      <c r="H112" s="18">
        <f t="shared" si="72"/>
        <v>0</v>
      </c>
      <c r="I112" s="18">
        <f>'[4]Statistics Projections'!J142</f>
        <v>0</v>
      </c>
      <c r="J112" s="18">
        <f t="shared" si="73"/>
        <v>0</v>
      </c>
      <c r="K112" s="19"/>
      <c r="L112" s="20">
        <f t="shared" si="94"/>
        <v>1.03</v>
      </c>
      <c r="M112" s="18">
        <f t="shared" si="114"/>
        <v>0</v>
      </c>
      <c r="N112" s="19"/>
      <c r="O112" s="21">
        <f>'[4]Statistics Projections'!L142</f>
        <v>0</v>
      </c>
      <c r="P112" s="18">
        <f t="shared" si="75"/>
        <v>0</v>
      </c>
      <c r="Q112" s="22"/>
      <c r="R112" s="24"/>
      <c r="S112" s="24"/>
      <c r="T112" s="24"/>
      <c r="U112" s="24"/>
      <c r="V112" s="24"/>
      <c r="W112" s="24"/>
      <c r="X112" s="24"/>
      <c r="Y112" s="25">
        <f t="shared" si="99"/>
        <v>0</v>
      </c>
      <c r="Z112" s="25">
        <f t="shared" si="100"/>
        <v>0</v>
      </c>
      <c r="AA112" s="25">
        <f t="shared" si="101"/>
        <v>0</v>
      </c>
      <c r="AB112" s="25">
        <f t="shared" si="102"/>
        <v>0</v>
      </c>
      <c r="AC112" s="25">
        <f t="shared" si="103"/>
        <v>0</v>
      </c>
      <c r="AD112" s="21">
        <f t="shared" si="104"/>
        <v>0</v>
      </c>
      <c r="AE112" s="26">
        <f t="shared" si="67"/>
        <v>0</v>
      </c>
      <c r="AF112" s="27">
        <f t="shared" si="106"/>
        <v>0.36150000000000004</v>
      </c>
      <c r="AG112" s="27">
        <f t="shared" si="107"/>
        <v>0.33960000000000001</v>
      </c>
      <c r="AH112" s="27">
        <f t="shared" si="108"/>
        <v>0.45699999999999996</v>
      </c>
      <c r="AI112" s="27">
        <f t="shared" si="109"/>
        <v>0.53780000000000006</v>
      </c>
      <c r="AJ112" s="27">
        <v>0</v>
      </c>
      <c r="AT112" s="18">
        <f t="shared" si="110"/>
        <v>0</v>
      </c>
      <c r="AU112" s="18">
        <f t="shared" si="110"/>
        <v>0</v>
      </c>
      <c r="AV112" s="18">
        <f t="shared" si="110"/>
        <v>0</v>
      </c>
      <c r="AW112" s="18">
        <f t="shared" si="110"/>
        <v>0</v>
      </c>
      <c r="AX112" s="18">
        <f t="shared" si="110"/>
        <v>0</v>
      </c>
      <c r="AY112" s="26">
        <f t="shared" si="111"/>
        <v>0</v>
      </c>
      <c r="AZ112" s="26"/>
      <c r="BA112" s="20" t="e">
        <f>AY112/AD112</f>
        <v>#DIV/0!</v>
      </c>
      <c r="BB112" s="20" t="e">
        <f t="shared" si="113"/>
        <v>#DIV/0!</v>
      </c>
      <c r="BC112" s="9">
        <v>5600</v>
      </c>
      <c r="BD112" s="30">
        <f t="shared" si="115"/>
        <v>0</v>
      </c>
      <c r="BE112" s="30">
        <f t="shared" si="115"/>
        <v>0</v>
      </c>
      <c r="BF112" s="30">
        <f t="shared" si="115"/>
        <v>0</v>
      </c>
      <c r="BG112" s="30">
        <f t="shared" si="115"/>
        <v>0</v>
      </c>
      <c r="BH112" s="30">
        <f t="shared" si="115"/>
        <v>0</v>
      </c>
      <c r="BI112" s="31">
        <f t="shared" si="69"/>
        <v>0</v>
      </c>
      <c r="BK112" s="9" t="str">
        <f t="shared" si="70"/>
        <v>46001392</v>
      </c>
      <c r="BL112" s="26">
        <f t="shared" si="71"/>
        <v>0</v>
      </c>
    </row>
    <row r="113" spans="1:64">
      <c r="A113" s="10" t="str">
        <f t="shared" si="64"/>
        <v>4600</v>
      </c>
      <c r="B113" s="10" t="str">
        <f t="shared" si="65"/>
        <v>1393</v>
      </c>
      <c r="C113" s="35" t="s">
        <v>235</v>
      </c>
      <c r="D113" s="16">
        <v>900010</v>
      </c>
      <c r="E113" s="32" t="s">
        <v>236</v>
      </c>
      <c r="F113" s="18">
        <f>IFERROR(VLOOKUP(C113,'[4]Revenue Data - FY19 MAR-YTD '!$C$3:$Q$82,15,FALSE),0)</f>
        <v>0</v>
      </c>
      <c r="G113" s="18"/>
      <c r="H113" s="18"/>
      <c r="I113" s="18">
        <v>0</v>
      </c>
      <c r="J113" s="18">
        <f t="shared" si="73"/>
        <v>0</v>
      </c>
      <c r="K113" s="19"/>
      <c r="L113" s="20">
        <f t="shared" si="94"/>
        <v>1.03</v>
      </c>
      <c r="M113" s="18">
        <f t="shared" si="114"/>
        <v>0</v>
      </c>
      <c r="N113" s="19"/>
      <c r="O113" s="21">
        <v>0</v>
      </c>
      <c r="P113" s="18">
        <f t="shared" si="75"/>
        <v>0</v>
      </c>
      <c r="Q113" s="22"/>
      <c r="R113" s="24"/>
      <c r="S113" s="24"/>
      <c r="T113" s="24"/>
      <c r="U113" s="24"/>
      <c r="V113" s="23"/>
      <c r="W113" s="24"/>
      <c r="X113" s="24"/>
      <c r="Y113" s="25">
        <f t="shared" si="99"/>
        <v>0</v>
      </c>
      <c r="Z113" s="25">
        <f t="shared" si="100"/>
        <v>0</v>
      </c>
      <c r="AA113" s="25">
        <f t="shared" si="101"/>
        <v>0</v>
      </c>
      <c r="AB113" s="25">
        <f t="shared" si="102"/>
        <v>0</v>
      </c>
      <c r="AC113" s="25">
        <f t="shared" si="103"/>
        <v>0</v>
      </c>
      <c r="AD113" s="21">
        <f t="shared" si="104"/>
        <v>0</v>
      </c>
      <c r="AE113" s="26">
        <f t="shared" si="67"/>
        <v>0</v>
      </c>
      <c r="AF113" s="27">
        <f t="shared" si="106"/>
        <v>0.36150000000000004</v>
      </c>
      <c r="AG113" s="27">
        <f t="shared" si="107"/>
        <v>0.33960000000000001</v>
      </c>
      <c r="AH113" s="27">
        <f t="shared" si="108"/>
        <v>0.45699999999999996</v>
      </c>
      <c r="AI113" s="27">
        <f t="shared" si="109"/>
        <v>0.53780000000000006</v>
      </c>
      <c r="AJ113" s="27">
        <v>0</v>
      </c>
      <c r="AT113" s="18">
        <f t="shared" si="110"/>
        <v>0</v>
      </c>
      <c r="AU113" s="18">
        <f t="shared" si="110"/>
        <v>0</v>
      </c>
      <c r="AV113" s="18">
        <f t="shared" si="110"/>
        <v>0</v>
      </c>
      <c r="AW113" s="18">
        <f t="shared" si="110"/>
        <v>0</v>
      </c>
      <c r="AX113" s="18">
        <f t="shared" si="110"/>
        <v>0</v>
      </c>
      <c r="AY113" s="26">
        <f t="shared" si="111"/>
        <v>0</v>
      </c>
      <c r="AZ113" s="26"/>
      <c r="BA113" s="20" t="e">
        <f>AY113/AD113</f>
        <v>#DIV/0!</v>
      </c>
      <c r="BB113" s="20" t="e">
        <f t="shared" si="113"/>
        <v>#DIV/0!</v>
      </c>
      <c r="BC113" s="9">
        <v>5600</v>
      </c>
      <c r="BD113" s="30">
        <f t="shared" si="115"/>
        <v>0</v>
      </c>
      <c r="BE113" s="30">
        <f t="shared" si="115"/>
        <v>0</v>
      </c>
      <c r="BF113" s="30">
        <f t="shared" si="115"/>
        <v>0</v>
      </c>
      <c r="BG113" s="30">
        <f t="shared" si="115"/>
        <v>0</v>
      </c>
      <c r="BH113" s="30">
        <f t="shared" si="115"/>
        <v>0</v>
      </c>
      <c r="BI113" s="31">
        <f t="shared" si="69"/>
        <v>0</v>
      </c>
      <c r="BK113" s="9" t="str">
        <f t="shared" si="70"/>
        <v>46001393</v>
      </c>
      <c r="BL113" s="26">
        <f t="shared" si="71"/>
        <v>0</v>
      </c>
    </row>
    <row r="114" spans="1:64">
      <c r="A114" s="10" t="str">
        <f t="shared" si="64"/>
        <v>4600</v>
      </c>
      <c r="B114" s="10" t="str">
        <f t="shared" si="65"/>
        <v>1394</v>
      </c>
      <c r="C114" s="35" t="s">
        <v>237</v>
      </c>
      <c r="D114" s="16">
        <v>900010</v>
      </c>
      <c r="E114" s="32" t="s">
        <v>238</v>
      </c>
      <c r="F114" s="18">
        <f>IFERROR(VLOOKUP(C114,'[4]Revenue Data - FY19 MAR-YTD '!$C$3:$Q$82,15,FALSE),0)</f>
        <v>-1670597.3800000001</v>
      </c>
      <c r="G114" s="18"/>
      <c r="H114" s="18">
        <f t="shared" si="72"/>
        <v>-1670597.3800000001</v>
      </c>
      <c r="I114" s="18">
        <f>'[4]Statistics Projections'!J146</f>
        <v>3100</v>
      </c>
      <c r="J114" s="18">
        <f t="shared" si="73"/>
        <v>-538.90238064516132</v>
      </c>
      <c r="K114" s="19"/>
      <c r="L114" s="20">
        <f t="shared" si="94"/>
        <v>1.03</v>
      </c>
      <c r="M114" s="18">
        <f t="shared" si="114"/>
        <v>-555.07000000000005</v>
      </c>
      <c r="N114" s="19"/>
      <c r="O114" s="21">
        <f>'[4]Statistics Projections'!L146</f>
        <v>6740</v>
      </c>
      <c r="P114" s="18">
        <f t="shared" si="75"/>
        <v>3741171.8000000003</v>
      </c>
      <c r="Q114" s="22"/>
      <c r="R114" s="24">
        <f>VLOOKUP($C114,'[4]Revenue Data - FY19 MAR-YTD '!$C$3:$V$82,20,FALSE)</f>
        <v>0.72660331838901848</v>
      </c>
      <c r="S114" s="24">
        <f>VLOOKUP($C114,'[4]Revenue Data - FY19 MAR-YTD '!$C$3:$V$82,19,FALSE)</f>
        <v>1.4399040898771191E-2</v>
      </c>
      <c r="T114" s="24">
        <f>VLOOKUP($C114,'[4]Revenue Data - FY19 MAR-YTD '!$C$3:$V$82,17,FALSE)</f>
        <v>0.12066940988498377</v>
      </c>
      <c r="U114" s="24">
        <f>VLOOKUP($C114,'[4]Revenue Data - FY19 MAR-YTD '!$C$3:$V$82,18,FALSE)</f>
        <v>0.13648518950748023</v>
      </c>
      <c r="V114" s="23">
        <f>VLOOKUP($C114,'[4]Revenue Data - FY19 MAR-YTD '!$C$3:$W$82,21,FALSE)</f>
        <v>1.8430413197463532E-3</v>
      </c>
      <c r="W114" s="24">
        <f t="shared" si="105"/>
        <v>1</v>
      </c>
      <c r="X114" s="24"/>
      <c r="Y114" s="25">
        <f t="shared" si="99"/>
        <v>2718347.8445434175</v>
      </c>
      <c r="Z114" s="25">
        <f t="shared" si="100"/>
        <v>53869.28575752944</v>
      </c>
      <c r="AA114" s="25">
        <f t="shared" si="101"/>
        <v>451444.99338434258</v>
      </c>
      <c r="AB114" s="25">
        <f t="shared" si="102"/>
        <v>510614.54210304096</v>
      </c>
      <c r="AC114" s="25">
        <f t="shared" si="103"/>
        <v>6895.1342116698406</v>
      </c>
      <c r="AD114" s="21">
        <f t="shared" si="104"/>
        <v>3741171.8000000003</v>
      </c>
      <c r="AE114" s="26">
        <f t="shared" si="67"/>
        <v>0</v>
      </c>
      <c r="AF114" s="27">
        <f t="shared" si="106"/>
        <v>0.36150000000000004</v>
      </c>
      <c r="AG114" s="27">
        <f t="shared" si="107"/>
        <v>0.33960000000000001</v>
      </c>
      <c r="AH114" s="27">
        <f t="shared" si="108"/>
        <v>0.45699999999999996</v>
      </c>
      <c r="AI114" s="27">
        <f t="shared" si="109"/>
        <v>0.53780000000000006</v>
      </c>
      <c r="AJ114" s="27">
        <v>0</v>
      </c>
      <c r="AT114" s="18">
        <f t="shared" si="110"/>
        <v>982682.74580244557</v>
      </c>
      <c r="AU114" s="18">
        <f t="shared" si="110"/>
        <v>18294.009443257</v>
      </c>
      <c r="AV114" s="18">
        <f t="shared" si="110"/>
        <v>206310.36197664455</v>
      </c>
      <c r="AW114" s="18">
        <f t="shared" si="110"/>
        <v>274608.50074301544</v>
      </c>
      <c r="AX114" s="18">
        <f t="shared" si="110"/>
        <v>0</v>
      </c>
      <c r="AY114" s="26">
        <f t="shared" si="111"/>
        <v>1481895.6179653625</v>
      </c>
      <c r="AZ114" s="26"/>
      <c r="BA114" s="20">
        <f>AY114/AD114</f>
        <v>0.39610466912141334</v>
      </c>
      <c r="BB114" s="20">
        <f t="shared" si="113"/>
        <v>0.6038953308785866</v>
      </c>
      <c r="BC114" s="9">
        <v>5600</v>
      </c>
      <c r="BD114" s="30">
        <f t="shared" si="115"/>
        <v>1735665.0987409719</v>
      </c>
      <c r="BE114" s="30">
        <f t="shared" si="115"/>
        <v>35575.276314272443</v>
      </c>
      <c r="BF114" s="30">
        <f t="shared" si="115"/>
        <v>245134.63140769803</v>
      </c>
      <c r="BG114" s="30">
        <f t="shared" si="115"/>
        <v>236006.04136002553</v>
      </c>
      <c r="BH114" s="30">
        <f t="shared" si="115"/>
        <v>6895.1342116698406</v>
      </c>
      <c r="BI114" s="31">
        <f t="shared" si="69"/>
        <v>2259276.1820346378</v>
      </c>
      <c r="BK114" s="9" t="str">
        <f t="shared" si="70"/>
        <v>46001394</v>
      </c>
      <c r="BL114" s="26">
        <f t="shared" si="71"/>
        <v>3741171.8000000003</v>
      </c>
    </row>
    <row r="115" spans="1:64">
      <c r="A115" s="10" t="str">
        <f t="shared" si="64"/>
        <v>4600</v>
      </c>
      <c r="B115" s="10" t="str">
        <f t="shared" si="65"/>
        <v>1395</v>
      </c>
      <c r="C115" s="35" t="s">
        <v>239</v>
      </c>
      <c r="D115" s="16">
        <v>900010</v>
      </c>
      <c r="E115" s="32" t="s">
        <v>240</v>
      </c>
      <c r="F115" s="18">
        <f>IFERROR(VLOOKUP(C115,'[4]Revenue Data - FY19 MAR-YTD '!$C$3:$Q$82,15,FALSE),0)</f>
        <v>-1311393.76</v>
      </c>
      <c r="G115" s="18"/>
      <c r="H115" s="18">
        <f t="shared" si="72"/>
        <v>-1311393.76</v>
      </c>
      <c r="I115" s="18">
        <f>'[4]Statistics Projections'!J148</f>
        <v>5238</v>
      </c>
      <c r="J115" s="18">
        <f t="shared" si="73"/>
        <v>-250.36154257350134</v>
      </c>
      <c r="K115" s="19"/>
      <c r="L115" s="20">
        <f t="shared" si="94"/>
        <v>1.03</v>
      </c>
      <c r="M115" s="18">
        <f t="shared" si="114"/>
        <v>-257.87</v>
      </c>
      <c r="N115" s="19"/>
      <c r="O115" s="21">
        <f>'[4]Statistics Projections'!L148</f>
        <v>11514.259999999998</v>
      </c>
      <c r="P115" s="18">
        <f t="shared" si="75"/>
        <v>2969182.2261999995</v>
      </c>
      <c r="Q115" s="22"/>
      <c r="R115" s="24">
        <f>VLOOKUP($C115,'[4]Revenue Data - FY19 MAR-YTD '!$C$3:$V$82,20,FALSE)</f>
        <v>0.30743660851337284</v>
      </c>
      <c r="S115" s="24">
        <f>VLOOKUP($C115,'[4]Revenue Data - FY19 MAR-YTD '!$C$3:$V$82,19,FALSE)</f>
        <v>0.19194318874904515</v>
      </c>
      <c r="T115" s="24">
        <f>VLOOKUP($C115,'[4]Revenue Data - FY19 MAR-YTD '!$C$3:$V$82,17,FALSE)</f>
        <v>0.29491381749444956</v>
      </c>
      <c r="U115" s="24">
        <f>VLOOKUP($C115,'[4]Revenue Data - FY19 MAR-YTD '!$C$3:$V$82,18,FALSE)</f>
        <v>0.19603254784436369</v>
      </c>
      <c r="V115" s="23">
        <f>VLOOKUP($C115,'[4]Revenue Data - FY19 MAR-YTD '!$C$3:$W$82,21,FALSE)</f>
        <v>9.6738373987687726E-3</v>
      </c>
      <c r="W115" s="24">
        <f t="shared" si="105"/>
        <v>1</v>
      </c>
      <c r="X115" s="24"/>
      <c r="Y115" s="25">
        <f t="shared" si="99"/>
        <v>912835.31368111412</v>
      </c>
      <c r="Z115" s="25">
        <f t="shared" si="100"/>
        <v>569914.30447381653</v>
      </c>
      <c r="AA115" s="25">
        <f t="shared" si="101"/>
        <v>875652.8651653101</v>
      </c>
      <c r="AB115" s="25">
        <f t="shared" si="102"/>
        <v>582056.35681618564</v>
      </c>
      <c r="AC115" s="25">
        <f t="shared" si="103"/>
        <v>28723.386063573074</v>
      </c>
      <c r="AD115" s="21">
        <f t="shared" si="104"/>
        <v>2969182.2261999995</v>
      </c>
      <c r="AE115" s="26">
        <f>P115-AD115</f>
        <v>0</v>
      </c>
      <c r="AF115" s="27">
        <f t="shared" si="106"/>
        <v>0.36150000000000004</v>
      </c>
      <c r="AG115" s="27">
        <f t="shared" si="107"/>
        <v>0.33960000000000001</v>
      </c>
      <c r="AH115" s="27">
        <f t="shared" si="108"/>
        <v>0.45699999999999996</v>
      </c>
      <c r="AI115" s="27">
        <f t="shared" si="109"/>
        <v>0.53780000000000006</v>
      </c>
      <c r="AJ115" s="27">
        <v>0</v>
      </c>
      <c r="AT115" s="18">
        <f t="shared" si="110"/>
        <v>329989.96589572279</v>
      </c>
      <c r="AU115" s="18">
        <f t="shared" si="110"/>
        <v>193542.89779930809</v>
      </c>
      <c r="AV115" s="18">
        <f t="shared" si="110"/>
        <v>400173.35938054667</v>
      </c>
      <c r="AW115" s="18">
        <f t="shared" si="110"/>
        <v>313029.90869574464</v>
      </c>
      <c r="AX115" s="18">
        <f t="shared" si="110"/>
        <v>0</v>
      </c>
      <c r="AY115" s="26">
        <f t="shared" si="111"/>
        <v>1236736.1317713221</v>
      </c>
      <c r="AZ115" s="26"/>
      <c r="BA115" s="20">
        <f>AY115/AD115</f>
        <v>0.41652415970242224</v>
      </c>
      <c r="BB115" s="20">
        <f t="shared" si="113"/>
        <v>0.58347584029757771</v>
      </c>
      <c r="BC115" s="9">
        <v>5600</v>
      </c>
      <c r="BD115" s="30">
        <f t="shared" si="115"/>
        <v>582845.34778539138</v>
      </c>
      <c r="BE115" s="30">
        <f t="shared" si="115"/>
        <v>376371.40667450847</v>
      </c>
      <c r="BF115" s="30">
        <f t="shared" si="115"/>
        <v>475479.50578476343</v>
      </c>
      <c r="BG115" s="30">
        <f t="shared" si="115"/>
        <v>269026.448120441</v>
      </c>
      <c r="BH115" s="30">
        <f t="shared" si="115"/>
        <v>28723.386063573074</v>
      </c>
      <c r="BI115" s="31">
        <f t="shared" si="69"/>
        <v>1732446.0944286776</v>
      </c>
      <c r="BK115" s="9" t="str">
        <f t="shared" si="70"/>
        <v>46001395</v>
      </c>
      <c r="BL115" s="26">
        <f t="shared" si="71"/>
        <v>2969182.2261999995</v>
      </c>
    </row>
    <row r="116" spans="1:64">
      <c r="A116" s="10" t="str">
        <f t="shared" si="64"/>
        <v>4600</v>
      </c>
      <c r="B116" s="10" t="str">
        <f>RIGHT(C116,4)</f>
        <v>1396</v>
      </c>
      <c r="C116" s="35" t="s">
        <v>241</v>
      </c>
      <c r="D116" s="16">
        <v>900010</v>
      </c>
      <c r="E116" s="32" t="s">
        <v>242</v>
      </c>
      <c r="F116" s="18">
        <f>IFERROR(VLOOKUP(C116,'[4]Revenue Data - FY19 MAR-YTD '!$C$3:$Q$82,15,FALSE),0)</f>
        <v>0</v>
      </c>
      <c r="G116" s="18"/>
      <c r="H116" s="18">
        <f t="shared" si="72"/>
        <v>0</v>
      </c>
      <c r="I116" s="18"/>
      <c r="J116" s="18">
        <f t="shared" si="73"/>
        <v>0</v>
      </c>
      <c r="K116" s="19"/>
      <c r="L116" s="20">
        <f t="shared" si="94"/>
        <v>1.03</v>
      </c>
      <c r="M116" s="18">
        <f t="shared" ref="M116:M119" si="116">J116*L116</f>
        <v>0</v>
      </c>
      <c r="N116" s="19"/>
      <c r="O116" s="21">
        <v>0</v>
      </c>
      <c r="P116" s="18">
        <f t="shared" si="75"/>
        <v>0</v>
      </c>
      <c r="Q116" s="22"/>
      <c r="R116" s="24"/>
      <c r="S116" s="24"/>
      <c r="T116" s="24"/>
      <c r="U116" s="24"/>
      <c r="V116" s="24"/>
      <c r="W116" s="24"/>
      <c r="X116" s="24"/>
      <c r="Y116" s="25">
        <f t="shared" si="99"/>
        <v>0</v>
      </c>
      <c r="Z116" s="25">
        <f t="shared" si="100"/>
        <v>0</v>
      </c>
      <c r="AA116" s="25">
        <f t="shared" si="101"/>
        <v>0</v>
      </c>
      <c r="AB116" s="25">
        <f t="shared" si="102"/>
        <v>0</v>
      </c>
      <c r="AC116" s="25">
        <f t="shared" si="103"/>
        <v>0</v>
      </c>
      <c r="AD116" s="21">
        <f>SUM(Y116:AC116)</f>
        <v>0</v>
      </c>
      <c r="AE116" s="26"/>
      <c r="AF116" s="27">
        <f t="shared" si="106"/>
        <v>0.36150000000000004</v>
      </c>
      <c r="AG116" s="27">
        <f t="shared" si="107"/>
        <v>0.33960000000000001</v>
      </c>
      <c r="AH116" s="27">
        <f t="shared" si="108"/>
        <v>0.45699999999999996</v>
      </c>
      <c r="AI116" s="27">
        <f t="shared" si="109"/>
        <v>0.53780000000000006</v>
      </c>
      <c r="AJ116" s="27">
        <v>0</v>
      </c>
      <c r="AT116" s="18">
        <f t="shared" si="110"/>
        <v>0</v>
      </c>
      <c r="AU116" s="18">
        <f t="shared" si="110"/>
        <v>0</v>
      </c>
      <c r="AV116" s="18">
        <f t="shared" si="110"/>
        <v>0</v>
      </c>
      <c r="AW116" s="18">
        <f t="shared" si="110"/>
        <v>0</v>
      </c>
      <c r="AX116" s="18">
        <f t="shared" si="110"/>
        <v>0</v>
      </c>
      <c r="AY116" s="26">
        <f>SUM(AT116:AX116)</f>
        <v>0</v>
      </c>
      <c r="AZ116" s="26"/>
      <c r="BA116" s="20"/>
      <c r="BB116" s="20"/>
      <c r="BC116" s="9">
        <v>5600</v>
      </c>
      <c r="BD116" s="30">
        <f t="shared" si="115"/>
        <v>0</v>
      </c>
      <c r="BE116" s="30">
        <f t="shared" si="115"/>
        <v>0</v>
      </c>
      <c r="BF116" s="30">
        <f t="shared" si="115"/>
        <v>0</v>
      </c>
      <c r="BG116" s="30">
        <f t="shared" si="115"/>
        <v>0</v>
      </c>
      <c r="BH116" s="30">
        <f t="shared" si="115"/>
        <v>0</v>
      </c>
      <c r="BI116" s="31">
        <f t="shared" si="69"/>
        <v>0</v>
      </c>
      <c r="BK116" s="9" t="str">
        <f t="shared" si="70"/>
        <v>46001396</v>
      </c>
      <c r="BL116" s="26">
        <f t="shared" si="71"/>
        <v>0</v>
      </c>
    </row>
    <row r="117" spans="1:64">
      <c r="A117" s="10" t="str">
        <f t="shared" si="64"/>
        <v>4600</v>
      </c>
      <c r="B117" s="10" t="str">
        <f>RIGHT(C117,4)</f>
        <v>1397</v>
      </c>
      <c r="C117" s="35" t="s">
        <v>243</v>
      </c>
      <c r="D117" s="16">
        <v>900010</v>
      </c>
      <c r="E117" s="32" t="s">
        <v>244</v>
      </c>
      <c r="F117" s="18">
        <f>IFERROR(VLOOKUP(C117,'[4]Revenue Data - FY19 MAR-YTD '!$C$3:$Q$82,15,FALSE),0)</f>
        <v>0</v>
      </c>
      <c r="G117" s="18"/>
      <c r="H117" s="18">
        <f t="shared" si="72"/>
        <v>0</v>
      </c>
      <c r="I117" s="18"/>
      <c r="J117" s="18">
        <f t="shared" si="73"/>
        <v>0</v>
      </c>
      <c r="K117" s="19"/>
      <c r="L117" s="20">
        <f t="shared" si="94"/>
        <v>1.03</v>
      </c>
      <c r="M117" s="18">
        <f t="shared" si="116"/>
        <v>0</v>
      </c>
      <c r="N117" s="19"/>
      <c r="O117" s="21">
        <v>0</v>
      </c>
      <c r="P117" s="18">
        <f t="shared" si="75"/>
        <v>0</v>
      </c>
      <c r="Q117" s="22"/>
      <c r="R117" s="24"/>
      <c r="S117" s="24"/>
      <c r="T117" s="24"/>
      <c r="U117" s="24"/>
      <c r="V117" s="24"/>
      <c r="W117" s="24"/>
      <c r="X117" s="24"/>
      <c r="Y117" s="25">
        <f t="shared" si="99"/>
        <v>0</v>
      </c>
      <c r="Z117" s="25">
        <f t="shared" si="100"/>
        <v>0</v>
      </c>
      <c r="AA117" s="25">
        <f t="shared" si="101"/>
        <v>0</v>
      </c>
      <c r="AB117" s="25">
        <f t="shared" si="102"/>
        <v>0</v>
      </c>
      <c r="AC117" s="25">
        <f t="shared" si="103"/>
        <v>0</v>
      </c>
      <c r="AD117" s="21">
        <f>SUM(Y117:AC117)</f>
        <v>0</v>
      </c>
      <c r="AE117" s="26"/>
      <c r="AF117" s="27">
        <f t="shared" si="106"/>
        <v>0.36150000000000004</v>
      </c>
      <c r="AG117" s="27">
        <f t="shared" si="107"/>
        <v>0.33960000000000001</v>
      </c>
      <c r="AH117" s="27">
        <f t="shared" si="108"/>
        <v>0.45699999999999996</v>
      </c>
      <c r="AI117" s="27">
        <f t="shared" si="109"/>
        <v>0.53780000000000006</v>
      </c>
      <c r="AJ117" s="27">
        <v>0</v>
      </c>
      <c r="AT117" s="18">
        <f t="shared" si="110"/>
        <v>0</v>
      </c>
      <c r="AU117" s="18">
        <f t="shared" si="110"/>
        <v>0</v>
      </c>
      <c r="AV117" s="18">
        <f t="shared" si="110"/>
        <v>0</v>
      </c>
      <c r="AW117" s="18">
        <f t="shared" si="110"/>
        <v>0</v>
      </c>
      <c r="AX117" s="18">
        <f t="shared" si="110"/>
        <v>0</v>
      </c>
      <c r="AY117" s="26">
        <f>SUM(AT117:AX117)</f>
        <v>0</v>
      </c>
      <c r="AZ117" s="26"/>
      <c r="BA117" s="20"/>
      <c r="BB117" s="20"/>
      <c r="BC117" s="9">
        <v>5600</v>
      </c>
      <c r="BD117" s="30">
        <f t="shared" si="115"/>
        <v>0</v>
      </c>
      <c r="BE117" s="30">
        <f t="shared" si="115"/>
        <v>0</v>
      </c>
      <c r="BF117" s="30">
        <f t="shared" si="115"/>
        <v>0</v>
      </c>
      <c r="BG117" s="30">
        <f t="shared" si="115"/>
        <v>0</v>
      </c>
      <c r="BH117" s="30">
        <f t="shared" si="115"/>
        <v>0</v>
      </c>
      <c r="BI117" s="31">
        <f t="shared" si="69"/>
        <v>0</v>
      </c>
      <c r="BK117" s="9" t="str">
        <f t="shared" si="70"/>
        <v>46001397</v>
      </c>
      <c r="BL117" s="26">
        <f t="shared" si="71"/>
        <v>0</v>
      </c>
    </row>
    <row r="118" spans="1:64">
      <c r="A118" s="10" t="str">
        <f t="shared" si="64"/>
        <v>4600</v>
      </c>
      <c r="B118" s="10" t="str">
        <f t="shared" si="65"/>
        <v>1436</v>
      </c>
      <c r="C118" s="35" t="s">
        <v>245</v>
      </c>
      <c r="D118" s="16">
        <v>900010</v>
      </c>
      <c r="E118" s="32" t="s">
        <v>246</v>
      </c>
      <c r="F118" s="18">
        <f>IFERROR(VLOOKUP(C118,'[4]Revenue Data - FY19 MAR-YTD '!$C$3:$Q$82,15,FALSE),0)</f>
        <v>0</v>
      </c>
      <c r="G118" s="18"/>
      <c r="H118" s="18">
        <f t="shared" si="72"/>
        <v>0</v>
      </c>
      <c r="I118" s="18"/>
      <c r="J118" s="18">
        <f t="shared" si="73"/>
        <v>0</v>
      </c>
      <c r="K118" s="19"/>
      <c r="L118" s="20">
        <f t="shared" si="94"/>
        <v>1.03</v>
      </c>
      <c r="M118" s="18">
        <f t="shared" si="116"/>
        <v>0</v>
      </c>
      <c r="N118" s="19"/>
      <c r="O118" s="21">
        <v>0</v>
      </c>
      <c r="P118" s="18">
        <f t="shared" si="75"/>
        <v>0</v>
      </c>
      <c r="Q118" s="22"/>
      <c r="R118" s="24"/>
      <c r="S118" s="24"/>
      <c r="T118" s="24"/>
      <c r="U118" s="24"/>
      <c r="V118" s="24"/>
      <c r="W118" s="24"/>
      <c r="X118" s="24"/>
      <c r="Y118" s="25">
        <f t="shared" si="99"/>
        <v>0</v>
      </c>
      <c r="Z118" s="25">
        <f t="shared" si="100"/>
        <v>0</v>
      </c>
      <c r="AA118" s="25">
        <f t="shared" si="101"/>
        <v>0</v>
      </c>
      <c r="AB118" s="25">
        <f t="shared" si="102"/>
        <v>0</v>
      </c>
      <c r="AC118" s="25">
        <f t="shared" si="103"/>
        <v>0</v>
      </c>
      <c r="AD118" s="21">
        <f>SUM(Y118:AC118)</f>
        <v>0</v>
      </c>
      <c r="AE118" s="26"/>
      <c r="AF118" s="27">
        <f t="shared" si="106"/>
        <v>0.36150000000000004</v>
      </c>
      <c r="AG118" s="27">
        <f t="shared" si="107"/>
        <v>0.33960000000000001</v>
      </c>
      <c r="AH118" s="27">
        <f t="shared" si="108"/>
        <v>0.45699999999999996</v>
      </c>
      <c r="AI118" s="27">
        <f t="shared" si="109"/>
        <v>0.53780000000000006</v>
      </c>
      <c r="AJ118" s="27">
        <v>0</v>
      </c>
      <c r="AT118" s="18">
        <f t="shared" si="110"/>
        <v>0</v>
      </c>
      <c r="AU118" s="18">
        <f t="shared" si="110"/>
        <v>0</v>
      </c>
      <c r="AV118" s="18">
        <f t="shared" si="110"/>
        <v>0</v>
      </c>
      <c r="AW118" s="18">
        <f t="shared" si="110"/>
        <v>0</v>
      </c>
      <c r="AX118" s="18">
        <f t="shared" si="110"/>
        <v>0</v>
      </c>
      <c r="AY118" s="26">
        <f>SUM(AT118:AX118)</f>
        <v>0</v>
      </c>
      <c r="AZ118" s="26"/>
      <c r="BA118" s="20"/>
      <c r="BB118" s="20"/>
      <c r="BC118" s="9">
        <v>5600</v>
      </c>
      <c r="BD118" s="30">
        <f t="shared" si="115"/>
        <v>0</v>
      </c>
      <c r="BE118" s="30">
        <f t="shared" si="115"/>
        <v>0</v>
      </c>
      <c r="BF118" s="30">
        <f t="shared" si="115"/>
        <v>0</v>
      </c>
      <c r="BG118" s="30">
        <f t="shared" si="115"/>
        <v>0</v>
      </c>
      <c r="BH118" s="30">
        <f t="shared" si="115"/>
        <v>0</v>
      </c>
      <c r="BI118" s="31">
        <f t="shared" si="69"/>
        <v>0</v>
      </c>
      <c r="BK118" s="9" t="str">
        <f t="shared" si="70"/>
        <v>46001436</v>
      </c>
      <c r="BL118" s="26">
        <f t="shared" si="71"/>
        <v>0</v>
      </c>
    </row>
    <row r="119" spans="1:64">
      <c r="A119" s="36" t="str">
        <f t="shared" si="64"/>
        <v>4600</v>
      </c>
      <c r="B119" s="36" t="str">
        <f t="shared" si="65"/>
        <v>1438</v>
      </c>
      <c r="C119" s="56" t="s">
        <v>247</v>
      </c>
      <c r="D119" s="38">
        <v>900010</v>
      </c>
      <c r="E119" s="59" t="s">
        <v>248</v>
      </c>
      <c r="F119" s="43">
        <f>IFERROR(VLOOKUP(C119,'[4]Revenue Data - FY19 MAR-YTD '!$C$3:$Q$82,15,FALSE),0)</f>
        <v>0</v>
      </c>
      <c r="G119" s="43"/>
      <c r="H119" s="43">
        <f t="shared" si="72"/>
        <v>0</v>
      </c>
      <c r="I119" s="43"/>
      <c r="J119" s="43">
        <f t="shared" si="73"/>
        <v>0</v>
      </c>
      <c r="K119" s="41"/>
      <c r="L119" s="20">
        <f>$AW$131</f>
        <v>1.03</v>
      </c>
      <c r="M119" s="43">
        <f t="shared" si="116"/>
        <v>0</v>
      </c>
      <c r="N119" s="41"/>
      <c r="O119" s="63">
        <v>0</v>
      </c>
      <c r="P119" s="43">
        <f t="shared" si="75"/>
        <v>0</v>
      </c>
      <c r="Q119" s="44"/>
      <c r="R119" s="45"/>
      <c r="S119" s="45"/>
      <c r="T119" s="45"/>
      <c r="U119" s="45"/>
      <c r="V119" s="45"/>
      <c r="W119" s="45"/>
      <c r="X119" s="45"/>
      <c r="Y119" s="63">
        <f t="shared" si="99"/>
        <v>0</v>
      </c>
      <c r="Z119" s="63">
        <f t="shared" si="100"/>
        <v>0</v>
      </c>
      <c r="AA119" s="63">
        <f t="shared" si="101"/>
        <v>0</v>
      </c>
      <c r="AB119" s="63">
        <f t="shared" si="102"/>
        <v>0</v>
      </c>
      <c r="AC119" s="63">
        <f t="shared" si="103"/>
        <v>0</v>
      </c>
      <c r="AD119" s="42">
        <f>SUM(Y119:AC119)</f>
        <v>0</v>
      </c>
      <c r="AE119" s="51"/>
      <c r="AF119" s="65"/>
      <c r="AG119" s="65"/>
      <c r="AH119" s="65"/>
      <c r="AI119" s="65"/>
      <c r="AJ119" s="65"/>
      <c r="AK119" s="39"/>
      <c r="AL119" s="39"/>
      <c r="AM119" s="39"/>
      <c r="AN119" s="39"/>
      <c r="AO119" s="39"/>
      <c r="AP119" s="39"/>
      <c r="AQ119" s="39"/>
      <c r="AR119" s="39"/>
      <c r="AS119" s="39"/>
      <c r="AT119" s="43">
        <f t="shared" si="110"/>
        <v>0</v>
      </c>
      <c r="AU119" s="43">
        <f t="shared" si="110"/>
        <v>0</v>
      </c>
      <c r="AV119" s="43">
        <f t="shared" si="110"/>
        <v>0</v>
      </c>
      <c r="AW119" s="43">
        <f t="shared" si="110"/>
        <v>0</v>
      </c>
      <c r="AX119" s="43">
        <f t="shared" si="110"/>
        <v>0</v>
      </c>
      <c r="AY119" s="51">
        <f>SUM(AT119:AX119)</f>
        <v>0</v>
      </c>
      <c r="AZ119" s="51"/>
      <c r="BA119" s="65"/>
      <c r="BB119" s="65"/>
      <c r="BC119" s="39">
        <v>5600</v>
      </c>
      <c r="BD119" s="49">
        <f t="shared" si="115"/>
        <v>0</v>
      </c>
      <c r="BE119" s="49">
        <f t="shared" si="115"/>
        <v>0</v>
      </c>
      <c r="BF119" s="49">
        <f t="shared" si="115"/>
        <v>0</v>
      </c>
      <c r="BG119" s="49">
        <f t="shared" si="115"/>
        <v>0</v>
      </c>
      <c r="BH119" s="49">
        <f t="shared" si="115"/>
        <v>0</v>
      </c>
      <c r="BI119" s="50">
        <f t="shared" si="69"/>
        <v>0</v>
      </c>
      <c r="BJ119" s="39"/>
      <c r="BK119" s="39" t="str">
        <f t="shared" si="70"/>
        <v>46001438</v>
      </c>
      <c r="BL119" s="51">
        <f t="shared" si="71"/>
        <v>0</v>
      </c>
    </row>
    <row r="120" spans="1:64">
      <c r="F120" s="26">
        <f>SUM(F7:F119)</f>
        <v>-50881055.330000006</v>
      </c>
      <c r="G120" s="26">
        <f>SUM(G7:G119)</f>
        <v>0</v>
      </c>
      <c r="H120" s="26">
        <f>SUM(H7:H119)</f>
        <v>-50881055.330000006</v>
      </c>
      <c r="I120" s="26"/>
      <c r="J120" s="26"/>
      <c r="M120" s="26"/>
      <c r="O120" s="26" t="s">
        <v>249</v>
      </c>
      <c r="P120" s="66">
        <f>SUM(P7:P119)</f>
        <v>107884786.37576139</v>
      </c>
      <c r="R120" s="24"/>
      <c r="S120" s="24"/>
      <c r="T120" s="24"/>
      <c r="U120" s="24"/>
      <c r="V120" s="24"/>
      <c r="W120" s="24"/>
      <c r="X120" s="24"/>
      <c r="Y120" s="26">
        <f t="shared" ref="Y120:AD120" si="117">SUM(Y7:Y119)</f>
        <v>61626454.038536541</v>
      </c>
      <c r="Z120" s="26">
        <f t="shared" si="117"/>
        <v>10958396.500951022</v>
      </c>
      <c r="AA120" s="26">
        <f t="shared" si="117"/>
        <v>16639743.277687822</v>
      </c>
      <c r="AB120" s="26">
        <f t="shared" si="117"/>
        <v>17355250.697394688</v>
      </c>
      <c r="AC120" s="26">
        <f t="shared" si="117"/>
        <v>1304941.8611913787</v>
      </c>
      <c r="AD120" s="26">
        <f t="shared" si="117"/>
        <v>107884786.37576139</v>
      </c>
      <c r="AT120" s="26">
        <f t="shared" ref="AT120:AX120" si="118">SUM(AT7:AT119)</f>
        <v>22922823.93576346</v>
      </c>
      <c r="AU120" s="26">
        <f t="shared" si="118"/>
        <v>2992834.1038558893</v>
      </c>
      <c r="AV120" s="26">
        <f t="shared" si="118"/>
        <v>10434121.765133571</v>
      </c>
      <c r="AW120" s="26">
        <f t="shared" si="118"/>
        <v>11432427.628555952</v>
      </c>
      <c r="AX120" s="26">
        <f t="shared" si="118"/>
        <v>0</v>
      </c>
      <c r="AY120" s="26">
        <f>SUM(AY7:AY119)</f>
        <v>47782207.433308855</v>
      </c>
      <c r="AZ120" s="26"/>
      <c r="BA120" s="20">
        <f>AY120/AD120</f>
        <v>0.4429003294948744</v>
      </c>
      <c r="BB120" s="20">
        <f t="shared" ref="BB120" si="119">1-BA120</f>
        <v>0.55709967050512565</v>
      </c>
      <c r="BC120" s="20"/>
      <c r="BD120" s="31">
        <f t="shared" ref="BD120:BI120" si="120">SUM(BD7:BD119)</f>
        <v>38703630.102773093</v>
      </c>
      <c r="BE120" s="31">
        <f t="shared" si="120"/>
        <v>7965562.3970951308</v>
      </c>
      <c r="BF120" s="31">
        <f t="shared" si="120"/>
        <v>6205621.5125542516</v>
      </c>
      <c r="BG120" s="31">
        <f t="shared" si="120"/>
        <v>5922823.0688387249</v>
      </c>
      <c r="BH120" s="31">
        <f t="shared" si="120"/>
        <v>1304941.8611913787</v>
      </c>
      <c r="BI120" s="31">
        <f t="shared" si="120"/>
        <v>60102578.942452572</v>
      </c>
    </row>
    <row r="121" spans="1:64">
      <c r="E121" s="67" t="s">
        <v>250</v>
      </c>
      <c r="F121" s="43">
        <v>-50884921.810000002</v>
      </c>
      <c r="H121" s="26">
        <f>H120-F120</f>
        <v>0</v>
      </c>
      <c r="O121" s="67" t="s">
        <v>251</v>
      </c>
      <c r="P121" s="18">
        <f>F121/6*-12</f>
        <v>101769843.62</v>
      </c>
      <c r="Y121" s="20">
        <f>Y120/$AD$120</f>
        <v>0.57122469357164374</v>
      </c>
      <c r="Z121" s="20">
        <f t="shared" ref="Z121:AD121" si="121">Z120/$AD$120</f>
        <v>0.10157499374177802</v>
      </c>
      <c r="AA121" s="20">
        <f t="shared" si="121"/>
        <v>0.15423623512338244</v>
      </c>
      <c r="AB121" s="20">
        <f t="shared" si="121"/>
        <v>0.16086837894776529</v>
      </c>
      <c r="AC121" s="20">
        <f t="shared" si="121"/>
        <v>1.2095698615431114E-2</v>
      </c>
      <c r="AD121" s="20">
        <f t="shared" si="121"/>
        <v>1</v>
      </c>
      <c r="AT121" s="24"/>
      <c r="AU121" s="24"/>
      <c r="AV121" s="24"/>
      <c r="AW121" s="24"/>
      <c r="AX121" s="24"/>
      <c r="AY121" s="18"/>
      <c r="AZ121" s="18"/>
      <c r="BD121" s="24">
        <f>BD120/Y120</f>
        <v>0.62803597426797841</v>
      </c>
      <c r="BE121" s="24">
        <f>BE120/Z120</f>
        <v>0.72689123781967935</v>
      </c>
      <c r="BF121" s="24">
        <f>BF120/AA120</f>
        <v>0.37293973885254283</v>
      </c>
      <c r="BG121" s="24">
        <f>BG120/AB120</f>
        <v>0.34126980774341908</v>
      </c>
      <c r="BH121" s="24">
        <f>BH120/$AC$120</f>
        <v>1</v>
      </c>
      <c r="BI121" s="24">
        <f>BI120/AD120</f>
        <v>0.55709967050512599</v>
      </c>
    </row>
    <row r="122" spans="1:64">
      <c r="F122" s="18">
        <f>F120-F121</f>
        <v>3866.4799999967217</v>
      </c>
      <c r="O122" s="9" t="s">
        <v>252</v>
      </c>
      <c r="P122" s="26">
        <f>P120-P121</f>
        <v>6114942.755761385</v>
      </c>
      <c r="AT122" s="24">
        <f t="shared" ref="AT122:AY122" si="122">AT120/Y120</f>
        <v>0.3719640257320217</v>
      </c>
      <c r="AU122" s="24">
        <f t="shared" si="122"/>
        <v>0.27310876218032054</v>
      </c>
      <c r="AV122" s="24">
        <f t="shared" si="122"/>
        <v>0.62706026114745717</v>
      </c>
      <c r="AW122" s="24">
        <f t="shared" si="122"/>
        <v>0.65873019225658025</v>
      </c>
      <c r="AX122" s="24">
        <f t="shared" si="122"/>
        <v>0</v>
      </c>
      <c r="AY122" s="24">
        <f t="shared" si="122"/>
        <v>0.4429003294948744</v>
      </c>
      <c r="AZ122" s="18"/>
    </row>
    <row r="123" spans="1:64">
      <c r="F123" s="58"/>
      <c r="M123" s="9" t="s">
        <v>253</v>
      </c>
      <c r="O123" s="9" t="s">
        <v>254</v>
      </c>
      <c r="P123" s="20">
        <f>P122/P120</f>
        <v>5.668030647493813E-2</v>
      </c>
      <c r="AD123" s="26"/>
      <c r="AT123" s="26"/>
      <c r="AY123" s="20"/>
      <c r="AZ123" s="18"/>
    </row>
    <row r="124" spans="1:64">
      <c r="AY124" s="26"/>
    </row>
    <row r="125" spans="1:64">
      <c r="O125" s="9" t="s">
        <v>255</v>
      </c>
      <c r="P125" s="26"/>
      <c r="AU125" s="26"/>
      <c r="AV125" s="26"/>
      <c r="AW125" s="26"/>
      <c r="AX125" s="26"/>
      <c r="BC125" s="9" t="s">
        <v>256</v>
      </c>
      <c r="BD125" s="26">
        <f>SUM(BD7:BD22)</f>
        <v>1648671.9082336896</v>
      </c>
      <c r="BE125" s="26">
        <f t="shared" ref="BE125:BI125" si="123">SUM(BE7:BE22)</f>
        <v>307619.74756672088</v>
      </c>
      <c r="BF125" s="26">
        <f t="shared" si="123"/>
        <v>228213.69836004297</v>
      </c>
      <c r="BG125" s="26">
        <f t="shared" si="123"/>
        <v>238544.50822180833</v>
      </c>
      <c r="BH125" s="26">
        <f t="shared" si="123"/>
        <v>30637.540607539671</v>
      </c>
      <c r="BI125" s="26">
        <f t="shared" si="123"/>
        <v>2453687.402989801</v>
      </c>
    </row>
    <row r="126" spans="1:64">
      <c r="O126" s="9" t="s">
        <v>257</v>
      </c>
      <c r="P126" s="18">
        <v>101585272</v>
      </c>
      <c r="AU126" s="26"/>
      <c r="AV126" s="26"/>
      <c r="AW126" s="26"/>
      <c r="AX126" s="26"/>
      <c r="BC126" s="9" t="s">
        <v>258</v>
      </c>
      <c r="BD126" s="26">
        <f>SUM(BD23:BD47)</f>
        <v>20725364.333767843</v>
      </c>
      <c r="BE126" s="26">
        <f t="shared" ref="BE126:BI126" si="124">SUM(BE23:BE47)</f>
        <v>4716448.89442713</v>
      </c>
      <c r="BF126" s="26">
        <f t="shared" si="124"/>
        <v>3082879.9587454214</v>
      </c>
      <c r="BG126" s="26">
        <f t="shared" si="124"/>
        <v>3287422.58108802</v>
      </c>
      <c r="BH126" s="26">
        <f t="shared" si="124"/>
        <v>992123.42174546269</v>
      </c>
      <c r="BI126" s="26">
        <f t="shared" si="124"/>
        <v>32804239.189773887</v>
      </c>
    </row>
    <row r="127" spans="1:64">
      <c r="O127" s="9" t="s">
        <v>259</v>
      </c>
      <c r="P127" s="26">
        <f>P120-P126</f>
        <v>6299514.3757613897</v>
      </c>
      <c r="AU127" s="26"/>
      <c r="AV127" s="26"/>
      <c r="AW127" s="26"/>
      <c r="AX127" s="26"/>
      <c r="BC127" s="9" t="s">
        <v>260</v>
      </c>
      <c r="BD127" s="26">
        <f>SUM(BD48:BD60)</f>
        <v>5459430.8682518732</v>
      </c>
      <c r="BE127" s="26">
        <f t="shared" ref="BE127:BI127" si="125">SUM(BE48:BE60)</f>
        <v>679204.53042379068</v>
      </c>
      <c r="BF127" s="26">
        <f t="shared" si="125"/>
        <v>272231.70039275294</v>
      </c>
      <c r="BG127" s="26">
        <f t="shared" si="125"/>
        <v>142734.24771842739</v>
      </c>
      <c r="BH127" s="26">
        <f t="shared" si="125"/>
        <v>26969.189158403035</v>
      </c>
      <c r="BI127" s="26">
        <f t="shared" si="125"/>
        <v>6580570.5359452479</v>
      </c>
    </row>
    <row r="128" spans="1:64">
      <c r="O128" s="9" t="s">
        <v>261</v>
      </c>
      <c r="P128" s="20">
        <f>(P120-P126)/P126</f>
        <v>6.2012083560315609E-2</v>
      </c>
      <c r="AU128" s="26"/>
      <c r="AV128" s="26"/>
      <c r="AW128" s="26"/>
      <c r="AX128" s="26"/>
      <c r="BC128" s="9" t="s">
        <v>262</v>
      </c>
      <c r="BD128" s="26">
        <f>SUM(BD70:BD84)</f>
        <v>3905323.9517885712</v>
      </c>
      <c r="BE128" s="26">
        <f t="shared" ref="BE128:BI128" si="126">SUM(BE70:BE84)</f>
        <v>324015.48179364117</v>
      </c>
      <c r="BF128" s="26">
        <f t="shared" si="126"/>
        <v>231389.09228665999</v>
      </c>
      <c r="BG128" s="26">
        <f t="shared" si="126"/>
        <v>308564.22668863216</v>
      </c>
      <c r="BH128" s="26">
        <f t="shared" si="126"/>
        <v>0</v>
      </c>
      <c r="BI128" s="26">
        <f t="shared" si="126"/>
        <v>4769292.752557504</v>
      </c>
    </row>
    <row r="129" spans="13:61">
      <c r="AU129" s="26"/>
      <c r="AV129" s="26"/>
      <c r="AW129" s="26"/>
      <c r="AX129" s="26"/>
      <c r="BC129" s="9" t="s">
        <v>263</v>
      </c>
      <c r="BD129" s="26">
        <f>SUM(BD85:BD119)</f>
        <v>6964839.0407310966</v>
      </c>
      <c r="BE129" s="26">
        <f t="shared" ref="BE129:BI129" si="127">SUM(BE85:BE119)</f>
        <v>1938273.742883848</v>
      </c>
      <c r="BF129" s="26">
        <f t="shared" si="127"/>
        <v>2390907.0627693757</v>
      </c>
      <c r="BG129" s="26">
        <f t="shared" si="127"/>
        <v>1945557.5051218383</v>
      </c>
      <c r="BH129" s="26">
        <f t="shared" si="127"/>
        <v>255211.70967997279</v>
      </c>
      <c r="BI129" s="26">
        <f t="shared" si="127"/>
        <v>13494789.061186131</v>
      </c>
    </row>
    <row r="130" spans="13:61">
      <c r="AU130" s="26"/>
      <c r="AV130" s="26"/>
      <c r="AW130" s="26"/>
      <c r="AX130" s="26"/>
      <c r="BD130" s="26">
        <f>SUM(BD125:BD129)</f>
        <v>38703630.102773078</v>
      </c>
      <c r="BE130" s="26">
        <f t="shared" ref="BE130:BI130" si="128">SUM(BE125:BE129)</f>
        <v>7965562.3970951298</v>
      </c>
      <c r="BF130" s="26">
        <f t="shared" si="128"/>
        <v>6205621.5125542525</v>
      </c>
      <c r="BG130" s="26">
        <f t="shared" si="128"/>
        <v>5922823.0688387267</v>
      </c>
      <c r="BH130" s="26">
        <f t="shared" si="128"/>
        <v>1304941.8611913782</v>
      </c>
      <c r="BI130" s="26">
        <f t="shared" si="128"/>
        <v>60102578.94245258</v>
      </c>
    </row>
    <row r="131" spans="13:61">
      <c r="AU131" s="26"/>
      <c r="AV131" s="26" t="s">
        <v>264</v>
      </c>
      <c r="AW131" s="24">
        <f>'[4]Price Sensitivity Analysis'!M14</f>
        <v>1.03</v>
      </c>
      <c r="AX131" s="26"/>
    </row>
    <row r="132" spans="13:61">
      <c r="AV132" s="26" t="s">
        <v>265</v>
      </c>
      <c r="AW132" s="24">
        <f>'[4]Price Sensitivity Analysis'!M13</f>
        <v>1.04</v>
      </c>
      <c r="AX132" s="20"/>
      <c r="BE132" s="23"/>
    </row>
    <row r="134" spans="13:61">
      <c r="AT134" s="8" t="s">
        <v>266</v>
      </c>
      <c r="AV134" s="8" t="s">
        <v>267</v>
      </c>
      <c r="AW134" s="8" t="s">
        <v>268</v>
      </c>
      <c r="AX134" s="8"/>
      <c r="BB134" s="13" t="s">
        <v>269</v>
      </c>
      <c r="BC134" s="13" t="s">
        <v>270</v>
      </c>
    </row>
    <row r="135" spans="13:61">
      <c r="AT135" s="26">
        <f>SUM(P7:P21)</f>
        <v>5328928.3788200207</v>
      </c>
      <c r="AU135" s="9">
        <v>4100</v>
      </c>
      <c r="AV135" s="26">
        <f>SUM(AY7:AY21)</f>
        <v>2875240.9758302188</v>
      </c>
      <c r="AW135" s="26">
        <f>-SUM(BI7:BI21)</f>
        <v>-2453687.402989801</v>
      </c>
      <c r="AX135" s="26"/>
      <c r="AY135" s="26">
        <f>SUM(AV135:AW135)</f>
        <v>421553.57284041774</v>
      </c>
      <c r="AZ135" s="26">
        <f>AY135-AT135</f>
        <v>-4907374.805979603</v>
      </c>
      <c r="BB135" s="24">
        <f>AW135/AT135</f>
        <v>-0.46044668431687924</v>
      </c>
      <c r="BC135" s="24">
        <f>AV135/AT135</f>
        <v>0.53955331568312059</v>
      </c>
      <c r="BE135" s="9">
        <v>16505100</v>
      </c>
      <c r="BF135" s="26">
        <f t="shared" ref="BF135:BF140" si="129">-AW135</f>
        <v>2453687.402989801</v>
      </c>
    </row>
    <row r="136" spans="13:61">
      <c r="AT136" s="26">
        <f>SUM(P23:P47)</f>
        <v>56929346.25</v>
      </c>
      <c r="AU136" s="9">
        <v>4200</v>
      </c>
      <c r="AV136" s="26">
        <f>SUM(AY23:AY47)</f>
        <v>24125107.06022612</v>
      </c>
      <c r="AW136" s="26">
        <f>-SUM(BI23:BI47)</f>
        <v>-32804239.189773887</v>
      </c>
      <c r="AX136" s="26"/>
      <c r="AY136" s="26">
        <f t="shared" ref="AY136:AY140" si="130">SUM(AV136:AW136)</f>
        <v>-8679132.1295477673</v>
      </c>
      <c r="AZ136" s="26">
        <f t="shared" ref="AZ136:AZ140" si="131">AY136-AT136</f>
        <v>-65608478.379547767</v>
      </c>
      <c r="BB136" s="24">
        <f t="shared" ref="BB136:BB141" si="132">AW136/AT136</f>
        <v>-0.57622722463239051</v>
      </c>
      <c r="BC136" s="24">
        <f t="shared" ref="BC136:BC141" si="133">AV136/AT136</f>
        <v>0.42377277536760966</v>
      </c>
      <c r="BE136" s="9">
        <v>16505200</v>
      </c>
      <c r="BF136" s="26">
        <f t="shared" si="129"/>
        <v>32804239.189773887</v>
      </c>
    </row>
    <row r="137" spans="13:61">
      <c r="AT137" s="26">
        <f>SUM(P48:P60)</f>
        <v>13518507.110000001</v>
      </c>
      <c r="AU137" s="9">
        <v>4300</v>
      </c>
      <c r="AV137" s="26">
        <f>SUM(AY48:AY60)</f>
        <v>6937936.5740547534</v>
      </c>
      <c r="AW137" s="26">
        <f>-SUM(BI48:BI60)</f>
        <v>-6580570.5359452479</v>
      </c>
      <c r="AX137" s="26"/>
      <c r="AY137" s="26">
        <f t="shared" si="130"/>
        <v>357366.03810950555</v>
      </c>
      <c r="AZ137" s="26">
        <f t="shared" si="131"/>
        <v>-13161141.071890496</v>
      </c>
      <c r="BB137" s="24">
        <f t="shared" si="132"/>
        <v>-0.48678234086050992</v>
      </c>
      <c r="BC137" s="24">
        <f t="shared" si="133"/>
        <v>0.51321765913949002</v>
      </c>
      <c r="BE137" s="9">
        <v>16505300</v>
      </c>
      <c r="BF137" s="26">
        <f t="shared" si="129"/>
        <v>6580570.5359452479</v>
      </c>
    </row>
    <row r="138" spans="13:61">
      <c r="AT138" s="26">
        <f>SUM(P61:P69)</f>
        <v>0</v>
      </c>
      <c r="AU138" s="9">
        <v>4400</v>
      </c>
      <c r="AV138" s="26">
        <f>SUM(AY61:AY69)</f>
        <v>0</v>
      </c>
      <c r="AW138" s="26">
        <f>-SUM(BI61:BI69)</f>
        <v>0</v>
      </c>
      <c r="AX138" s="26"/>
      <c r="AY138" s="26">
        <f t="shared" si="130"/>
        <v>0</v>
      </c>
      <c r="AZ138" s="26">
        <f t="shared" si="131"/>
        <v>0</v>
      </c>
      <c r="BB138" s="24"/>
      <c r="BC138" s="24"/>
      <c r="BE138" s="9">
        <v>16505400</v>
      </c>
      <c r="BF138" s="26">
        <f t="shared" si="129"/>
        <v>0</v>
      </c>
    </row>
    <row r="139" spans="13:61">
      <c r="AT139" s="26">
        <f>SUM(P70:P84)</f>
        <v>9397181.4255999997</v>
      </c>
      <c r="AU139" s="9">
        <v>4500</v>
      </c>
      <c r="AV139" s="26">
        <f>SUM(AY70:AY84)</f>
        <v>4627888.6730424957</v>
      </c>
      <c r="AW139" s="26">
        <f>-SUM(BI70:BI84)</f>
        <v>-4769292.752557504</v>
      </c>
      <c r="AX139" s="26"/>
      <c r="AY139" s="26">
        <f t="shared" si="130"/>
        <v>-141404.07951500826</v>
      </c>
      <c r="AZ139" s="26">
        <f t="shared" si="131"/>
        <v>-9538585.505115008</v>
      </c>
      <c r="BB139" s="24">
        <f t="shared" si="132"/>
        <v>-0.50752374957504764</v>
      </c>
      <c r="BC139" s="24">
        <f t="shared" si="133"/>
        <v>0.4924762504249523</v>
      </c>
      <c r="BE139" s="9">
        <v>16505500</v>
      </c>
      <c r="BF139" s="26">
        <f t="shared" si="129"/>
        <v>4769292.752557504</v>
      </c>
    </row>
    <row r="140" spans="13:61">
      <c r="AT140" s="51">
        <f>SUM(P85:P119)</f>
        <v>22710823.211341415</v>
      </c>
      <c r="AU140" s="9">
        <v>4600</v>
      </c>
      <c r="AV140" s="51">
        <f>SUM(AY85:AY119)</f>
        <v>9216034.1501552854</v>
      </c>
      <c r="AW140" s="51">
        <f>-SUM(BI85:BI119)</f>
        <v>-13494789.061186131</v>
      </c>
      <c r="AX140" s="26"/>
      <c r="AY140" s="26">
        <f t="shared" si="130"/>
        <v>-4278754.9110308457</v>
      </c>
      <c r="AZ140" s="26">
        <f t="shared" si="131"/>
        <v>-26989578.122372262</v>
      </c>
      <c r="BB140" s="24">
        <f t="shared" si="132"/>
        <v>-0.59420078856705882</v>
      </c>
      <c r="BC140" s="24">
        <f t="shared" si="133"/>
        <v>0.40579921143294129</v>
      </c>
      <c r="BE140" s="9">
        <v>16505600</v>
      </c>
      <c r="BF140" s="26">
        <f t="shared" si="129"/>
        <v>13494789.061186131</v>
      </c>
    </row>
    <row r="141" spans="13:61">
      <c r="AT141" s="26">
        <f>SUM(AT135:AT140)</f>
        <v>107884786.37576142</v>
      </c>
      <c r="AV141" s="26">
        <f>SUM(AV135:AV140)</f>
        <v>47782207.433308877</v>
      </c>
      <c r="AW141" s="26">
        <f>SUM(AW135:AW140)</f>
        <v>-60102578.94245258</v>
      </c>
      <c r="AX141" s="26"/>
      <c r="AZ141" s="26"/>
      <c r="BB141" s="68">
        <f t="shared" si="132"/>
        <v>-0.55709967050512588</v>
      </c>
      <c r="BC141" s="68">
        <f t="shared" si="133"/>
        <v>0.44290032949487446</v>
      </c>
      <c r="BF141" s="26"/>
    </row>
    <row r="142" spans="13:61">
      <c r="AT142" s="26">
        <f>AT141+P120</f>
        <v>215769572.75152281</v>
      </c>
      <c r="AU142" s="9" t="s">
        <v>271</v>
      </c>
      <c r="AV142" s="69" t="s">
        <v>272</v>
      </c>
      <c r="AW142" s="25">
        <f>AT141*AY142</f>
        <v>1887983.761575825</v>
      </c>
      <c r="AX142" s="18"/>
      <c r="AY142" s="28">
        <v>1.7500000000000002E-2</v>
      </c>
      <c r="BE142" s="9">
        <v>16505710</v>
      </c>
      <c r="BF142" s="26">
        <f t="shared" ref="BF142:BF146" si="134">AW142</f>
        <v>1887983.761575825</v>
      </c>
    </row>
    <row r="143" spans="13:61">
      <c r="M143" s="70"/>
      <c r="AU143" s="9" t="s">
        <v>273</v>
      </c>
      <c r="AV143" s="69" t="s">
        <v>274</v>
      </c>
      <c r="AW143" s="18">
        <f>-AY143*E120</f>
        <v>0</v>
      </c>
      <c r="AX143" s="18"/>
      <c r="AY143" s="28">
        <f>0</f>
        <v>0</v>
      </c>
      <c r="BF143" s="26"/>
    </row>
    <row r="144" spans="13:61">
      <c r="AU144" s="9" t="s">
        <v>275</v>
      </c>
      <c r="AV144" s="69" t="s">
        <v>276</v>
      </c>
      <c r="AW144" s="25">
        <f>AT141*AY144</f>
        <v>1078847.8637576143</v>
      </c>
      <c r="AX144" s="18"/>
      <c r="AY144" s="28">
        <v>0.01</v>
      </c>
      <c r="BE144" s="9">
        <v>16505700</v>
      </c>
      <c r="BF144" s="26">
        <f t="shared" si="134"/>
        <v>1078847.8637576143</v>
      </c>
    </row>
    <row r="145" spans="47:61">
      <c r="AV145" s="69" t="s">
        <v>277</v>
      </c>
      <c r="AW145" s="25">
        <v>0</v>
      </c>
      <c r="AX145" s="18"/>
      <c r="AY145" s="71"/>
      <c r="BE145" s="9">
        <v>16505720</v>
      </c>
      <c r="BF145" s="26">
        <f t="shared" si="134"/>
        <v>0</v>
      </c>
    </row>
    <row r="146" spans="47:61">
      <c r="AU146" s="9" t="s">
        <v>278</v>
      </c>
      <c r="AV146" s="69" t="s">
        <v>279</v>
      </c>
      <c r="AW146" s="63">
        <f>AT141*AY146</f>
        <v>269711.96593940357</v>
      </c>
      <c r="AX146" s="18"/>
      <c r="AY146" s="28">
        <v>2.5000000000000001E-3</v>
      </c>
      <c r="AZ146" s="9" t="s">
        <v>280</v>
      </c>
      <c r="BE146" s="9">
        <v>16505800</v>
      </c>
      <c r="BF146" s="26">
        <f t="shared" si="134"/>
        <v>269711.96593940357</v>
      </c>
    </row>
    <row r="147" spans="47:61">
      <c r="AU147" s="9" t="s">
        <v>281</v>
      </c>
      <c r="AV147" s="18"/>
      <c r="AW147" s="18">
        <f>AW141-AW142-AW144-AW145-AW146</f>
        <v>-63339122.533725426</v>
      </c>
      <c r="AX147" s="26"/>
      <c r="BF147" s="26"/>
    </row>
    <row r="148" spans="47:61">
      <c r="AU148" s="9" t="s">
        <v>282</v>
      </c>
      <c r="AV148" s="43"/>
      <c r="AW148" s="43">
        <v>300000</v>
      </c>
      <c r="AX148" s="18"/>
    </row>
    <row r="149" spans="47:61">
      <c r="AV149" s="18">
        <f>AV141+SUM(AW142:AW146,AW148)</f>
        <v>51318751.024581723</v>
      </c>
      <c r="AW149" s="26">
        <f>SUM(AW147:AW148)</f>
        <v>-63039122.533725426</v>
      </c>
      <c r="AX149" s="26">
        <f>AT141+AW149</f>
        <v>44845663.842035994</v>
      </c>
    </row>
    <row r="150" spans="47:61">
      <c r="AV150" s="43"/>
      <c r="AW150" s="20">
        <f>-AW149/AT141</f>
        <v>0.58431892624935011</v>
      </c>
      <c r="AX150" s="20"/>
    </row>
    <row r="151" spans="47:61">
      <c r="AV151" s="18">
        <f>AV149-AV150</f>
        <v>51318751.024581723</v>
      </c>
      <c r="AW151" s="26"/>
      <c r="AX151" s="26"/>
    </row>
    <row r="152" spans="47:61">
      <c r="AV152" s="18"/>
      <c r="AW152" s="26"/>
      <c r="AX152" s="26"/>
    </row>
    <row r="153" spans="47:61">
      <c r="AV153" s="18"/>
      <c r="AW153" s="18"/>
      <c r="AX153" s="18"/>
    </row>
    <row r="154" spans="47:61">
      <c r="AW154" s="26"/>
      <c r="AX154" s="26"/>
    </row>
    <row r="155" spans="47:61">
      <c r="AU155" s="72" t="s">
        <v>19</v>
      </c>
    </row>
    <row r="156" spans="47:61">
      <c r="AU156" s="72" t="s">
        <v>283</v>
      </c>
      <c r="AY156" s="100" t="s">
        <v>284</v>
      </c>
      <c r="AZ156" s="100"/>
      <c r="BA156" s="100"/>
      <c r="BB156" s="100"/>
      <c r="BC156" s="100"/>
      <c r="BD156" s="100"/>
      <c r="BE156" s="100"/>
      <c r="BF156" s="100"/>
      <c r="BG156" s="100"/>
      <c r="BH156" s="100"/>
      <c r="BI156" s="100"/>
    </row>
    <row r="157" spans="47:61">
      <c r="AZ157" s="34" t="s">
        <v>285</v>
      </c>
      <c r="BA157" s="34" t="s">
        <v>286</v>
      </c>
      <c r="BB157" s="34" t="s">
        <v>286</v>
      </c>
      <c r="BC157" s="34" t="s">
        <v>287</v>
      </c>
      <c r="BD157" s="34" t="s">
        <v>288</v>
      </c>
      <c r="BE157" s="34" t="s">
        <v>289</v>
      </c>
      <c r="BF157" s="34" t="s">
        <v>290</v>
      </c>
      <c r="BG157" s="34" t="s">
        <v>291</v>
      </c>
      <c r="BH157" s="34" t="s">
        <v>292</v>
      </c>
      <c r="BI157" s="34" t="s">
        <v>293</v>
      </c>
    </row>
    <row r="158" spans="47:61" ht="60" customHeight="1">
      <c r="AU158" s="9" t="s">
        <v>253</v>
      </c>
      <c r="AY158" s="9" t="s">
        <v>294</v>
      </c>
      <c r="AZ158" s="73" t="s">
        <v>295</v>
      </c>
      <c r="BA158" s="73" t="s">
        <v>296</v>
      </c>
      <c r="BB158" s="73" t="s">
        <v>296</v>
      </c>
      <c r="BC158" s="73" t="s">
        <v>297</v>
      </c>
      <c r="BD158" s="73" t="s">
        <v>297</v>
      </c>
      <c r="BE158" s="73" t="s">
        <v>298</v>
      </c>
      <c r="BF158" s="73" t="s">
        <v>299</v>
      </c>
      <c r="BG158" s="73" t="s">
        <v>300</v>
      </c>
      <c r="BH158" s="73" t="s">
        <v>301</v>
      </c>
      <c r="BI158" s="73" t="s">
        <v>302</v>
      </c>
    </row>
    <row r="159" spans="47:61">
      <c r="AU159" s="67" t="s">
        <v>29</v>
      </c>
      <c r="AV159" s="26">
        <f>AV141</f>
        <v>47782207.433308877</v>
      </c>
      <c r="AY159" s="9" t="s">
        <v>303</v>
      </c>
      <c r="AZ159" s="70">
        <v>27415830</v>
      </c>
      <c r="BA159" s="26">
        <v>-4567141</v>
      </c>
      <c r="BB159" s="26">
        <v>-6422789</v>
      </c>
      <c r="BE159" s="70">
        <f>AZ159+BA159+BB159</f>
        <v>16425900</v>
      </c>
      <c r="BF159" s="70">
        <f>BE159*2</f>
        <v>32851800</v>
      </c>
      <c r="BG159" s="74">
        <f>BF159*0.06</f>
        <v>1971108</v>
      </c>
      <c r="BH159" s="75">
        <f>BG159*0.75</f>
        <v>1478331</v>
      </c>
      <c r="BI159" s="75">
        <f>BH159/9</f>
        <v>164259</v>
      </c>
    </row>
    <row r="160" spans="47:61">
      <c r="AU160" s="67"/>
      <c r="AZ160" s="9" t="s">
        <v>304</v>
      </c>
    </row>
    <row r="161" spans="47:61">
      <c r="AU161" s="67" t="s">
        <v>305</v>
      </c>
      <c r="AV161" s="26">
        <f>-AT139</f>
        <v>-9397181.4255999997</v>
      </c>
      <c r="BI161" s="75"/>
    </row>
    <row r="162" spans="47:61">
      <c r="AU162" s="67" t="s">
        <v>306</v>
      </c>
      <c r="AV162" s="26">
        <f>-AT138</f>
        <v>0</v>
      </c>
    </row>
    <row r="163" spans="47:61">
      <c r="AU163" s="67" t="s">
        <v>260</v>
      </c>
      <c r="AV163" s="51">
        <f>-AT137</f>
        <v>-13518507.110000001</v>
      </c>
    </row>
    <row r="164" spans="47:61" ht="18.75">
      <c r="AU164" s="67" t="s">
        <v>307</v>
      </c>
      <c r="AV164" s="18">
        <f>SUM(AV161:AV163)</f>
        <v>-22915688.535599999</v>
      </c>
      <c r="AY164" s="76"/>
      <c r="AZ164" s="101" t="s">
        <v>308</v>
      </c>
      <c r="BA164" s="101"/>
      <c r="BB164" s="101"/>
      <c r="BC164" s="101"/>
      <c r="BD164" s="101"/>
      <c r="BE164" s="101"/>
    </row>
    <row r="165" spans="47:61" ht="21">
      <c r="AU165" s="67"/>
      <c r="AY165" s="77"/>
      <c r="AZ165" s="78" t="s">
        <v>47</v>
      </c>
      <c r="BA165" s="78" t="s">
        <v>48</v>
      </c>
      <c r="BB165" s="78" t="s">
        <v>49</v>
      </c>
      <c r="BC165" s="78" t="s">
        <v>50</v>
      </c>
      <c r="BD165" s="78" t="s">
        <v>51</v>
      </c>
      <c r="BE165" s="78" t="s">
        <v>53</v>
      </c>
    </row>
    <row r="166" spans="47:61" ht="18.75">
      <c r="AU166" s="67" t="s">
        <v>309</v>
      </c>
      <c r="AV166" s="26">
        <f>AV159+AV164</f>
        <v>24866518.897708878</v>
      </c>
      <c r="AY166" s="79" t="s">
        <v>310</v>
      </c>
      <c r="AZ166" s="80">
        <v>0.57122469357164374</v>
      </c>
      <c r="BA166" s="80">
        <v>0.10157499374177802</v>
      </c>
      <c r="BB166" s="80">
        <v>0.15423623512338244</v>
      </c>
      <c r="BC166" s="80">
        <v>0.16086837894776529</v>
      </c>
      <c r="BD166" s="80">
        <v>1.2095698615431114E-2</v>
      </c>
      <c r="BE166" s="81">
        <v>1</v>
      </c>
    </row>
    <row r="167" spans="47:61" ht="18.75">
      <c r="AU167" s="67" t="s">
        <v>311</v>
      </c>
      <c r="AV167" s="45">
        <v>0.06</v>
      </c>
      <c r="AY167" s="79" t="s">
        <v>312</v>
      </c>
      <c r="AZ167" s="80">
        <v>0.52380000000000004</v>
      </c>
      <c r="BA167" s="80">
        <v>0.1152</v>
      </c>
      <c r="BB167" s="80">
        <v>0.1903</v>
      </c>
      <c r="BC167" s="80">
        <v>0.1593</v>
      </c>
      <c r="BD167" s="80">
        <v>1.14E-2</v>
      </c>
      <c r="BE167" s="82">
        <f>SUM(AZ167:BD167)</f>
        <v>1</v>
      </c>
    </row>
    <row r="168" spans="47:61">
      <c r="AU168" s="67"/>
      <c r="AV168" s="26">
        <f t="shared" ref="AV168" si="135">AV166*AV167</f>
        <v>1491991.1338625327</v>
      </c>
    </row>
    <row r="169" spans="47:61">
      <c r="AU169" s="67"/>
      <c r="AV169" s="26"/>
    </row>
    <row r="170" spans="47:61">
      <c r="AU170" s="67" t="s">
        <v>313</v>
      </c>
      <c r="AV170" s="26">
        <f>ROUND(AV168,-3)</f>
        <v>1492000</v>
      </c>
    </row>
    <row r="171" spans="47:61">
      <c r="AU171" s="67" t="s">
        <v>314</v>
      </c>
      <c r="AV171" s="43"/>
    </row>
    <row r="172" spans="47:61">
      <c r="AU172" s="9" t="s">
        <v>315</v>
      </c>
      <c r="AV172" s="26">
        <f>AV170-AV171</f>
        <v>1492000</v>
      </c>
    </row>
    <row r="176" spans="47:61">
      <c r="AU176" s="13"/>
      <c r="AV176" s="13"/>
    </row>
    <row r="177" spans="46:56">
      <c r="AT177" s="67"/>
      <c r="AU177" s="18"/>
      <c r="AV177" s="18"/>
    </row>
    <row r="178" spans="46:56">
      <c r="AU178" s="18"/>
      <c r="AV178" s="18"/>
      <c r="BD178" s="83"/>
    </row>
    <row r="179" spans="46:56">
      <c r="AU179" s="18"/>
      <c r="AV179" s="18"/>
    </row>
    <row r="180" spans="46:56">
      <c r="AU180" s="18"/>
      <c r="AV180" s="18"/>
      <c r="AW180" s="67"/>
      <c r="AX180" s="26"/>
      <c r="AY180" s="84"/>
    </row>
    <row r="181" spans="46:56">
      <c r="AU181" s="18"/>
      <c r="AV181" s="18"/>
      <c r="AX181" s="18"/>
    </row>
    <row r="182" spans="46:56">
      <c r="AU182" s="18"/>
      <c r="AV182" s="18"/>
      <c r="AX182" s="26"/>
    </row>
    <row r="185" spans="46:56">
      <c r="AU185" s="18"/>
      <c r="AV185" s="18"/>
    </row>
    <row r="186" spans="46:56">
      <c r="AU186" s="18"/>
      <c r="AV186" s="18"/>
    </row>
    <row r="187" spans="46:56">
      <c r="AU187" s="18"/>
      <c r="AV187" s="18"/>
    </row>
    <row r="188" spans="46:56">
      <c r="AU188" s="18"/>
      <c r="AV188" s="18"/>
    </row>
    <row r="189" spans="46:56">
      <c r="AU189" s="18"/>
      <c r="AV189" s="18"/>
    </row>
    <row r="190" spans="46:56">
      <c r="AU190" s="18"/>
      <c r="AV190" s="18"/>
    </row>
    <row r="191" spans="46:56">
      <c r="AU191" s="18"/>
      <c r="AV191" s="18"/>
    </row>
    <row r="192" spans="46:56">
      <c r="AU192" s="18"/>
      <c r="AV192" s="18"/>
    </row>
    <row r="193" spans="47:48">
      <c r="AU193" s="18"/>
      <c r="AV193" s="18"/>
    </row>
    <row r="194" spans="47:48">
      <c r="AU194" s="18"/>
      <c r="AV194" s="18"/>
    </row>
    <row r="195" spans="47:48">
      <c r="AU195" s="18"/>
      <c r="AV195" s="18"/>
    </row>
    <row r="196" spans="47:48">
      <c r="AU196" s="18"/>
      <c r="AV196" s="18"/>
    </row>
    <row r="197" spans="47:48">
      <c r="AU197" s="18"/>
      <c r="AV197" s="18"/>
    </row>
  </sheetData>
  <mergeCells count="11">
    <mergeCell ref="Y2:AC5"/>
    <mergeCell ref="C1:E5"/>
    <mergeCell ref="F2:J5"/>
    <mergeCell ref="L2:M5"/>
    <mergeCell ref="O2:O5"/>
    <mergeCell ref="R2:W5"/>
    <mergeCell ref="AF2:AJ5"/>
    <mergeCell ref="AT2:AX5"/>
    <mergeCell ref="BD2:BH5"/>
    <mergeCell ref="AY156:BI156"/>
    <mergeCell ref="AZ164:BE164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0EBEC-9E6F-4962-BC5D-D9122ACDC25D}">
  <sheetPr>
    <tabColor theme="9" tint="0.59999389629810485"/>
  </sheetPr>
  <dimension ref="A1:BL197"/>
  <sheetViews>
    <sheetView zoomScale="55" zoomScaleNormal="55" workbookViewId="0">
      <pane xSplit="2" ySplit="6" topLeftCell="W7" activePane="bottomRight" state="frozen"/>
      <selection pane="topRight" activeCell="C1" sqref="C1"/>
      <selection pane="bottomLeft" activeCell="A7" sqref="A7"/>
      <selection pane="bottomRight" activeCell="AY24" sqref="AY24:AY40"/>
    </sheetView>
  </sheetViews>
  <sheetFormatPr defaultColWidth="8.7109375" defaultRowHeight="15" outlineLevelCol="1"/>
  <cols>
    <col min="1" max="1" width="6.7109375" style="9" customWidth="1"/>
    <col min="2" max="2" width="8" style="9" bestFit="1" customWidth="1"/>
    <col min="3" max="3" width="10.28515625" style="9" customWidth="1" outlineLevel="1"/>
    <col min="4" max="4" width="13.42578125" style="9" bestFit="1" customWidth="1" outlineLevel="1"/>
    <col min="5" max="5" width="15.140625" style="9" bestFit="1" customWidth="1" outlineLevel="1"/>
    <col min="6" max="6" width="17.7109375" style="9" customWidth="1"/>
    <col min="7" max="8" width="14" style="9" customWidth="1"/>
    <col min="9" max="9" width="10.42578125" style="9" customWidth="1"/>
    <col min="10" max="10" width="11" style="9" bestFit="1" customWidth="1"/>
    <col min="11" max="11" width="6.7109375" style="9" customWidth="1"/>
    <col min="12" max="12" width="13.85546875" style="9" bestFit="1" customWidth="1"/>
    <col min="13" max="13" width="14.28515625" style="9" customWidth="1"/>
    <col min="14" max="14" width="3.7109375" style="9" customWidth="1"/>
    <col min="15" max="15" width="19.85546875" style="9" customWidth="1"/>
    <col min="16" max="16" width="19.7109375" style="9" bestFit="1" customWidth="1"/>
    <col min="17" max="17" width="6" style="9" customWidth="1"/>
    <col min="18" max="18" width="14.5703125" style="9" customWidth="1"/>
    <col min="19" max="19" width="18.28515625" style="9" customWidth="1"/>
    <col min="20" max="23" width="14.5703125" style="9" customWidth="1"/>
    <col min="24" max="24" width="4" style="9" customWidth="1"/>
    <col min="25" max="26" width="14.7109375" style="9" customWidth="1"/>
    <col min="27" max="27" width="15.85546875" style="9" customWidth="1"/>
    <col min="28" max="28" width="13.42578125" style="9" customWidth="1"/>
    <col min="29" max="29" width="12.7109375" style="9" customWidth="1"/>
    <col min="30" max="30" width="15.42578125" style="9" bestFit="1" customWidth="1"/>
    <col min="31" max="31" width="10.5703125" style="9" bestFit="1" customWidth="1"/>
    <col min="32" max="36" width="12.7109375" style="9" customWidth="1"/>
    <col min="37" max="37" width="8.7109375" style="9"/>
    <col min="38" max="45" width="0" style="9" hidden="1" customWidth="1"/>
    <col min="46" max="46" width="16.28515625" style="9" customWidth="1"/>
    <col min="47" max="47" width="15.42578125" style="9" customWidth="1"/>
    <col min="48" max="48" width="15.7109375" style="9" customWidth="1"/>
    <col min="49" max="49" width="16.28515625" style="9" customWidth="1"/>
    <col min="50" max="50" width="14.42578125" style="9" customWidth="1"/>
    <col min="51" max="51" width="16.5703125" style="9" customWidth="1"/>
    <col min="52" max="52" width="15.28515625" style="9" customWidth="1"/>
    <col min="53" max="53" width="12.7109375" style="9" customWidth="1"/>
    <col min="54" max="54" width="15.5703125" style="9" customWidth="1"/>
    <col min="55" max="55" width="12.7109375" style="9" customWidth="1"/>
    <col min="56" max="58" width="14.42578125" style="9" customWidth="1"/>
    <col min="59" max="59" width="20.7109375" style="9" customWidth="1"/>
    <col min="60" max="60" width="19.140625" style="9" customWidth="1"/>
    <col min="61" max="61" width="16.5703125" style="9" customWidth="1"/>
    <col min="62" max="62" width="8.7109375" style="9"/>
    <col min="63" max="63" width="12" style="9" customWidth="1"/>
    <col min="64" max="64" width="13.7109375" style="9" bestFit="1" customWidth="1"/>
    <col min="65" max="16384" width="8.7109375" style="9"/>
  </cols>
  <sheetData>
    <row r="1" spans="1:64">
      <c r="A1" s="8" t="s">
        <v>19</v>
      </c>
      <c r="C1" s="102" t="s">
        <v>20</v>
      </c>
      <c r="D1" s="102"/>
      <c r="E1" s="102"/>
      <c r="AW1" s="10" t="s">
        <v>21</v>
      </c>
    </row>
    <row r="2" spans="1:64" ht="55.15" customHeight="1">
      <c r="A2" s="8" t="s">
        <v>22</v>
      </c>
      <c r="C2" s="102"/>
      <c r="D2" s="102"/>
      <c r="E2" s="102"/>
      <c r="F2" s="98" t="s">
        <v>23</v>
      </c>
      <c r="G2" s="98"/>
      <c r="H2" s="98"/>
      <c r="I2" s="98"/>
      <c r="J2" s="98"/>
      <c r="L2" s="98" t="s">
        <v>24</v>
      </c>
      <c r="M2" s="98"/>
      <c r="O2" s="98" t="s">
        <v>25</v>
      </c>
      <c r="P2" s="11"/>
      <c r="R2" s="98" t="s">
        <v>26</v>
      </c>
      <c r="S2" s="98"/>
      <c r="T2" s="98"/>
      <c r="U2" s="98"/>
      <c r="V2" s="98"/>
      <c r="W2" s="98"/>
      <c r="Y2" s="98" t="s">
        <v>27</v>
      </c>
      <c r="Z2" s="98"/>
      <c r="AA2" s="98"/>
      <c r="AB2" s="98"/>
      <c r="AC2" s="98"/>
      <c r="AF2" s="99" t="s">
        <v>28</v>
      </c>
      <c r="AG2" s="99"/>
      <c r="AH2" s="99"/>
      <c r="AI2" s="99"/>
      <c r="AJ2" s="99"/>
      <c r="AT2" s="98" t="s">
        <v>29</v>
      </c>
      <c r="AU2" s="98"/>
      <c r="AV2" s="98"/>
      <c r="AW2" s="98"/>
      <c r="AX2" s="98"/>
      <c r="BD2" s="98" t="s">
        <v>30</v>
      </c>
      <c r="BE2" s="98"/>
      <c r="BF2" s="98"/>
      <c r="BG2" s="98"/>
      <c r="BH2" s="98"/>
    </row>
    <row r="3" spans="1:64" ht="21" customHeight="1">
      <c r="A3" s="8" t="s">
        <v>31</v>
      </c>
      <c r="C3" s="102"/>
      <c r="D3" s="102"/>
      <c r="E3" s="102"/>
      <c r="F3" s="98"/>
      <c r="G3" s="98"/>
      <c r="H3" s="98"/>
      <c r="I3" s="98"/>
      <c r="J3" s="98"/>
      <c r="L3" s="98"/>
      <c r="M3" s="98"/>
      <c r="O3" s="98"/>
      <c r="P3" s="11"/>
      <c r="R3" s="98"/>
      <c r="S3" s="98"/>
      <c r="T3" s="98"/>
      <c r="U3" s="98"/>
      <c r="V3" s="98"/>
      <c r="W3" s="98"/>
      <c r="Y3" s="98"/>
      <c r="Z3" s="98"/>
      <c r="AA3" s="98"/>
      <c r="AB3" s="98"/>
      <c r="AC3" s="98"/>
      <c r="AF3" s="99"/>
      <c r="AG3" s="99"/>
      <c r="AH3" s="99"/>
      <c r="AI3" s="99"/>
      <c r="AJ3" s="99"/>
      <c r="AT3" s="98"/>
      <c r="AU3" s="98"/>
      <c r="AV3" s="98"/>
      <c r="AW3" s="98"/>
      <c r="AX3" s="98"/>
      <c r="BD3" s="98"/>
      <c r="BE3" s="98"/>
      <c r="BF3" s="98"/>
      <c r="BG3" s="98"/>
      <c r="BH3" s="98"/>
    </row>
    <row r="4" spans="1:64" ht="21" customHeight="1">
      <c r="C4" s="102"/>
      <c r="D4" s="102"/>
      <c r="E4" s="102"/>
      <c r="F4" s="98"/>
      <c r="G4" s="98"/>
      <c r="H4" s="98"/>
      <c r="I4" s="98"/>
      <c r="J4" s="98"/>
      <c r="L4" s="98"/>
      <c r="M4" s="98"/>
      <c r="O4" s="98"/>
      <c r="P4" s="11"/>
      <c r="R4" s="98"/>
      <c r="S4" s="98"/>
      <c r="T4" s="98"/>
      <c r="U4" s="98"/>
      <c r="V4" s="98"/>
      <c r="W4" s="98"/>
      <c r="Y4" s="98"/>
      <c r="Z4" s="98"/>
      <c r="AA4" s="98"/>
      <c r="AB4" s="98"/>
      <c r="AC4" s="98"/>
      <c r="AF4" s="99"/>
      <c r="AG4" s="99"/>
      <c r="AH4" s="99"/>
      <c r="AI4" s="99"/>
      <c r="AJ4" s="99"/>
      <c r="AT4" s="98"/>
      <c r="AU4" s="98"/>
      <c r="AV4" s="98"/>
      <c r="AW4" s="98"/>
      <c r="AX4" s="98"/>
      <c r="BD4" s="98"/>
      <c r="BE4" s="98"/>
      <c r="BF4" s="98"/>
      <c r="BG4" s="98"/>
      <c r="BH4" s="98"/>
    </row>
    <row r="5" spans="1:64" ht="21" customHeight="1">
      <c r="A5" s="8"/>
      <c r="B5" s="8"/>
      <c r="C5" s="102"/>
      <c r="D5" s="102"/>
      <c r="E5" s="102"/>
      <c r="F5" s="98"/>
      <c r="G5" s="98"/>
      <c r="H5" s="98"/>
      <c r="I5" s="98"/>
      <c r="J5" s="98"/>
      <c r="L5" s="98"/>
      <c r="M5" s="98"/>
      <c r="O5" s="98"/>
      <c r="P5" s="11"/>
      <c r="R5" s="98"/>
      <c r="S5" s="98"/>
      <c r="T5" s="98"/>
      <c r="U5" s="98"/>
      <c r="V5" s="98"/>
      <c r="W5" s="98"/>
      <c r="X5" s="12"/>
      <c r="Y5" s="98"/>
      <c r="Z5" s="98"/>
      <c r="AA5" s="98"/>
      <c r="AB5" s="98"/>
      <c r="AC5" s="98"/>
      <c r="AF5" s="99"/>
      <c r="AG5" s="99"/>
      <c r="AH5" s="99"/>
      <c r="AI5" s="99"/>
      <c r="AJ5" s="99"/>
      <c r="AK5" s="12"/>
      <c r="AL5" s="12"/>
      <c r="AM5" s="12"/>
      <c r="AN5" s="12"/>
      <c r="AO5" s="12"/>
      <c r="AP5" s="12"/>
      <c r="AQ5" s="12"/>
      <c r="AR5" s="12"/>
      <c r="AS5" s="12"/>
      <c r="AT5" s="98"/>
      <c r="AU5" s="98"/>
      <c r="AV5" s="98"/>
      <c r="AW5" s="98"/>
      <c r="AX5" s="98"/>
      <c r="BD5" s="98"/>
      <c r="BE5" s="98"/>
      <c r="BF5" s="98"/>
      <c r="BG5" s="98"/>
      <c r="BH5" s="98"/>
    </row>
    <row r="6" spans="1:64" ht="21" customHeight="1">
      <c r="A6" s="13" t="s">
        <v>32</v>
      </c>
      <c r="B6" s="13" t="s">
        <v>33</v>
      </c>
      <c r="C6" s="14" t="s">
        <v>34</v>
      </c>
      <c r="D6" s="13" t="s">
        <v>35</v>
      </c>
      <c r="E6" s="9" t="s">
        <v>36</v>
      </c>
      <c r="F6" s="13" t="s">
        <v>37</v>
      </c>
      <c r="G6" s="13" t="s">
        <v>38</v>
      </c>
      <c r="H6" s="13" t="s">
        <v>39</v>
      </c>
      <c r="I6" s="13" t="s">
        <v>40</v>
      </c>
      <c r="J6" s="13" t="s">
        <v>41</v>
      </c>
      <c r="K6" s="13" t="s">
        <v>42</v>
      </c>
      <c r="L6" s="13" t="s">
        <v>43</v>
      </c>
      <c r="M6" s="13" t="s">
        <v>44</v>
      </c>
      <c r="N6" s="13"/>
      <c r="O6" s="13" t="s">
        <v>45</v>
      </c>
      <c r="P6" s="13" t="s">
        <v>46</v>
      </c>
      <c r="Q6" s="13"/>
      <c r="R6" s="12" t="s">
        <v>47</v>
      </c>
      <c r="S6" s="12" t="s">
        <v>48</v>
      </c>
      <c r="T6" s="12" t="s">
        <v>49</v>
      </c>
      <c r="U6" s="12" t="s">
        <v>50</v>
      </c>
      <c r="V6" s="12" t="s">
        <v>51</v>
      </c>
      <c r="W6" s="12" t="s">
        <v>52</v>
      </c>
      <c r="X6" s="13"/>
      <c r="Y6" s="13" t="s">
        <v>47</v>
      </c>
      <c r="Z6" s="13" t="s">
        <v>48</v>
      </c>
      <c r="AA6" s="13" t="s">
        <v>49</v>
      </c>
      <c r="AB6" s="13" t="s">
        <v>50</v>
      </c>
      <c r="AC6" s="13" t="s">
        <v>51</v>
      </c>
      <c r="AD6" s="13" t="s">
        <v>53</v>
      </c>
      <c r="AE6" s="13" t="s">
        <v>54</v>
      </c>
      <c r="AF6" s="13" t="s">
        <v>47</v>
      </c>
      <c r="AG6" s="13" t="s">
        <v>48</v>
      </c>
      <c r="AH6" s="13" t="s">
        <v>49</v>
      </c>
      <c r="AI6" s="13" t="s">
        <v>50</v>
      </c>
      <c r="AJ6" s="13" t="s">
        <v>51</v>
      </c>
      <c r="AT6" s="13" t="s">
        <v>47</v>
      </c>
      <c r="AU6" s="13" t="s">
        <v>48</v>
      </c>
      <c r="AV6" s="13" t="s">
        <v>49</v>
      </c>
      <c r="AW6" s="13" t="s">
        <v>50</v>
      </c>
      <c r="AX6" s="13" t="s">
        <v>51</v>
      </c>
      <c r="AY6" s="13" t="s">
        <v>29</v>
      </c>
      <c r="AZ6" s="13"/>
      <c r="BA6" s="13" t="s">
        <v>55</v>
      </c>
      <c r="BB6" s="13" t="s">
        <v>56</v>
      </c>
      <c r="BC6" s="13" t="s">
        <v>57</v>
      </c>
      <c r="BD6" s="13" t="s">
        <v>47</v>
      </c>
      <c r="BE6" s="13" t="s">
        <v>48</v>
      </c>
      <c r="BF6" s="13" t="s">
        <v>49</v>
      </c>
      <c r="BG6" s="13" t="s">
        <v>50</v>
      </c>
      <c r="BH6" s="13" t="s">
        <v>51</v>
      </c>
      <c r="BI6" s="13" t="s">
        <v>58</v>
      </c>
    </row>
    <row r="7" spans="1:64">
      <c r="A7" s="10" t="str">
        <f t="shared" ref="A7:A70" si="0">LEFT(C7,4)</f>
        <v>4100</v>
      </c>
      <c r="B7" s="10" t="str">
        <f t="shared" ref="B7:B70" si="1">RIGHT(C7,4)</f>
        <v>1101</v>
      </c>
      <c r="C7" s="15" t="s">
        <v>59</v>
      </c>
      <c r="D7" s="16">
        <v>800000</v>
      </c>
      <c r="E7" s="17" t="s">
        <v>60</v>
      </c>
      <c r="F7" s="18">
        <f>IFERROR(VLOOKUP(C7,'[4]Revenue Data - FY19 MAR-YTD '!$C$3:$Q$82,15,FALSE),0)</f>
        <v>-1095951.1100000001</v>
      </c>
      <c r="G7" s="18"/>
      <c r="H7" s="18">
        <f>SUM(F7:G7)</f>
        <v>-1095951.1100000001</v>
      </c>
      <c r="I7" s="18">
        <f>'[4]Statistics Projections'!J3</f>
        <v>630</v>
      </c>
      <c r="J7" s="18">
        <f>IF(ISERROR(H7/I7),0,H7/I7)</f>
        <v>-1739.6049365079366</v>
      </c>
      <c r="K7" s="19"/>
      <c r="L7" s="20">
        <v>1</v>
      </c>
      <c r="M7" s="18">
        <f>(J7*L7)</f>
        <v>-1739.6049365079366</v>
      </c>
      <c r="N7" s="19"/>
      <c r="O7" s="21">
        <f>'[4]Statistics Projections'!L3</f>
        <v>1348</v>
      </c>
      <c r="P7" s="18">
        <f>O7*M7*-1</f>
        <v>2344987.4544126987</v>
      </c>
      <c r="Q7" s="22"/>
      <c r="R7" s="23">
        <f>VLOOKUP($C7,'[4]Revenue Data - FY19 MAR-YTD '!$C$3:$V$82,20,FALSE)</f>
        <v>0.78983906499259804</v>
      </c>
      <c r="S7" s="23">
        <f>VLOOKUP($C7,'[4]Revenue Data - FY19 MAR-YTD '!$C$3:$V$82,19,FALSE)</f>
        <v>6.5763882478297772E-2</v>
      </c>
      <c r="T7" s="23">
        <f>VLOOKUP($C7,'[4]Revenue Data - FY19 MAR-YTD '!$C$3:$V$82,17,FALSE)</f>
        <v>7.8004392002486309E-2</v>
      </c>
      <c r="U7" s="23">
        <f>VLOOKUP($C7,'[4]Revenue Data - FY19 MAR-YTD '!$C$3:$V$82,18,FALSE)</f>
        <v>6.3039308386666992E-2</v>
      </c>
      <c r="V7" s="23">
        <f>VLOOKUP($C7,'[4]Revenue Data - FY19 MAR-YTD '!$C$3:$W$82,21,FALSE)</f>
        <v>3.3533521399508413E-3</v>
      </c>
      <c r="W7" s="24">
        <f>SUM(R7:V7)</f>
        <v>0.99999999999999989</v>
      </c>
      <c r="X7" s="24"/>
      <c r="Y7" s="25">
        <f>$P$7*R7</f>
        <v>1852162.6984126987</v>
      </c>
      <c r="Z7" s="25">
        <f>$P$7*S7</f>
        <v>154215.47936507937</v>
      </c>
      <c r="AA7" s="25">
        <f>$P$7*T7</f>
        <v>182919.32063492064</v>
      </c>
      <c r="AB7" s="25">
        <f>$P$7*U7</f>
        <v>147826.38730158733</v>
      </c>
      <c r="AC7" s="25">
        <f>$P$7*V7</f>
        <v>7863.5686984126987</v>
      </c>
      <c r="AD7" s="21">
        <f>SUM(Y7:AC7)</f>
        <v>2344987.4544126992</v>
      </c>
      <c r="AE7" s="26">
        <f t="shared" ref="AE7:AE70" si="2">P7-AD7</f>
        <v>0</v>
      </c>
      <c r="AF7" s="27">
        <f>1-0.4446</f>
        <v>0.5554</v>
      </c>
      <c r="AG7" s="27">
        <f>1-0.7478</f>
        <v>0.25219999999999998</v>
      </c>
      <c r="AH7" s="28">
        <f t="shared" ref="AH7:AH19" si="3">1-0.2624-0.0839</f>
        <v>0.65370000000000006</v>
      </c>
      <c r="AI7" s="27">
        <f>1-0.459</f>
        <v>0.54099999999999993</v>
      </c>
      <c r="AJ7" s="27">
        <v>0</v>
      </c>
      <c r="AT7" s="18">
        <f>Y7*AF7</f>
        <v>1028691.1626984129</v>
      </c>
      <c r="AU7" s="18">
        <f>Z7*AG7</f>
        <v>38893.143895873014</v>
      </c>
      <c r="AV7" s="18">
        <f>AA7*AH7</f>
        <v>119574.35989904763</v>
      </c>
      <c r="AW7" s="18">
        <f>AB7*AI7</f>
        <v>79974.075530158734</v>
      </c>
      <c r="AX7" s="18">
        <f>AC7*AJ7</f>
        <v>0</v>
      </c>
      <c r="AY7" s="26">
        <f>SUM(AT7:AX7)</f>
        <v>1267132.7420234922</v>
      </c>
      <c r="AZ7" s="26"/>
      <c r="BA7" s="20">
        <f>AY7/AD7</f>
        <v>0.5403580047471277</v>
      </c>
      <c r="BB7" s="20">
        <f>1-BA7</f>
        <v>0.4596419952528723</v>
      </c>
      <c r="BC7" s="29">
        <v>5100</v>
      </c>
      <c r="BD7" s="30">
        <f t="shared" ref="BD7:BH38" si="4">Y7-AT7</f>
        <v>823471.5357142858</v>
      </c>
      <c r="BE7" s="30">
        <f t="shared" si="4"/>
        <v>115322.33546920636</v>
      </c>
      <c r="BF7" s="30">
        <f t="shared" si="4"/>
        <v>63344.960735873014</v>
      </c>
      <c r="BG7" s="30">
        <f t="shared" si="4"/>
        <v>67852.311771428591</v>
      </c>
      <c r="BH7" s="30">
        <f t="shared" si="4"/>
        <v>7863.5686984126987</v>
      </c>
      <c r="BI7" s="31">
        <f t="shared" ref="BI7:BI70" si="5">SUM(BD7:BH7)</f>
        <v>1077854.7123892065</v>
      </c>
      <c r="BK7" s="9" t="str">
        <f t="shared" ref="BK7:BK70" si="6">CONCATENATE(A7,B7)</f>
        <v>41001101</v>
      </c>
      <c r="BL7" s="26">
        <f t="shared" ref="BL7:BL70" si="7">P7</f>
        <v>2344987.4544126987</v>
      </c>
    </row>
    <row r="8" spans="1:64">
      <c r="A8" s="10" t="str">
        <f t="shared" si="0"/>
        <v>4100</v>
      </c>
      <c r="B8" s="10" t="str">
        <f t="shared" si="1"/>
        <v>1104</v>
      </c>
      <c r="C8" s="15" t="s">
        <v>61</v>
      </c>
      <c r="D8" s="16"/>
      <c r="E8" s="32" t="s">
        <v>62</v>
      </c>
      <c r="F8" s="18">
        <f>IFERROR(VLOOKUP(C8,'[4]Revenue Data - FY19 MAR-YTD '!$C$3:$Q$82,15,FALSE),0)</f>
        <v>0</v>
      </c>
      <c r="G8" s="18"/>
      <c r="H8" s="18">
        <f t="shared" ref="H8:H71" si="8">SUM(F8:G8)</f>
        <v>0</v>
      </c>
      <c r="I8" s="18">
        <v>0</v>
      </c>
      <c r="J8" s="18">
        <f t="shared" ref="J8:J71" si="9">IF(ISERROR(H8/I8),0,H8/I8)</f>
        <v>0</v>
      </c>
      <c r="K8" s="19"/>
      <c r="L8" s="20">
        <v>1</v>
      </c>
      <c r="M8" s="18">
        <f t="shared" ref="M8:M71" si="10">J8*L8</f>
        <v>0</v>
      </c>
      <c r="N8" s="19"/>
      <c r="O8" s="21">
        <v>0</v>
      </c>
      <c r="P8" s="18">
        <f t="shared" ref="P8:P71" si="11">O8*M8*-1</f>
        <v>0</v>
      </c>
      <c r="Q8" s="22"/>
      <c r="R8" s="24"/>
      <c r="S8" s="24"/>
      <c r="T8" s="24"/>
      <c r="U8" s="24"/>
      <c r="V8" s="24"/>
      <c r="W8" s="24">
        <v>0</v>
      </c>
      <c r="X8" s="24"/>
      <c r="Y8" s="33">
        <v>0</v>
      </c>
      <c r="Z8" s="33">
        <v>0</v>
      </c>
      <c r="AA8" s="33">
        <v>0</v>
      </c>
      <c r="AB8" s="33">
        <v>0</v>
      </c>
      <c r="AC8" s="33">
        <v>0</v>
      </c>
      <c r="AD8" s="21">
        <f t="shared" ref="AD8:AD48" si="12">SUM(Y8:AC8)</f>
        <v>0</v>
      </c>
      <c r="AE8" s="26">
        <f t="shared" si="2"/>
        <v>0</v>
      </c>
      <c r="AF8" s="27">
        <f t="shared" ref="AF8:AF19" si="13">1-0.4446</f>
        <v>0.5554</v>
      </c>
      <c r="AG8" s="27">
        <f t="shared" ref="AG8:AG19" si="14">1-0.7478</f>
        <v>0.25219999999999998</v>
      </c>
      <c r="AH8" s="28">
        <f t="shared" si="3"/>
        <v>0.65370000000000006</v>
      </c>
      <c r="AI8" s="27">
        <f t="shared" ref="AI8:AI19" si="15">1-0.459</f>
        <v>0.54099999999999993</v>
      </c>
      <c r="AJ8" s="27">
        <v>0</v>
      </c>
      <c r="BC8" s="29">
        <v>5100</v>
      </c>
      <c r="BD8" s="30">
        <f t="shared" si="4"/>
        <v>0</v>
      </c>
      <c r="BE8" s="30">
        <f t="shared" si="4"/>
        <v>0</v>
      </c>
      <c r="BF8" s="30">
        <f t="shared" si="4"/>
        <v>0</v>
      </c>
      <c r="BG8" s="30">
        <f t="shared" si="4"/>
        <v>0</v>
      </c>
      <c r="BH8" s="30">
        <f t="shared" si="4"/>
        <v>0</v>
      </c>
      <c r="BI8" s="31">
        <f t="shared" si="5"/>
        <v>0</v>
      </c>
      <c r="BK8" s="9" t="str">
        <f t="shared" si="6"/>
        <v>41001104</v>
      </c>
      <c r="BL8" s="26">
        <f t="shared" si="7"/>
        <v>0</v>
      </c>
    </row>
    <row r="9" spans="1:64">
      <c r="A9" s="10" t="str">
        <f t="shared" si="0"/>
        <v>4100</v>
      </c>
      <c r="B9" s="10" t="str">
        <f t="shared" si="1"/>
        <v>1172</v>
      </c>
      <c r="C9" s="15" t="s">
        <v>63</v>
      </c>
      <c r="D9" s="16"/>
      <c r="E9" s="34"/>
      <c r="F9" s="18">
        <f>IFERROR(VLOOKUP(C9,'[4]Revenue Data - FY19 MAR-YTD '!$C$3:$Q$82,15,FALSE),0)</f>
        <v>0</v>
      </c>
      <c r="G9" s="18"/>
      <c r="H9" s="18">
        <f t="shared" si="8"/>
        <v>0</v>
      </c>
      <c r="I9" s="18">
        <v>0</v>
      </c>
      <c r="J9" s="18">
        <f t="shared" si="9"/>
        <v>0</v>
      </c>
      <c r="K9" s="19"/>
      <c r="L9" s="20">
        <v>1</v>
      </c>
      <c r="M9" s="18">
        <f t="shared" si="10"/>
        <v>0</v>
      </c>
      <c r="N9" s="19"/>
      <c r="O9" s="21">
        <v>0</v>
      </c>
      <c r="P9" s="18">
        <f t="shared" si="11"/>
        <v>0</v>
      </c>
      <c r="Q9" s="22"/>
      <c r="R9" s="24"/>
      <c r="S9" s="24"/>
      <c r="T9" s="24"/>
      <c r="U9" s="24"/>
      <c r="V9" s="24"/>
      <c r="W9" s="24">
        <v>0</v>
      </c>
      <c r="X9" s="24"/>
      <c r="Y9" s="33">
        <v>0</v>
      </c>
      <c r="Z9" s="33">
        <v>0</v>
      </c>
      <c r="AA9" s="33">
        <v>0</v>
      </c>
      <c r="AB9" s="33">
        <v>0</v>
      </c>
      <c r="AC9" s="33">
        <v>0</v>
      </c>
      <c r="AD9" s="21">
        <f t="shared" si="12"/>
        <v>0</v>
      </c>
      <c r="AE9" s="26">
        <f t="shared" si="2"/>
        <v>0</v>
      </c>
      <c r="AF9" s="27">
        <f t="shared" si="13"/>
        <v>0.5554</v>
      </c>
      <c r="AG9" s="27">
        <f t="shared" si="14"/>
        <v>0.25219999999999998</v>
      </c>
      <c r="AH9" s="28">
        <f t="shared" si="3"/>
        <v>0.65370000000000006</v>
      </c>
      <c r="AI9" s="27">
        <f t="shared" si="15"/>
        <v>0.54099999999999993</v>
      </c>
      <c r="AJ9" s="27">
        <v>0</v>
      </c>
      <c r="BC9" s="29">
        <v>5100</v>
      </c>
      <c r="BD9" s="30">
        <f t="shared" si="4"/>
        <v>0</v>
      </c>
      <c r="BE9" s="30">
        <f t="shared" si="4"/>
        <v>0</v>
      </c>
      <c r="BF9" s="30">
        <f t="shared" si="4"/>
        <v>0</v>
      </c>
      <c r="BG9" s="30">
        <f t="shared" si="4"/>
        <v>0</v>
      </c>
      <c r="BH9" s="30">
        <f t="shared" si="4"/>
        <v>0</v>
      </c>
      <c r="BI9" s="31">
        <f t="shared" si="5"/>
        <v>0</v>
      </c>
      <c r="BK9" s="9" t="str">
        <f t="shared" si="6"/>
        <v>41001172</v>
      </c>
      <c r="BL9" s="26">
        <f t="shared" si="7"/>
        <v>0</v>
      </c>
    </row>
    <row r="10" spans="1:64">
      <c r="A10" s="10" t="str">
        <f t="shared" si="0"/>
        <v>4100</v>
      </c>
      <c r="B10" s="10" t="str">
        <f t="shared" si="1"/>
        <v>1210</v>
      </c>
      <c r="C10" s="15" t="s">
        <v>64</v>
      </c>
      <c r="D10" s="16">
        <v>810010</v>
      </c>
      <c r="E10" s="32" t="s">
        <v>65</v>
      </c>
      <c r="F10" s="18">
        <f>IFERROR(VLOOKUP(C10,'[4]Revenue Data - FY19 MAR-YTD '!$C$3:$Q$82,15,FALSE),0)</f>
        <v>-36008</v>
      </c>
      <c r="G10" s="18"/>
      <c r="H10" s="18">
        <f t="shared" si="8"/>
        <v>-36008</v>
      </c>
      <c r="I10" s="18">
        <f>'[4]Statistics Projections'!J19</f>
        <v>13</v>
      </c>
      <c r="J10" s="18">
        <f t="shared" si="9"/>
        <v>-2769.8461538461538</v>
      </c>
      <c r="K10" s="19"/>
      <c r="L10" s="20">
        <v>1</v>
      </c>
      <c r="M10" s="18">
        <f t="shared" si="10"/>
        <v>-2769.8461538461538</v>
      </c>
      <c r="N10" s="19"/>
      <c r="O10" s="21">
        <f>'[4]Statistics Projections'!L19</f>
        <v>25</v>
      </c>
      <c r="P10" s="18">
        <f t="shared" si="11"/>
        <v>69246.153846153844</v>
      </c>
      <c r="Q10" s="22"/>
      <c r="R10" s="24">
        <f>VLOOKUP($C10,'[4]Revenue Data - FY19 MAR-YTD '!$C$3:$V$82,20,FALSE)</f>
        <v>0.10133859142412797</v>
      </c>
      <c r="S10" s="24">
        <f>VLOOKUP($C10,'[4]Revenue Data - FY19 MAR-YTD '!$C$3:$V$82,19,FALSE)</f>
        <v>0.52899355698733619</v>
      </c>
      <c r="T10" s="24">
        <f>VLOOKUP($C10,'[4]Revenue Data - FY19 MAR-YTD '!$C$3:$V$82,17,FALSE)</f>
        <v>0.24211286380804264</v>
      </c>
      <c r="U10" s="24">
        <f>VLOOKUP($C10,'[4]Revenue Data - FY19 MAR-YTD '!$C$3:$V$82,18,FALSE)</f>
        <v>0.12755498778049323</v>
      </c>
      <c r="V10" s="23">
        <f>VLOOKUP($C10,'[4]Revenue Data - FY19 MAR-YTD '!$C$3:$W$82,21,FALSE)</f>
        <v>0</v>
      </c>
      <c r="W10" s="24">
        <f t="shared" ref="W10:W19" si="16">SUM(R10:V10)</f>
        <v>1</v>
      </c>
      <c r="X10" s="24"/>
      <c r="Y10" s="25">
        <f t="shared" ref="Y10:Y19" si="17">P10*R10</f>
        <v>7017.3076923076924</v>
      </c>
      <c r="Z10" s="25">
        <f t="shared" ref="Z10:Z19" si="18">P10*S10</f>
        <v>36630.769230769234</v>
      </c>
      <c r="AA10" s="25">
        <f t="shared" ref="AA10:AA19" si="19">P10*T10</f>
        <v>16765.384615384613</v>
      </c>
      <c r="AB10" s="25">
        <f t="shared" ref="AB10:AB19" si="20">P10*U10</f>
        <v>8832.6923076923085</v>
      </c>
      <c r="AC10" s="25">
        <f t="shared" ref="AC10:AC19" si="21">P10*V10</f>
        <v>0</v>
      </c>
      <c r="AD10" s="21">
        <f t="shared" si="12"/>
        <v>69246.153846153858</v>
      </c>
      <c r="AE10" s="26">
        <f t="shared" si="2"/>
        <v>0</v>
      </c>
      <c r="AF10" s="27">
        <f t="shared" si="13"/>
        <v>0.5554</v>
      </c>
      <c r="AG10" s="27">
        <f t="shared" si="14"/>
        <v>0.25219999999999998</v>
      </c>
      <c r="AH10" s="28">
        <f t="shared" si="3"/>
        <v>0.65370000000000006</v>
      </c>
      <c r="AI10" s="27">
        <f t="shared" si="15"/>
        <v>0.54099999999999993</v>
      </c>
      <c r="AJ10" s="27">
        <v>0</v>
      </c>
      <c r="AT10" s="18">
        <f t="shared" ref="AT10:AX19" si="22">Y10*AF10</f>
        <v>3897.4126923076924</v>
      </c>
      <c r="AU10" s="18">
        <f t="shared" si="22"/>
        <v>9238.2800000000007</v>
      </c>
      <c r="AV10" s="18">
        <f t="shared" si="22"/>
        <v>10959.531923076922</v>
      </c>
      <c r="AW10" s="18">
        <f t="shared" si="22"/>
        <v>4778.4865384615387</v>
      </c>
      <c r="AX10" s="18">
        <f t="shared" si="22"/>
        <v>0</v>
      </c>
      <c r="AY10" s="26">
        <f>SUM(AT10:AX10)</f>
        <v>28873.711153846154</v>
      </c>
      <c r="AZ10" s="26"/>
      <c r="BA10" s="20"/>
      <c r="BB10" s="20"/>
      <c r="BC10" s="29">
        <v>5100</v>
      </c>
      <c r="BD10" s="30">
        <f t="shared" si="4"/>
        <v>3119.895</v>
      </c>
      <c r="BE10" s="30">
        <f t="shared" si="4"/>
        <v>27392.489230769235</v>
      </c>
      <c r="BF10" s="30">
        <f t="shared" si="4"/>
        <v>5805.8526923076915</v>
      </c>
      <c r="BG10" s="30">
        <f t="shared" si="4"/>
        <v>4054.2057692307699</v>
      </c>
      <c r="BH10" s="30">
        <f t="shared" si="4"/>
        <v>0</v>
      </c>
      <c r="BI10" s="31">
        <f t="shared" si="5"/>
        <v>40372.442692307697</v>
      </c>
      <c r="BK10" s="9" t="str">
        <f t="shared" si="6"/>
        <v>41001210</v>
      </c>
      <c r="BL10" s="26">
        <f t="shared" si="7"/>
        <v>69246.153846153844</v>
      </c>
    </row>
    <row r="11" spans="1:64">
      <c r="A11" s="10" t="str">
        <f t="shared" si="0"/>
        <v>4100</v>
      </c>
      <c r="B11" s="10" t="str">
        <f t="shared" si="1"/>
        <v>1211</v>
      </c>
      <c r="C11" s="15" t="s">
        <v>66</v>
      </c>
      <c r="D11" s="16">
        <v>810011</v>
      </c>
      <c r="E11" s="32" t="s">
        <v>67</v>
      </c>
      <c r="F11" s="18">
        <f>IFERROR(VLOOKUP(C11,'[4]Revenue Data - FY19 MAR-YTD '!$C$3:$Q$82,15,FALSE),0)</f>
        <v>-196026.08</v>
      </c>
      <c r="G11" s="18">
        <f>-G51-G52-G74</f>
        <v>-4450</v>
      </c>
      <c r="H11" s="18">
        <f t="shared" si="8"/>
        <v>-200476.08</v>
      </c>
      <c r="I11" s="18">
        <f>'[4]Statistics Projections'!J25</f>
        <v>18</v>
      </c>
      <c r="J11" s="18">
        <f t="shared" si="9"/>
        <v>-11137.56</v>
      </c>
      <c r="K11" s="19"/>
      <c r="L11" s="20">
        <v>1</v>
      </c>
      <c r="M11" s="18">
        <f t="shared" si="10"/>
        <v>-11137.56</v>
      </c>
      <c r="N11" s="19"/>
      <c r="O11" s="21">
        <f>'[4]Statistics Projections'!L25</f>
        <v>46</v>
      </c>
      <c r="P11" s="18">
        <f t="shared" si="11"/>
        <v>512327.75999999995</v>
      </c>
      <c r="Q11" s="22"/>
      <c r="R11" s="24">
        <f>VLOOKUP($C11,'[4]Revenue Data - FY19 MAR-YTD '!$C$3:$V$82,20,FALSE)</f>
        <v>0.29633322259976841</v>
      </c>
      <c r="S11" s="24">
        <f>VLOOKUP($C11,'[4]Revenue Data - FY19 MAR-YTD '!$C$3:$V$82,19,FALSE)</f>
        <v>6.0988772514351156E-2</v>
      </c>
      <c r="T11" s="24">
        <f>VLOOKUP($C11,'[4]Revenue Data - FY19 MAR-YTD '!$C$3:$V$82,17,FALSE)</f>
        <v>0.27996254375948343</v>
      </c>
      <c r="U11" s="24">
        <f>VLOOKUP($C11,'[4]Revenue Data - FY19 MAR-YTD '!$C$3:$V$82,18,FALSE)</f>
        <v>0.36271546112639708</v>
      </c>
      <c r="V11" s="23">
        <f>VLOOKUP($C11,'[4]Revenue Data - FY19 MAR-YTD '!$C$3:$W$82,21,FALSE)</f>
        <v>0</v>
      </c>
      <c r="W11" s="24">
        <f t="shared" si="16"/>
        <v>1</v>
      </c>
      <c r="X11" s="24"/>
      <c r="Y11" s="25">
        <f t="shared" si="17"/>
        <v>151819.73614812072</v>
      </c>
      <c r="Z11" s="25">
        <f t="shared" si="18"/>
        <v>31246.241207427094</v>
      </c>
      <c r="AA11" s="25">
        <f t="shared" si="19"/>
        <v>143432.5829281981</v>
      </c>
      <c r="AB11" s="25">
        <f t="shared" si="20"/>
        <v>185829.19971625408</v>
      </c>
      <c r="AC11" s="25">
        <f t="shared" si="21"/>
        <v>0</v>
      </c>
      <c r="AD11" s="21">
        <f t="shared" si="12"/>
        <v>512327.75999999995</v>
      </c>
      <c r="AE11" s="26">
        <f t="shared" si="2"/>
        <v>0</v>
      </c>
      <c r="AF11" s="27">
        <f t="shared" si="13"/>
        <v>0.5554</v>
      </c>
      <c r="AG11" s="27">
        <f t="shared" si="14"/>
        <v>0.25219999999999998</v>
      </c>
      <c r="AH11" s="28">
        <f t="shared" si="3"/>
        <v>0.65370000000000006</v>
      </c>
      <c r="AI11" s="27">
        <f t="shared" si="15"/>
        <v>0.54099999999999993</v>
      </c>
      <c r="AJ11" s="27">
        <v>0</v>
      </c>
      <c r="AT11" s="18">
        <f t="shared" si="22"/>
        <v>84320.681456666251</v>
      </c>
      <c r="AU11" s="18">
        <f t="shared" si="22"/>
        <v>7880.3020325131129</v>
      </c>
      <c r="AV11" s="18">
        <f t="shared" si="22"/>
        <v>93761.879460163109</v>
      </c>
      <c r="AW11" s="18">
        <f t="shared" si="22"/>
        <v>100533.59704649344</v>
      </c>
      <c r="AX11" s="18">
        <f t="shared" si="22"/>
        <v>0</v>
      </c>
      <c r="AY11" s="26">
        <f t="shared" ref="AY11:AY19" si="23">SUM(AT11:AX11)</f>
        <v>286496.4599958359</v>
      </c>
      <c r="AZ11" s="26"/>
      <c r="BA11" s="20">
        <f t="shared" ref="BA11:BA19" si="24">AY11/AD11</f>
        <v>0.55920541958498582</v>
      </c>
      <c r="BB11" s="20">
        <f t="shared" ref="BB11:BB19" si="25">1-BA11</f>
        <v>0.44079458041501418</v>
      </c>
      <c r="BC11" s="29">
        <v>5100</v>
      </c>
      <c r="BD11" s="30">
        <f t="shared" si="4"/>
        <v>67499.054691454468</v>
      </c>
      <c r="BE11" s="30">
        <f t="shared" si="4"/>
        <v>23365.939174913983</v>
      </c>
      <c r="BF11" s="30">
        <f t="shared" si="4"/>
        <v>49670.70346803499</v>
      </c>
      <c r="BG11" s="30">
        <f t="shared" si="4"/>
        <v>85295.602669760643</v>
      </c>
      <c r="BH11" s="30">
        <f t="shared" si="4"/>
        <v>0</v>
      </c>
      <c r="BI11" s="31">
        <f t="shared" si="5"/>
        <v>225831.30000416411</v>
      </c>
      <c r="BK11" s="9" t="str">
        <f t="shared" si="6"/>
        <v>41001211</v>
      </c>
      <c r="BL11" s="26">
        <f t="shared" si="7"/>
        <v>512327.75999999995</v>
      </c>
    </row>
    <row r="12" spans="1:64">
      <c r="A12" s="10" t="str">
        <f t="shared" si="0"/>
        <v>4100</v>
      </c>
      <c r="B12" s="10" t="str">
        <f t="shared" si="1"/>
        <v>1215</v>
      </c>
      <c r="C12" s="15" t="s">
        <v>68</v>
      </c>
      <c r="D12" s="16">
        <v>810125</v>
      </c>
      <c r="E12" s="32" t="s">
        <v>69</v>
      </c>
      <c r="F12" s="18">
        <f>IFERROR(VLOOKUP(C12,'[4]Revenue Data - FY19 MAR-YTD '!$C$3:$Q$82,15,FALSE),0)</f>
        <v>-33640.74</v>
      </c>
      <c r="G12" s="18"/>
      <c r="H12" s="18">
        <f t="shared" si="8"/>
        <v>-33640.74</v>
      </c>
      <c r="I12" s="18">
        <f>'[4]Statistics Projections'!J31</f>
        <v>1575</v>
      </c>
      <c r="J12" s="18">
        <f t="shared" si="9"/>
        <v>-21.359199999999998</v>
      </c>
      <c r="K12" s="19"/>
      <c r="L12" s="20">
        <v>1</v>
      </c>
      <c r="M12" s="18">
        <f t="shared" si="10"/>
        <v>-21.359199999999998</v>
      </c>
      <c r="N12" s="19"/>
      <c r="O12" s="21">
        <f>'[4]Statistics Projections'!L31</f>
        <v>7574</v>
      </c>
      <c r="P12" s="18">
        <f t="shared" si="11"/>
        <v>161774.5808</v>
      </c>
      <c r="Q12" s="22"/>
      <c r="R12" s="24">
        <f>VLOOKUP($C12,'[4]Revenue Data - FY19 MAR-YTD '!$C$3:$V$82,20,FALSE)</f>
        <v>0.35302760878625145</v>
      </c>
      <c r="S12" s="24">
        <f>VLOOKUP($C12,'[4]Revenue Data - FY19 MAR-YTD '!$C$3:$V$82,19,FALSE)</f>
        <v>6.7229198882069782E-2</v>
      </c>
      <c r="T12" s="24">
        <f>VLOOKUP($C12,'[4]Revenue Data - FY19 MAR-YTD '!$C$3:$V$82,17,FALSE)</f>
        <v>0.26129270640301017</v>
      </c>
      <c r="U12" s="24">
        <f>VLOOKUP($C12,'[4]Revenue Data - FY19 MAR-YTD '!$C$3:$V$82,18,FALSE)</f>
        <v>0.31845048592866865</v>
      </c>
      <c r="V12" s="23">
        <f>VLOOKUP($C12,'[4]Revenue Data - FY19 MAR-YTD '!$C$3:$W$82,21,FALSE)</f>
        <v>0</v>
      </c>
      <c r="W12" s="24">
        <f t="shared" si="16"/>
        <v>1</v>
      </c>
      <c r="X12" s="24"/>
      <c r="Y12" s="25">
        <f t="shared" si="17"/>
        <v>57110.893422222223</v>
      </c>
      <c r="Z12" s="25">
        <f t="shared" si="18"/>
        <v>10875.975466666667</v>
      </c>
      <c r="AA12" s="25">
        <f t="shared" si="19"/>
        <v>42270.518044444441</v>
      </c>
      <c r="AB12" s="25">
        <f t="shared" si="20"/>
        <v>51517.193866666668</v>
      </c>
      <c r="AC12" s="25">
        <f t="shared" si="21"/>
        <v>0</v>
      </c>
      <c r="AD12" s="21">
        <f t="shared" si="12"/>
        <v>161774.5808</v>
      </c>
      <c r="AE12" s="26">
        <f t="shared" si="2"/>
        <v>0</v>
      </c>
      <c r="AF12" s="27">
        <f t="shared" si="13"/>
        <v>0.5554</v>
      </c>
      <c r="AG12" s="27">
        <f t="shared" si="14"/>
        <v>0.25219999999999998</v>
      </c>
      <c r="AH12" s="28">
        <f t="shared" si="3"/>
        <v>0.65370000000000006</v>
      </c>
      <c r="AI12" s="27">
        <f t="shared" si="15"/>
        <v>0.54099999999999993</v>
      </c>
      <c r="AJ12" s="27">
        <v>0</v>
      </c>
      <c r="AT12" s="18">
        <f t="shared" si="22"/>
        <v>31719.390206702225</v>
      </c>
      <c r="AU12" s="18">
        <f t="shared" si="22"/>
        <v>2742.9210126933331</v>
      </c>
      <c r="AV12" s="18">
        <f t="shared" si="22"/>
        <v>27632.237645653335</v>
      </c>
      <c r="AW12" s="18">
        <f t="shared" si="22"/>
        <v>27870.801881866664</v>
      </c>
      <c r="AX12" s="18">
        <f t="shared" si="22"/>
        <v>0</v>
      </c>
      <c r="AY12" s="26">
        <f t="shared" si="23"/>
        <v>89965.350746915559</v>
      </c>
      <c r="AZ12" s="26"/>
      <c r="BA12" s="20">
        <f t="shared" si="24"/>
        <v>0.5561154929409996</v>
      </c>
      <c r="BB12" s="20">
        <f t="shared" si="25"/>
        <v>0.4438845070590004</v>
      </c>
      <c r="BC12" s="29">
        <v>5100</v>
      </c>
      <c r="BD12" s="30">
        <f t="shared" si="4"/>
        <v>25391.503215519999</v>
      </c>
      <c r="BE12" s="30">
        <f t="shared" si="4"/>
        <v>8133.0544539733337</v>
      </c>
      <c r="BF12" s="30">
        <f t="shared" si="4"/>
        <v>14638.280398791107</v>
      </c>
      <c r="BG12" s="30">
        <f t="shared" si="4"/>
        <v>23646.391984800004</v>
      </c>
      <c r="BH12" s="30">
        <f t="shared" si="4"/>
        <v>0</v>
      </c>
      <c r="BI12" s="31">
        <f t="shared" si="5"/>
        <v>71809.230053084451</v>
      </c>
      <c r="BK12" s="9" t="str">
        <f t="shared" si="6"/>
        <v>41001215</v>
      </c>
      <c r="BL12" s="26">
        <f t="shared" si="7"/>
        <v>161774.5808</v>
      </c>
    </row>
    <row r="13" spans="1:64">
      <c r="A13" s="10" t="str">
        <f t="shared" si="0"/>
        <v>4100</v>
      </c>
      <c r="B13" s="10" t="str">
        <f t="shared" si="1"/>
        <v>1216</v>
      </c>
      <c r="C13" s="15" t="s">
        <v>70</v>
      </c>
      <c r="D13" s="16">
        <v>810020</v>
      </c>
      <c r="E13" s="32" t="s">
        <v>71</v>
      </c>
      <c r="F13" s="18">
        <f>IFERROR(VLOOKUP(C13,'[4]Revenue Data - FY19 MAR-YTD '!$C$3:$Q$82,15,FALSE),0)</f>
        <v>-342317</v>
      </c>
      <c r="G13" s="18"/>
      <c r="H13" s="18">
        <f t="shared" si="8"/>
        <v>-342317</v>
      </c>
      <c r="I13" s="18">
        <f>'[4]Statistics Projections'!J41</f>
        <v>179</v>
      </c>
      <c r="J13" s="18">
        <f t="shared" si="9"/>
        <v>-1912.3854748603353</v>
      </c>
      <c r="K13" s="19"/>
      <c r="L13" s="20">
        <v>1</v>
      </c>
      <c r="M13" s="18">
        <f>J13*L13</f>
        <v>-1912.3854748603353</v>
      </c>
      <c r="N13" s="19"/>
      <c r="O13" s="21">
        <f>'[4]Statistics Projections'!L41</f>
        <v>340</v>
      </c>
      <c r="P13" s="18">
        <f t="shared" si="11"/>
        <v>650211.06145251403</v>
      </c>
      <c r="Q13" s="22"/>
      <c r="R13" s="24">
        <f>VLOOKUP($C13,'[4]Revenue Data - FY19 MAR-YTD '!$C$3:$V$82,20,FALSE)</f>
        <v>0.61341096118510041</v>
      </c>
      <c r="S13" s="24">
        <f>VLOOKUP($C13,'[4]Revenue Data - FY19 MAR-YTD '!$C$3:$V$82,19,FALSE)</f>
        <v>0.11894822635159807</v>
      </c>
      <c r="T13" s="24">
        <f>VLOOKUP($C13,'[4]Revenue Data - FY19 MAR-YTD '!$C$3:$V$82,17,FALSE)</f>
        <v>0.19412708103892007</v>
      </c>
      <c r="U13" s="24">
        <f>VLOOKUP($C13,'[4]Revenue Data - FY19 MAR-YTD '!$C$3:$V$82,18,FALSE)</f>
        <v>5.0374360607273377E-2</v>
      </c>
      <c r="V13" s="24">
        <f>VLOOKUP($C13,'[4]Revenue Data - FY19 MAR-YTD '!$C$3:$W$82,21,FALSE)</f>
        <v>2.313937081710812E-2</v>
      </c>
      <c r="W13" s="24">
        <f t="shared" si="16"/>
        <v>1</v>
      </c>
      <c r="X13" s="24"/>
      <c r="Y13" s="25">
        <f t="shared" si="17"/>
        <v>398846.59217877104</v>
      </c>
      <c r="Z13" s="25">
        <f t="shared" si="18"/>
        <v>77341.452513966477</v>
      </c>
      <c r="AA13" s="25">
        <f t="shared" si="19"/>
        <v>126223.57541899443</v>
      </c>
      <c r="AB13" s="25">
        <f t="shared" si="20"/>
        <v>32753.966480446932</v>
      </c>
      <c r="AC13" s="25">
        <f t="shared" si="21"/>
        <v>15045.474860335198</v>
      </c>
      <c r="AD13" s="21">
        <f t="shared" si="12"/>
        <v>650211.06145251414</v>
      </c>
      <c r="AE13" s="26">
        <f t="shared" si="2"/>
        <v>0</v>
      </c>
      <c r="AF13" s="27">
        <f t="shared" si="13"/>
        <v>0.5554</v>
      </c>
      <c r="AG13" s="27">
        <f t="shared" si="14"/>
        <v>0.25219999999999998</v>
      </c>
      <c r="AH13" s="28">
        <f t="shared" si="3"/>
        <v>0.65370000000000006</v>
      </c>
      <c r="AI13" s="27">
        <f t="shared" si="15"/>
        <v>0.54099999999999993</v>
      </c>
      <c r="AJ13" s="27">
        <v>0</v>
      </c>
      <c r="AT13" s="18">
        <f t="shared" si="22"/>
        <v>221519.39729608945</v>
      </c>
      <c r="AU13" s="18">
        <f t="shared" si="22"/>
        <v>19505.514324022344</v>
      </c>
      <c r="AV13" s="18">
        <f t="shared" si="22"/>
        <v>82512.351251396671</v>
      </c>
      <c r="AW13" s="18">
        <f t="shared" si="22"/>
        <v>17719.895865921786</v>
      </c>
      <c r="AX13" s="18">
        <f t="shared" si="22"/>
        <v>0</v>
      </c>
      <c r="AY13" s="26">
        <f t="shared" si="23"/>
        <v>341257.15873743029</v>
      </c>
      <c r="AZ13" s="26"/>
      <c r="BA13" s="20">
        <f t="shared" si="24"/>
        <v>0.52484059249175474</v>
      </c>
      <c r="BB13" s="20">
        <f t="shared" si="25"/>
        <v>0.47515940750824526</v>
      </c>
      <c r="BC13" s="29">
        <v>5100</v>
      </c>
      <c r="BD13" s="30">
        <f t="shared" si="4"/>
        <v>177327.19488268159</v>
      </c>
      <c r="BE13" s="30">
        <f t="shared" si="4"/>
        <v>57835.938189944136</v>
      </c>
      <c r="BF13" s="30">
        <f t="shared" si="4"/>
        <v>43711.224167597757</v>
      </c>
      <c r="BG13" s="30">
        <f t="shared" si="4"/>
        <v>15034.070614525146</v>
      </c>
      <c r="BH13" s="30">
        <f t="shared" si="4"/>
        <v>15045.474860335198</v>
      </c>
      <c r="BI13" s="31">
        <f t="shared" si="5"/>
        <v>308953.90271508385</v>
      </c>
      <c r="BK13" s="9" t="str">
        <f t="shared" si="6"/>
        <v>41001216</v>
      </c>
      <c r="BL13" s="26">
        <f t="shared" si="7"/>
        <v>650211.06145251403</v>
      </c>
    </row>
    <row r="14" spans="1:64">
      <c r="A14" s="10" t="str">
        <f t="shared" si="0"/>
        <v>4100</v>
      </c>
      <c r="B14" s="10" t="str">
        <f t="shared" si="1"/>
        <v>1217</v>
      </c>
      <c r="C14" s="35" t="s">
        <v>72</v>
      </c>
      <c r="D14" s="16">
        <v>810030</v>
      </c>
      <c r="E14" s="32" t="s">
        <v>73</v>
      </c>
      <c r="F14" s="18">
        <f>IFERROR(VLOOKUP(C14,'[4]Revenue Data - FY19 MAR-YTD '!$C$3:$Q$82,15,FALSE),0)</f>
        <v>-275705</v>
      </c>
      <c r="G14" s="18"/>
      <c r="H14" s="18">
        <f t="shared" si="8"/>
        <v>-275705</v>
      </c>
      <c r="I14" s="18">
        <f>'[4]Statistics Projections'!J66</f>
        <v>1610</v>
      </c>
      <c r="J14" s="18">
        <f t="shared" si="9"/>
        <v>-171.24534161490683</v>
      </c>
      <c r="K14" s="19"/>
      <c r="L14" s="20">
        <v>1</v>
      </c>
      <c r="M14" s="18">
        <f t="shared" si="10"/>
        <v>-171.24534161490683</v>
      </c>
      <c r="N14" s="19"/>
      <c r="O14" s="21">
        <f>'[4]Statistics Projections'!L66</f>
        <v>3625</v>
      </c>
      <c r="P14" s="18">
        <f t="shared" si="11"/>
        <v>620764.36335403728</v>
      </c>
      <c r="Q14" s="22"/>
      <c r="R14" s="24">
        <f>VLOOKUP($C14,'[4]Revenue Data - FY19 MAR-YTD '!$C$3:$V$82,20,FALSE)</f>
        <v>0.72778513265990818</v>
      </c>
      <c r="S14" s="24">
        <f>VLOOKUP($C14,'[4]Revenue Data - FY19 MAR-YTD '!$C$3:$V$82,19,FALSE)</f>
        <v>9.5605810558386684E-2</v>
      </c>
      <c r="T14" s="24">
        <f>VLOOKUP($C14,'[4]Revenue Data - FY19 MAR-YTD '!$C$3:$V$82,17,FALSE)</f>
        <v>0.12797736711340019</v>
      </c>
      <c r="U14" s="24">
        <f>VLOOKUP($C14,'[4]Revenue Data - FY19 MAR-YTD '!$C$3:$V$82,18,FALSE)</f>
        <v>3.8635498086723126E-2</v>
      </c>
      <c r="V14" s="23">
        <f>VLOOKUP($C14,'[4]Revenue Data - FY19 MAR-YTD '!$C$3:$W$82,21,FALSE)</f>
        <v>9.9961915815817634E-3</v>
      </c>
      <c r="W14" s="24">
        <f t="shared" si="16"/>
        <v>0.99999999999999989</v>
      </c>
      <c r="X14" s="24"/>
      <c r="Y14" s="25">
        <f t="shared" si="17"/>
        <v>451783.07453416148</v>
      </c>
      <c r="Z14" s="25">
        <f t="shared" si="18"/>
        <v>59348.680124223603</v>
      </c>
      <c r="AA14" s="25">
        <f t="shared" si="19"/>
        <v>79443.788819875772</v>
      </c>
      <c r="AB14" s="25">
        <f t="shared" si="20"/>
        <v>23983.540372670806</v>
      </c>
      <c r="AC14" s="25">
        <f t="shared" si="21"/>
        <v>6205.2795031055903</v>
      </c>
      <c r="AD14" s="21">
        <f t="shared" si="12"/>
        <v>620764.36335403728</v>
      </c>
      <c r="AE14" s="26">
        <f t="shared" si="2"/>
        <v>0</v>
      </c>
      <c r="AF14" s="27">
        <f t="shared" si="13"/>
        <v>0.5554</v>
      </c>
      <c r="AG14" s="27">
        <f t="shared" si="14"/>
        <v>0.25219999999999998</v>
      </c>
      <c r="AH14" s="28">
        <f t="shared" si="3"/>
        <v>0.65370000000000006</v>
      </c>
      <c r="AI14" s="27">
        <f t="shared" si="15"/>
        <v>0.54099999999999993</v>
      </c>
      <c r="AJ14" s="27">
        <v>0</v>
      </c>
      <c r="AT14" s="18">
        <f t="shared" si="22"/>
        <v>250920.3195962733</v>
      </c>
      <c r="AU14" s="18">
        <f t="shared" si="22"/>
        <v>14967.737127329192</v>
      </c>
      <c r="AV14" s="18">
        <f t="shared" si="22"/>
        <v>51932.4047515528</v>
      </c>
      <c r="AW14" s="18">
        <f t="shared" si="22"/>
        <v>12975.095341614904</v>
      </c>
      <c r="AX14" s="18">
        <f t="shared" si="22"/>
        <v>0</v>
      </c>
      <c r="AY14" s="26">
        <f t="shared" si="23"/>
        <v>330795.55681677017</v>
      </c>
      <c r="AZ14" s="26"/>
      <c r="BA14" s="20">
        <f t="shared" si="24"/>
        <v>0.53288425744908507</v>
      </c>
      <c r="BB14" s="20">
        <f t="shared" si="25"/>
        <v>0.46711574255091493</v>
      </c>
      <c r="BC14" s="29">
        <v>5100</v>
      </c>
      <c r="BD14" s="30">
        <f t="shared" si="4"/>
        <v>200862.75493788818</v>
      </c>
      <c r="BE14" s="30">
        <f t="shared" si="4"/>
        <v>44380.94299689441</v>
      </c>
      <c r="BF14" s="30">
        <f t="shared" si="4"/>
        <v>27511.384068322972</v>
      </c>
      <c r="BG14" s="30">
        <f t="shared" si="4"/>
        <v>11008.445031055902</v>
      </c>
      <c r="BH14" s="30">
        <f t="shared" si="4"/>
        <v>6205.2795031055903</v>
      </c>
      <c r="BI14" s="31">
        <f t="shared" si="5"/>
        <v>289968.80653726705</v>
      </c>
      <c r="BK14" s="9" t="str">
        <f t="shared" si="6"/>
        <v>41001217</v>
      </c>
      <c r="BL14" s="26">
        <f t="shared" si="7"/>
        <v>620764.36335403728</v>
      </c>
    </row>
    <row r="15" spans="1:64">
      <c r="A15" s="10" t="str">
        <f t="shared" si="0"/>
        <v>4100</v>
      </c>
      <c r="B15" s="10" t="str">
        <f t="shared" si="1"/>
        <v>1219</v>
      </c>
      <c r="C15" s="35" t="s">
        <v>74</v>
      </c>
      <c r="D15" s="16">
        <v>810045</v>
      </c>
      <c r="E15" s="32" t="s">
        <v>75</v>
      </c>
      <c r="F15" s="18">
        <f>IFERROR(VLOOKUP(C15,'[4]Revenue Data - FY19 MAR-YTD '!$C$3:$Q$82,15,FALSE),0)</f>
        <v>-113977.9</v>
      </c>
      <c r="G15" s="18"/>
      <c r="H15" s="18">
        <f t="shared" si="8"/>
        <v>-113977.9</v>
      </c>
      <c r="I15" s="18">
        <f>'[4]Statistics Projections'!J72</f>
        <v>31046.82</v>
      </c>
      <c r="J15" s="18">
        <f t="shared" si="9"/>
        <v>-3.6711618130294825</v>
      </c>
      <c r="K15" s="19"/>
      <c r="L15" s="20">
        <v>1</v>
      </c>
      <c r="M15" s="18">
        <f>ROUND(J15*L15,2)</f>
        <v>-3.67</v>
      </c>
      <c r="N15" s="19"/>
      <c r="O15" s="21">
        <f>'[4]Statistics Projections'!L72</f>
        <v>62000</v>
      </c>
      <c r="P15" s="18">
        <f t="shared" si="11"/>
        <v>227540</v>
      </c>
      <c r="Q15" s="22"/>
      <c r="R15" s="24">
        <f>VLOOKUP($C15,'[4]Revenue Data - FY19 MAR-YTD '!$C$3:$V$82,20,FALSE)</f>
        <v>0.75825752185292072</v>
      </c>
      <c r="S15" s="24">
        <f>VLOOKUP($C15,'[4]Revenue Data - FY19 MAR-YTD '!$C$3:$V$82,19,FALSE)</f>
        <v>6.2837620275509556E-2</v>
      </c>
      <c r="T15" s="24">
        <f>VLOOKUP($C15,'[4]Revenue Data - FY19 MAR-YTD '!$C$3:$V$82,17,FALSE)</f>
        <v>8.0900771114400249E-2</v>
      </c>
      <c r="U15" s="24">
        <f>VLOOKUP($C15,'[4]Revenue Data - FY19 MAR-YTD '!$C$3:$V$82,18,FALSE)</f>
        <v>9.6427904005952039E-2</v>
      </c>
      <c r="V15" s="23">
        <f>VLOOKUP($C15,'[4]Revenue Data - FY19 MAR-YTD '!$C$3:$W$82,21,FALSE)</f>
        <v>1.5761827512175608E-3</v>
      </c>
      <c r="W15" s="24">
        <f t="shared" si="16"/>
        <v>1.0000000000000002</v>
      </c>
      <c r="X15" s="24"/>
      <c r="Y15" s="25">
        <f t="shared" si="17"/>
        <v>172533.91652241358</v>
      </c>
      <c r="Z15" s="25">
        <f t="shared" si="18"/>
        <v>14298.072117489444</v>
      </c>
      <c r="AA15" s="25">
        <f t="shared" si="19"/>
        <v>18408.161459370633</v>
      </c>
      <c r="AB15" s="25">
        <f t="shared" si="20"/>
        <v>21941.205277514327</v>
      </c>
      <c r="AC15" s="25">
        <f t="shared" si="21"/>
        <v>358.64462321204377</v>
      </c>
      <c r="AD15" s="21">
        <f t="shared" si="12"/>
        <v>227540.00000000003</v>
      </c>
      <c r="AE15" s="26">
        <f t="shared" si="2"/>
        <v>0</v>
      </c>
      <c r="AF15" s="27">
        <f t="shared" si="13"/>
        <v>0.5554</v>
      </c>
      <c r="AG15" s="27">
        <f t="shared" si="14"/>
        <v>0.25219999999999998</v>
      </c>
      <c r="AH15" s="28">
        <f t="shared" si="3"/>
        <v>0.65370000000000006</v>
      </c>
      <c r="AI15" s="27">
        <f t="shared" si="15"/>
        <v>0.54099999999999993</v>
      </c>
      <c r="AJ15" s="27">
        <v>0</v>
      </c>
      <c r="AT15" s="18">
        <f t="shared" si="22"/>
        <v>95825.337236548497</v>
      </c>
      <c r="AU15" s="18">
        <f t="shared" si="22"/>
        <v>3605.9737880308376</v>
      </c>
      <c r="AV15" s="18">
        <f t="shared" si="22"/>
        <v>12033.415145990584</v>
      </c>
      <c r="AW15" s="18">
        <f t="shared" si="22"/>
        <v>11870.192055135249</v>
      </c>
      <c r="AX15" s="18">
        <f t="shared" si="22"/>
        <v>0</v>
      </c>
      <c r="AY15" s="26">
        <f t="shared" si="23"/>
        <v>123334.91822570517</v>
      </c>
      <c r="AZ15" s="26"/>
      <c r="BA15" s="20">
        <f t="shared" si="24"/>
        <v>0.54203620561529908</v>
      </c>
      <c r="BB15" s="20">
        <f t="shared" si="25"/>
        <v>0.45796379438470092</v>
      </c>
      <c r="BC15" s="29">
        <v>5100</v>
      </c>
      <c r="BD15" s="30">
        <f t="shared" si="4"/>
        <v>76708.579285865082</v>
      </c>
      <c r="BE15" s="30">
        <f t="shared" si="4"/>
        <v>10692.098329458608</v>
      </c>
      <c r="BF15" s="30">
        <f t="shared" si="4"/>
        <v>6374.7463133800484</v>
      </c>
      <c r="BG15" s="30">
        <f t="shared" si="4"/>
        <v>10071.013222379079</v>
      </c>
      <c r="BH15" s="30">
        <f t="shared" si="4"/>
        <v>358.64462321204377</v>
      </c>
      <c r="BI15" s="31">
        <f t="shared" si="5"/>
        <v>104205.08177429487</v>
      </c>
      <c r="BK15" s="9" t="str">
        <f t="shared" si="6"/>
        <v>41001219</v>
      </c>
      <c r="BL15" s="26">
        <f t="shared" si="7"/>
        <v>227540</v>
      </c>
    </row>
    <row r="16" spans="1:64">
      <c r="A16" s="10" t="str">
        <f t="shared" si="0"/>
        <v>4100</v>
      </c>
      <c r="B16" s="10" t="str">
        <f t="shared" si="1"/>
        <v>1220</v>
      </c>
      <c r="C16" s="35" t="s">
        <v>76</v>
      </c>
      <c r="D16" s="16">
        <v>810050</v>
      </c>
      <c r="E16" s="32" t="s">
        <v>77</v>
      </c>
      <c r="F16" s="18">
        <f>IFERROR(VLOOKUP(C16,'[4]Revenue Data - FY19 MAR-YTD '!$C$3:$Q$82,15,FALSE),0)</f>
        <v>-136817</v>
      </c>
      <c r="G16" s="18"/>
      <c r="H16" s="18">
        <f t="shared" si="8"/>
        <v>-136817</v>
      </c>
      <c r="I16" s="18">
        <f>'[4]Statistics Projections'!J78</f>
        <v>962</v>
      </c>
      <c r="J16" s="18">
        <f t="shared" si="9"/>
        <v>-142.22141372141371</v>
      </c>
      <c r="K16" s="19"/>
      <c r="L16" s="20">
        <v>1</v>
      </c>
      <c r="M16" s="18">
        <f>ROUND(J16*L16,2)</f>
        <v>-142.22</v>
      </c>
      <c r="N16" s="19"/>
      <c r="O16" s="21">
        <f>'[4]Statistics Projections'!L78</f>
        <v>2065</v>
      </c>
      <c r="P16" s="18">
        <f t="shared" si="11"/>
        <v>293684.3</v>
      </c>
      <c r="Q16" s="22"/>
      <c r="R16" s="24">
        <f>VLOOKUP($C16,'[4]Revenue Data - FY19 MAR-YTD '!$C$3:$V$82,20,FALSE)</f>
        <v>0.84097005489083954</v>
      </c>
      <c r="S16" s="24">
        <f>VLOOKUP($C16,'[4]Revenue Data - FY19 MAR-YTD '!$C$3:$V$82,19,FALSE)</f>
        <v>3.1253426109328519E-2</v>
      </c>
      <c r="T16" s="24">
        <f>VLOOKUP($C16,'[4]Revenue Data - FY19 MAR-YTD '!$C$3:$V$82,17,FALSE)</f>
        <v>4.3671473574190343E-2</v>
      </c>
      <c r="U16" s="24">
        <f>VLOOKUP($C16,'[4]Revenue Data - FY19 MAR-YTD '!$C$3:$V$82,18,FALSE)</f>
        <v>8.4105045425641553E-2</v>
      </c>
      <c r="V16" s="23">
        <f>VLOOKUP($C16,'[4]Revenue Data - FY19 MAR-YTD '!$C$3:$W$82,21,FALSE)</f>
        <v>0</v>
      </c>
      <c r="W16" s="24">
        <f t="shared" si="16"/>
        <v>1</v>
      </c>
      <c r="X16" s="24"/>
      <c r="Y16" s="25">
        <f t="shared" si="17"/>
        <v>246979.70189157777</v>
      </c>
      <c r="Z16" s="25">
        <f t="shared" si="18"/>
        <v>9178.64056951987</v>
      </c>
      <c r="AA16" s="25">
        <f t="shared" si="19"/>
        <v>12825.626146604589</v>
      </c>
      <c r="AB16" s="25">
        <f t="shared" si="20"/>
        <v>24700.33139229774</v>
      </c>
      <c r="AC16" s="25">
        <v>0</v>
      </c>
      <c r="AD16" s="21">
        <f t="shared" si="12"/>
        <v>293684.3</v>
      </c>
      <c r="AE16" s="26">
        <f t="shared" si="2"/>
        <v>0</v>
      </c>
      <c r="AF16" s="27">
        <f t="shared" si="13"/>
        <v>0.5554</v>
      </c>
      <c r="AG16" s="27">
        <f t="shared" si="14"/>
        <v>0.25219999999999998</v>
      </c>
      <c r="AH16" s="28">
        <f t="shared" si="3"/>
        <v>0.65370000000000006</v>
      </c>
      <c r="AI16" s="27">
        <f t="shared" si="15"/>
        <v>0.54099999999999993</v>
      </c>
      <c r="AJ16" s="27">
        <v>0</v>
      </c>
      <c r="AT16" s="18">
        <f t="shared" si="22"/>
        <v>137172.52643058231</v>
      </c>
      <c r="AU16" s="18">
        <f t="shared" si="22"/>
        <v>2314.8531516329112</v>
      </c>
      <c r="AV16" s="18">
        <f t="shared" si="22"/>
        <v>8384.1118120354204</v>
      </c>
      <c r="AW16" s="18">
        <f t="shared" si="22"/>
        <v>13362.879283233075</v>
      </c>
      <c r="AX16" s="18">
        <f t="shared" si="22"/>
        <v>0</v>
      </c>
      <c r="AY16" s="26">
        <f t="shared" si="23"/>
        <v>161234.3706774837</v>
      </c>
      <c r="AZ16" s="26"/>
      <c r="BA16" s="20">
        <f t="shared" si="24"/>
        <v>0.54900575440186528</v>
      </c>
      <c r="BB16" s="20">
        <f t="shared" si="25"/>
        <v>0.45099424559813472</v>
      </c>
      <c r="BC16" s="29">
        <v>5100</v>
      </c>
      <c r="BD16" s="30">
        <f t="shared" si="4"/>
        <v>109807.17546099547</v>
      </c>
      <c r="BE16" s="30">
        <f t="shared" si="4"/>
        <v>6863.7874178869588</v>
      </c>
      <c r="BF16" s="30">
        <f t="shared" si="4"/>
        <v>4441.5143345691686</v>
      </c>
      <c r="BG16" s="30">
        <f t="shared" si="4"/>
        <v>11337.452109064665</v>
      </c>
      <c r="BH16" s="30">
        <f t="shared" si="4"/>
        <v>0</v>
      </c>
      <c r="BI16" s="31">
        <f t="shared" si="5"/>
        <v>132449.92932251625</v>
      </c>
      <c r="BK16" s="9" t="str">
        <f t="shared" si="6"/>
        <v>41001220</v>
      </c>
      <c r="BL16" s="26">
        <f t="shared" si="7"/>
        <v>293684.3</v>
      </c>
    </row>
    <row r="17" spans="1:64">
      <c r="A17" s="10" t="str">
        <f t="shared" si="0"/>
        <v>4100</v>
      </c>
      <c r="B17" s="10" t="str">
        <f t="shared" si="1"/>
        <v>1222</v>
      </c>
      <c r="C17" s="35" t="s">
        <v>78</v>
      </c>
      <c r="D17" s="16">
        <v>810060</v>
      </c>
      <c r="E17" s="32" t="s">
        <v>79</v>
      </c>
      <c r="F17" s="18">
        <f>IFERROR(VLOOKUP(C17,'[4]Revenue Data - FY19 MAR-YTD '!$C$3:$Q$82,15,FALSE),0)</f>
        <v>-62500.02</v>
      </c>
      <c r="G17" s="18"/>
      <c r="H17" s="18">
        <f t="shared" si="8"/>
        <v>-62500.02</v>
      </c>
      <c r="I17" s="18">
        <f>'[4]Statistics Projections'!J84</f>
        <v>161</v>
      </c>
      <c r="J17" s="18">
        <f t="shared" si="9"/>
        <v>-388.19888198757764</v>
      </c>
      <c r="K17" s="19"/>
      <c r="L17" s="20">
        <v>1</v>
      </c>
      <c r="M17" s="18">
        <f>ROUND(J17*L17,2)</f>
        <v>-388.2</v>
      </c>
      <c r="N17" s="19"/>
      <c r="O17" s="21">
        <f>'[4]Statistics Projections'!L84</f>
        <v>350</v>
      </c>
      <c r="P17" s="18">
        <f t="shared" si="11"/>
        <v>135870</v>
      </c>
      <c r="Q17" s="22"/>
      <c r="R17" s="24">
        <f>VLOOKUP($C17,'[4]Revenue Data - FY19 MAR-YTD '!$C$3:$V$82,20,FALSE)</f>
        <v>0.91784002629119155</v>
      </c>
      <c r="S17" s="24">
        <f>VLOOKUP($C17,'[4]Revenue Data - FY19 MAR-YTD '!$C$3:$V$82,19,FALSE)</f>
        <v>1.17119962521612E-2</v>
      </c>
      <c r="T17" s="24">
        <f>VLOOKUP($C17,'[4]Revenue Data - FY19 MAR-YTD '!$C$3:$V$82,17,FALSE)</f>
        <v>5.7919981465605931E-2</v>
      </c>
      <c r="U17" s="24">
        <f>VLOOKUP($C17,'[4]Revenue Data - FY19 MAR-YTD '!$C$3:$V$82,18,FALSE)</f>
        <v>1.2527995991041284E-2</v>
      </c>
      <c r="V17" s="23">
        <f>VLOOKUP($C17,'[4]Revenue Data - FY19 MAR-YTD '!$C$3:$W$82,21,FALSE)</f>
        <v>0</v>
      </c>
      <c r="W17" s="24">
        <f t="shared" si="16"/>
        <v>1</v>
      </c>
      <c r="X17" s="24"/>
      <c r="Y17" s="25">
        <f t="shared" si="17"/>
        <v>124706.92437218419</v>
      </c>
      <c r="Z17" s="25">
        <f t="shared" si="18"/>
        <v>1591.3089307811424</v>
      </c>
      <c r="AA17" s="25">
        <f t="shared" si="19"/>
        <v>7869.587881731878</v>
      </c>
      <c r="AB17" s="25">
        <f t="shared" si="20"/>
        <v>1702.1788153027792</v>
      </c>
      <c r="AC17" s="25">
        <f t="shared" si="21"/>
        <v>0</v>
      </c>
      <c r="AD17" s="21">
        <f t="shared" si="12"/>
        <v>135870</v>
      </c>
      <c r="AE17" s="26">
        <f t="shared" si="2"/>
        <v>0</v>
      </c>
      <c r="AF17" s="27">
        <f t="shared" si="13"/>
        <v>0.5554</v>
      </c>
      <c r="AG17" s="27">
        <f t="shared" si="14"/>
        <v>0.25219999999999998</v>
      </c>
      <c r="AH17" s="28">
        <f t="shared" si="3"/>
        <v>0.65370000000000006</v>
      </c>
      <c r="AI17" s="27">
        <f t="shared" si="15"/>
        <v>0.54099999999999993</v>
      </c>
      <c r="AJ17" s="27">
        <v>0</v>
      </c>
      <c r="AT17" s="18">
        <f t="shared" si="22"/>
        <v>69262.225796311104</v>
      </c>
      <c r="AU17" s="18">
        <f t="shared" si="22"/>
        <v>401.32811234300408</v>
      </c>
      <c r="AV17" s="18">
        <f t="shared" si="22"/>
        <v>5144.3495982881295</v>
      </c>
      <c r="AW17" s="18">
        <f t="shared" si="22"/>
        <v>920.87873907880339</v>
      </c>
      <c r="AX17" s="18">
        <f t="shared" si="22"/>
        <v>0</v>
      </c>
      <c r="AY17" s="26">
        <f t="shared" si="23"/>
        <v>75728.782246021045</v>
      </c>
      <c r="AZ17" s="26"/>
      <c r="BA17" s="20">
        <f t="shared" si="24"/>
        <v>0.55736205377214276</v>
      </c>
      <c r="BB17" s="20">
        <f t="shared" si="25"/>
        <v>0.44263794622785724</v>
      </c>
      <c r="BC17" s="29">
        <v>5100</v>
      </c>
      <c r="BD17" s="30">
        <f t="shared" si="4"/>
        <v>55444.698575873088</v>
      </c>
      <c r="BE17" s="30">
        <f t="shared" si="4"/>
        <v>1189.9808184381384</v>
      </c>
      <c r="BF17" s="30">
        <f t="shared" si="4"/>
        <v>2725.2382834437485</v>
      </c>
      <c r="BG17" s="30">
        <f t="shared" si="4"/>
        <v>781.30007622397579</v>
      </c>
      <c r="BH17" s="30">
        <f t="shared" si="4"/>
        <v>0</v>
      </c>
      <c r="BI17" s="31">
        <f t="shared" si="5"/>
        <v>60141.217753978948</v>
      </c>
      <c r="BK17" s="9" t="str">
        <f t="shared" si="6"/>
        <v>41001222</v>
      </c>
      <c r="BL17" s="26">
        <f t="shared" si="7"/>
        <v>135870</v>
      </c>
    </row>
    <row r="18" spans="1:64">
      <c r="A18" s="10" t="str">
        <f t="shared" si="0"/>
        <v>4100</v>
      </c>
      <c r="B18" s="10" t="str">
        <f t="shared" si="1"/>
        <v>1223</v>
      </c>
      <c r="C18" s="35" t="s">
        <v>80</v>
      </c>
      <c r="D18" s="16">
        <v>810060</v>
      </c>
      <c r="E18" s="32" t="s">
        <v>81</v>
      </c>
      <c r="F18" s="18">
        <f>IFERROR(VLOOKUP(C18,'[4]Revenue Data - FY19 MAR-YTD '!$C$3:$Q$82,15,FALSE),0)</f>
        <v>-53022</v>
      </c>
      <c r="G18" s="18"/>
      <c r="H18" s="18">
        <f t="shared" si="8"/>
        <v>-53022</v>
      </c>
      <c r="I18" s="18">
        <f>'[4]Statistics Projections'!J90</f>
        <v>121</v>
      </c>
      <c r="J18" s="18">
        <f t="shared" si="9"/>
        <v>-438.198347107438</v>
      </c>
      <c r="K18" s="19"/>
      <c r="L18" s="20">
        <v>1</v>
      </c>
      <c r="M18" s="18">
        <f>ROUND(J18*L18,2)</f>
        <v>-438.2</v>
      </c>
      <c r="N18" s="19"/>
      <c r="O18" s="21">
        <f>'[4]Statistics Projections'!L90</f>
        <v>250</v>
      </c>
      <c r="P18" s="18">
        <f t="shared" si="11"/>
        <v>109550</v>
      </c>
      <c r="Q18" s="22"/>
      <c r="R18" s="24">
        <f>VLOOKUP($C18,'[4]Revenue Data - FY19 MAR-YTD '!$C$3:$V$82,20,FALSE)</f>
        <v>0.93564935309871378</v>
      </c>
      <c r="S18" s="24">
        <f>VLOOKUP($C18,'[4]Revenue Data - FY19 MAR-YTD '!$C$3:$V$82,19,FALSE)</f>
        <v>1.2485383425747803E-2</v>
      </c>
      <c r="T18" s="24">
        <f>VLOOKUP($C18,'[4]Revenue Data - FY19 MAR-YTD '!$C$3:$V$82,17,FALSE)</f>
        <v>3.8418015163517033E-2</v>
      </c>
      <c r="U18" s="24">
        <f>VLOOKUP($C18,'[4]Revenue Data - FY19 MAR-YTD '!$C$3:$V$82,18,FALSE)</f>
        <v>1.3447248312021425E-2</v>
      </c>
      <c r="V18" s="23">
        <f>VLOOKUP($C18,'[4]Revenue Data - FY19 MAR-YTD '!$C$3:$W$82,21,FALSE)</f>
        <v>0</v>
      </c>
      <c r="W18" s="24">
        <f t="shared" si="16"/>
        <v>1</v>
      </c>
      <c r="X18" s="24"/>
      <c r="Y18" s="25">
        <f t="shared" si="17"/>
        <v>102500.38663196409</v>
      </c>
      <c r="Z18" s="25">
        <f t="shared" si="18"/>
        <v>1367.7737542906718</v>
      </c>
      <c r="AA18" s="25">
        <f t="shared" si="19"/>
        <v>4208.6935611632907</v>
      </c>
      <c r="AB18" s="25">
        <f t="shared" si="20"/>
        <v>1473.1460525819471</v>
      </c>
      <c r="AC18" s="25">
        <f t="shared" si="21"/>
        <v>0</v>
      </c>
      <c r="AD18" s="21">
        <f t="shared" si="12"/>
        <v>109550</v>
      </c>
      <c r="AE18" s="26">
        <f t="shared" si="2"/>
        <v>0</v>
      </c>
      <c r="AF18" s="27">
        <f t="shared" si="13"/>
        <v>0.5554</v>
      </c>
      <c r="AG18" s="27">
        <f t="shared" si="14"/>
        <v>0.25219999999999998</v>
      </c>
      <c r="AH18" s="28">
        <f t="shared" si="3"/>
        <v>0.65370000000000006</v>
      </c>
      <c r="AI18" s="27">
        <f t="shared" si="15"/>
        <v>0.54099999999999993</v>
      </c>
      <c r="AJ18" s="27">
        <v>0</v>
      </c>
      <c r="AT18" s="18">
        <f t="shared" si="22"/>
        <v>56928.714735392859</v>
      </c>
      <c r="AU18" s="18">
        <f t="shared" si="22"/>
        <v>344.95254083210739</v>
      </c>
      <c r="AV18" s="18">
        <f t="shared" si="22"/>
        <v>2751.2229809324435</v>
      </c>
      <c r="AW18" s="18">
        <f t="shared" si="22"/>
        <v>796.97201444683321</v>
      </c>
      <c r="AX18" s="18">
        <f t="shared" si="22"/>
        <v>0</v>
      </c>
      <c r="AY18" s="26">
        <f t="shared" si="23"/>
        <v>60821.862271604237</v>
      </c>
      <c r="AZ18" s="26"/>
      <c r="BA18" s="20">
        <f t="shared" si="24"/>
        <v>0.55519728226019383</v>
      </c>
      <c r="BB18" s="20">
        <f t="shared" si="25"/>
        <v>0.44480271773980617</v>
      </c>
      <c r="BC18" s="29">
        <v>5100</v>
      </c>
      <c r="BD18" s="30">
        <f t="shared" si="4"/>
        <v>45571.671896571235</v>
      </c>
      <c r="BE18" s="30">
        <f t="shared" si="4"/>
        <v>1022.8212134585644</v>
      </c>
      <c r="BF18" s="30">
        <f t="shared" si="4"/>
        <v>1457.4705802308472</v>
      </c>
      <c r="BG18" s="30">
        <f t="shared" si="4"/>
        <v>676.17403813511385</v>
      </c>
      <c r="BH18" s="30">
        <f t="shared" si="4"/>
        <v>0</v>
      </c>
      <c r="BI18" s="31">
        <f t="shared" si="5"/>
        <v>48728.137728395755</v>
      </c>
      <c r="BK18" s="9" t="str">
        <f t="shared" si="6"/>
        <v>41001223</v>
      </c>
      <c r="BL18" s="26">
        <f t="shared" si="7"/>
        <v>109550</v>
      </c>
    </row>
    <row r="19" spans="1:64">
      <c r="A19" s="10" t="str">
        <f t="shared" si="0"/>
        <v>4100</v>
      </c>
      <c r="B19" s="10" t="str">
        <f t="shared" si="1"/>
        <v>1224</v>
      </c>
      <c r="C19" s="35" t="s">
        <v>82</v>
      </c>
      <c r="D19" s="16">
        <v>810060</v>
      </c>
      <c r="E19" s="32" t="s">
        <v>83</v>
      </c>
      <c r="F19" s="18">
        <f>IFERROR(VLOOKUP(C19,'[4]Revenue Data - FY19 MAR-YTD '!$C$3:$Q$82,15,FALSE),0)</f>
        <v>-3381</v>
      </c>
      <c r="G19" s="18"/>
      <c r="H19" s="18">
        <f t="shared" si="8"/>
        <v>-3381</v>
      </c>
      <c r="I19" s="18">
        <f>'[4]Statistics Projections'!J96</f>
        <v>10</v>
      </c>
      <c r="J19" s="18">
        <f t="shared" si="9"/>
        <v>-338.1</v>
      </c>
      <c r="K19" s="19"/>
      <c r="L19" s="20">
        <v>1</v>
      </c>
      <c r="M19" s="18">
        <f>ROUND(J19*L19,2)</f>
        <v>-338.1</v>
      </c>
      <c r="N19" s="19"/>
      <c r="O19" s="21">
        <f>'[4]Statistics Projections'!L96</f>
        <v>20</v>
      </c>
      <c r="P19" s="18">
        <f t="shared" si="11"/>
        <v>6762</v>
      </c>
      <c r="Q19" s="22"/>
      <c r="R19" s="24">
        <f>VLOOKUP($C19,'[4]Revenue Data - FY19 MAR-YTD '!$C$3:$V$82,20,FALSE)</f>
        <v>1</v>
      </c>
      <c r="S19" s="24">
        <f>VLOOKUP($C19,'[4]Revenue Data - FY19 MAR-YTD '!$C$3:$V$82,19,FALSE)</f>
        <v>0</v>
      </c>
      <c r="T19" s="24">
        <f>VLOOKUP($C19,'[4]Revenue Data - FY19 MAR-YTD '!$C$3:$V$82,17,FALSE)</f>
        <v>0</v>
      </c>
      <c r="U19" s="24">
        <f>VLOOKUP($C19,'[4]Revenue Data - FY19 MAR-YTD '!$C$3:$V$82,18,FALSE)</f>
        <v>0</v>
      </c>
      <c r="V19" s="23">
        <f>VLOOKUP($C19,'[4]Revenue Data - FY19 MAR-YTD '!$C$3:$W$82,21,FALSE)</f>
        <v>0</v>
      </c>
      <c r="W19" s="24">
        <f t="shared" si="16"/>
        <v>1</v>
      </c>
      <c r="X19" s="24"/>
      <c r="Y19" s="25">
        <f t="shared" si="17"/>
        <v>6762</v>
      </c>
      <c r="Z19" s="25">
        <f t="shared" si="18"/>
        <v>0</v>
      </c>
      <c r="AA19" s="25">
        <f t="shared" si="19"/>
        <v>0</v>
      </c>
      <c r="AB19" s="25">
        <f t="shared" si="20"/>
        <v>0</v>
      </c>
      <c r="AC19" s="25">
        <f t="shared" si="21"/>
        <v>0</v>
      </c>
      <c r="AD19" s="21">
        <f t="shared" si="12"/>
        <v>6762</v>
      </c>
      <c r="AE19" s="26">
        <f t="shared" si="2"/>
        <v>0</v>
      </c>
      <c r="AF19" s="27">
        <f t="shared" si="13"/>
        <v>0.5554</v>
      </c>
      <c r="AG19" s="27">
        <f t="shared" si="14"/>
        <v>0.25219999999999998</v>
      </c>
      <c r="AH19" s="28">
        <f t="shared" si="3"/>
        <v>0.65370000000000006</v>
      </c>
      <c r="AI19" s="27">
        <f t="shared" si="15"/>
        <v>0.54099999999999993</v>
      </c>
      <c r="AJ19" s="27">
        <v>0</v>
      </c>
      <c r="AT19" s="18">
        <f t="shared" si="22"/>
        <v>3755.6147999999998</v>
      </c>
      <c r="AU19" s="18">
        <f t="shared" si="22"/>
        <v>0</v>
      </c>
      <c r="AV19" s="18">
        <f t="shared" si="22"/>
        <v>0</v>
      </c>
      <c r="AW19" s="18">
        <f t="shared" si="22"/>
        <v>0</v>
      </c>
      <c r="AX19" s="18">
        <f t="shared" si="22"/>
        <v>0</v>
      </c>
      <c r="AY19" s="26">
        <f t="shared" si="23"/>
        <v>3755.6147999999998</v>
      </c>
      <c r="AZ19" s="26"/>
      <c r="BA19" s="20">
        <f t="shared" si="24"/>
        <v>0.5554</v>
      </c>
      <c r="BB19" s="20">
        <f t="shared" si="25"/>
        <v>0.4446</v>
      </c>
      <c r="BC19" s="29">
        <v>5100</v>
      </c>
      <c r="BD19" s="30">
        <f t="shared" si="4"/>
        <v>3006.3852000000002</v>
      </c>
      <c r="BE19" s="30">
        <f t="shared" si="4"/>
        <v>0</v>
      </c>
      <c r="BF19" s="30">
        <f t="shared" si="4"/>
        <v>0</v>
      </c>
      <c r="BG19" s="30">
        <f t="shared" si="4"/>
        <v>0</v>
      </c>
      <c r="BH19" s="30">
        <f t="shared" si="4"/>
        <v>0</v>
      </c>
      <c r="BI19" s="31">
        <f t="shared" si="5"/>
        <v>3006.3852000000002</v>
      </c>
      <c r="BK19" s="9" t="str">
        <f t="shared" si="6"/>
        <v>41001224</v>
      </c>
      <c r="BL19" s="26">
        <f t="shared" si="7"/>
        <v>6762</v>
      </c>
    </row>
    <row r="20" spans="1:64">
      <c r="A20" s="10" t="str">
        <f t="shared" si="0"/>
        <v>4100</v>
      </c>
      <c r="B20" s="10" t="str">
        <f t="shared" si="1"/>
        <v>1245</v>
      </c>
      <c r="C20" s="35" t="s">
        <v>84</v>
      </c>
      <c r="D20" s="16"/>
      <c r="E20" s="34"/>
      <c r="F20" s="18">
        <f>IFERROR(VLOOKUP(C20,'[4]Revenue Data - FY19 MAR-YTD '!$C$3:$Q$82,15,FALSE),0)</f>
        <v>0</v>
      </c>
      <c r="G20" s="18"/>
      <c r="H20" s="18">
        <f t="shared" si="8"/>
        <v>0</v>
      </c>
      <c r="I20" s="18">
        <v>0</v>
      </c>
      <c r="J20" s="18">
        <f t="shared" si="9"/>
        <v>0</v>
      </c>
      <c r="K20" s="19"/>
      <c r="L20" s="20">
        <v>1</v>
      </c>
      <c r="M20" s="18">
        <f t="shared" si="10"/>
        <v>0</v>
      </c>
      <c r="N20" s="19"/>
      <c r="O20" s="21">
        <v>0</v>
      </c>
      <c r="P20" s="18">
        <f t="shared" si="11"/>
        <v>0</v>
      </c>
      <c r="Q20" s="22"/>
      <c r="R20" s="24"/>
      <c r="S20" s="24"/>
      <c r="T20" s="24"/>
      <c r="U20" s="24"/>
      <c r="V20" s="24"/>
      <c r="W20" s="24"/>
      <c r="X20" s="24"/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21">
        <f t="shared" si="12"/>
        <v>0</v>
      </c>
      <c r="AE20" s="26">
        <f t="shared" si="2"/>
        <v>0</v>
      </c>
      <c r="AF20" s="27"/>
      <c r="AG20" s="27"/>
      <c r="AH20" s="27"/>
      <c r="AI20" s="27"/>
      <c r="AJ20" s="27"/>
      <c r="BC20" s="29">
        <v>5100</v>
      </c>
      <c r="BD20" s="30">
        <f t="shared" si="4"/>
        <v>0</v>
      </c>
      <c r="BE20" s="30">
        <f t="shared" si="4"/>
        <v>0</v>
      </c>
      <c r="BF20" s="30">
        <f t="shared" si="4"/>
        <v>0</v>
      </c>
      <c r="BG20" s="30">
        <f t="shared" si="4"/>
        <v>0</v>
      </c>
      <c r="BH20" s="30">
        <f t="shared" si="4"/>
        <v>0</v>
      </c>
      <c r="BI20" s="31">
        <f t="shared" si="5"/>
        <v>0</v>
      </c>
      <c r="BK20" s="9" t="str">
        <f t="shared" si="6"/>
        <v>41001245</v>
      </c>
      <c r="BL20" s="26">
        <f t="shared" si="7"/>
        <v>0</v>
      </c>
    </row>
    <row r="21" spans="1:64">
      <c r="A21" s="10" t="str">
        <f t="shared" si="0"/>
        <v>4100</v>
      </c>
      <c r="B21" s="10" t="str">
        <f t="shared" si="1"/>
        <v>1331</v>
      </c>
      <c r="C21" s="35" t="s">
        <v>85</v>
      </c>
      <c r="D21" s="16"/>
      <c r="E21" s="34"/>
      <c r="F21" s="18">
        <f>IFERROR(VLOOKUP(C21,'[4]Revenue Data - FY19 MAR-YTD '!$C$3:$Q$82,15,FALSE),0)</f>
        <v>0</v>
      </c>
      <c r="G21" s="18"/>
      <c r="H21" s="18">
        <f t="shared" si="8"/>
        <v>0</v>
      </c>
      <c r="I21" s="18">
        <v>0</v>
      </c>
      <c r="J21" s="18">
        <f t="shared" si="9"/>
        <v>0</v>
      </c>
      <c r="K21" s="19"/>
      <c r="L21" s="20">
        <v>1</v>
      </c>
      <c r="M21" s="18">
        <f t="shared" si="10"/>
        <v>0</v>
      </c>
      <c r="N21" s="19"/>
      <c r="O21" s="21">
        <v>0</v>
      </c>
      <c r="P21" s="18">
        <f t="shared" si="11"/>
        <v>0</v>
      </c>
      <c r="Q21" s="22"/>
      <c r="R21" s="24"/>
      <c r="S21" s="24"/>
      <c r="T21" s="24"/>
      <c r="U21" s="24"/>
      <c r="V21" s="24"/>
      <c r="W21" s="24"/>
      <c r="X21" s="24"/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21">
        <f t="shared" si="12"/>
        <v>0</v>
      </c>
      <c r="AE21" s="26">
        <f t="shared" si="2"/>
        <v>0</v>
      </c>
      <c r="AF21" s="27"/>
      <c r="AG21" s="27"/>
      <c r="AH21" s="27"/>
      <c r="AI21" s="27"/>
      <c r="AJ21" s="27"/>
      <c r="BC21" s="29">
        <v>5100</v>
      </c>
      <c r="BD21" s="30">
        <f t="shared" si="4"/>
        <v>0</v>
      </c>
      <c r="BE21" s="30">
        <f t="shared" si="4"/>
        <v>0</v>
      </c>
      <c r="BF21" s="30">
        <f t="shared" si="4"/>
        <v>0</v>
      </c>
      <c r="BG21" s="30">
        <f t="shared" si="4"/>
        <v>0</v>
      </c>
      <c r="BH21" s="30">
        <f t="shared" si="4"/>
        <v>0</v>
      </c>
      <c r="BI21" s="31">
        <f t="shared" si="5"/>
        <v>0</v>
      </c>
      <c r="BK21" s="9" t="str">
        <f t="shared" si="6"/>
        <v>41001331</v>
      </c>
      <c r="BL21" s="26">
        <f t="shared" si="7"/>
        <v>0</v>
      </c>
    </row>
    <row r="22" spans="1:64">
      <c r="A22" s="36" t="str">
        <f t="shared" si="0"/>
        <v>4100</v>
      </c>
      <c r="B22" s="36" t="str">
        <f t="shared" si="1"/>
        <v>1395</v>
      </c>
      <c r="C22" s="37" t="s">
        <v>86</v>
      </c>
      <c r="D22" s="38"/>
      <c r="E22" s="39"/>
      <c r="F22" s="40">
        <f>IFERROR(VLOOKUP(C22,'[4]Revenue Data - FY19 MAR-YTD '!$C$3:$Q$82,15,FALSE),0)</f>
        <v>0</v>
      </c>
      <c r="G22" s="40"/>
      <c r="H22" s="40">
        <f t="shared" si="8"/>
        <v>0</v>
      </c>
      <c r="I22" s="40">
        <v>0</v>
      </c>
      <c r="J22" s="40">
        <f t="shared" si="9"/>
        <v>0</v>
      </c>
      <c r="K22" s="41"/>
      <c r="L22" s="20">
        <v>1</v>
      </c>
      <c r="M22" s="40"/>
      <c r="N22" s="41"/>
      <c r="O22" s="42">
        <v>0</v>
      </c>
      <c r="P22" s="43">
        <f t="shared" si="11"/>
        <v>0</v>
      </c>
      <c r="Q22" s="44"/>
      <c r="R22" s="45"/>
      <c r="S22" s="45"/>
      <c r="T22" s="45"/>
      <c r="U22" s="45"/>
      <c r="V22" s="45"/>
      <c r="W22" s="45"/>
      <c r="X22" s="45"/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2">
        <f t="shared" si="12"/>
        <v>0</v>
      </c>
      <c r="AE22" s="26">
        <f t="shared" si="2"/>
        <v>0</v>
      </c>
      <c r="AF22" s="47"/>
      <c r="AG22" s="47"/>
      <c r="AH22" s="47"/>
      <c r="AI22" s="47"/>
      <c r="AJ22" s="47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48">
        <v>5100</v>
      </c>
      <c r="BD22" s="49">
        <f t="shared" si="4"/>
        <v>0</v>
      </c>
      <c r="BE22" s="49">
        <f t="shared" si="4"/>
        <v>0</v>
      </c>
      <c r="BF22" s="49">
        <f t="shared" si="4"/>
        <v>0</v>
      </c>
      <c r="BG22" s="49">
        <f t="shared" si="4"/>
        <v>0</v>
      </c>
      <c r="BH22" s="49">
        <f t="shared" si="4"/>
        <v>0</v>
      </c>
      <c r="BI22" s="50">
        <f t="shared" si="5"/>
        <v>0</v>
      </c>
      <c r="BJ22" s="39"/>
      <c r="BK22" s="39" t="str">
        <f t="shared" si="6"/>
        <v>41001395</v>
      </c>
      <c r="BL22" s="51">
        <f t="shared" si="7"/>
        <v>0</v>
      </c>
    </row>
    <row r="23" spans="1:64">
      <c r="A23" s="10" t="str">
        <f t="shared" si="0"/>
        <v>4200</v>
      </c>
      <c r="B23" s="10" t="str">
        <f t="shared" si="1"/>
        <v>1101</v>
      </c>
      <c r="C23" s="35" t="s">
        <v>87</v>
      </c>
      <c r="D23" s="16"/>
      <c r="F23" s="18">
        <f>IFERROR(VLOOKUP(C23,'[4]Revenue Data - FY19 MAR-YTD '!$C$3:$Q$82,15,FALSE),0)</f>
        <v>0</v>
      </c>
      <c r="G23" s="18"/>
      <c r="H23" s="18">
        <f t="shared" si="8"/>
        <v>0</v>
      </c>
      <c r="I23" s="18">
        <v>0</v>
      </c>
      <c r="J23" s="18">
        <f t="shared" si="9"/>
        <v>0</v>
      </c>
      <c r="K23" s="19"/>
      <c r="L23" s="20">
        <v>1</v>
      </c>
      <c r="M23" s="18">
        <f t="shared" si="10"/>
        <v>0</v>
      </c>
      <c r="N23" s="19"/>
      <c r="O23" s="21">
        <v>0</v>
      </c>
      <c r="P23" s="18">
        <f t="shared" si="11"/>
        <v>0</v>
      </c>
      <c r="Q23" s="22"/>
      <c r="R23" s="24"/>
      <c r="S23" s="24"/>
      <c r="T23" s="24"/>
      <c r="U23" s="24"/>
      <c r="V23" s="24"/>
      <c r="W23" s="24"/>
      <c r="X23" s="24"/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21">
        <f t="shared" si="12"/>
        <v>0</v>
      </c>
      <c r="AE23" s="26">
        <f t="shared" si="2"/>
        <v>0</v>
      </c>
      <c r="AF23" s="27"/>
      <c r="AG23" s="27"/>
      <c r="AH23" s="27"/>
      <c r="AI23" s="27"/>
      <c r="AJ23" s="27"/>
      <c r="BC23" s="9">
        <v>5200</v>
      </c>
      <c r="BD23" s="30">
        <f t="shared" si="4"/>
        <v>0</v>
      </c>
      <c r="BE23" s="30">
        <f t="shared" si="4"/>
        <v>0</v>
      </c>
      <c r="BF23" s="30">
        <f t="shared" si="4"/>
        <v>0</v>
      </c>
      <c r="BG23" s="30">
        <f t="shared" si="4"/>
        <v>0</v>
      </c>
      <c r="BH23" s="30">
        <f t="shared" si="4"/>
        <v>0</v>
      </c>
      <c r="BI23" s="31">
        <f t="shared" si="5"/>
        <v>0</v>
      </c>
      <c r="BK23" s="9" t="str">
        <f t="shared" si="6"/>
        <v>42001101</v>
      </c>
      <c r="BL23" s="26">
        <f t="shared" si="7"/>
        <v>0</v>
      </c>
    </row>
    <row r="24" spans="1:64">
      <c r="A24" s="10" t="str">
        <f t="shared" si="0"/>
        <v>4200</v>
      </c>
      <c r="B24" s="10" t="str">
        <f t="shared" si="1"/>
        <v>1172</v>
      </c>
      <c r="C24" s="35" t="s">
        <v>88</v>
      </c>
      <c r="D24" s="16"/>
      <c r="F24" s="18">
        <f>IFERROR(VLOOKUP(C24,'[4]Revenue Data - FY19 MAR-YTD '!$C$3:$Q$82,15,FALSE),0)</f>
        <v>0</v>
      </c>
      <c r="G24" s="18"/>
      <c r="H24" s="18">
        <f t="shared" si="8"/>
        <v>0</v>
      </c>
      <c r="I24" s="18">
        <v>0</v>
      </c>
      <c r="J24" s="18">
        <f t="shared" si="9"/>
        <v>0</v>
      </c>
      <c r="K24" s="19"/>
      <c r="L24" s="20">
        <v>1</v>
      </c>
      <c r="M24" s="18">
        <f t="shared" si="10"/>
        <v>0</v>
      </c>
      <c r="N24" s="19"/>
      <c r="O24" s="21">
        <v>0</v>
      </c>
      <c r="P24" s="18">
        <f t="shared" si="11"/>
        <v>0</v>
      </c>
      <c r="Q24" s="22"/>
      <c r="R24" s="24"/>
      <c r="S24" s="24"/>
      <c r="T24" s="24"/>
      <c r="U24" s="24"/>
      <c r="V24" s="24"/>
      <c r="W24" s="24"/>
      <c r="X24" s="24"/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21">
        <f t="shared" si="12"/>
        <v>0</v>
      </c>
      <c r="AE24" s="26">
        <f t="shared" si="2"/>
        <v>0</v>
      </c>
      <c r="AF24" s="27"/>
      <c r="AG24" s="27"/>
      <c r="AH24" s="27"/>
      <c r="AI24" s="27"/>
      <c r="AJ24" s="27"/>
      <c r="BC24" s="9">
        <v>5200</v>
      </c>
      <c r="BD24" s="30">
        <f t="shared" si="4"/>
        <v>0</v>
      </c>
      <c r="BE24" s="30">
        <f t="shared" si="4"/>
        <v>0</v>
      </c>
      <c r="BF24" s="30">
        <f t="shared" si="4"/>
        <v>0</v>
      </c>
      <c r="BG24" s="30">
        <f t="shared" si="4"/>
        <v>0</v>
      </c>
      <c r="BH24" s="30">
        <f t="shared" si="4"/>
        <v>0</v>
      </c>
      <c r="BI24" s="31">
        <f t="shared" si="5"/>
        <v>0</v>
      </c>
      <c r="BK24" s="9" t="str">
        <f t="shared" si="6"/>
        <v>42001172</v>
      </c>
      <c r="BL24" s="26">
        <f t="shared" si="7"/>
        <v>0</v>
      </c>
    </row>
    <row r="25" spans="1:64">
      <c r="A25" s="10" t="str">
        <f t="shared" si="0"/>
        <v>4200</v>
      </c>
      <c r="B25" s="10" t="str">
        <f t="shared" si="1"/>
        <v>1210</v>
      </c>
      <c r="C25" s="35" t="s">
        <v>89</v>
      </c>
      <c r="D25" s="16">
        <v>820010</v>
      </c>
      <c r="E25" s="32" t="s">
        <v>90</v>
      </c>
      <c r="F25" s="18">
        <f>IFERROR(VLOOKUP(C25,'[4]Revenue Data - FY19 MAR-YTD '!$C$3:$Q$82,15,FALSE),0)</f>
        <v>-2533814</v>
      </c>
      <c r="G25" s="18">
        <f>-G10</f>
        <v>0</v>
      </c>
      <c r="H25" s="18">
        <f t="shared" si="8"/>
        <v>-2533814</v>
      </c>
      <c r="I25" s="18">
        <f>'[4]Statistics Projections'!J22</f>
        <v>2339</v>
      </c>
      <c r="J25" s="18">
        <f t="shared" si="9"/>
        <v>-1083.2894399315946</v>
      </c>
      <c r="K25" s="19"/>
      <c r="L25" s="20">
        <v>1</v>
      </c>
      <c r="M25" s="18">
        <f>ROUND(J25*L25,0)</f>
        <v>-1083</v>
      </c>
      <c r="N25" s="19"/>
      <c r="O25" s="21">
        <f>'[4]Statistics Projections'!L22</f>
        <v>4755</v>
      </c>
      <c r="P25" s="18">
        <f t="shared" si="11"/>
        <v>5149665</v>
      </c>
      <c r="Q25" s="22"/>
      <c r="R25" s="24">
        <f>VLOOKUP($C25,'[4]Revenue Data - FY19 MAR-YTD '!$C$3:$V$82,20,FALSE)</f>
        <v>0.52528165050789044</v>
      </c>
      <c r="S25" s="24">
        <f>VLOOKUP($C25,'[4]Revenue Data - FY19 MAR-YTD '!$C$3:$V$82,19,FALSE)</f>
        <v>0.16747125084950987</v>
      </c>
      <c r="T25" s="24">
        <f>VLOOKUP($C25,'[4]Revenue Data - FY19 MAR-YTD '!$C$3:$V$82,17,FALSE)</f>
        <v>0.14964673807943282</v>
      </c>
      <c r="U25" s="24">
        <f>VLOOKUP($C25,'[4]Revenue Data - FY19 MAR-YTD '!$C$3:$V$82,18,FALSE)</f>
        <v>0.12456715449516026</v>
      </c>
      <c r="V25" s="23">
        <f>VLOOKUP($C25,'[4]Revenue Data - FY19 MAR-YTD '!$C$3:$W$82,21,FALSE)</f>
        <v>3.3033206068006568E-2</v>
      </c>
      <c r="W25" s="24">
        <f t="shared" ref="W25:W36" si="26">SUM(R25:V25)</f>
        <v>1</v>
      </c>
      <c r="X25" s="24"/>
      <c r="Y25" s="25">
        <f t="shared" ref="Y25:Y36" si="27">P25*R25</f>
        <v>2705024.5307627157</v>
      </c>
      <c r="Z25" s="25">
        <f t="shared" ref="Z25:Z36" si="28">P25*S25</f>
        <v>862420.83900594118</v>
      </c>
      <c r="AA25" s="25">
        <f t="shared" ref="AA25:AA36" si="29">P25*T25</f>
        <v>770630.56945182243</v>
      </c>
      <c r="AB25" s="25">
        <f t="shared" ref="AB25:AB36" si="30">P25*U25</f>
        <v>641479.1156533194</v>
      </c>
      <c r="AC25" s="25">
        <f t="shared" ref="AC25:AC36" si="31">P25*V25</f>
        <v>170109.94512620106</v>
      </c>
      <c r="AD25" s="21">
        <f t="shared" si="12"/>
        <v>5149664.9999999991</v>
      </c>
      <c r="AE25" s="26">
        <f t="shared" si="2"/>
        <v>0</v>
      </c>
      <c r="AF25" s="27">
        <f>1-0.6888</f>
        <v>0.31120000000000003</v>
      </c>
      <c r="AG25" s="27">
        <f>1-0.7636</f>
        <v>0.23640000000000005</v>
      </c>
      <c r="AH25" s="27">
        <f t="shared" ref="AH25:AH36" si="32">1-0.2346-0.0839</f>
        <v>0.68149999999999999</v>
      </c>
      <c r="AI25" s="27">
        <f>1-0.329</f>
        <v>0.67100000000000004</v>
      </c>
      <c r="AJ25" s="27">
        <v>0</v>
      </c>
      <c r="AT25" s="18">
        <f t="shared" ref="AT25:AX36" si="33">Y25*AF25</f>
        <v>841803.63397335727</v>
      </c>
      <c r="AU25" s="18">
        <f t="shared" si="33"/>
        <v>203876.28634100454</v>
      </c>
      <c r="AV25" s="18">
        <f t="shared" si="33"/>
        <v>525184.73308141704</v>
      </c>
      <c r="AW25" s="18">
        <f t="shared" si="33"/>
        <v>430432.48660337733</v>
      </c>
      <c r="AX25" s="18">
        <f t="shared" si="33"/>
        <v>0</v>
      </c>
      <c r="AY25" s="26">
        <f t="shared" ref="AY25:AY36" si="34">SUM(AT25:AX25)</f>
        <v>2001297.1399991564</v>
      </c>
      <c r="AZ25" s="26"/>
      <c r="BA25" s="20">
        <f t="shared" ref="BA25:BA36" si="35">AY25/AD25</f>
        <v>0.38862666600626578</v>
      </c>
      <c r="BB25" s="20">
        <f t="shared" ref="BB25:BB36" si="36">1-BA25</f>
        <v>0.61137333399373417</v>
      </c>
      <c r="BC25" s="9">
        <v>5200</v>
      </c>
      <c r="BD25" s="30">
        <f t="shared" si="4"/>
        <v>1863220.8967893585</v>
      </c>
      <c r="BE25" s="30">
        <f t="shared" si="4"/>
        <v>658544.55266493664</v>
      </c>
      <c r="BF25" s="30">
        <f t="shared" si="4"/>
        <v>245445.83637040539</v>
      </c>
      <c r="BG25" s="30">
        <f t="shared" si="4"/>
        <v>211046.62904994207</v>
      </c>
      <c r="BH25" s="30">
        <f t="shared" si="4"/>
        <v>170109.94512620106</v>
      </c>
      <c r="BI25" s="31">
        <f t="shared" si="5"/>
        <v>3148367.8600008432</v>
      </c>
      <c r="BK25" s="9" t="str">
        <f t="shared" si="6"/>
        <v>42001210</v>
      </c>
      <c r="BL25" s="26">
        <f t="shared" si="7"/>
        <v>5149665</v>
      </c>
    </row>
    <row r="26" spans="1:64">
      <c r="A26" s="10" t="str">
        <f t="shared" si="0"/>
        <v>4200</v>
      </c>
      <c r="B26" s="10" t="str">
        <f t="shared" si="1"/>
        <v>1211</v>
      </c>
      <c r="C26" s="35" t="s">
        <v>91</v>
      </c>
      <c r="D26" s="16">
        <v>820011</v>
      </c>
      <c r="E26" s="32" t="s">
        <v>92</v>
      </c>
      <c r="F26" s="18">
        <f>IFERROR(VLOOKUP(C26,'[4]Revenue Data - FY19 MAR-YTD '!$C$3:$Q$82,15,FALSE),0)</f>
        <v>-3731986.76</v>
      </c>
      <c r="G26" s="18"/>
      <c r="H26" s="18">
        <f t="shared" si="8"/>
        <v>-3731986.76</v>
      </c>
      <c r="I26" s="18">
        <f>'[4]Statistics Projections'!J26</f>
        <v>813</v>
      </c>
      <c r="J26" s="18">
        <f t="shared" si="9"/>
        <v>-4590.3896186961865</v>
      </c>
      <c r="K26" s="19"/>
      <c r="L26" s="20">
        <v>1</v>
      </c>
      <c r="M26" s="18">
        <f>ROUND(J26*L26,2)</f>
        <v>-4590.3900000000003</v>
      </c>
      <c r="N26" s="19"/>
      <c r="O26" s="21">
        <f>'[4]Statistics Projections'!L26</f>
        <v>1710</v>
      </c>
      <c r="P26" s="18">
        <f t="shared" si="11"/>
        <v>7849566.9000000004</v>
      </c>
      <c r="Q26" s="22"/>
      <c r="R26" s="24">
        <f>VLOOKUP($C26,'[4]Revenue Data - FY19 MAR-YTD '!$C$3:$V$82,20,FALSE)</f>
        <v>0.51035076823262904</v>
      </c>
      <c r="S26" s="24">
        <f>VLOOKUP($C26,'[4]Revenue Data - FY19 MAR-YTD '!$C$3:$V$82,19,FALSE)</f>
        <v>7.4112117160887253E-2</v>
      </c>
      <c r="T26" s="24">
        <f>VLOOKUP($C26,'[4]Revenue Data - FY19 MAR-YTD '!$C$3:$V$82,17,FALSE)</f>
        <v>0.19536274024723499</v>
      </c>
      <c r="U26" s="24">
        <f>VLOOKUP($C26,'[4]Revenue Data - FY19 MAR-YTD '!$C$3:$V$82,18,FALSE)</f>
        <v>0.21437444756636811</v>
      </c>
      <c r="V26" s="23">
        <f>VLOOKUP($C26,'[4]Revenue Data - FY19 MAR-YTD '!$C$3:$W$82,21,FALSE)</f>
        <v>5.7999267928806912E-3</v>
      </c>
      <c r="W26" s="24">
        <f t="shared" si="26"/>
        <v>1.0000000000000002</v>
      </c>
      <c r="X26" s="24"/>
      <c r="Y26" s="25">
        <f t="shared" si="27"/>
        <v>4006032.4977084165</v>
      </c>
      <c r="Z26" s="25">
        <f t="shared" si="28"/>
        <v>581748.02175502258</v>
      </c>
      <c r="AA26" s="25">
        <f t="shared" si="29"/>
        <v>1533512.8993379937</v>
      </c>
      <c r="AB26" s="25">
        <f t="shared" si="30"/>
        <v>1682746.5678227488</v>
      </c>
      <c r="AC26" s="25">
        <f t="shared" si="31"/>
        <v>45526.913375819429</v>
      </c>
      <c r="AD26" s="21">
        <f t="shared" si="12"/>
        <v>7849566.9000000013</v>
      </c>
      <c r="AE26" s="26">
        <f t="shared" si="2"/>
        <v>0</v>
      </c>
      <c r="AF26" s="27">
        <f t="shared" ref="AF26:AF36" si="37">1-0.6888</f>
        <v>0.31120000000000003</v>
      </c>
      <c r="AG26" s="27">
        <f t="shared" ref="AG26:AG36" si="38">1-0.7636</f>
        <v>0.23640000000000005</v>
      </c>
      <c r="AH26" s="27">
        <f t="shared" si="32"/>
        <v>0.68149999999999999</v>
      </c>
      <c r="AI26" s="27">
        <f t="shared" ref="AI26:AI36" si="39">1-0.329</f>
        <v>0.67100000000000004</v>
      </c>
      <c r="AJ26" s="27">
        <v>0</v>
      </c>
      <c r="AT26" s="18">
        <f t="shared" si="33"/>
        <v>1246677.3132868593</v>
      </c>
      <c r="AU26" s="18">
        <f t="shared" si="33"/>
        <v>137525.23234288738</v>
      </c>
      <c r="AV26" s="18">
        <f t="shared" si="33"/>
        <v>1045089.0408988427</v>
      </c>
      <c r="AW26" s="18">
        <f t="shared" si="33"/>
        <v>1129122.9470090645</v>
      </c>
      <c r="AX26" s="18">
        <f t="shared" si="33"/>
        <v>0</v>
      </c>
      <c r="AY26" s="26">
        <f t="shared" si="34"/>
        <v>3558414.5335376542</v>
      </c>
      <c r="AZ26" s="26"/>
      <c r="BA26" s="20">
        <f t="shared" si="35"/>
        <v>0.45332622536635159</v>
      </c>
      <c r="BB26" s="20">
        <f t="shared" si="36"/>
        <v>0.54667377463364841</v>
      </c>
      <c r="BC26" s="9">
        <v>5200</v>
      </c>
      <c r="BD26" s="30">
        <f t="shared" si="4"/>
        <v>2759355.184421557</v>
      </c>
      <c r="BE26" s="30">
        <f t="shared" si="4"/>
        <v>444222.7894121352</v>
      </c>
      <c r="BF26" s="30">
        <f t="shared" si="4"/>
        <v>488423.85843915096</v>
      </c>
      <c r="BG26" s="30">
        <f t="shared" si="4"/>
        <v>553623.62081368431</v>
      </c>
      <c r="BH26" s="30">
        <f t="shared" si="4"/>
        <v>45526.913375819429</v>
      </c>
      <c r="BI26" s="31">
        <f t="shared" si="5"/>
        <v>4291152.3664623471</v>
      </c>
      <c r="BK26" s="9" t="str">
        <f t="shared" si="6"/>
        <v>42001211</v>
      </c>
      <c r="BL26" s="26">
        <f t="shared" si="7"/>
        <v>7849566.9000000004</v>
      </c>
    </row>
    <row r="27" spans="1:64">
      <c r="A27" s="10" t="str">
        <f t="shared" si="0"/>
        <v>4200</v>
      </c>
      <c r="B27" s="10" t="str">
        <f t="shared" si="1"/>
        <v>1215</v>
      </c>
      <c r="C27" s="35" t="s">
        <v>93</v>
      </c>
      <c r="D27" s="16">
        <v>820125</v>
      </c>
      <c r="E27" s="32" t="s">
        <v>94</v>
      </c>
      <c r="F27" s="18">
        <f>IFERROR(VLOOKUP(C27,'[4]Revenue Data - FY19 MAR-YTD '!$C$3:$Q$82,15,FALSE),0)</f>
        <v>-797598.79</v>
      </c>
      <c r="G27" s="18"/>
      <c r="H27" s="18">
        <f t="shared" si="8"/>
        <v>-797598.79</v>
      </c>
      <c r="I27" s="18">
        <f>'[4]Statistics Projections'!J32</f>
        <v>36580</v>
      </c>
      <c r="J27" s="18">
        <f t="shared" si="9"/>
        <v>-21.804231547293604</v>
      </c>
      <c r="K27" s="19"/>
      <c r="L27" s="20">
        <v>1</v>
      </c>
      <c r="M27" s="18">
        <f t="shared" ref="M27:M36" si="40">ROUND(J27*L27,2)</f>
        <v>-21.8</v>
      </c>
      <c r="N27" s="19"/>
      <c r="O27" s="21">
        <f>'[4]Statistics Projections'!L32</f>
        <v>78042</v>
      </c>
      <c r="P27" s="18">
        <f t="shared" si="11"/>
        <v>1701315.6</v>
      </c>
      <c r="Q27" s="22"/>
      <c r="R27" s="24">
        <f>VLOOKUP($C27,'[4]Revenue Data - FY19 MAR-YTD '!$C$3:$V$82,20,FALSE)</f>
        <v>0.46620256281983574</v>
      </c>
      <c r="S27" s="24">
        <f>VLOOKUP($C27,'[4]Revenue Data - FY19 MAR-YTD '!$C$3:$V$82,19,FALSE)</f>
        <v>5.9981999220435123E-2</v>
      </c>
      <c r="T27" s="24">
        <f>VLOOKUP($C27,'[4]Revenue Data - FY19 MAR-YTD '!$C$3:$V$82,17,FALSE)</f>
        <v>0.2384433406675554</v>
      </c>
      <c r="U27" s="24">
        <f>VLOOKUP($C27,'[4]Revenue Data - FY19 MAR-YTD '!$C$3:$V$82,18,FALSE)</f>
        <v>0.23063002640713634</v>
      </c>
      <c r="V27" s="23">
        <f>VLOOKUP($C27,'[4]Revenue Data - FY19 MAR-YTD '!$C$3:$W$82,21,FALSE)</f>
        <v>4.7420708850373257E-3</v>
      </c>
      <c r="W27" s="24">
        <f t="shared" si="26"/>
        <v>0.99999999999999989</v>
      </c>
      <c r="X27" s="24"/>
      <c r="Y27" s="25">
        <f t="shared" si="27"/>
        <v>793157.69288536662</v>
      </c>
      <c r="Z27" s="25">
        <f t="shared" si="28"/>
        <v>102048.31099291412</v>
      </c>
      <c r="AA27" s="25">
        <f t="shared" si="29"/>
        <v>405667.37519382645</v>
      </c>
      <c r="AB27" s="25">
        <f t="shared" si="30"/>
        <v>392374.46175487305</v>
      </c>
      <c r="AC27" s="25">
        <f t="shared" si="31"/>
        <v>8067.7591730198092</v>
      </c>
      <c r="AD27" s="21">
        <f t="shared" si="12"/>
        <v>1701315.6</v>
      </c>
      <c r="AE27" s="26">
        <f t="shared" si="2"/>
        <v>0</v>
      </c>
      <c r="AF27" s="27">
        <f t="shared" si="37"/>
        <v>0.31120000000000003</v>
      </c>
      <c r="AG27" s="27">
        <f t="shared" si="38"/>
        <v>0.23640000000000005</v>
      </c>
      <c r="AH27" s="27">
        <f t="shared" si="32"/>
        <v>0.68149999999999999</v>
      </c>
      <c r="AI27" s="27">
        <f t="shared" si="39"/>
        <v>0.67100000000000004</v>
      </c>
      <c r="AJ27" s="27">
        <v>0</v>
      </c>
      <c r="AT27" s="18">
        <f t="shared" si="33"/>
        <v>246830.67402592613</v>
      </c>
      <c r="AU27" s="18">
        <f t="shared" si="33"/>
        <v>24124.220718724904</v>
      </c>
      <c r="AV27" s="18">
        <f t="shared" si="33"/>
        <v>276462.31619459274</v>
      </c>
      <c r="AW27" s="18">
        <f t="shared" si="33"/>
        <v>263283.26383751986</v>
      </c>
      <c r="AX27" s="18">
        <f t="shared" si="33"/>
        <v>0</v>
      </c>
      <c r="AY27" s="26">
        <f t="shared" si="34"/>
        <v>810700.4747767637</v>
      </c>
      <c r="AZ27" s="26"/>
      <c r="BA27" s="20">
        <f t="shared" si="35"/>
        <v>0.47651386654937133</v>
      </c>
      <c r="BB27" s="20">
        <f t="shared" si="36"/>
        <v>0.52348613345062867</v>
      </c>
      <c r="BC27" s="9">
        <v>5200</v>
      </c>
      <c r="BD27" s="30">
        <f t="shared" si="4"/>
        <v>546327.01885944046</v>
      </c>
      <c r="BE27" s="30">
        <f t="shared" si="4"/>
        <v>77924.090274189221</v>
      </c>
      <c r="BF27" s="30">
        <f t="shared" si="4"/>
        <v>129205.0589992337</v>
      </c>
      <c r="BG27" s="30">
        <f t="shared" si="4"/>
        <v>129091.19791735319</v>
      </c>
      <c r="BH27" s="30">
        <f t="shared" si="4"/>
        <v>8067.7591730198092</v>
      </c>
      <c r="BI27" s="31">
        <f t="shared" si="5"/>
        <v>890615.12522323639</v>
      </c>
      <c r="BK27" s="9" t="str">
        <f t="shared" si="6"/>
        <v>42001215</v>
      </c>
      <c r="BL27" s="26">
        <f t="shared" si="7"/>
        <v>1701315.6</v>
      </c>
    </row>
    <row r="28" spans="1:64">
      <c r="A28" s="10" t="str">
        <f t="shared" si="0"/>
        <v>4200</v>
      </c>
      <c r="B28" s="10" t="str">
        <f t="shared" si="1"/>
        <v>1216</v>
      </c>
      <c r="C28" s="35" t="s">
        <v>95</v>
      </c>
      <c r="D28" s="16">
        <v>820020</v>
      </c>
      <c r="E28" s="32" t="s">
        <v>96</v>
      </c>
      <c r="F28" s="18">
        <f>IFERROR(VLOOKUP(C28,'[4]Revenue Data - FY19 MAR-YTD '!$C$3:$Q$82,15,FALSE),0)</f>
        <v>-7330283.3200000003</v>
      </c>
      <c r="G28" s="18"/>
      <c r="H28" s="18">
        <f>SUM(F28:G28)</f>
        <v>-7330283.3200000003</v>
      </c>
      <c r="I28" s="18">
        <f>'[4]Statistics Projections'!J47</f>
        <v>5836</v>
      </c>
      <c r="J28" s="18">
        <f t="shared" si="9"/>
        <v>-1256.0458053461275</v>
      </c>
      <c r="K28" s="19"/>
      <c r="L28" s="20">
        <v>1</v>
      </c>
      <c r="M28" s="18">
        <f t="shared" si="40"/>
        <v>-1256.05</v>
      </c>
      <c r="N28" s="19"/>
      <c r="O28" s="21">
        <f>'[4]Statistics Projections'!L47</f>
        <v>11561</v>
      </c>
      <c r="P28" s="18">
        <f t="shared" si="11"/>
        <v>14521194.049999999</v>
      </c>
      <c r="Q28" s="22"/>
      <c r="R28" s="24">
        <f>VLOOKUP($C28,'[4]Revenue Data - FY19 MAR-YTD '!$C$3:$V$82,20,FALSE)</f>
        <v>0.4921564286822136</v>
      </c>
      <c r="S28" s="24">
        <f>VLOOKUP($C28,'[4]Revenue Data - FY19 MAR-YTD '!$C$3:$V$82,19,FALSE)</f>
        <v>0.14004095001337546</v>
      </c>
      <c r="T28" s="24">
        <f>VLOOKUP($C28,'[4]Revenue Data - FY19 MAR-YTD '!$C$3:$V$82,17,FALSE)</f>
        <v>0.17909280483308795</v>
      </c>
      <c r="U28" s="24">
        <f>VLOOKUP($C28,'[4]Revenue Data - FY19 MAR-YTD '!$C$3:$V$82,18,FALSE)</f>
        <v>0.17002377201431279</v>
      </c>
      <c r="V28" s="23">
        <f>VLOOKUP($C28,'[4]Revenue Data - FY19 MAR-YTD '!$C$3:$W$82,21,FALSE)</f>
        <v>1.8686044457010154E-2</v>
      </c>
      <c r="W28" s="24">
        <f t="shared" si="26"/>
        <v>0.99999999999999989</v>
      </c>
      <c r="X28" s="24"/>
      <c r="Y28" s="25">
        <f t="shared" si="27"/>
        <v>7146699.0038494086</v>
      </c>
      <c r="Z28" s="25">
        <f t="shared" si="28"/>
        <v>2033561.8100905751</v>
      </c>
      <c r="AA28" s="25">
        <f t="shared" si="29"/>
        <v>2600641.3719400479</v>
      </c>
      <c r="AB28" s="25">
        <f t="shared" si="30"/>
        <v>2468948.1865327954</v>
      </c>
      <c r="AC28" s="25">
        <f t="shared" si="31"/>
        <v>271343.67758717132</v>
      </c>
      <c r="AD28" s="21">
        <f t="shared" si="12"/>
        <v>14521194.049999999</v>
      </c>
      <c r="AE28" s="26">
        <f t="shared" si="2"/>
        <v>0</v>
      </c>
      <c r="AF28" s="27">
        <f t="shared" si="37"/>
        <v>0.31120000000000003</v>
      </c>
      <c r="AG28" s="27">
        <f t="shared" si="38"/>
        <v>0.23640000000000005</v>
      </c>
      <c r="AH28" s="27">
        <f t="shared" si="32"/>
        <v>0.68149999999999999</v>
      </c>
      <c r="AI28" s="27">
        <f t="shared" si="39"/>
        <v>0.67100000000000004</v>
      </c>
      <c r="AJ28" s="27">
        <v>0</v>
      </c>
      <c r="AT28" s="18">
        <f t="shared" si="33"/>
        <v>2224052.7299979362</v>
      </c>
      <c r="AU28" s="18">
        <f t="shared" si="33"/>
        <v>480734.01190541207</v>
      </c>
      <c r="AV28" s="18">
        <f t="shared" si="33"/>
        <v>1772337.0949771428</v>
      </c>
      <c r="AW28" s="18">
        <f t="shared" si="33"/>
        <v>1656664.2331635058</v>
      </c>
      <c r="AX28" s="18">
        <f t="shared" si="33"/>
        <v>0</v>
      </c>
      <c r="AY28" s="26">
        <f t="shared" si="34"/>
        <v>6133788.0700439969</v>
      </c>
      <c r="AZ28" s="26"/>
      <c r="BA28" s="20">
        <f t="shared" si="35"/>
        <v>0.42240245870442023</v>
      </c>
      <c r="BB28" s="20">
        <f t="shared" si="36"/>
        <v>0.57759754129557983</v>
      </c>
      <c r="BC28" s="9">
        <v>5200</v>
      </c>
      <c r="BD28" s="30">
        <f t="shared" si="4"/>
        <v>4922646.2738514729</v>
      </c>
      <c r="BE28" s="30">
        <f t="shared" si="4"/>
        <v>1552827.7981851632</v>
      </c>
      <c r="BF28" s="30">
        <f t="shared" si="4"/>
        <v>828304.27696290519</v>
      </c>
      <c r="BG28" s="30">
        <f t="shared" si="4"/>
        <v>812283.95336928964</v>
      </c>
      <c r="BH28" s="30">
        <f t="shared" si="4"/>
        <v>271343.67758717132</v>
      </c>
      <c r="BI28" s="31">
        <f t="shared" si="5"/>
        <v>8387405.979956002</v>
      </c>
      <c r="BK28" s="9" t="str">
        <f t="shared" si="6"/>
        <v>42001216</v>
      </c>
      <c r="BL28" s="26">
        <f t="shared" si="7"/>
        <v>14521194.049999999</v>
      </c>
    </row>
    <row r="29" spans="1:64">
      <c r="A29" s="10" t="str">
        <f t="shared" si="0"/>
        <v>4200</v>
      </c>
      <c r="B29" s="10" t="str">
        <f t="shared" si="1"/>
        <v>1217</v>
      </c>
      <c r="C29" s="35" t="s">
        <v>97</v>
      </c>
      <c r="D29" s="16">
        <v>820030</v>
      </c>
      <c r="E29" s="32" t="s">
        <v>98</v>
      </c>
      <c r="F29" s="18">
        <f>IFERROR(VLOOKUP(C29,'[4]Revenue Data - FY19 MAR-YTD '!$C$3:$Q$82,15,FALSE),0)</f>
        <v>-5468838</v>
      </c>
      <c r="G29" s="18"/>
      <c r="H29" s="18">
        <f t="shared" si="8"/>
        <v>-5468838</v>
      </c>
      <c r="I29" s="18">
        <f>'[4]Statistics Projections'!J67</f>
        <v>25187</v>
      </c>
      <c r="J29" s="18">
        <f t="shared" si="9"/>
        <v>-217.12939214674236</v>
      </c>
      <c r="K29" s="52"/>
      <c r="L29" s="20">
        <v>1</v>
      </c>
      <c r="M29" s="18">
        <f t="shared" si="40"/>
        <v>-217.13</v>
      </c>
      <c r="N29" s="19"/>
      <c r="O29" s="21">
        <f>'[4]Statistics Projections'!L67</f>
        <v>50450</v>
      </c>
      <c r="P29" s="18">
        <f t="shared" si="11"/>
        <v>10954208.5</v>
      </c>
      <c r="Q29" s="22"/>
      <c r="R29" s="24">
        <f>VLOOKUP($C29,'[4]Revenue Data - FY19 MAR-YTD '!$C$3:$V$82,20,FALSE)</f>
        <v>0.46900401876961795</v>
      </c>
      <c r="S29" s="24">
        <f>VLOOKUP($C29,'[4]Revenue Data - FY19 MAR-YTD '!$C$3:$V$82,19,FALSE)</f>
        <v>0.12342676817269044</v>
      </c>
      <c r="T29" s="24">
        <f>VLOOKUP($C29,'[4]Revenue Data - FY19 MAR-YTD '!$C$3:$V$82,17,FALSE)</f>
        <v>0.19928657605143907</v>
      </c>
      <c r="U29" s="24">
        <f>VLOOKUP($C29,'[4]Revenue Data - FY19 MAR-YTD '!$C$3:$V$82,18,FALSE)</f>
        <v>0.19245697166381598</v>
      </c>
      <c r="V29" s="23">
        <f>VLOOKUP($C29,'[4]Revenue Data - FY19 MAR-YTD '!$C$3:$W$82,21,FALSE)</f>
        <v>1.5825665342436547E-2</v>
      </c>
      <c r="W29" s="24">
        <f t="shared" si="26"/>
        <v>1</v>
      </c>
      <c r="X29" s="24"/>
      <c r="Y29" s="25">
        <f t="shared" si="27"/>
        <v>5137567.8089403082</v>
      </c>
      <c r="Z29" s="25">
        <f t="shared" si="28"/>
        <v>1352042.5530448151</v>
      </c>
      <c r="AA29" s="25">
        <f t="shared" si="29"/>
        <v>2183026.7053185701</v>
      </c>
      <c r="AB29" s="25">
        <f t="shared" si="30"/>
        <v>2108213.7948840321</v>
      </c>
      <c r="AC29" s="25">
        <f t="shared" si="31"/>
        <v>173357.63781227384</v>
      </c>
      <c r="AD29" s="21">
        <f t="shared" si="12"/>
        <v>10954208.499999998</v>
      </c>
      <c r="AE29" s="26">
        <f t="shared" si="2"/>
        <v>0</v>
      </c>
      <c r="AF29" s="27">
        <f t="shared" si="37"/>
        <v>0.31120000000000003</v>
      </c>
      <c r="AG29" s="27">
        <f t="shared" si="38"/>
        <v>0.23640000000000005</v>
      </c>
      <c r="AH29" s="27">
        <f t="shared" si="32"/>
        <v>0.68149999999999999</v>
      </c>
      <c r="AI29" s="27">
        <f t="shared" si="39"/>
        <v>0.67100000000000004</v>
      </c>
      <c r="AJ29" s="27">
        <v>0</v>
      </c>
      <c r="AT29" s="18">
        <f t="shared" si="33"/>
        <v>1598811.1021422241</v>
      </c>
      <c r="AU29" s="18">
        <f t="shared" si="33"/>
        <v>319622.85953979439</v>
      </c>
      <c r="AV29" s="18">
        <f t="shared" si="33"/>
        <v>1487732.6996746056</v>
      </c>
      <c r="AW29" s="18">
        <f t="shared" si="33"/>
        <v>1414611.4563671856</v>
      </c>
      <c r="AX29" s="18">
        <f t="shared" si="33"/>
        <v>0</v>
      </c>
      <c r="AY29" s="26">
        <f t="shared" si="34"/>
        <v>4820778.1177238096</v>
      </c>
      <c r="AZ29" s="26"/>
      <c r="BA29" s="20">
        <f t="shared" si="35"/>
        <v>0.44008456820260544</v>
      </c>
      <c r="BB29" s="20">
        <f t="shared" si="36"/>
        <v>0.55991543179739456</v>
      </c>
      <c r="BC29" s="9">
        <v>5200</v>
      </c>
      <c r="BD29" s="30">
        <f t="shared" si="4"/>
        <v>3538756.7067980841</v>
      </c>
      <c r="BE29" s="30">
        <f t="shared" si="4"/>
        <v>1032419.6935050207</v>
      </c>
      <c r="BF29" s="30">
        <f t="shared" si="4"/>
        <v>695294.00564396451</v>
      </c>
      <c r="BG29" s="30">
        <f t="shared" si="4"/>
        <v>693602.33851684653</v>
      </c>
      <c r="BH29" s="30">
        <f t="shared" si="4"/>
        <v>173357.63781227384</v>
      </c>
      <c r="BI29" s="31">
        <f t="shared" si="5"/>
        <v>6133430.3822761895</v>
      </c>
      <c r="BK29" s="9" t="str">
        <f t="shared" si="6"/>
        <v>42001217</v>
      </c>
      <c r="BL29" s="26">
        <f t="shared" si="7"/>
        <v>10954208.5</v>
      </c>
    </row>
    <row r="30" spans="1:64">
      <c r="A30" s="10" t="str">
        <f t="shared" si="0"/>
        <v>4200</v>
      </c>
      <c r="B30" s="10" t="str">
        <f t="shared" si="1"/>
        <v>1219</v>
      </c>
      <c r="C30" s="35" t="s">
        <v>99</v>
      </c>
      <c r="D30" s="16">
        <v>820045</v>
      </c>
      <c r="E30" s="32" t="s">
        <v>100</v>
      </c>
      <c r="F30" s="18">
        <f>IFERROR(VLOOKUP(C30,'[4]Revenue Data - FY19 MAR-YTD '!$C$3:$Q$82,15,FALSE),0)</f>
        <v>-4738109.41</v>
      </c>
      <c r="G30" s="18"/>
      <c r="H30" s="18">
        <f t="shared" si="8"/>
        <v>-4738109.41</v>
      </c>
      <c r="I30" s="18">
        <f>'[4]Statistics Projections'!J73</f>
        <v>31885</v>
      </c>
      <c r="J30" s="18">
        <f t="shared" si="9"/>
        <v>-148.59995013329151</v>
      </c>
      <c r="K30" s="19"/>
      <c r="L30" s="20">
        <v>1</v>
      </c>
      <c r="M30" s="18">
        <f t="shared" si="40"/>
        <v>-148.6</v>
      </c>
      <c r="N30" s="19"/>
      <c r="O30" s="21">
        <f>'[4]Statistics Projections'!L73</f>
        <v>63000</v>
      </c>
      <c r="P30" s="18">
        <f t="shared" si="11"/>
        <v>9361800</v>
      </c>
      <c r="Q30" s="22"/>
      <c r="R30" s="24">
        <f>VLOOKUP($C30,'[4]Revenue Data - FY19 MAR-YTD '!$C$3:$V$82,20,FALSE)</f>
        <v>0.67137837156867175</v>
      </c>
      <c r="S30" s="24">
        <f>VLOOKUP($C30,'[4]Revenue Data - FY19 MAR-YTD '!$C$3:$V$82,19,FALSE)</f>
        <v>4.2816930223652218E-2</v>
      </c>
      <c r="T30" s="24">
        <f>VLOOKUP($C30,'[4]Revenue Data - FY19 MAR-YTD '!$C$3:$V$82,17,FALSE)</f>
        <v>0.1202452308926315</v>
      </c>
      <c r="U30" s="24">
        <f>VLOOKUP($C30,'[4]Revenue Data - FY19 MAR-YTD '!$C$3:$V$82,18,FALSE)</f>
        <v>0.14254956176708466</v>
      </c>
      <c r="V30" s="23">
        <f>VLOOKUP($C30,'[4]Revenue Data - FY19 MAR-YTD '!$C$3:$W$82,21,FALSE)</f>
        <v>2.3009905547959897E-2</v>
      </c>
      <c r="W30" s="24">
        <f t="shared" si="26"/>
        <v>1</v>
      </c>
      <c r="X30" s="24"/>
      <c r="Y30" s="25">
        <f t="shared" si="27"/>
        <v>6285310.0389515916</v>
      </c>
      <c r="Z30" s="25">
        <f t="shared" si="28"/>
        <v>400843.53736778733</v>
      </c>
      <c r="AA30" s="25">
        <f t="shared" si="29"/>
        <v>1125711.8025706375</v>
      </c>
      <c r="AB30" s="25">
        <f t="shared" si="30"/>
        <v>1334520.4873510932</v>
      </c>
      <c r="AC30" s="25">
        <f t="shared" si="31"/>
        <v>215414.13375889097</v>
      </c>
      <c r="AD30" s="21">
        <f>SUM(Y30:AC30)</f>
        <v>9361800</v>
      </c>
      <c r="AE30" s="26">
        <f t="shared" si="2"/>
        <v>0</v>
      </c>
      <c r="AF30" s="27">
        <f t="shared" si="37"/>
        <v>0.31120000000000003</v>
      </c>
      <c r="AG30" s="27">
        <f t="shared" si="38"/>
        <v>0.23640000000000005</v>
      </c>
      <c r="AH30" s="27">
        <f t="shared" si="32"/>
        <v>0.68149999999999999</v>
      </c>
      <c r="AI30" s="27">
        <f t="shared" si="39"/>
        <v>0.67100000000000004</v>
      </c>
      <c r="AJ30" s="27">
        <v>0</v>
      </c>
      <c r="AT30" s="18">
        <f t="shared" si="33"/>
        <v>1955988.4841217354</v>
      </c>
      <c r="AU30" s="18">
        <f t="shared" si="33"/>
        <v>94759.412233744952</v>
      </c>
      <c r="AV30" s="18">
        <f t="shared" si="33"/>
        <v>767172.59345188946</v>
      </c>
      <c r="AW30" s="18">
        <f t="shared" si="33"/>
        <v>895463.24701258366</v>
      </c>
      <c r="AX30" s="18">
        <f t="shared" si="33"/>
        <v>0</v>
      </c>
      <c r="AY30" s="26">
        <f t="shared" si="34"/>
        <v>3713383.7368199537</v>
      </c>
      <c r="AZ30" s="26"/>
      <c r="BA30" s="20">
        <f t="shared" si="35"/>
        <v>0.39665275233608427</v>
      </c>
      <c r="BB30" s="20">
        <f t="shared" si="36"/>
        <v>0.60334724766391568</v>
      </c>
      <c r="BC30" s="9">
        <v>5200</v>
      </c>
      <c r="BD30" s="30">
        <f t="shared" si="4"/>
        <v>4329321.5548298564</v>
      </c>
      <c r="BE30" s="30">
        <f t="shared" si="4"/>
        <v>306084.12513404235</v>
      </c>
      <c r="BF30" s="30">
        <f t="shared" si="4"/>
        <v>358539.20911874808</v>
      </c>
      <c r="BG30" s="30">
        <f t="shared" si="4"/>
        <v>439057.24033850955</v>
      </c>
      <c r="BH30" s="30">
        <f t="shared" si="4"/>
        <v>215414.13375889097</v>
      </c>
      <c r="BI30" s="31">
        <f t="shared" si="5"/>
        <v>5648416.2631800482</v>
      </c>
      <c r="BK30" s="9" t="str">
        <f t="shared" si="6"/>
        <v>42001219</v>
      </c>
      <c r="BL30" s="26">
        <f t="shared" si="7"/>
        <v>9361800</v>
      </c>
    </row>
    <row r="31" spans="1:64">
      <c r="A31" s="10" t="str">
        <f t="shared" si="0"/>
        <v>4200</v>
      </c>
      <c r="B31" s="10" t="str">
        <f t="shared" si="1"/>
        <v>1220</v>
      </c>
      <c r="C31" s="35" t="s">
        <v>101</v>
      </c>
      <c r="D31" s="16">
        <v>820050</v>
      </c>
      <c r="E31" s="32" t="s">
        <v>102</v>
      </c>
      <c r="F31" s="18">
        <f>IFERROR(VLOOKUP(C31,'[4]Revenue Data - FY19 MAR-YTD '!$C$3:$Q$82,15,FALSE),0)</f>
        <v>-124791</v>
      </c>
      <c r="G31" s="26"/>
      <c r="H31" s="18">
        <f t="shared" si="8"/>
        <v>-124791</v>
      </c>
      <c r="I31" s="18">
        <f>'[4]Statistics Projections'!J79</f>
        <v>549</v>
      </c>
      <c r="J31" s="18">
        <f t="shared" si="9"/>
        <v>-227.30601092896174</v>
      </c>
      <c r="K31" s="19"/>
      <c r="L31" s="20">
        <v>1</v>
      </c>
      <c r="M31" s="18">
        <f t="shared" si="40"/>
        <v>-227.31</v>
      </c>
      <c r="N31" s="19"/>
      <c r="O31" s="21">
        <f>'[4]Statistics Projections'!L79</f>
        <v>1136</v>
      </c>
      <c r="P31" s="18">
        <f t="shared" si="11"/>
        <v>258224.16</v>
      </c>
      <c r="Q31" s="22"/>
      <c r="R31" s="24">
        <f>VLOOKUP($C31,'[4]Revenue Data - FY19 MAR-YTD '!$C$3:$V$82,20,FALSE)</f>
        <v>0.54160957120305153</v>
      </c>
      <c r="S31" s="24">
        <f>VLOOKUP($C31,'[4]Revenue Data - FY19 MAR-YTD '!$C$3:$V$82,19,FALSE)</f>
        <v>9.7683326521944697E-2</v>
      </c>
      <c r="T31" s="24">
        <f>VLOOKUP($C31,'[4]Revenue Data - FY19 MAR-YTD '!$C$3:$V$82,17,FALSE)</f>
        <v>0.16917085366733178</v>
      </c>
      <c r="U31" s="24">
        <f>VLOOKUP($C31,'[4]Revenue Data - FY19 MAR-YTD '!$C$3:$V$82,18,FALSE)</f>
        <v>0.17486837993124504</v>
      </c>
      <c r="V31" s="23">
        <f>VLOOKUP($C31,'[4]Revenue Data - FY19 MAR-YTD '!$C$3:$W$82,21,FALSE)</f>
        <v>1.6667868676426986E-2</v>
      </c>
      <c r="W31" s="24">
        <f t="shared" si="26"/>
        <v>1</v>
      </c>
      <c r="X31" s="24"/>
      <c r="Y31" s="25">
        <f t="shared" si="27"/>
        <v>139856.67657186819</v>
      </c>
      <c r="Z31" s="25">
        <f t="shared" si="28"/>
        <v>25224.194937134893</v>
      </c>
      <c r="AA31" s="25">
        <f t="shared" si="29"/>
        <v>43684.001584729667</v>
      </c>
      <c r="AB31" s="25">
        <f t="shared" si="30"/>
        <v>45155.240518306608</v>
      </c>
      <c r="AC31" s="25">
        <f t="shared" si="31"/>
        <v>4304.0463879606705</v>
      </c>
      <c r="AD31" s="21">
        <f t="shared" si="12"/>
        <v>258224.16000000003</v>
      </c>
      <c r="AE31" s="26">
        <f t="shared" si="2"/>
        <v>0</v>
      </c>
      <c r="AF31" s="27">
        <f t="shared" si="37"/>
        <v>0.31120000000000003</v>
      </c>
      <c r="AG31" s="27">
        <f t="shared" si="38"/>
        <v>0.23640000000000005</v>
      </c>
      <c r="AH31" s="27">
        <f t="shared" si="32"/>
        <v>0.68149999999999999</v>
      </c>
      <c r="AI31" s="27">
        <f t="shared" si="39"/>
        <v>0.67100000000000004</v>
      </c>
      <c r="AJ31" s="27">
        <v>0</v>
      </c>
      <c r="AT31" s="18">
        <f t="shared" si="33"/>
        <v>43523.397749165386</v>
      </c>
      <c r="AU31" s="18">
        <f t="shared" si="33"/>
        <v>5962.9996831386898</v>
      </c>
      <c r="AV31" s="18">
        <f t="shared" si="33"/>
        <v>29770.647079993269</v>
      </c>
      <c r="AW31" s="18">
        <f t="shared" si="33"/>
        <v>30299.166387783735</v>
      </c>
      <c r="AX31" s="18">
        <f t="shared" si="33"/>
        <v>0</v>
      </c>
      <c r="AY31" s="26">
        <f t="shared" si="34"/>
        <v>109556.21090008109</v>
      </c>
      <c r="AZ31" s="26"/>
      <c r="BA31" s="20">
        <f t="shared" si="35"/>
        <v>0.42426785665632943</v>
      </c>
      <c r="BB31" s="20">
        <f t="shared" si="36"/>
        <v>0.57573214334367062</v>
      </c>
      <c r="BC31" s="9">
        <v>5200</v>
      </c>
      <c r="BD31" s="30">
        <f t="shared" si="4"/>
        <v>96333.278822702792</v>
      </c>
      <c r="BE31" s="30">
        <f t="shared" si="4"/>
        <v>19261.195253996204</v>
      </c>
      <c r="BF31" s="30">
        <f t="shared" si="4"/>
        <v>13913.354504736399</v>
      </c>
      <c r="BG31" s="30">
        <f t="shared" si="4"/>
        <v>14856.074130522873</v>
      </c>
      <c r="BH31" s="30">
        <f t="shared" si="4"/>
        <v>4304.0463879606705</v>
      </c>
      <c r="BI31" s="31">
        <f t="shared" si="5"/>
        <v>148667.94909991894</v>
      </c>
      <c r="BK31" s="9" t="str">
        <f t="shared" si="6"/>
        <v>42001220</v>
      </c>
      <c r="BL31" s="26">
        <f t="shared" si="7"/>
        <v>258224.16</v>
      </c>
    </row>
    <row r="32" spans="1:64">
      <c r="A32" s="10" t="str">
        <f t="shared" si="0"/>
        <v>4200</v>
      </c>
      <c r="B32" s="10" t="str">
        <f t="shared" si="1"/>
        <v>1222</v>
      </c>
      <c r="C32" s="35" t="s">
        <v>103</v>
      </c>
      <c r="D32" s="16">
        <v>820060</v>
      </c>
      <c r="E32" s="32" t="s">
        <v>104</v>
      </c>
      <c r="F32" s="18">
        <f>IFERROR(VLOOKUP(C32,'[4]Revenue Data - FY19 MAR-YTD '!$C$3:$Q$82,15,FALSE),0)</f>
        <v>-2349268.7999999998</v>
      </c>
      <c r="G32" s="18"/>
      <c r="H32" s="18">
        <f t="shared" si="8"/>
        <v>-2349268.7999999998</v>
      </c>
      <c r="I32" s="18">
        <f>'[4]Statistics Projections'!J85</f>
        <v>11868</v>
      </c>
      <c r="J32" s="18">
        <f t="shared" si="9"/>
        <v>-197.94984833164813</v>
      </c>
      <c r="K32" s="19"/>
      <c r="L32" s="20">
        <v>1</v>
      </c>
      <c r="M32" s="18">
        <f t="shared" si="40"/>
        <v>-197.95</v>
      </c>
      <c r="N32" s="19"/>
      <c r="O32" s="21">
        <f>'[4]Statistics Projections'!L85</f>
        <v>23000</v>
      </c>
      <c r="P32" s="18">
        <f t="shared" si="11"/>
        <v>4552850</v>
      </c>
      <c r="Q32" s="22"/>
      <c r="R32" s="24">
        <f>VLOOKUP($C32,'[4]Revenue Data - FY19 MAR-YTD '!$C$3:$V$82,20,FALSE)</f>
        <v>0.55523467557224615</v>
      </c>
      <c r="S32" s="24">
        <f>VLOOKUP($C32,'[4]Revenue Data - FY19 MAR-YTD '!$C$3:$V$82,19,FALSE)</f>
        <v>0.1213131124033146</v>
      </c>
      <c r="T32" s="24">
        <f>VLOOKUP($C32,'[4]Revenue Data - FY19 MAR-YTD '!$C$3:$V$82,17,FALSE)</f>
        <v>0.12656366099954167</v>
      </c>
      <c r="U32" s="24">
        <f>VLOOKUP($C32,'[4]Revenue Data - FY19 MAR-YTD '!$C$3:$V$82,18,FALSE)</f>
        <v>0.18292505310588555</v>
      </c>
      <c r="V32" s="23">
        <f>VLOOKUP($C32,'[4]Revenue Data - FY19 MAR-YTD '!$C$3:$W$82,21,FALSE)</f>
        <v>1.396349791901208E-2</v>
      </c>
      <c r="W32" s="24">
        <f t="shared" si="26"/>
        <v>1</v>
      </c>
      <c r="X32" s="24"/>
      <c r="Y32" s="25">
        <f t="shared" si="27"/>
        <v>2527900.1926791007</v>
      </c>
      <c r="Z32" s="25">
        <f t="shared" si="28"/>
        <v>552320.40380543086</v>
      </c>
      <c r="AA32" s="25">
        <f t="shared" si="29"/>
        <v>576225.36398176325</v>
      </c>
      <c r="AB32" s="25">
        <f t="shared" si="30"/>
        <v>832830.32803313108</v>
      </c>
      <c r="AC32" s="25">
        <f t="shared" si="31"/>
        <v>63573.711500574151</v>
      </c>
      <c r="AD32" s="21">
        <f t="shared" si="12"/>
        <v>4552850</v>
      </c>
      <c r="AE32" s="26">
        <f t="shared" si="2"/>
        <v>0</v>
      </c>
      <c r="AF32" s="27">
        <f t="shared" si="37"/>
        <v>0.31120000000000003</v>
      </c>
      <c r="AG32" s="27">
        <f t="shared" si="38"/>
        <v>0.23640000000000005</v>
      </c>
      <c r="AH32" s="27">
        <f t="shared" si="32"/>
        <v>0.68149999999999999</v>
      </c>
      <c r="AI32" s="27">
        <f t="shared" si="39"/>
        <v>0.67100000000000004</v>
      </c>
      <c r="AJ32" s="27">
        <v>0</v>
      </c>
      <c r="AT32" s="18">
        <f t="shared" si="33"/>
        <v>786682.53996173618</v>
      </c>
      <c r="AU32" s="18">
        <f t="shared" si="33"/>
        <v>130568.54345960388</v>
      </c>
      <c r="AV32" s="18">
        <f t="shared" si="33"/>
        <v>392697.58555357164</v>
      </c>
      <c r="AW32" s="18">
        <f t="shared" si="33"/>
        <v>558829.15011023101</v>
      </c>
      <c r="AX32" s="18">
        <f t="shared" si="33"/>
        <v>0</v>
      </c>
      <c r="AY32" s="26">
        <f t="shared" si="34"/>
        <v>1868777.8190851428</v>
      </c>
      <c r="AZ32" s="26"/>
      <c r="BA32" s="20">
        <f t="shared" si="35"/>
        <v>0.41046329641546347</v>
      </c>
      <c r="BB32" s="20">
        <f t="shared" si="36"/>
        <v>0.58953670358453647</v>
      </c>
      <c r="BC32" s="9">
        <v>5200</v>
      </c>
      <c r="BD32" s="30">
        <f t="shared" si="4"/>
        <v>1741217.6527173645</v>
      </c>
      <c r="BE32" s="30">
        <f t="shared" si="4"/>
        <v>421751.86034582695</v>
      </c>
      <c r="BF32" s="30">
        <f t="shared" si="4"/>
        <v>183527.77842819161</v>
      </c>
      <c r="BG32" s="30">
        <f t="shared" si="4"/>
        <v>274001.17792290007</v>
      </c>
      <c r="BH32" s="30">
        <f t="shared" si="4"/>
        <v>63573.711500574151</v>
      </c>
      <c r="BI32" s="31">
        <f t="shared" si="5"/>
        <v>2684072.1809148579</v>
      </c>
      <c r="BK32" s="9" t="str">
        <f t="shared" si="6"/>
        <v>42001222</v>
      </c>
      <c r="BL32" s="26">
        <f t="shared" si="7"/>
        <v>4552850</v>
      </c>
    </row>
    <row r="33" spans="1:64">
      <c r="A33" s="10" t="str">
        <f t="shared" si="0"/>
        <v>4200</v>
      </c>
      <c r="B33" s="10" t="str">
        <f t="shared" si="1"/>
        <v>1223</v>
      </c>
      <c r="C33" s="35" t="s">
        <v>105</v>
      </c>
      <c r="D33" s="16">
        <v>820060</v>
      </c>
      <c r="E33" s="32" t="s">
        <v>106</v>
      </c>
      <c r="F33" s="18">
        <f>IFERROR(VLOOKUP(C33,'[4]Revenue Data - FY19 MAR-YTD '!$C$3:$Q$82,15,FALSE),0)</f>
        <v>-120479.88</v>
      </c>
      <c r="G33" s="18"/>
      <c r="H33" s="18">
        <f t="shared" si="8"/>
        <v>-120479.88</v>
      </c>
      <c r="I33" s="18">
        <f>'[4]Statistics Projections'!J91</f>
        <v>613</v>
      </c>
      <c r="J33" s="18">
        <f t="shared" si="9"/>
        <v>-196.54140293637846</v>
      </c>
      <c r="K33" s="53"/>
      <c r="L33" s="20">
        <v>1</v>
      </c>
      <c r="M33" s="18">
        <f t="shared" si="40"/>
        <v>-196.54</v>
      </c>
      <c r="N33" s="19"/>
      <c r="O33" s="21">
        <f>'[4]Statistics Projections'!L91</f>
        <v>1000</v>
      </c>
      <c r="P33" s="18">
        <f t="shared" si="11"/>
        <v>196540</v>
      </c>
      <c r="Q33" s="22"/>
      <c r="R33" s="24">
        <f>VLOOKUP($C33,'[4]Revenue Data - FY19 MAR-YTD '!$C$3:$V$82,20,FALSE)</f>
        <v>0.44867831873670522</v>
      </c>
      <c r="S33" s="24">
        <f>VLOOKUP($C33,'[4]Revenue Data - FY19 MAR-YTD '!$C$3:$V$82,19,FALSE)</f>
        <v>0.15386834714642811</v>
      </c>
      <c r="T33" s="24">
        <f>VLOOKUP($C33,'[4]Revenue Data - FY19 MAR-YTD '!$C$3:$V$82,17,FALSE)</f>
        <v>0.17051884513829196</v>
      </c>
      <c r="U33" s="24">
        <f>VLOOKUP($C33,'[4]Revenue Data - FY19 MAR-YTD '!$C$3:$V$82,18,FALSE)</f>
        <v>0.187649755295241</v>
      </c>
      <c r="V33" s="23">
        <f>VLOOKUP($C33,'[4]Revenue Data - FY19 MAR-YTD '!$C$3:$W$82,21,FALSE)</f>
        <v>3.9284733683333684E-2</v>
      </c>
      <c r="W33" s="24">
        <f t="shared" si="26"/>
        <v>1</v>
      </c>
      <c r="X33" s="24"/>
      <c r="Y33" s="25">
        <f t="shared" si="27"/>
        <v>88183.236764512039</v>
      </c>
      <c r="Z33" s="25">
        <f t="shared" si="28"/>
        <v>30241.28494815898</v>
      </c>
      <c r="AA33" s="25">
        <f t="shared" si="29"/>
        <v>33513.773823479904</v>
      </c>
      <c r="AB33" s="25">
        <f t="shared" si="30"/>
        <v>36880.682905726666</v>
      </c>
      <c r="AC33" s="25">
        <f t="shared" si="31"/>
        <v>7721.021558122402</v>
      </c>
      <c r="AD33" s="21">
        <f t="shared" si="12"/>
        <v>196539.99999999997</v>
      </c>
      <c r="AE33" s="26">
        <f t="shared" si="2"/>
        <v>0</v>
      </c>
      <c r="AF33" s="27">
        <f t="shared" si="37"/>
        <v>0.31120000000000003</v>
      </c>
      <c r="AG33" s="27">
        <f t="shared" si="38"/>
        <v>0.23640000000000005</v>
      </c>
      <c r="AH33" s="27">
        <f t="shared" si="32"/>
        <v>0.68149999999999999</v>
      </c>
      <c r="AI33" s="27">
        <f t="shared" si="39"/>
        <v>0.67100000000000004</v>
      </c>
      <c r="AJ33" s="27">
        <v>0</v>
      </c>
      <c r="AT33" s="18">
        <f t="shared" si="33"/>
        <v>27442.62328111615</v>
      </c>
      <c r="AU33" s="18">
        <f t="shared" si="33"/>
        <v>7149.0397617447843</v>
      </c>
      <c r="AV33" s="18">
        <f t="shared" si="33"/>
        <v>22839.636860701554</v>
      </c>
      <c r="AW33" s="18">
        <f t="shared" si="33"/>
        <v>24746.938229742595</v>
      </c>
      <c r="AX33" s="18">
        <f t="shared" si="33"/>
        <v>0</v>
      </c>
      <c r="AY33" s="26">
        <f t="shared" si="34"/>
        <v>82178.238133305087</v>
      </c>
      <c r="AZ33" s="26"/>
      <c r="BA33" s="20">
        <f t="shared" si="35"/>
        <v>0.41812474882113104</v>
      </c>
      <c r="BB33" s="20">
        <f t="shared" si="36"/>
        <v>0.58187525117886896</v>
      </c>
      <c r="BC33" s="9">
        <v>5200</v>
      </c>
      <c r="BD33" s="30">
        <f t="shared" si="4"/>
        <v>60740.613483395893</v>
      </c>
      <c r="BE33" s="30">
        <f t="shared" si="4"/>
        <v>23092.245186414195</v>
      </c>
      <c r="BF33" s="30">
        <f t="shared" si="4"/>
        <v>10674.13696277835</v>
      </c>
      <c r="BG33" s="30">
        <f t="shared" si="4"/>
        <v>12133.744675984071</v>
      </c>
      <c r="BH33" s="30">
        <f t="shared" si="4"/>
        <v>7721.021558122402</v>
      </c>
      <c r="BI33" s="31">
        <f t="shared" si="5"/>
        <v>114361.7618666949</v>
      </c>
      <c r="BK33" s="9" t="str">
        <f t="shared" si="6"/>
        <v>42001223</v>
      </c>
      <c r="BL33" s="26">
        <f t="shared" si="7"/>
        <v>196540</v>
      </c>
    </row>
    <row r="34" spans="1:64">
      <c r="A34" s="10" t="str">
        <f t="shared" si="0"/>
        <v>4200</v>
      </c>
      <c r="B34" s="10" t="str">
        <f t="shared" si="1"/>
        <v>1224</v>
      </c>
      <c r="C34" s="35" t="s">
        <v>107</v>
      </c>
      <c r="D34" s="16">
        <v>820060</v>
      </c>
      <c r="E34" s="32" t="s">
        <v>108</v>
      </c>
      <c r="F34" s="18">
        <f>IFERROR(VLOOKUP(C34,'[4]Revenue Data - FY19 MAR-YTD '!$C$3:$Q$82,15,FALSE),0)</f>
        <v>-47890.479999999996</v>
      </c>
      <c r="G34" s="18"/>
      <c r="H34" s="18">
        <f t="shared" si="8"/>
        <v>-47890.479999999996</v>
      </c>
      <c r="I34" s="18">
        <f>'[4]Statistics Projections'!J97</f>
        <v>133</v>
      </c>
      <c r="J34" s="18">
        <f t="shared" si="9"/>
        <v>-360.07879699248116</v>
      </c>
      <c r="K34" s="19"/>
      <c r="L34" s="20">
        <v>1</v>
      </c>
      <c r="M34" s="18">
        <f t="shared" si="40"/>
        <v>-360.08</v>
      </c>
      <c r="N34" s="19"/>
      <c r="O34" s="21">
        <f>'[4]Statistics Projections'!L97</f>
        <v>200</v>
      </c>
      <c r="P34" s="18">
        <f t="shared" si="11"/>
        <v>72016</v>
      </c>
      <c r="Q34" s="22"/>
      <c r="R34" s="24">
        <f>VLOOKUP($C34,'[4]Revenue Data - FY19 MAR-YTD '!$C$3:$V$82,20,FALSE)</f>
        <v>0.7365428369062077</v>
      </c>
      <c r="S34" s="24">
        <f>VLOOKUP($C34,'[4]Revenue Data - FY19 MAR-YTD '!$C$3:$V$82,19,FALSE)</f>
        <v>4.1845477431005078E-2</v>
      </c>
      <c r="T34" s="24">
        <f>VLOOKUP($C34,'[4]Revenue Data - FY19 MAR-YTD '!$C$3:$V$82,17,FALSE)</f>
        <v>0.20766319318578558</v>
      </c>
      <c r="U34" s="24">
        <f>VLOOKUP($C34,'[4]Revenue Data - FY19 MAR-YTD '!$C$3:$V$82,18,FALSE)</f>
        <v>6.9742462385008466E-3</v>
      </c>
      <c r="V34" s="23">
        <f>VLOOKUP($C34,'[4]Revenue Data - FY19 MAR-YTD '!$C$3:$W$82,21,FALSE)</f>
        <v>6.9742462385008466E-3</v>
      </c>
      <c r="W34" s="24">
        <f t="shared" si="26"/>
        <v>1</v>
      </c>
      <c r="X34" s="24"/>
      <c r="Y34" s="25">
        <f t="shared" si="27"/>
        <v>53042.868942637455</v>
      </c>
      <c r="Z34" s="25">
        <f t="shared" si="28"/>
        <v>3013.5439026712615</v>
      </c>
      <c r="AA34" s="25">
        <f t="shared" si="29"/>
        <v>14955.072520467535</v>
      </c>
      <c r="AB34" s="25">
        <f t="shared" si="30"/>
        <v>502.25731711187694</v>
      </c>
      <c r="AC34" s="25">
        <f t="shared" si="31"/>
        <v>502.25731711187694</v>
      </c>
      <c r="AD34" s="21">
        <f t="shared" si="12"/>
        <v>72016</v>
      </c>
      <c r="AE34" s="26">
        <f t="shared" si="2"/>
        <v>0</v>
      </c>
      <c r="AF34" s="27">
        <f t="shared" si="37"/>
        <v>0.31120000000000003</v>
      </c>
      <c r="AG34" s="27">
        <f t="shared" si="38"/>
        <v>0.23640000000000005</v>
      </c>
      <c r="AH34" s="27">
        <f t="shared" si="32"/>
        <v>0.68149999999999999</v>
      </c>
      <c r="AI34" s="27">
        <f t="shared" si="39"/>
        <v>0.67100000000000004</v>
      </c>
      <c r="AJ34" s="27">
        <v>0</v>
      </c>
      <c r="AT34" s="18">
        <f t="shared" si="33"/>
        <v>16506.940814948779</v>
      </c>
      <c r="AU34" s="18">
        <f t="shared" si="33"/>
        <v>712.40177859148639</v>
      </c>
      <c r="AV34" s="18">
        <f t="shared" si="33"/>
        <v>10191.881922698625</v>
      </c>
      <c r="AW34" s="18">
        <f t="shared" si="33"/>
        <v>337.01465978206943</v>
      </c>
      <c r="AX34" s="18">
        <f t="shared" si="33"/>
        <v>0</v>
      </c>
      <c r="AY34" s="26">
        <f t="shared" si="34"/>
        <v>27748.239176020965</v>
      </c>
      <c r="AZ34" s="26"/>
      <c r="BA34" s="20">
        <f t="shared" si="35"/>
        <v>0.38530658709204851</v>
      </c>
      <c r="BB34" s="20">
        <f t="shared" si="36"/>
        <v>0.61469341290795154</v>
      </c>
      <c r="BC34" s="9">
        <v>5200</v>
      </c>
      <c r="BD34" s="30">
        <f t="shared" si="4"/>
        <v>36535.928127688676</v>
      </c>
      <c r="BE34" s="30">
        <f t="shared" si="4"/>
        <v>2301.1421240797754</v>
      </c>
      <c r="BF34" s="30">
        <f t="shared" si="4"/>
        <v>4763.1905977689094</v>
      </c>
      <c r="BG34" s="30">
        <f t="shared" si="4"/>
        <v>165.24265732980751</v>
      </c>
      <c r="BH34" s="30">
        <f t="shared" si="4"/>
        <v>502.25731711187694</v>
      </c>
      <c r="BI34" s="31">
        <f t="shared" si="5"/>
        <v>44267.76082397905</v>
      </c>
      <c r="BK34" s="9" t="str">
        <f t="shared" si="6"/>
        <v>42001224</v>
      </c>
      <c r="BL34" s="26">
        <f t="shared" si="7"/>
        <v>72016</v>
      </c>
    </row>
    <row r="35" spans="1:64">
      <c r="A35" s="10" t="str">
        <f t="shared" si="0"/>
        <v>4200</v>
      </c>
      <c r="B35" s="10" t="str">
        <f t="shared" si="1"/>
        <v>1225</v>
      </c>
      <c r="C35" s="35" t="s">
        <v>109</v>
      </c>
      <c r="D35" s="16">
        <v>820090</v>
      </c>
      <c r="E35" s="32" t="s">
        <v>110</v>
      </c>
      <c r="F35" s="18">
        <f>IFERROR(VLOOKUP(C35,'[4]Revenue Data - FY19 MAR-YTD '!$C$3:$Q$82,15,FALSE),0)</f>
        <v>-154460</v>
      </c>
      <c r="G35" s="18"/>
      <c r="H35" s="18">
        <f t="shared" si="8"/>
        <v>-154460</v>
      </c>
      <c r="I35" s="18">
        <f>'[4]Statistics Projections'!J102</f>
        <v>459</v>
      </c>
      <c r="J35" s="18">
        <f t="shared" si="9"/>
        <v>-336.51416122004355</v>
      </c>
      <c r="K35" s="53"/>
      <c r="L35" s="20">
        <v>1</v>
      </c>
      <c r="M35" s="18">
        <f t="shared" si="40"/>
        <v>-336.51</v>
      </c>
      <c r="N35" s="19"/>
      <c r="O35" s="21">
        <f>'[4]Statistics Projections'!L102</f>
        <v>1000</v>
      </c>
      <c r="P35" s="18">
        <f t="shared" si="11"/>
        <v>336510</v>
      </c>
      <c r="Q35" s="22"/>
      <c r="R35" s="24">
        <f>VLOOKUP($C35,'[4]Revenue Data - FY19 MAR-YTD '!$C$3:$V$82,20,FALSE)</f>
        <v>0.53182053606111612</v>
      </c>
      <c r="S35" s="24">
        <f>VLOOKUP($C35,'[4]Revenue Data - FY19 MAR-YTD '!$C$3:$V$82,19,FALSE)</f>
        <v>3.2435582027709438E-3</v>
      </c>
      <c r="T35" s="24">
        <f>VLOOKUP($C35,'[4]Revenue Data - FY19 MAR-YTD '!$C$3:$V$82,17,FALSE)</f>
        <v>0.15527644697656351</v>
      </c>
      <c r="U35" s="24">
        <f>VLOOKUP($C35,'[4]Revenue Data - FY19 MAR-YTD '!$C$3:$V$82,18,FALSE)</f>
        <v>0.30965945875954942</v>
      </c>
      <c r="V35" s="23">
        <f>VLOOKUP($C35,'[4]Revenue Data - FY19 MAR-YTD '!$C$3:$W$82,21,FALSE)</f>
        <v>0</v>
      </c>
      <c r="W35" s="24">
        <f t="shared" si="26"/>
        <v>1</v>
      </c>
      <c r="X35" s="24"/>
      <c r="Y35" s="25">
        <f t="shared" si="27"/>
        <v>178962.92858992619</v>
      </c>
      <c r="Z35" s="25">
        <f t="shared" si="28"/>
        <v>1091.4897708144504</v>
      </c>
      <c r="AA35" s="25">
        <f t="shared" si="29"/>
        <v>52252.077172083387</v>
      </c>
      <c r="AB35" s="25">
        <f t="shared" si="30"/>
        <v>104203.50446717598</v>
      </c>
      <c r="AC35" s="25">
        <f t="shared" si="31"/>
        <v>0</v>
      </c>
      <c r="AD35" s="21">
        <f t="shared" si="12"/>
        <v>336510</v>
      </c>
      <c r="AE35" s="26">
        <f t="shared" si="2"/>
        <v>0</v>
      </c>
      <c r="AF35" s="27">
        <f t="shared" si="37"/>
        <v>0.31120000000000003</v>
      </c>
      <c r="AG35" s="27">
        <f t="shared" si="38"/>
        <v>0.23640000000000005</v>
      </c>
      <c r="AH35" s="27">
        <f t="shared" si="32"/>
        <v>0.68149999999999999</v>
      </c>
      <c r="AI35" s="27">
        <f t="shared" si="39"/>
        <v>0.67100000000000004</v>
      </c>
      <c r="AJ35" s="27">
        <v>0</v>
      </c>
      <c r="AT35" s="18">
        <f t="shared" si="33"/>
        <v>55693.263377185038</v>
      </c>
      <c r="AU35" s="18">
        <f t="shared" si="33"/>
        <v>258.02818182053613</v>
      </c>
      <c r="AV35" s="18">
        <f t="shared" si="33"/>
        <v>35609.790592774829</v>
      </c>
      <c r="AW35" s="18">
        <f t="shared" si="33"/>
        <v>69920.551497475084</v>
      </c>
      <c r="AX35" s="18">
        <f t="shared" si="33"/>
        <v>0</v>
      </c>
      <c r="AY35" s="26">
        <f t="shared" si="34"/>
        <v>161481.6336492555</v>
      </c>
      <c r="AZ35" s="26"/>
      <c r="BA35" s="20">
        <f t="shared" si="35"/>
        <v>0.47987172342354018</v>
      </c>
      <c r="BB35" s="20">
        <f t="shared" si="36"/>
        <v>0.52012827657645988</v>
      </c>
      <c r="BC35" s="9">
        <v>5200</v>
      </c>
      <c r="BD35" s="30">
        <f t="shared" si="4"/>
        <v>123269.66521274115</v>
      </c>
      <c r="BE35" s="30">
        <f t="shared" si="4"/>
        <v>833.46158899391423</v>
      </c>
      <c r="BF35" s="30">
        <f t="shared" si="4"/>
        <v>16642.286579308558</v>
      </c>
      <c r="BG35" s="30">
        <f t="shared" si="4"/>
        <v>34282.952969700898</v>
      </c>
      <c r="BH35" s="30">
        <f t="shared" si="4"/>
        <v>0</v>
      </c>
      <c r="BI35" s="31">
        <f t="shared" si="5"/>
        <v>175028.3663507445</v>
      </c>
      <c r="BK35" s="9" t="str">
        <f t="shared" si="6"/>
        <v>42001225</v>
      </c>
      <c r="BL35" s="26">
        <f t="shared" si="7"/>
        <v>336510</v>
      </c>
    </row>
    <row r="36" spans="1:64">
      <c r="A36" s="10" t="str">
        <f t="shared" si="0"/>
        <v>4200</v>
      </c>
      <c r="B36" s="10" t="str">
        <f t="shared" si="1"/>
        <v>1245</v>
      </c>
      <c r="C36" s="35" t="s">
        <v>111</v>
      </c>
      <c r="D36" s="16">
        <v>820100</v>
      </c>
      <c r="E36" s="32" t="s">
        <v>112</v>
      </c>
      <c r="F36" s="18">
        <f>IFERROR(VLOOKUP(C36,'[4]Revenue Data - FY19 MAR-YTD '!$C$3:$Q$82,15,FALSE),0)</f>
        <v>-84045</v>
      </c>
      <c r="G36" s="18"/>
      <c r="H36" s="18">
        <f t="shared" si="8"/>
        <v>-84045</v>
      </c>
      <c r="I36" s="18">
        <f>'[4]Statistics Projections'!J105</f>
        <v>708</v>
      </c>
      <c r="J36" s="18">
        <f t="shared" si="9"/>
        <v>-118.70762711864407</v>
      </c>
      <c r="K36" s="19"/>
      <c r="L36" s="20">
        <v>1</v>
      </c>
      <c r="M36" s="18">
        <f t="shared" si="40"/>
        <v>-118.71</v>
      </c>
      <c r="N36" s="19"/>
      <c r="O36" s="54">
        <f>'[4]Statistics Projections'!L105</f>
        <v>1200</v>
      </c>
      <c r="P36" s="18">
        <f t="shared" si="11"/>
        <v>142452</v>
      </c>
      <c r="Q36" s="22"/>
      <c r="R36" s="24">
        <f>VLOOKUP($C36,'[4]Revenue Data - FY19 MAR-YTD '!$C$3:$V$82,20,FALSE)</f>
        <v>0.77226485811172585</v>
      </c>
      <c r="S36" s="24">
        <f>VLOOKUP($C36,'[4]Revenue Data - FY19 MAR-YTD '!$C$3:$V$82,19,FALSE)</f>
        <v>6.5762389196263912E-2</v>
      </c>
      <c r="T36" s="24">
        <f>VLOOKUP($C36,'[4]Revenue Data - FY19 MAR-YTD '!$C$3:$V$82,17,FALSE)</f>
        <v>7.0224284609435417E-2</v>
      </c>
      <c r="U36" s="24">
        <f>VLOOKUP($C36,'[4]Revenue Data - FY19 MAR-YTD '!$C$3:$V$82,18,FALSE)</f>
        <v>7.6113986554821822E-2</v>
      </c>
      <c r="V36" s="23">
        <f>VLOOKUP($C36,'[4]Revenue Data - FY19 MAR-YTD '!$C$3:$W$82,21,FALSE)</f>
        <v>1.5634481527752989E-2</v>
      </c>
      <c r="W36" s="24">
        <f t="shared" si="26"/>
        <v>1</v>
      </c>
      <c r="X36" s="24"/>
      <c r="Y36" s="25">
        <f t="shared" si="27"/>
        <v>110010.67356773157</v>
      </c>
      <c r="Z36" s="25">
        <f t="shared" si="28"/>
        <v>9367.9838657861874</v>
      </c>
      <c r="AA36" s="25">
        <f t="shared" si="29"/>
        <v>10003.589791183294</v>
      </c>
      <c r="AB36" s="25">
        <f t="shared" si="30"/>
        <v>10842.589612707477</v>
      </c>
      <c r="AC36" s="25">
        <f t="shared" si="31"/>
        <v>2227.1631625914688</v>
      </c>
      <c r="AD36" s="21">
        <f t="shared" si="12"/>
        <v>142451.99999999997</v>
      </c>
      <c r="AE36" s="26">
        <f t="shared" si="2"/>
        <v>0</v>
      </c>
      <c r="AF36" s="27">
        <f t="shared" si="37"/>
        <v>0.31120000000000003</v>
      </c>
      <c r="AG36" s="27">
        <f t="shared" si="38"/>
        <v>0.23640000000000005</v>
      </c>
      <c r="AH36" s="27">
        <f t="shared" si="32"/>
        <v>0.68149999999999999</v>
      </c>
      <c r="AI36" s="27">
        <f t="shared" si="39"/>
        <v>0.67100000000000004</v>
      </c>
      <c r="AJ36" s="27">
        <v>0</v>
      </c>
      <c r="AT36" s="18">
        <f t="shared" si="33"/>
        <v>34235.321614278066</v>
      </c>
      <c r="AU36" s="18">
        <f t="shared" si="33"/>
        <v>2214.591385871855</v>
      </c>
      <c r="AV36" s="18">
        <f t="shared" si="33"/>
        <v>6817.4464426914155</v>
      </c>
      <c r="AW36" s="18">
        <f t="shared" si="33"/>
        <v>7275.377630126718</v>
      </c>
      <c r="AX36" s="18">
        <f t="shared" si="33"/>
        <v>0</v>
      </c>
      <c r="AY36" s="26">
        <f t="shared" si="34"/>
        <v>50542.737072968055</v>
      </c>
      <c r="AZ36" s="26"/>
      <c r="BA36" s="20">
        <f t="shared" si="35"/>
        <v>0.35480538758998165</v>
      </c>
      <c r="BB36" s="20">
        <f t="shared" si="36"/>
        <v>0.6451946124100183</v>
      </c>
      <c r="BC36" s="9">
        <v>5200</v>
      </c>
      <c r="BD36" s="30">
        <f t="shared" si="4"/>
        <v>75775.351953453501</v>
      </c>
      <c r="BE36" s="30">
        <f t="shared" si="4"/>
        <v>7153.3924799143324</v>
      </c>
      <c r="BF36" s="30">
        <f t="shared" si="4"/>
        <v>3186.1433484918789</v>
      </c>
      <c r="BG36" s="30">
        <f t="shared" si="4"/>
        <v>3567.2119825807595</v>
      </c>
      <c r="BH36" s="30">
        <f t="shared" si="4"/>
        <v>2227.1631625914688</v>
      </c>
      <c r="BI36" s="31">
        <f t="shared" si="5"/>
        <v>91909.262927031945</v>
      </c>
      <c r="BK36" s="9" t="str">
        <f t="shared" si="6"/>
        <v>42001245</v>
      </c>
      <c r="BL36" s="26">
        <f t="shared" si="7"/>
        <v>142452</v>
      </c>
    </row>
    <row r="37" spans="1:64">
      <c r="A37" s="10" t="str">
        <f t="shared" si="0"/>
        <v>4200</v>
      </c>
      <c r="B37" s="10" t="str">
        <f t="shared" si="1"/>
        <v>1330</v>
      </c>
      <c r="C37" s="35" t="s">
        <v>113</v>
      </c>
      <c r="D37" s="16"/>
      <c r="F37" s="18">
        <f>IFERROR(VLOOKUP(C37,'[4]Revenue Data - FY19 MAR-YTD '!$C$3:$Q$82,15,FALSE),0)</f>
        <v>0</v>
      </c>
      <c r="G37" s="18"/>
      <c r="H37" s="18">
        <f t="shared" si="8"/>
        <v>0</v>
      </c>
      <c r="I37" s="18"/>
      <c r="J37" s="18">
        <f t="shared" si="9"/>
        <v>0</v>
      </c>
      <c r="K37" s="19"/>
      <c r="L37" s="20">
        <v>1</v>
      </c>
      <c r="M37" s="18">
        <f t="shared" si="10"/>
        <v>0</v>
      </c>
      <c r="N37" s="19"/>
      <c r="O37" s="54">
        <v>0</v>
      </c>
      <c r="P37" s="18">
        <f t="shared" si="11"/>
        <v>0</v>
      </c>
      <c r="Q37" s="22"/>
      <c r="R37" s="24"/>
      <c r="S37" s="24"/>
      <c r="T37" s="24"/>
      <c r="U37" s="24"/>
      <c r="V37" s="24"/>
      <c r="W37" s="24"/>
      <c r="X37" s="24"/>
      <c r="Y37" s="33">
        <v>0</v>
      </c>
      <c r="Z37" s="33">
        <v>0</v>
      </c>
      <c r="AA37" s="33">
        <v>0</v>
      </c>
      <c r="AB37" s="33">
        <v>0</v>
      </c>
      <c r="AC37" s="33">
        <v>0</v>
      </c>
      <c r="AD37" s="21">
        <f t="shared" si="12"/>
        <v>0</v>
      </c>
      <c r="AE37" s="26">
        <f t="shared" si="2"/>
        <v>0</v>
      </c>
      <c r="AF37" s="27"/>
      <c r="AG37" s="27"/>
      <c r="AH37" s="27"/>
      <c r="AI37" s="27"/>
      <c r="AJ37" s="27"/>
      <c r="BC37" s="9">
        <v>5200</v>
      </c>
      <c r="BD37" s="30">
        <f t="shared" si="4"/>
        <v>0</v>
      </c>
      <c r="BE37" s="30">
        <f t="shared" si="4"/>
        <v>0</v>
      </c>
      <c r="BF37" s="30">
        <f t="shared" si="4"/>
        <v>0</v>
      </c>
      <c r="BG37" s="30">
        <f t="shared" si="4"/>
        <v>0</v>
      </c>
      <c r="BH37" s="30">
        <f t="shared" si="4"/>
        <v>0</v>
      </c>
      <c r="BI37" s="31">
        <f t="shared" si="5"/>
        <v>0</v>
      </c>
      <c r="BK37" s="9" t="str">
        <f t="shared" si="6"/>
        <v>42001330</v>
      </c>
      <c r="BL37" s="26">
        <f t="shared" si="7"/>
        <v>0</v>
      </c>
    </row>
    <row r="38" spans="1:64">
      <c r="A38" s="10" t="str">
        <f t="shared" si="0"/>
        <v>4200</v>
      </c>
      <c r="B38" s="10" t="str">
        <f t="shared" si="1"/>
        <v>1331</v>
      </c>
      <c r="C38" s="35" t="s">
        <v>114</v>
      </c>
      <c r="D38" s="16"/>
      <c r="F38" s="18">
        <f>IFERROR(VLOOKUP(C38,'[4]Revenue Data - FY19 MAR-YTD '!$C$3:$Q$82,15,FALSE),0)</f>
        <v>0</v>
      </c>
      <c r="G38" s="18"/>
      <c r="H38" s="18">
        <f t="shared" si="8"/>
        <v>0</v>
      </c>
      <c r="I38" s="18"/>
      <c r="J38" s="18">
        <f t="shared" si="9"/>
        <v>0</v>
      </c>
      <c r="K38" s="19"/>
      <c r="L38" s="20">
        <v>1</v>
      </c>
      <c r="M38" s="18">
        <f t="shared" si="10"/>
        <v>0</v>
      </c>
      <c r="N38" s="19"/>
      <c r="O38" s="21">
        <v>0</v>
      </c>
      <c r="P38" s="18">
        <f t="shared" si="11"/>
        <v>0</v>
      </c>
      <c r="Q38" s="22"/>
      <c r="R38" s="24"/>
      <c r="S38" s="24"/>
      <c r="T38" s="24"/>
      <c r="U38" s="24"/>
      <c r="V38" s="24"/>
      <c r="W38" s="24"/>
      <c r="X38" s="24"/>
      <c r="Y38" s="33">
        <v>0</v>
      </c>
      <c r="Z38" s="33">
        <v>0</v>
      </c>
      <c r="AA38" s="33">
        <v>0</v>
      </c>
      <c r="AB38" s="33">
        <v>0</v>
      </c>
      <c r="AC38" s="33">
        <v>0</v>
      </c>
      <c r="AD38" s="21">
        <f t="shared" si="12"/>
        <v>0</v>
      </c>
      <c r="AE38" s="26">
        <f t="shared" si="2"/>
        <v>0</v>
      </c>
      <c r="AF38" s="27"/>
      <c r="AG38" s="27"/>
      <c r="AH38" s="27"/>
      <c r="AI38" s="27"/>
      <c r="AJ38" s="27"/>
      <c r="BC38" s="9">
        <v>5200</v>
      </c>
      <c r="BD38" s="30">
        <f t="shared" si="4"/>
        <v>0</v>
      </c>
      <c r="BE38" s="30">
        <f t="shared" si="4"/>
        <v>0</v>
      </c>
      <c r="BF38" s="30">
        <f t="shared" si="4"/>
        <v>0</v>
      </c>
      <c r="BG38" s="30">
        <f t="shared" si="4"/>
        <v>0</v>
      </c>
      <c r="BH38" s="30">
        <f t="shared" si="4"/>
        <v>0</v>
      </c>
      <c r="BI38" s="31">
        <f t="shared" si="5"/>
        <v>0</v>
      </c>
      <c r="BK38" s="9" t="str">
        <f t="shared" si="6"/>
        <v>42001331</v>
      </c>
      <c r="BL38" s="26">
        <f t="shared" si="7"/>
        <v>0</v>
      </c>
    </row>
    <row r="39" spans="1:64">
      <c r="A39" s="10" t="str">
        <f t="shared" si="0"/>
        <v>4200</v>
      </c>
      <c r="B39" s="10" t="str">
        <f t="shared" si="1"/>
        <v>1335</v>
      </c>
      <c r="C39" s="35" t="s">
        <v>115</v>
      </c>
      <c r="D39" s="16"/>
      <c r="F39" s="18">
        <f>IFERROR(VLOOKUP(C39,'[4]Revenue Data - FY19 MAR-YTD '!$C$3:$Q$82,15,FALSE),0)</f>
        <v>0</v>
      </c>
      <c r="G39" s="18"/>
      <c r="H39" s="18">
        <f t="shared" si="8"/>
        <v>0</v>
      </c>
      <c r="I39" s="18"/>
      <c r="J39" s="18">
        <f t="shared" si="9"/>
        <v>0</v>
      </c>
      <c r="K39" s="19"/>
      <c r="L39" s="20">
        <v>1</v>
      </c>
      <c r="M39" s="18">
        <f t="shared" si="10"/>
        <v>0</v>
      </c>
      <c r="N39" s="19"/>
      <c r="O39" s="21">
        <v>0</v>
      </c>
      <c r="P39" s="18">
        <f t="shared" si="11"/>
        <v>0</v>
      </c>
      <c r="Q39" s="22"/>
      <c r="R39" s="24"/>
      <c r="S39" s="24"/>
      <c r="T39" s="24"/>
      <c r="U39" s="24"/>
      <c r="V39" s="24"/>
      <c r="W39" s="24"/>
      <c r="X39" s="24"/>
      <c r="Y39" s="33">
        <v>0</v>
      </c>
      <c r="Z39" s="33">
        <v>0</v>
      </c>
      <c r="AA39" s="33">
        <v>0</v>
      </c>
      <c r="AB39" s="33">
        <v>0</v>
      </c>
      <c r="AC39" s="33">
        <v>0</v>
      </c>
      <c r="AD39" s="21">
        <f t="shared" si="12"/>
        <v>0</v>
      </c>
      <c r="AE39" s="26">
        <f t="shared" si="2"/>
        <v>0</v>
      </c>
      <c r="AF39" s="27"/>
      <c r="AG39" s="27"/>
      <c r="AH39" s="27"/>
      <c r="AI39" s="27"/>
      <c r="AJ39" s="27"/>
      <c r="BC39" s="9">
        <v>5200</v>
      </c>
      <c r="BD39" s="30">
        <f t="shared" ref="BD39:BH70" si="41">Y39-AT39</f>
        <v>0</v>
      </c>
      <c r="BE39" s="30">
        <f t="shared" si="41"/>
        <v>0</v>
      </c>
      <c r="BF39" s="30">
        <f t="shared" si="41"/>
        <v>0</v>
      </c>
      <c r="BG39" s="30">
        <f t="shared" si="41"/>
        <v>0</v>
      </c>
      <c r="BH39" s="30">
        <f t="shared" si="41"/>
        <v>0</v>
      </c>
      <c r="BI39" s="31">
        <f t="shared" si="5"/>
        <v>0</v>
      </c>
      <c r="BK39" s="9" t="str">
        <f t="shared" si="6"/>
        <v>42001335</v>
      </c>
      <c r="BL39" s="26">
        <f t="shared" si="7"/>
        <v>0</v>
      </c>
    </row>
    <row r="40" spans="1:64">
      <c r="A40" s="10" t="str">
        <f t="shared" si="0"/>
        <v>4200</v>
      </c>
      <c r="B40" s="10" t="str">
        <f t="shared" si="1"/>
        <v>1342</v>
      </c>
      <c r="C40" s="35" t="s">
        <v>116</v>
      </c>
      <c r="D40" s="16"/>
      <c r="F40" s="18">
        <f>IFERROR(VLOOKUP(C40,'[4]Revenue Data - FY19 MAR-YTD '!$C$3:$Q$82,15,FALSE),0)</f>
        <v>0</v>
      </c>
      <c r="G40" s="18"/>
      <c r="H40" s="18">
        <f t="shared" si="8"/>
        <v>0</v>
      </c>
      <c r="I40" s="18"/>
      <c r="J40" s="18">
        <f t="shared" si="9"/>
        <v>0</v>
      </c>
      <c r="K40" s="19"/>
      <c r="L40" s="20">
        <v>1</v>
      </c>
      <c r="M40" s="18">
        <f t="shared" si="10"/>
        <v>0</v>
      </c>
      <c r="N40" s="19"/>
      <c r="O40" s="21">
        <v>0</v>
      </c>
      <c r="P40" s="18">
        <f t="shared" si="11"/>
        <v>0</v>
      </c>
      <c r="Q40" s="22"/>
      <c r="R40" s="24"/>
      <c r="S40" s="24"/>
      <c r="T40" s="24"/>
      <c r="U40" s="24"/>
      <c r="V40" s="24"/>
      <c r="W40" s="24"/>
      <c r="X40" s="24"/>
      <c r="Y40" s="33">
        <v>0</v>
      </c>
      <c r="Z40" s="33">
        <v>0</v>
      </c>
      <c r="AA40" s="33">
        <v>0</v>
      </c>
      <c r="AB40" s="33">
        <v>0</v>
      </c>
      <c r="AC40" s="33">
        <v>0</v>
      </c>
      <c r="AD40" s="21">
        <f t="shared" si="12"/>
        <v>0</v>
      </c>
      <c r="AE40" s="26">
        <f t="shared" si="2"/>
        <v>0</v>
      </c>
      <c r="AF40" s="27"/>
      <c r="AG40" s="27"/>
      <c r="AH40" s="27"/>
      <c r="AI40" s="27"/>
      <c r="AJ40" s="27"/>
      <c r="BC40" s="9">
        <v>5200</v>
      </c>
      <c r="BD40" s="30">
        <f t="shared" si="41"/>
        <v>0</v>
      </c>
      <c r="BE40" s="30">
        <f t="shared" si="41"/>
        <v>0</v>
      </c>
      <c r="BF40" s="30">
        <f t="shared" si="41"/>
        <v>0</v>
      </c>
      <c r="BG40" s="30">
        <f t="shared" si="41"/>
        <v>0</v>
      </c>
      <c r="BH40" s="30">
        <f t="shared" si="41"/>
        <v>0</v>
      </c>
      <c r="BI40" s="31">
        <f t="shared" si="5"/>
        <v>0</v>
      </c>
      <c r="BK40" s="9" t="str">
        <f t="shared" si="6"/>
        <v>42001342</v>
      </c>
      <c r="BL40" s="26">
        <f t="shared" si="7"/>
        <v>0</v>
      </c>
    </row>
    <row r="41" spans="1:64">
      <c r="A41" s="10" t="str">
        <f t="shared" si="0"/>
        <v>4200</v>
      </c>
      <c r="B41" s="10" t="str">
        <f t="shared" si="1"/>
        <v>1376</v>
      </c>
      <c r="C41" s="35" t="s">
        <v>117</v>
      </c>
      <c r="D41" s="16"/>
      <c r="F41" s="18">
        <f>IFERROR(VLOOKUP(C41,'[4]Revenue Data - FY19 MAR-YTD '!$C$3:$Q$82,15,FALSE),0)</f>
        <v>0</v>
      </c>
      <c r="G41" s="18"/>
      <c r="H41" s="18">
        <f t="shared" si="8"/>
        <v>0</v>
      </c>
      <c r="I41" s="18"/>
      <c r="J41" s="18">
        <f t="shared" si="9"/>
        <v>0</v>
      </c>
      <c r="K41" s="19"/>
      <c r="L41" s="20">
        <v>1</v>
      </c>
      <c r="M41" s="18">
        <f t="shared" si="10"/>
        <v>0</v>
      </c>
      <c r="N41" s="19"/>
      <c r="O41" s="21">
        <v>0</v>
      </c>
      <c r="P41" s="18">
        <f t="shared" si="11"/>
        <v>0</v>
      </c>
      <c r="Q41" s="22"/>
      <c r="R41" s="24"/>
      <c r="S41" s="24"/>
      <c r="T41" s="24"/>
      <c r="U41" s="24"/>
      <c r="V41" s="24"/>
      <c r="W41" s="24"/>
      <c r="X41" s="24"/>
      <c r="Y41" s="33">
        <v>0</v>
      </c>
      <c r="Z41" s="33">
        <v>0</v>
      </c>
      <c r="AA41" s="33">
        <v>0</v>
      </c>
      <c r="AB41" s="33">
        <v>0</v>
      </c>
      <c r="AC41" s="33">
        <v>0</v>
      </c>
      <c r="AD41" s="21">
        <f t="shared" si="12"/>
        <v>0</v>
      </c>
      <c r="AE41" s="26">
        <f t="shared" si="2"/>
        <v>0</v>
      </c>
      <c r="AF41" s="27"/>
      <c r="AG41" s="27"/>
      <c r="AH41" s="27"/>
      <c r="AI41" s="27"/>
      <c r="AJ41" s="27"/>
      <c r="BC41" s="9">
        <v>5200</v>
      </c>
      <c r="BD41" s="30">
        <f t="shared" si="41"/>
        <v>0</v>
      </c>
      <c r="BE41" s="30">
        <f t="shared" si="41"/>
        <v>0</v>
      </c>
      <c r="BF41" s="30">
        <f t="shared" si="41"/>
        <v>0</v>
      </c>
      <c r="BG41" s="30">
        <f t="shared" si="41"/>
        <v>0</v>
      </c>
      <c r="BH41" s="30">
        <f t="shared" si="41"/>
        <v>0</v>
      </c>
      <c r="BI41" s="31">
        <f t="shared" si="5"/>
        <v>0</v>
      </c>
      <c r="BK41" s="9" t="str">
        <f t="shared" si="6"/>
        <v>42001376</v>
      </c>
      <c r="BL41" s="26">
        <f t="shared" si="7"/>
        <v>0</v>
      </c>
    </row>
    <row r="42" spans="1:64">
      <c r="A42" s="10" t="str">
        <f t="shared" si="0"/>
        <v>4200</v>
      </c>
      <c r="B42" s="10" t="str">
        <f t="shared" si="1"/>
        <v>1381</v>
      </c>
      <c r="C42" s="35" t="s">
        <v>118</v>
      </c>
      <c r="D42" s="16"/>
      <c r="F42" s="18">
        <f>IFERROR(VLOOKUP(C42,'[4]Revenue Data - FY19 MAR-YTD '!$C$3:$Q$82,15,FALSE),0)</f>
        <v>0</v>
      </c>
      <c r="G42" s="18"/>
      <c r="H42" s="18">
        <f t="shared" si="8"/>
        <v>0</v>
      </c>
      <c r="I42" s="18"/>
      <c r="J42" s="18">
        <f t="shared" si="9"/>
        <v>0</v>
      </c>
      <c r="K42" s="19"/>
      <c r="L42" s="20">
        <v>1</v>
      </c>
      <c r="M42" s="18">
        <f t="shared" si="10"/>
        <v>0</v>
      </c>
      <c r="N42" s="19"/>
      <c r="O42" s="21">
        <v>0</v>
      </c>
      <c r="P42" s="18">
        <f t="shared" si="11"/>
        <v>0</v>
      </c>
      <c r="Q42" s="22"/>
      <c r="R42" s="24"/>
      <c r="S42" s="24"/>
      <c r="T42" s="24"/>
      <c r="U42" s="24"/>
      <c r="V42" s="24"/>
      <c r="W42" s="24"/>
      <c r="X42" s="24"/>
      <c r="Y42" s="33">
        <v>0</v>
      </c>
      <c r="Z42" s="33">
        <v>0</v>
      </c>
      <c r="AA42" s="33">
        <v>0</v>
      </c>
      <c r="AB42" s="33">
        <v>0</v>
      </c>
      <c r="AC42" s="33">
        <v>0</v>
      </c>
      <c r="AD42" s="21">
        <f t="shared" si="12"/>
        <v>0</v>
      </c>
      <c r="AE42" s="26">
        <f t="shared" si="2"/>
        <v>0</v>
      </c>
      <c r="AF42" s="27"/>
      <c r="AG42" s="27"/>
      <c r="AH42" s="27"/>
      <c r="AI42" s="27"/>
      <c r="AJ42" s="27"/>
      <c r="BC42" s="9">
        <v>5200</v>
      </c>
      <c r="BD42" s="30">
        <f t="shared" si="41"/>
        <v>0</v>
      </c>
      <c r="BE42" s="30">
        <f t="shared" si="41"/>
        <v>0</v>
      </c>
      <c r="BF42" s="30">
        <f t="shared" si="41"/>
        <v>0</v>
      </c>
      <c r="BG42" s="30">
        <f t="shared" si="41"/>
        <v>0</v>
      </c>
      <c r="BH42" s="30">
        <f t="shared" si="41"/>
        <v>0</v>
      </c>
      <c r="BI42" s="31">
        <f t="shared" si="5"/>
        <v>0</v>
      </c>
      <c r="BK42" s="9" t="str">
        <f t="shared" si="6"/>
        <v>42001381</v>
      </c>
      <c r="BL42" s="26">
        <f t="shared" si="7"/>
        <v>0</v>
      </c>
    </row>
    <row r="43" spans="1:64">
      <c r="A43" s="10" t="str">
        <f t="shared" si="0"/>
        <v>4200</v>
      </c>
      <c r="B43" s="10" t="str">
        <f t="shared" si="1"/>
        <v>1383</v>
      </c>
      <c r="C43" s="35" t="s">
        <v>119</v>
      </c>
      <c r="D43" s="16"/>
      <c r="F43" s="18">
        <f>IFERROR(VLOOKUP(C43,'[4]Revenue Data - FY19 MAR-YTD '!$C$3:$Q$82,15,FALSE),0)</f>
        <v>0</v>
      </c>
      <c r="G43" s="18"/>
      <c r="H43" s="18">
        <f t="shared" si="8"/>
        <v>0</v>
      </c>
      <c r="I43" s="18"/>
      <c r="J43" s="18">
        <f t="shared" si="9"/>
        <v>0</v>
      </c>
      <c r="K43" s="19"/>
      <c r="L43" s="20">
        <v>1</v>
      </c>
      <c r="M43" s="18">
        <f t="shared" si="10"/>
        <v>0</v>
      </c>
      <c r="N43" s="19"/>
      <c r="O43" s="21">
        <v>0</v>
      </c>
      <c r="P43" s="18">
        <f t="shared" si="11"/>
        <v>0</v>
      </c>
      <c r="Q43" s="22"/>
      <c r="R43" s="24"/>
      <c r="S43" s="24"/>
      <c r="T43" s="24"/>
      <c r="U43" s="24"/>
      <c r="V43" s="24"/>
      <c r="W43" s="24"/>
      <c r="X43" s="24"/>
      <c r="Y43" s="33">
        <v>0</v>
      </c>
      <c r="Z43" s="33">
        <v>0</v>
      </c>
      <c r="AA43" s="33">
        <v>0</v>
      </c>
      <c r="AB43" s="33">
        <v>0</v>
      </c>
      <c r="AC43" s="33">
        <v>0</v>
      </c>
      <c r="AD43" s="21">
        <f t="shared" si="12"/>
        <v>0</v>
      </c>
      <c r="AE43" s="26">
        <f t="shared" si="2"/>
        <v>0</v>
      </c>
      <c r="AF43" s="27"/>
      <c r="AG43" s="27"/>
      <c r="AH43" s="27"/>
      <c r="AI43" s="27"/>
      <c r="AJ43" s="27"/>
      <c r="BC43" s="9">
        <v>5200</v>
      </c>
      <c r="BD43" s="30">
        <f t="shared" si="41"/>
        <v>0</v>
      </c>
      <c r="BE43" s="30">
        <f t="shared" si="41"/>
        <v>0</v>
      </c>
      <c r="BF43" s="30">
        <f t="shared" si="41"/>
        <v>0</v>
      </c>
      <c r="BG43" s="30">
        <f t="shared" si="41"/>
        <v>0</v>
      </c>
      <c r="BH43" s="30">
        <f t="shared" si="41"/>
        <v>0</v>
      </c>
      <c r="BI43" s="31">
        <f t="shared" si="5"/>
        <v>0</v>
      </c>
      <c r="BK43" s="9" t="str">
        <f t="shared" si="6"/>
        <v>42001383</v>
      </c>
      <c r="BL43" s="26">
        <f t="shared" si="7"/>
        <v>0</v>
      </c>
    </row>
    <row r="44" spans="1:64">
      <c r="A44" s="10" t="str">
        <f t="shared" si="0"/>
        <v>4200</v>
      </c>
      <c r="B44" s="10" t="str">
        <f t="shared" si="1"/>
        <v>1393</v>
      </c>
      <c r="C44" s="35" t="s">
        <v>120</v>
      </c>
      <c r="D44" s="16"/>
      <c r="F44" s="18">
        <f>IFERROR(VLOOKUP(C44,'[4]Revenue Data - FY19 MAR-YTD '!$C$3:$Q$82,15,FALSE),0)</f>
        <v>0</v>
      </c>
      <c r="G44" s="18"/>
      <c r="H44" s="18">
        <f t="shared" si="8"/>
        <v>0</v>
      </c>
      <c r="I44" s="18"/>
      <c r="J44" s="18">
        <f t="shared" si="9"/>
        <v>0</v>
      </c>
      <c r="K44" s="19"/>
      <c r="L44" s="20">
        <v>1</v>
      </c>
      <c r="M44" s="18">
        <f t="shared" si="10"/>
        <v>0</v>
      </c>
      <c r="N44" s="19"/>
      <c r="O44" s="21">
        <v>0</v>
      </c>
      <c r="P44" s="18">
        <f t="shared" si="11"/>
        <v>0</v>
      </c>
      <c r="Q44" s="22"/>
      <c r="R44" s="24"/>
      <c r="S44" s="24"/>
      <c r="T44" s="24"/>
      <c r="U44" s="24"/>
      <c r="V44" s="24"/>
      <c r="W44" s="24"/>
      <c r="X44" s="24"/>
      <c r="Y44" s="33">
        <v>0</v>
      </c>
      <c r="Z44" s="33">
        <v>0</v>
      </c>
      <c r="AA44" s="33">
        <v>0</v>
      </c>
      <c r="AB44" s="33">
        <v>0</v>
      </c>
      <c r="AC44" s="33">
        <v>0</v>
      </c>
      <c r="AD44" s="21">
        <f t="shared" si="12"/>
        <v>0</v>
      </c>
      <c r="AE44" s="26">
        <f t="shared" si="2"/>
        <v>0</v>
      </c>
      <c r="AF44" s="27"/>
      <c r="AG44" s="27"/>
      <c r="AH44" s="27"/>
      <c r="AI44" s="27"/>
      <c r="AJ44" s="27"/>
      <c r="BC44" s="9">
        <v>5200</v>
      </c>
      <c r="BD44" s="30">
        <f t="shared" si="41"/>
        <v>0</v>
      </c>
      <c r="BE44" s="30">
        <f t="shared" si="41"/>
        <v>0</v>
      </c>
      <c r="BF44" s="30">
        <f t="shared" si="41"/>
        <v>0</v>
      </c>
      <c r="BG44" s="30">
        <f t="shared" si="41"/>
        <v>0</v>
      </c>
      <c r="BH44" s="30">
        <f t="shared" si="41"/>
        <v>0</v>
      </c>
      <c r="BI44" s="31">
        <f t="shared" si="5"/>
        <v>0</v>
      </c>
      <c r="BK44" s="9" t="str">
        <f t="shared" si="6"/>
        <v>42001393</v>
      </c>
      <c r="BL44" s="26">
        <f t="shared" si="7"/>
        <v>0</v>
      </c>
    </row>
    <row r="45" spans="1:64">
      <c r="A45" s="10" t="str">
        <f t="shared" si="0"/>
        <v>4200</v>
      </c>
      <c r="B45" s="10" t="str">
        <f t="shared" si="1"/>
        <v>1394</v>
      </c>
      <c r="C45" s="35" t="s">
        <v>121</v>
      </c>
      <c r="D45" s="16"/>
      <c r="F45" s="18">
        <f>IFERROR(VLOOKUP(C45,'[4]Revenue Data - FY19 MAR-YTD '!$C$3:$Q$82,15,FALSE),0)</f>
        <v>0</v>
      </c>
      <c r="G45" s="18"/>
      <c r="H45" s="18">
        <f t="shared" si="8"/>
        <v>0</v>
      </c>
      <c r="I45" s="18"/>
      <c r="J45" s="18">
        <f t="shared" si="9"/>
        <v>0</v>
      </c>
      <c r="K45" s="19"/>
      <c r="L45" s="20">
        <v>1</v>
      </c>
      <c r="M45" s="18">
        <f t="shared" si="10"/>
        <v>0</v>
      </c>
      <c r="N45" s="19"/>
      <c r="O45" s="21">
        <v>0</v>
      </c>
      <c r="P45" s="18">
        <f t="shared" si="11"/>
        <v>0</v>
      </c>
      <c r="Q45" s="22"/>
      <c r="R45" s="24"/>
      <c r="S45" s="24"/>
      <c r="T45" s="24"/>
      <c r="U45" s="24"/>
      <c r="V45" s="24"/>
      <c r="W45" s="24"/>
      <c r="X45" s="24"/>
      <c r="Y45" s="33">
        <v>0</v>
      </c>
      <c r="Z45" s="33">
        <v>0</v>
      </c>
      <c r="AA45" s="33">
        <v>0</v>
      </c>
      <c r="AB45" s="33">
        <v>0</v>
      </c>
      <c r="AC45" s="33">
        <v>0</v>
      </c>
      <c r="AD45" s="21">
        <f t="shared" si="12"/>
        <v>0</v>
      </c>
      <c r="AE45" s="26">
        <f t="shared" si="2"/>
        <v>0</v>
      </c>
      <c r="AF45" s="27"/>
      <c r="AG45" s="27"/>
      <c r="AH45" s="27"/>
      <c r="AI45" s="27"/>
      <c r="AJ45" s="27"/>
      <c r="BC45" s="9">
        <v>5200</v>
      </c>
      <c r="BD45" s="30">
        <f t="shared" si="41"/>
        <v>0</v>
      </c>
      <c r="BE45" s="30">
        <f t="shared" si="41"/>
        <v>0</v>
      </c>
      <c r="BF45" s="30">
        <f t="shared" si="41"/>
        <v>0</v>
      </c>
      <c r="BG45" s="30">
        <f t="shared" si="41"/>
        <v>0</v>
      </c>
      <c r="BH45" s="30">
        <f t="shared" si="41"/>
        <v>0</v>
      </c>
      <c r="BI45" s="31">
        <f t="shared" si="5"/>
        <v>0</v>
      </c>
      <c r="BK45" s="9" t="str">
        <f t="shared" si="6"/>
        <v>42001394</v>
      </c>
      <c r="BL45" s="26">
        <f t="shared" si="7"/>
        <v>0</v>
      </c>
    </row>
    <row r="46" spans="1:64">
      <c r="A46" s="10" t="str">
        <f t="shared" si="0"/>
        <v>4200</v>
      </c>
      <c r="B46" s="10" t="str">
        <f t="shared" si="1"/>
        <v>1395</v>
      </c>
      <c r="C46" s="35" t="s">
        <v>122</v>
      </c>
      <c r="D46" s="55"/>
      <c r="F46" s="18">
        <f>IFERROR(VLOOKUP(C46,'[4]Revenue Data - FY19 MAR-YTD '!$C$3:$Q$82,15,FALSE),0)</f>
        <v>0</v>
      </c>
      <c r="G46" s="18"/>
      <c r="H46" s="18">
        <f t="shared" si="8"/>
        <v>0</v>
      </c>
      <c r="I46" s="18"/>
      <c r="J46" s="18">
        <f t="shared" si="9"/>
        <v>0</v>
      </c>
      <c r="K46" s="19"/>
      <c r="L46" s="20">
        <v>1</v>
      </c>
      <c r="M46" s="18">
        <f t="shared" si="10"/>
        <v>0</v>
      </c>
      <c r="N46" s="19"/>
      <c r="O46" s="21">
        <v>0</v>
      </c>
      <c r="P46" s="18">
        <f t="shared" si="11"/>
        <v>0</v>
      </c>
      <c r="Q46" s="22"/>
      <c r="R46" s="24"/>
      <c r="S46" s="24"/>
      <c r="T46" s="24"/>
      <c r="U46" s="24"/>
      <c r="V46" s="24"/>
      <c r="W46" s="24"/>
      <c r="X46" s="24"/>
      <c r="Y46" s="33">
        <v>0</v>
      </c>
      <c r="Z46" s="33">
        <v>0</v>
      </c>
      <c r="AA46" s="33">
        <v>0</v>
      </c>
      <c r="AB46" s="33">
        <v>0</v>
      </c>
      <c r="AC46" s="33">
        <v>0</v>
      </c>
      <c r="AD46" s="21">
        <f t="shared" si="12"/>
        <v>0</v>
      </c>
      <c r="AE46" s="26">
        <f t="shared" si="2"/>
        <v>0</v>
      </c>
      <c r="AF46" s="27"/>
      <c r="AG46" s="27"/>
      <c r="AH46" s="27"/>
      <c r="AI46" s="27"/>
      <c r="AJ46" s="27"/>
      <c r="BC46" s="9">
        <v>5200</v>
      </c>
      <c r="BD46" s="30">
        <f t="shared" si="41"/>
        <v>0</v>
      </c>
      <c r="BE46" s="30">
        <f t="shared" si="41"/>
        <v>0</v>
      </c>
      <c r="BF46" s="30">
        <f t="shared" si="41"/>
        <v>0</v>
      </c>
      <c r="BG46" s="30">
        <f t="shared" si="41"/>
        <v>0</v>
      </c>
      <c r="BH46" s="30">
        <f t="shared" si="41"/>
        <v>0</v>
      </c>
      <c r="BI46" s="31">
        <f t="shared" si="5"/>
        <v>0</v>
      </c>
      <c r="BK46" s="9" t="str">
        <f t="shared" si="6"/>
        <v>42001395</v>
      </c>
      <c r="BL46" s="26">
        <f t="shared" si="7"/>
        <v>0</v>
      </c>
    </row>
    <row r="47" spans="1:64">
      <c r="A47" s="36" t="str">
        <f t="shared" si="0"/>
        <v>4200</v>
      </c>
      <c r="B47" s="36" t="str">
        <f t="shared" si="1"/>
        <v>1437</v>
      </c>
      <c r="C47" s="56" t="s">
        <v>123</v>
      </c>
      <c r="D47" s="38"/>
      <c r="E47" s="39"/>
      <c r="F47" s="43">
        <f>IFERROR(VLOOKUP(C47,'[4]Revenue Data - FY19 MAR-YTD '!$C$3:$Q$82,15,FALSE),0)</f>
        <v>0</v>
      </c>
      <c r="G47" s="43"/>
      <c r="H47" s="43">
        <f t="shared" si="8"/>
        <v>0</v>
      </c>
      <c r="I47" s="43"/>
      <c r="J47" s="43">
        <f t="shared" si="9"/>
        <v>0</v>
      </c>
      <c r="K47" s="41"/>
      <c r="L47" s="20">
        <v>1</v>
      </c>
      <c r="M47" s="43">
        <f t="shared" si="10"/>
        <v>0</v>
      </c>
      <c r="N47" s="41"/>
      <c r="O47" s="42">
        <v>0</v>
      </c>
      <c r="P47" s="43">
        <f t="shared" si="11"/>
        <v>0</v>
      </c>
      <c r="Q47" s="44"/>
      <c r="R47" s="45"/>
      <c r="S47" s="45"/>
      <c r="T47" s="45"/>
      <c r="U47" s="45"/>
      <c r="V47" s="45"/>
      <c r="W47" s="45"/>
      <c r="X47" s="45"/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2">
        <f t="shared" si="12"/>
        <v>0</v>
      </c>
      <c r="AE47" s="26">
        <f t="shared" si="2"/>
        <v>0</v>
      </c>
      <c r="AF47" s="47"/>
      <c r="AG47" s="47"/>
      <c r="AH47" s="47"/>
      <c r="AI47" s="47"/>
      <c r="AJ47" s="47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>
        <v>5200</v>
      </c>
      <c r="BD47" s="49">
        <f t="shared" si="41"/>
        <v>0</v>
      </c>
      <c r="BE47" s="49">
        <f t="shared" si="41"/>
        <v>0</v>
      </c>
      <c r="BF47" s="49">
        <f t="shared" si="41"/>
        <v>0</v>
      </c>
      <c r="BG47" s="49">
        <f t="shared" si="41"/>
        <v>0</v>
      </c>
      <c r="BH47" s="49">
        <f t="shared" si="41"/>
        <v>0</v>
      </c>
      <c r="BI47" s="50">
        <f t="shared" si="5"/>
        <v>0</v>
      </c>
      <c r="BJ47" s="39"/>
      <c r="BK47" s="39" t="str">
        <f t="shared" si="6"/>
        <v>42001437</v>
      </c>
      <c r="BL47" s="51">
        <f t="shared" si="7"/>
        <v>0</v>
      </c>
    </row>
    <row r="48" spans="1:64">
      <c r="A48" s="10" t="str">
        <f t="shared" si="0"/>
        <v>4300</v>
      </c>
      <c r="B48" s="10" t="str">
        <f t="shared" si="1"/>
        <v>1101</v>
      </c>
      <c r="C48" s="35" t="s">
        <v>124</v>
      </c>
      <c r="D48" s="16"/>
      <c r="F48" s="18">
        <f>IFERROR(VLOOKUP(C48,'[4]Revenue Data - FY19 MAR-YTD '!$C$3:$Q$82,15,FALSE),0)</f>
        <v>0</v>
      </c>
      <c r="G48" s="18"/>
      <c r="H48" s="18">
        <v>0</v>
      </c>
      <c r="I48" s="18"/>
      <c r="J48" s="18">
        <f t="shared" si="9"/>
        <v>0</v>
      </c>
      <c r="K48" s="19"/>
      <c r="L48" s="20">
        <v>1</v>
      </c>
      <c r="M48" s="18">
        <f t="shared" si="10"/>
        <v>0</v>
      </c>
      <c r="N48" s="19"/>
      <c r="O48" s="21"/>
      <c r="P48" s="18">
        <f t="shared" si="11"/>
        <v>0</v>
      </c>
      <c r="Q48" s="22"/>
      <c r="R48" s="24"/>
      <c r="S48" s="24"/>
      <c r="T48" s="24"/>
      <c r="U48" s="24"/>
      <c r="V48" s="24"/>
      <c r="W48" s="24"/>
      <c r="X48" s="24"/>
      <c r="Y48" s="33">
        <v>0</v>
      </c>
      <c r="Z48" s="33">
        <v>0</v>
      </c>
      <c r="AA48" s="33">
        <v>0</v>
      </c>
      <c r="AB48" s="33">
        <v>0</v>
      </c>
      <c r="AC48" s="33">
        <v>0</v>
      </c>
      <c r="AD48" s="21">
        <f t="shared" si="12"/>
        <v>0</v>
      </c>
      <c r="AE48" s="26">
        <f t="shared" si="2"/>
        <v>0</v>
      </c>
      <c r="AF48" s="27"/>
      <c r="AG48" s="27"/>
      <c r="AH48" s="27"/>
      <c r="AI48" s="27"/>
      <c r="AJ48" s="27"/>
      <c r="BC48" s="9">
        <v>5300</v>
      </c>
      <c r="BD48" s="30">
        <f t="shared" si="41"/>
        <v>0</v>
      </c>
      <c r="BE48" s="30">
        <f t="shared" si="41"/>
        <v>0</v>
      </c>
      <c r="BF48" s="30">
        <f t="shared" si="41"/>
        <v>0</v>
      </c>
      <c r="BG48" s="30">
        <f t="shared" si="41"/>
        <v>0</v>
      </c>
      <c r="BH48" s="30">
        <f t="shared" si="41"/>
        <v>0</v>
      </c>
      <c r="BI48" s="31">
        <f t="shared" si="5"/>
        <v>0</v>
      </c>
      <c r="BK48" s="9" t="str">
        <f t="shared" si="6"/>
        <v>43001101</v>
      </c>
      <c r="BL48" s="26">
        <f t="shared" si="7"/>
        <v>0</v>
      </c>
    </row>
    <row r="49" spans="1:64">
      <c r="A49" s="10" t="str">
        <f t="shared" si="0"/>
        <v>4300</v>
      </c>
      <c r="B49" s="10" t="str">
        <f t="shared" si="1"/>
        <v>1104</v>
      </c>
      <c r="C49" s="35" t="s">
        <v>125</v>
      </c>
      <c r="D49" s="16">
        <v>800000</v>
      </c>
      <c r="E49" s="32" t="s">
        <v>62</v>
      </c>
      <c r="F49" s="18">
        <f>IFERROR(VLOOKUP(C49,'[4]Revenue Data - FY19 MAR-YTD '!$C$3:$Q$82,15,FALSE),0)</f>
        <v>-3621940.78</v>
      </c>
      <c r="G49" s="18"/>
      <c r="H49" s="18">
        <f t="shared" si="8"/>
        <v>-3621940.78</v>
      </c>
      <c r="I49" s="18">
        <f>'[4]Statistics Projections'!J12</f>
        <v>1487</v>
      </c>
      <c r="J49" s="18">
        <f t="shared" si="9"/>
        <v>-2435.736906523201</v>
      </c>
      <c r="K49" s="19"/>
      <c r="L49" s="20">
        <v>1</v>
      </c>
      <c r="M49" s="18">
        <f>ROUND(J49*L49,2)</f>
        <v>-2435.7399999999998</v>
      </c>
      <c r="N49" s="19"/>
      <c r="O49" s="21">
        <f>'[4]Statistics Projections'!L12</f>
        <v>3000</v>
      </c>
      <c r="P49" s="18">
        <f t="shared" si="11"/>
        <v>7307219.9999999991</v>
      </c>
      <c r="Q49" s="22"/>
      <c r="R49" s="24">
        <f>VLOOKUP($C49,'[4]Revenue Data - FY19 MAR-YTD '!$C$3:$V$82,20,FALSE)</f>
        <v>0.64663094795271614</v>
      </c>
      <c r="S49" s="24">
        <f>VLOOKUP($C49,'[4]Revenue Data - FY19 MAR-YTD '!$C$3:$V$82,19,FALSE)</f>
        <v>7.982847251301553E-2</v>
      </c>
      <c r="T49" s="24">
        <f>VLOOKUP($C49,'[4]Revenue Data - FY19 MAR-YTD '!$C$3:$V$82,17,FALSE)</f>
        <v>0.11640968906178527</v>
      </c>
      <c r="U49" s="24">
        <f>VLOOKUP($C49,'[4]Revenue Data - FY19 MAR-YTD '!$C$3:$V$82,18,FALSE)</f>
        <v>0.15376507619210716</v>
      </c>
      <c r="V49" s="23">
        <f>VLOOKUP($C49,'[4]Revenue Data - FY19 MAR-YTD '!$C$3:$W$82,21,FALSE)</f>
        <v>3.3658142803759485E-3</v>
      </c>
      <c r="W49" s="24">
        <f>SUM(R49:V49)</f>
        <v>1</v>
      </c>
      <c r="X49" s="24"/>
      <c r="Y49" s="25">
        <f>P49*R49</f>
        <v>4725074.5954990461</v>
      </c>
      <c r="Z49" s="25">
        <f>P49*S49</f>
        <v>583324.21091655723</v>
      </c>
      <c r="AA49" s="25">
        <f>P49*T49</f>
        <v>850631.20810605842</v>
      </c>
      <c r="AB49" s="25">
        <f>P49*U49</f>
        <v>1123595.2400524891</v>
      </c>
      <c r="AC49" s="25">
        <f>P49*V49</f>
        <v>24594.745425848734</v>
      </c>
      <c r="AD49" s="21">
        <f>SUM(Y49:AC49)</f>
        <v>7307220</v>
      </c>
      <c r="AE49" s="26">
        <f t="shared" si="2"/>
        <v>0</v>
      </c>
      <c r="AF49" s="27">
        <f>1-0.6196</f>
        <v>0.38039999999999996</v>
      </c>
      <c r="AG49" s="27">
        <f>1-0.6241</f>
        <v>0.37590000000000001</v>
      </c>
      <c r="AH49" s="27">
        <f>1-0.0941-0.0839</f>
        <v>0.82200000000000006</v>
      </c>
      <c r="AI49" s="27">
        <f>1-0.0692</f>
        <v>0.93079999999999996</v>
      </c>
      <c r="AJ49" s="27">
        <v>0</v>
      </c>
      <c r="AT49" s="18">
        <f>Y49*AF49</f>
        <v>1797418.376127837</v>
      </c>
      <c r="AU49" s="18">
        <f>Z49*AG49</f>
        <v>219271.57088353386</v>
      </c>
      <c r="AV49" s="18">
        <f>AA49*AH49</f>
        <v>699218.85306318011</v>
      </c>
      <c r="AW49" s="18">
        <f>AB49*AI49</f>
        <v>1045842.4494408568</v>
      </c>
      <c r="AX49" s="18">
        <f>AC49*AJ49</f>
        <v>0</v>
      </c>
      <c r="AY49" s="26">
        <f>SUM(AT49:AX49)</f>
        <v>3761751.2495154082</v>
      </c>
      <c r="AZ49" s="26"/>
      <c r="BA49" s="20">
        <f>AY49/AD49</f>
        <v>0.51479923274725659</v>
      </c>
      <c r="BB49" s="20">
        <f>1-BA49</f>
        <v>0.48520076725274341</v>
      </c>
      <c r="BC49" s="9">
        <v>5300</v>
      </c>
      <c r="BD49" s="30">
        <f t="shared" si="41"/>
        <v>2927656.2193712089</v>
      </c>
      <c r="BE49" s="30">
        <f t="shared" si="41"/>
        <v>364052.64003302337</v>
      </c>
      <c r="BF49" s="30">
        <f t="shared" si="41"/>
        <v>151412.35504287831</v>
      </c>
      <c r="BG49" s="30">
        <f t="shared" si="41"/>
        <v>77752.790611632285</v>
      </c>
      <c r="BH49" s="30">
        <f t="shared" si="41"/>
        <v>24594.745425848734</v>
      </c>
      <c r="BI49" s="31">
        <f t="shared" si="5"/>
        <v>3545468.7504845918</v>
      </c>
      <c r="BK49" s="9" t="str">
        <f t="shared" si="6"/>
        <v>43001104</v>
      </c>
      <c r="BL49" s="26">
        <f t="shared" si="7"/>
        <v>7307219.9999999991</v>
      </c>
    </row>
    <row r="50" spans="1:64">
      <c r="A50" s="10" t="str">
        <f t="shared" si="0"/>
        <v>4300</v>
      </c>
      <c r="B50" s="10" t="str">
        <f t="shared" si="1"/>
        <v>1106</v>
      </c>
      <c r="C50" s="35" t="s">
        <v>126</v>
      </c>
      <c r="D50" s="16"/>
      <c r="F50" s="18">
        <f>IFERROR(VLOOKUP(C50,'[4]Revenue Data - FY19 MAR-YTD '!$C$3:$Q$82,15,FALSE),0)</f>
        <v>0</v>
      </c>
      <c r="G50" s="18"/>
      <c r="H50" s="18">
        <f t="shared" si="8"/>
        <v>0</v>
      </c>
      <c r="I50" s="18"/>
      <c r="J50" s="18">
        <f t="shared" si="9"/>
        <v>0</v>
      </c>
      <c r="K50" s="19"/>
      <c r="L50" s="20">
        <v>1</v>
      </c>
      <c r="M50" s="18">
        <f t="shared" si="10"/>
        <v>0</v>
      </c>
      <c r="N50" s="19"/>
      <c r="O50" s="21">
        <v>0</v>
      </c>
      <c r="P50" s="18">
        <f t="shared" si="11"/>
        <v>0</v>
      </c>
      <c r="Q50" s="22"/>
      <c r="R50" s="24"/>
      <c r="S50" s="24"/>
      <c r="T50" s="24"/>
      <c r="U50" s="24"/>
      <c r="V50" s="24"/>
      <c r="W50" s="24"/>
      <c r="X50" s="24"/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1">
        <f t="shared" ref="AD50:AD74" si="42">SUM(Y50:AC50)</f>
        <v>0</v>
      </c>
      <c r="AE50" s="26">
        <f t="shared" si="2"/>
        <v>0</v>
      </c>
      <c r="AF50" s="27"/>
      <c r="AG50" s="27"/>
      <c r="AH50" s="27"/>
      <c r="AI50" s="27"/>
      <c r="AJ50" s="27"/>
      <c r="BC50" s="9">
        <v>5300</v>
      </c>
      <c r="BD50" s="30">
        <f t="shared" si="41"/>
        <v>0</v>
      </c>
      <c r="BE50" s="30">
        <f t="shared" si="41"/>
        <v>0</v>
      </c>
      <c r="BF50" s="30">
        <f t="shared" si="41"/>
        <v>0</v>
      </c>
      <c r="BG50" s="30">
        <f t="shared" si="41"/>
        <v>0</v>
      </c>
      <c r="BH50" s="30">
        <f t="shared" si="41"/>
        <v>0</v>
      </c>
      <c r="BI50" s="31">
        <f t="shared" si="5"/>
        <v>0</v>
      </c>
      <c r="BK50" s="9" t="str">
        <f t="shared" si="6"/>
        <v>43001106</v>
      </c>
      <c r="BL50" s="26">
        <f t="shared" si="7"/>
        <v>0</v>
      </c>
    </row>
    <row r="51" spans="1:64">
      <c r="A51" s="10" t="str">
        <f t="shared" si="0"/>
        <v>4300</v>
      </c>
      <c r="B51" s="10" t="str">
        <f t="shared" si="1"/>
        <v>1211</v>
      </c>
      <c r="C51" s="35" t="s">
        <v>127</v>
      </c>
      <c r="D51" s="16">
        <v>830011</v>
      </c>
      <c r="E51" s="32" t="s">
        <v>128</v>
      </c>
      <c r="F51" s="18">
        <f>IFERROR(VLOOKUP(C51,'[4]Revenue Data - FY19 MAR-YTD '!$C$3:$Q$82,15,FALSE),0)</f>
        <v>-2121.8000000000002</v>
      </c>
      <c r="G51" s="18">
        <v>2122</v>
      </c>
      <c r="H51" s="18">
        <f t="shared" si="8"/>
        <v>0.1999999999998181</v>
      </c>
      <c r="I51" s="18"/>
      <c r="J51" s="18">
        <f t="shared" si="9"/>
        <v>0</v>
      </c>
      <c r="K51" s="19"/>
      <c r="L51" s="20">
        <v>1</v>
      </c>
      <c r="M51" s="18">
        <f t="shared" si="10"/>
        <v>0</v>
      </c>
      <c r="N51" s="19"/>
      <c r="O51" s="21">
        <v>0</v>
      </c>
      <c r="P51" s="18">
        <f t="shared" si="11"/>
        <v>0</v>
      </c>
      <c r="Q51" s="22"/>
      <c r="R51" s="24"/>
      <c r="S51" s="24"/>
      <c r="T51" s="24"/>
      <c r="U51" s="24"/>
      <c r="V51" s="24"/>
      <c r="W51" s="24"/>
      <c r="X51" s="24"/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1">
        <f t="shared" si="42"/>
        <v>0</v>
      </c>
      <c r="AE51" s="26">
        <f t="shared" si="2"/>
        <v>0</v>
      </c>
      <c r="AF51" s="27">
        <f t="shared" ref="AF51:AF59" si="43">1-0.6196</f>
        <v>0.38039999999999996</v>
      </c>
      <c r="AG51" s="27">
        <f t="shared" ref="AG51:AG59" si="44">1-0.6241</f>
        <v>0.37590000000000001</v>
      </c>
      <c r="AH51" s="27">
        <f t="shared" ref="AH51:AH59" si="45">1-0.0941-0.0839</f>
        <v>0.82200000000000006</v>
      </c>
      <c r="AI51" s="27">
        <f t="shared" ref="AI51:AI59" si="46">1-0.0692</f>
        <v>0.93079999999999996</v>
      </c>
      <c r="AJ51" s="27">
        <v>0</v>
      </c>
      <c r="BC51" s="9">
        <v>5300</v>
      </c>
      <c r="BD51" s="30">
        <f t="shared" si="41"/>
        <v>0</v>
      </c>
      <c r="BE51" s="30">
        <f t="shared" si="41"/>
        <v>0</v>
      </c>
      <c r="BF51" s="30">
        <f t="shared" si="41"/>
        <v>0</v>
      </c>
      <c r="BG51" s="30">
        <f t="shared" si="41"/>
        <v>0</v>
      </c>
      <c r="BH51" s="30">
        <f t="shared" si="41"/>
        <v>0</v>
      </c>
      <c r="BI51" s="31">
        <f t="shared" si="5"/>
        <v>0</v>
      </c>
      <c r="BK51" s="9" t="str">
        <f t="shared" si="6"/>
        <v>43001211</v>
      </c>
      <c r="BL51" s="26">
        <f t="shared" si="7"/>
        <v>0</v>
      </c>
    </row>
    <row r="52" spans="1:64">
      <c r="A52" s="10" t="str">
        <f t="shared" si="0"/>
        <v>4300</v>
      </c>
      <c r="B52" s="10" t="str">
        <f t="shared" si="1"/>
        <v>1215</v>
      </c>
      <c r="C52" s="35" t="s">
        <v>129</v>
      </c>
      <c r="D52" s="16">
        <v>830125</v>
      </c>
      <c r="E52" s="32" t="s">
        <v>130</v>
      </c>
      <c r="F52" s="18">
        <f>IFERROR(VLOOKUP(C52,'[4]Revenue Data - FY19 MAR-YTD '!$C$3:$Q$82,15,FALSE),0)</f>
        <v>-464.86</v>
      </c>
      <c r="G52" s="18">
        <v>465</v>
      </c>
      <c r="H52" s="18">
        <f t="shared" si="8"/>
        <v>0.13999999999998636</v>
      </c>
      <c r="I52" s="18"/>
      <c r="J52" s="18">
        <f t="shared" si="9"/>
        <v>0</v>
      </c>
      <c r="K52" s="19"/>
      <c r="L52" s="20">
        <v>1</v>
      </c>
      <c r="M52" s="18">
        <f t="shared" si="10"/>
        <v>0</v>
      </c>
      <c r="N52" s="19"/>
      <c r="O52" s="21">
        <v>0</v>
      </c>
      <c r="P52" s="18">
        <f t="shared" si="11"/>
        <v>0</v>
      </c>
      <c r="Q52" s="22"/>
      <c r="R52" s="24">
        <f>VLOOKUP($C52,'[4]Revenue Data - FY19 MAR-YTD '!$C$3:$V$82,20,FALSE)</f>
        <v>1</v>
      </c>
      <c r="S52" s="24">
        <f>VLOOKUP($C52,'[4]Revenue Data - FY19 MAR-YTD '!$C$3:$V$82,19,FALSE)</f>
        <v>0</v>
      </c>
      <c r="T52" s="24">
        <f>VLOOKUP($C52,'[4]Revenue Data - FY19 MAR-YTD '!$C$3:$V$82,17,FALSE)</f>
        <v>0</v>
      </c>
      <c r="U52" s="24">
        <f>VLOOKUP($C52,'[4]Revenue Data - FY19 MAR-YTD '!$C$3:$V$82,18,FALSE)</f>
        <v>0</v>
      </c>
      <c r="V52" s="23">
        <f>VLOOKUP($C52,'[4]Revenue Data - FY19 MAR-YTD '!$C$3:$W$82,21,FALSE)</f>
        <v>0</v>
      </c>
      <c r="W52" s="24">
        <f t="shared" ref="W52:W59" si="47">SUM(R52:V52)</f>
        <v>1</v>
      </c>
      <c r="X52" s="24"/>
      <c r="Y52" s="25">
        <f t="shared" ref="Y52:Y59" si="48">P52*R52</f>
        <v>0</v>
      </c>
      <c r="Z52" s="25">
        <f t="shared" ref="Z52:Z59" si="49">P52*S52</f>
        <v>0</v>
      </c>
      <c r="AA52" s="25">
        <f t="shared" ref="AA52:AA59" si="50">P52*T52</f>
        <v>0</v>
      </c>
      <c r="AB52" s="25">
        <f t="shared" ref="AB52:AB59" si="51">P52*U52</f>
        <v>0</v>
      </c>
      <c r="AC52" s="25">
        <f t="shared" ref="AC52:AC59" si="52">P52*V52</f>
        <v>0</v>
      </c>
      <c r="AD52" s="21">
        <f t="shared" si="42"/>
        <v>0</v>
      </c>
      <c r="AE52" s="26">
        <f t="shared" si="2"/>
        <v>0</v>
      </c>
      <c r="AF52" s="27">
        <f t="shared" si="43"/>
        <v>0.38039999999999996</v>
      </c>
      <c r="AG52" s="27">
        <f t="shared" si="44"/>
        <v>0.37590000000000001</v>
      </c>
      <c r="AH52" s="27">
        <f t="shared" si="45"/>
        <v>0.82200000000000006</v>
      </c>
      <c r="AI52" s="27">
        <f t="shared" si="46"/>
        <v>0.93079999999999996</v>
      </c>
      <c r="AJ52" s="27">
        <v>0</v>
      </c>
      <c r="AT52" s="18">
        <f t="shared" ref="AT52:AX59" si="53">Y52*AF52</f>
        <v>0</v>
      </c>
      <c r="AU52" s="18">
        <f t="shared" si="53"/>
        <v>0</v>
      </c>
      <c r="AV52" s="18">
        <f t="shared" si="53"/>
        <v>0</v>
      </c>
      <c r="AW52" s="18">
        <f t="shared" si="53"/>
        <v>0</v>
      </c>
      <c r="AX52" s="18">
        <f t="shared" si="53"/>
        <v>0</v>
      </c>
      <c r="AY52" s="26">
        <f t="shared" ref="AY52:AY59" si="54">SUM(AT52:AX52)</f>
        <v>0</v>
      </c>
      <c r="AZ52" s="26"/>
      <c r="BA52" s="20"/>
      <c r="BB52" s="20"/>
      <c r="BC52" s="9">
        <v>5300</v>
      </c>
      <c r="BD52" s="30">
        <f t="shared" si="41"/>
        <v>0</v>
      </c>
      <c r="BE52" s="30">
        <f t="shared" si="41"/>
        <v>0</v>
      </c>
      <c r="BF52" s="30">
        <f t="shared" si="41"/>
        <v>0</v>
      </c>
      <c r="BG52" s="30">
        <f t="shared" si="41"/>
        <v>0</v>
      </c>
      <c r="BH52" s="30">
        <f t="shared" si="41"/>
        <v>0</v>
      </c>
      <c r="BI52" s="31">
        <f t="shared" si="5"/>
        <v>0</v>
      </c>
      <c r="BK52" s="9" t="str">
        <f t="shared" si="6"/>
        <v>43001215</v>
      </c>
      <c r="BL52" s="26">
        <f t="shared" si="7"/>
        <v>0</v>
      </c>
    </row>
    <row r="53" spans="1:64">
      <c r="A53" s="10" t="str">
        <f t="shared" si="0"/>
        <v>4300</v>
      </c>
      <c r="B53" s="10" t="str">
        <f t="shared" si="1"/>
        <v>1216</v>
      </c>
      <c r="C53" s="35" t="s">
        <v>131</v>
      </c>
      <c r="D53" s="16">
        <v>830020</v>
      </c>
      <c r="E53" s="32" t="s">
        <v>132</v>
      </c>
      <c r="F53" s="18">
        <f>IFERROR(VLOOKUP(C53,'[4]Revenue Data - FY19 MAR-YTD '!$C$3:$Q$82,15,FALSE),0)</f>
        <v>-71025</v>
      </c>
      <c r="G53" s="18"/>
      <c r="H53" s="18">
        <f t="shared" si="8"/>
        <v>-71025</v>
      </c>
      <c r="I53" s="18">
        <f>'[4]Statistics Projections'!J53</f>
        <v>49</v>
      </c>
      <c r="J53" s="18">
        <f t="shared" si="9"/>
        <v>-1449.4897959183672</v>
      </c>
      <c r="K53" s="19"/>
      <c r="L53" s="20">
        <v>1</v>
      </c>
      <c r="M53" s="18">
        <f t="shared" ref="M53:M59" si="55">ROUND(J53*L53,2)</f>
        <v>-1449.49</v>
      </c>
      <c r="N53" s="19"/>
      <c r="O53" s="21">
        <f>'[4]Statistics Projections'!L53</f>
        <v>91</v>
      </c>
      <c r="P53" s="18">
        <f t="shared" si="11"/>
        <v>131903.59</v>
      </c>
      <c r="Q53" s="22"/>
      <c r="R53" s="24">
        <f>VLOOKUP($C53,'[4]Revenue Data - FY19 MAR-YTD '!$C$3:$V$82,20,FALSE)</f>
        <v>0.63467793030623021</v>
      </c>
      <c r="S53" s="24">
        <f>VLOOKUP($C53,'[4]Revenue Data - FY19 MAR-YTD '!$C$3:$V$82,19,FALSE)</f>
        <v>0.19746568109820486</v>
      </c>
      <c r="T53" s="24">
        <f>VLOOKUP($C53,'[4]Revenue Data - FY19 MAR-YTD '!$C$3:$V$82,17,FALSE)</f>
        <v>8.6293558606124601E-2</v>
      </c>
      <c r="U53" s="24">
        <f>VLOOKUP($C53,'[4]Revenue Data - FY19 MAR-YTD '!$C$3:$V$82,18,FALSE)</f>
        <v>8.1562829989440339E-2</v>
      </c>
      <c r="V53" s="23">
        <f>VLOOKUP($C53,'[4]Revenue Data - FY19 MAR-YTD '!$C$3:$W$82,21,FALSE)</f>
        <v>0</v>
      </c>
      <c r="W53" s="24">
        <f t="shared" si="47"/>
        <v>1</v>
      </c>
      <c r="X53" s="24"/>
      <c r="Y53" s="25">
        <f t="shared" si="48"/>
        <v>83716.297501161564</v>
      </c>
      <c r="Z53" s="25">
        <f t="shared" si="49"/>
        <v>26046.432238648362</v>
      </c>
      <c r="AA53" s="25">
        <f t="shared" si="50"/>
        <v>11382.430174023231</v>
      </c>
      <c r="AB53" s="25">
        <f t="shared" si="51"/>
        <v>10758.430086166842</v>
      </c>
      <c r="AC53" s="25">
        <f t="shared" si="52"/>
        <v>0</v>
      </c>
      <c r="AD53" s="21">
        <f t="shared" si="42"/>
        <v>131903.59</v>
      </c>
      <c r="AE53" s="26">
        <f t="shared" si="2"/>
        <v>0</v>
      </c>
      <c r="AF53" s="27">
        <f t="shared" si="43"/>
        <v>0.38039999999999996</v>
      </c>
      <c r="AG53" s="27">
        <f t="shared" si="44"/>
        <v>0.37590000000000001</v>
      </c>
      <c r="AH53" s="27">
        <f t="shared" si="45"/>
        <v>0.82200000000000006</v>
      </c>
      <c r="AI53" s="27">
        <f t="shared" si="46"/>
        <v>0.93079999999999996</v>
      </c>
      <c r="AJ53" s="27">
        <v>0</v>
      </c>
      <c r="AT53" s="18">
        <f t="shared" si="53"/>
        <v>31845.679569441854</v>
      </c>
      <c r="AU53" s="18">
        <f t="shared" si="53"/>
        <v>9790.8538785079199</v>
      </c>
      <c r="AV53" s="18">
        <f t="shared" si="53"/>
        <v>9356.3576030470977</v>
      </c>
      <c r="AW53" s="18">
        <f t="shared" si="53"/>
        <v>10013.946724204096</v>
      </c>
      <c r="AX53" s="18">
        <f t="shared" si="53"/>
        <v>0</v>
      </c>
      <c r="AY53" s="26">
        <f t="shared" si="54"/>
        <v>61006.837775200969</v>
      </c>
      <c r="AZ53" s="26"/>
      <c r="BA53" s="20">
        <f t="shared" ref="BA53:BA59" si="56">AY53/AD53</f>
        <v>0.46251082154171064</v>
      </c>
      <c r="BB53" s="20">
        <f t="shared" ref="BB53:BB59" si="57">1-BA53</f>
        <v>0.53748917845828936</v>
      </c>
      <c r="BC53" s="9">
        <v>5300</v>
      </c>
      <c r="BD53" s="30">
        <f t="shared" si="41"/>
        <v>51870.617931719709</v>
      </c>
      <c r="BE53" s="30">
        <f t="shared" si="41"/>
        <v>16255.578360140442</v>
      </c>
      <c r="BF53" s="30">
        <f t="shared" si="41"/>
        <v>2026.0725709761336</v>
      </c>
      <c r="BG53" s="30">
        <f t="shared" si="41"/>
        <v>744.48336196274613</v>
      </c>
      <c r="BH53" s="30">
        <f t="shared" si="41"/>
        <v>0</v>
      </c>
      <c r="BI53" s="31">
        <f t="shared" si="5"/>
        <v>70896.752224799027</v>
      </c>
      <c r="BK53" s="9" t="str">
        <f t="shared" si="6"/>
        <v>43001216</v>
      </c>
      <c r="BL53" s="26">
        <f t="shared" si="7"/>
        <v>131903.59</v>
      </c>
    </row>
    <row r="54" spans="1:64">
      <c r="A54" s="10" t="str">
        <f t="shared" si="0"/>
        <v>4300</v>
      </c>
      <c r="B54" s="10" t="str">
        <f t="shared" si="1"/>
        <v>1217</v>
      </c>
      <c r="C54" s="35" t="s">
        <v>133</v>
      </c>
      <c r="D54" s="16">
        <v>830030</v>
      </c>
      <c r="E54" s="32" t="s">
        <v>134</v>
      </c>
      <c r="F54" s="18">
        <f>IFERROR(VLOOKUP(C54,'[4]Revenue Data - FY19 MAR-YTD '!$C$3:$Q$82,15,FALSE),0)</f>
        <v>-144302</v>
      </c>
      <c r="G54" s="18"/>
      <c r="H54" s="18">
        <f t="shared" si="8"/>
        <v>-144302</v>
      </c>
      <c r="I54" s="18">
        <f>'[4]Statistics Projections'!J68</f>
        <v>973</v>
      </c>
      <c r="J54" s="18">
        <f t="shared" si="9"/>
        <v>-148.30626927029806</v>
      </c>
      <c r="K54" s="19"/>
      <c r="L54" s="20">
        <v>1</v>
      </c>
      <c r="M54" s="18">
        <f t="shared" si="55"/>
        <v>-148.31</v>
      </c>
      <c r="N54" s="19"/>
      <c r="O54" s="21">
        <f>'[4]Statistics Projections'!L68</f>
        <v>2220</v>
      </c>
      <c r="P54" s="18">
        <f t="shared" si="11"/>
        <v>329248.2</v>
      </c>
      <c r="Q54" s="22"/>
      <c r="R54" s="24">
        <f>VLOOKUP($C54,'[4]Revenue Data - FY19 MAR-YTD '!$C$3:$V$82,20,FALSE)</f>
        <v>0.69552743551717922</v>
      </c>
      <c r="S54" s="24">
        <f>VLOOKUP($C54,'[4]Revenue Data - FY19 MAR-YTD '!$C$3:$V$82,19,FALSE)</f>
        <v>0.11268035093068703</v>
      </c>
      <c r="T54" s="24">
        <f>VLOOKUP($C54,'[4]Revenue Data - FY19 MAR-YTD '!$C$3:$V$82,17,FALSE)</f>
        <v>8.7095119956757353E-2</v>
      </c>
      <c r="U54" s="24">
        <f>VLOOKUP($C54,'[4]Revenue Data - FY19 MAR-YTD '!$C$3:$V$82,18,FALSE)</f>
        <v>0.10469709359537636</v>
      </c>
      <c r="V54" s="23">
        <f>VLOOKUP($C54,'[4]Revenue Data - FY19 MAR-YTD '!$C$3:$W$82,21,FALSE)</f>
        <v>0</v>
      </c>
      <c r="W54" s="24">
        <f t="shared" si="47"/>
        <v>1</v>
      </c>
      <c r="X54" s="24"/>
      <c r="Y54" s="25">
        <f t="shared" si="48"/>
        <v>229001.15619464734</v>
      </c>
      <c r="Z54" s="25">
        <f t="shared" si="49"/>
        <v>37099.802719297026</v>
      </c>
      <c r="AA54" s="25">
        <f t="shared" si="50"/>
        <v>28675.911474546436</v>
      </c>
      <c r="AB54" s="25">
        <f t="shared" si="51"/>
        <v>34471.329611509194</v>
      </c>
      <c r="AC54" s="25">
        <f t="shared" si="52"/>
        <v>0</v>
      </c>
      <c r="AD54" s="21">
        <f t="shared" si="42"/>
        <v>329248.19999999995</v>
      </c>
      <c r="AE54" s="26">
        <f t="shared" si="2"/>
        <v>0</v>
      </c>
      <c r="AF54" s="27">
        <f t="shared" si="43"/>
        <v>0.38039999999999996</v>
      </c>
      <c r="AG54" s="27">
        <f t="shared" si="44"/>
        <v>0.37590000000000001</v>
      </c>
      <c r="AH54" s="27">
        <f t="shared" si="45"/>
        <v>0.82200000000000006</v>
      </c>
      <c r="AI54" s="27">
        <f t="shared" si="46"/>
        <v>0.93079999999999996</v>
      </c>
      <c r="AJ54" s="27">
        <v>0</v>
      </c>
      <c r="AT54" s="18">
        <f t="shared" si="53"/>
        <v>87112.039816443837</v>
      </c>
      <c r="AU54" s="18">
        <f t="shared" si="53"/>
        <v>13945.815842183752</v>
      </c>
      <c r="AV54" s="18">
        <f t="shared" si="53"/>
        <v>23571.599232077173</v>
      </c>
      <c r="AW54" s="18">
        <f t="shared" si="53"/>
        <v>32085.913602392757</v>
      </c>
      <c r="AX54" s="18">
        <f t="shared" si="53"/>
        <v>0</v>
      </c>
      <c r="AY54" s="26">
        <f t="shared" si="54"/>
        <v>156715.36849309754</v>
      </c>
      <c r="AZ54" s="26"/>
      <c r="BA54" s="20">
        <f t="shared" si="56"/>
        <v>0.47597942370861118</v>
      </c>
      <c r="BB54" s="20">
        <f t="shared" si="57"/>
        <v>0.52402057629138876</v>
      </c>
      <c r="BC54" s="9">
        <v>5300</v>
      </c>
      <c r="BD54" s="30">
        <f t="shared" si="41"/>
        <v>141889.1163782035</v>
      </c>
      <c r="BE54" s="30">
        <f t="shared" si="41"/>
        <v>23153.986877113275</v>
      </c>
      <c r="BF54" s="30">
        <f t="shared" si="41"/>
        <v>5104.3122424692629</v>
      </c>
      <c r="BG54" s="30">
        <f t="shared" si="41"/>
        <v>2385.4160091164376</v>
      </c>
      <c r="BH54" s="30">
        <f t="shared" si="41"/>
        <v>0</v>
      </c>
      <c r="BI54" s="31">
        <f t="shared" si="5"/>
        <v>172532.83150690247</v>
      </c>
      <c r="BK54" s="9" t="str">
        <f t="shared" si="6"/>
        <v>43001217</v>
      </c>
      <c r="BL54" s="26">
        <f t="shared" si="7"/>
        <v>329248.2</v>
      </c>
    </row>
    <row r="55" spans="1:64">
      <c r="A55" s="10" t="str">
        <f t="shared" si="0"/>
        <v>4300</v>
      </c>
      <c r="B55" s="10" t="str">
        <f t="shared" si="1"/>
        <v>1219</v>
      </c>
      <c r="C55" s="35" t="s">
        <v>135</v>
      </c>
      <c r="D55" s="16">
        <v>830045</v>
      </c>
      <c r="E55" s="32" t="s">
        <v>136</v>
      </c>
      <c r="F55" s="18">
        <f>IFERROR(VLOOKUP(C55,'[4]Revenue Data - FY19 MAR-YTD '!$C$3:$Q$82,15,FALSE),0)</f>
        <v>-161720.15</v>
      </c>
      <c r="G55" s="18"/>
      <c r="H55" s="18">
        <f t="shared" si="8"/>
        <v>-161720.15</v>
      </c>
      <c r="I55" s="18">
        <f>'[4]Statistics Projections'!J74</f>
        <v>33199.370000000003</v>
      </c>
      <c r="J55" s="18">
        <f t="shared" si="9"/>
        <v>-4.8711812904883427</v>
      </c>
      <c r="K55" s="19"/>
      <c r="L55" s="20">
        <v>1</v>
      </c>
      <c r="M55" s="18">
        <f t="shared" si="55"/>
        <v>-4.87</v>
      </c>
      <c r="N55" s="19"/>
      <c r="O55" s="21">
        <f>'[4]Statistics Projections'!L74</f>
        <v>65000</v>
      </c>
      <c r="P55" s="18">
        <f t="shared" si="11"/>
        <v>316550</v>
      </c>
      <c r="Q55" s="22"/>
      <c r="R55" s="24">
        <f>VLOOKUP($C55,'[4]Revenue Data - FY19 MAR-YTD '!$C$3:$V$82,20,FALSE)</f>
        <v>0.68798291369380993</v>
      </c>
      <c r="S55" s="24">
        <f>VLOOKUP($C55,'[4]Revenue Data - FY19 MAR-YTD '!$C$3:$V$82,19,FALSE)</f>
        <v>6.5329212222471969E-2</v>
      </c>
      <c r="T55" s="24">
        <f>VLOOKUP($C55,'[4]Revenue Data - FY19 MAR-YTD '!$C$3:$V$82,17,FALSE)</f>
        <v>9.1871668434638482E-2</v>
      </c>
      <c r="U55" s="24">
        <f>VLOOKUP($C55,'[4]Revenue Data - FY19 MAR-YTD '!$C$3:$V$82,18,FALSE)</f>
        <v>0.15481620564907961</v>
      </c>
      <c r="V55" s="23">
        <f>VLOOKUP($C55,'[4]Revenue Data - FY19 MAR-YTD '!$C$3:$W$82,21,FALSE)</f>
        <v>0</v>
      </c>
      <c r="W55" s="24">
        <f t="shared" si="47"/>
        <v>1</v>
      </c>
      <c r="X55" s="24"/>
      <c r="Y55" s="25">
        <f t="shared" si="48"/>
        <v>217780.99132977554</v>
      </c>
      <c r="Z55" s="25">
        <f t="shared" si="49"/>
        <v>20679.962129023501</v>
      </c>
      <c r="AA55" s="25">
        <f t="shared" si="50"/>
        <v>29081.97664298481</v>
      </c>
      <c r="AB55" s="25">
        <f t="shared" si="51"/>
        <v>49007.069898216148</v>
      </c>
      <c r="AC55" s="25">
        <f t="shared" si="52"/>
        <v>0</v>
      </c>
      <c r="AD55" s="21">
        <f t="shared" si="42"/>
        <v>316550</v>
      </c>
      <c r="AE55" s="26">
        <f t="shared" si="2"/>
        <v>0</v>
      </c>
      <c r="AF55" s="27">
        <f t="shared" si="43"/>
        <v>0.38039999999999996</v>
      </c>
      <c r="AG55" s="27">
        <f t="shared" si="44"/>
        <v>0.37590000000000001</v>
      </c>
      <c r="AH55" s="27">
        <f t="shared" si="45"/>
        <v>0.82200000000000006</v>
      </c>
      <c r="AI55" s="27">
        <f t="shared" si="46"/>
        <v>0.93079999999999996</v>
      </c>
      <c r="AJ55" s="27">
        <v>0</v>
      </c>
      <c r="AT55" s="18">
        <f t="shared" si="53"/>
        <v>82843.889101846609</v>
      </c>
      <c r="AU55" s="18">
        <f t="shared" si="53"/>
        <v>7773.5977642999342</v>
      </c>
      <c r="AV55" s="18">
        <f t="shared" si="53"/>
        <v>23905.384800533517</v>
      </c>
      <c r="AW55" s="18">
        <f t="shared" si="53"/>
        <v>45615.780661259589</v>
      </c>
      <c r="AX55" s="18">
        <f t="shared" si="53"/>
        <v>0</v>
      </c>
      <c r="AY55" s="26">
        <f t="shared" si="54"/>
        <v>160138.65232793964</v>
      </c>
      <c r="AZ55" s="26"/>
      <c r="BA55" s="20">
        <f t="shared" si="56"/>
        <v>0.50588738691498858</v>
      </c>
      <c r="BB55" s="20">
        <f t="shared" si="57"/>
        <v>0.49411261308501142</v>
      </c>
      <c r="BC55" s="9">
        <v>5300</v>
      </c>
      <c r="BD55" s="30">
        <f t="shared" si="41"/>
        <v>134937.10222792893</v>
      </c>
      <c r="BE55" s="30">
        <f t="shared" si="41"/>
        <v>12906.364364723566</v>
      </c>
      <c r="BF55" s="30">
        <f t="shared" si="41"/>
        <v>5176.5918424512929</v>
      </c>
      <c r="BG55" s="30">
        <f t="shared" si="41"/>
        <v>3391.2892369565598</v>
      </c>
      <c r="BH55" s="30">
        <f t="shared" si="41"/>
        <v>0</v>
      </c>
      <c r="BI55" s="31">
        <f t="shared" si="5"/>
        <v>156411.34767206036</v>
      </c>
      <c r="BK55" s="9" t="str">
        <f t="shared" si="6"/>
        <v>43001219</v>
      </c>
      <c r="BL55" s="26">
        <f t="shared" si="7"/>
        <v>316550</v>
      </c>
    </row>
    <row r="56" spans="1:64">
      <c r="A56" s="10" t="str">
        <f t="shared" si="0"/>
        <v>4300</v>
      </c>
      <c r="B56" s="10" t="str">
        <f t="shared" si="1"/>
        <v>1220</v>
      </c>
      <c r="C56" s="35" t="s">
        <v>137</v>
      </c>
      <c r="D56" s="16">
        <v>830050</v>
      </c>
      <c r="E56" s="32" t="s">
        <v>138</v>
      </c>
      <c r="F56" s="18">
        <f>IFERROR(VLOOKUP(C56,'[4]Revenue Data - FY19 MAR-YTD '!$C$3:$Q$82,15,FALSE),0)</f>
        <v>-48843</v>
      </c>
      <c r="G56" s="18"/>
      <c r="H56" s="18">
        <f t="shared" si="8"/>
        <v>-48843</v>
      </c>
      <c r="I56" s="18">
        <f>'[4]Statistics Projections'!J80</f>
        <v>377</v>
      </c>
      <c r="J56" s="18">
        <f t="shared" si="9"/>
        <v>-129.55702917771885</v>
      </c>
      <c r="K56" s="19"/>
      <c r="L56" s="20">
        <v>1</v>
      </c>
      <c r="M56" s="18">
        <f t="shared" si="55"/>
        <v>-129.56</v>
      </c>
      <c r="N56" s="19"/>
      <c r="O56" s="21">
        <f>'[4]Statistics Projections'!L80</f>
        <v>737</v>
      </c>
      <c r="P56" s="18">
        <f t="shared" si="11"/>
        <v>95485.72</v>
      </c>
      <c r="Q56" s="22"/>
      <c r="R56" s="24">
        <f>VLOOKUP($C56,'[4]Revenue Data - FY19 MAR-YTD '!$C$3:$V$82,20,FALSE)</f>
        <v>0.74104784718383387</v>
      </c>
      <c r="S56" s="24">
        <f>VLOOKUP($C56,'[4]Revenue Data - FY19 MAR-YTD '!$C$3:$V$82,19,FALSE)</f>
        <v>0</v>
      </c>
      <c r="T56" s="24">
        <f>VLOOKUP($C56,'[4]Revenue Data - FY19 MAR-YTD '!$C$3:$V$82,17,FALSE)</f>
        <v>7.5200131032082382E-2</v>
      </c>
      <c r="U56" s="24">
        <f>VLOOKUP($C56,'[4]Revenue Data - FY19 MAR-YTD '!$C$3:$V$82,18,FALSE)</f>
        <v>0.16974796797903488</v>
      </c>
      <c r="V56" s="23">
        <f>VLOOKUP($C56,'[4]Revenue Data - FY19 MAR-YTD '!$C$3:$W$82,21,FALSE)</f>
        <v>1.400405380504883E-2</v>
      </c>
      <c r="W56" s="24">
        <f t="shared" si="47"/>
        <v>1</v>
      </c>
      <c r="X56" s="24"/>
      <c r="Y56" s="25">
        <f t="shared" si="48"/>
        <v>70759.48724279835</v>
      </c>
      <c r="Z56" s="25">
        <f t="shared" si="49"/>
        <v>0</v>
      </c>
      <c r="AA56" s="25">
        <f t="shared" si="50"/>
        <v>7180.5386556927297</v>
      </c>
      <c r="AB56" s="25">
        <f t="shared" si="51"/>
        <v>16208.50694101509</v>
      </c>
      <c r="AC56" s="25">
        <f t="shared" si="52"/>
        <v>1337.1871604938272</v>
      </c>
      <c r="AD56" s="21">
        <f t="shared" si="42"/>
        <v>95485.719999999987</v>
      </c>
      <c r="AE56" s="26">
        <f t="shared" si="2"/>
        <v>0</v>
      </c>
      <c r="AF56" s="27">
        <f t="shared" si="43"/>
        <v>0.38039999999999996</v>
      </c>
      <c r="AG56" s="27">
        <f t="shared" si="44"/>
        <v>0.37590000000000001</v>
      </c>
      <c r="AH56" s="27">
        <f t="shared" si="45"/>
        <v>0.82200000000000006</v>
      </c>
      <c r="AI56" s="27">
        <f t="shared" si="46"/>
        <v>0.93079999999999996</v>
      </c>
      <c r="AJ56" s="27">
        <v>0</v>
      </c>
      <c r="AT56" s="18">
        <f t="shared" si="53"/>
        <v>26916.908947160489</v>
      </c>
      <c r="AU56" s="18">
        <f t="shared" si="53"/>
        <v>0</v>
      </c>
      <c r="AV56" s="18">
        <f t="shared" si="53"/>
        <v>5902.4027749794241</v>
      </c>
      <c r="AW56" s="18">
        <f t="shared" si="53"/>
        <v>15086.878260696845</v>
      </c>
      <c r="AX56" s="18">
        <f t="shared" si="53"/>
        <v>0</v>
      </c>
      <c r="AY56" s="26">
        <f t="shared" si="54"/>
        <v>47906.18998283676</v>
      </c>
      <c r="AZ56" s="26"/>
      <c r="BA56" s="20">
        <f t="shared" si="56"/>
        <v>0.5017105173719878</v>
      </c>
      <c r="BB56" s="20">
        <f t="shared" si="57"/>
        <v>0.4982894826280122</v>
      </c>
      <c r="BC56" s="9">
        <v>5300</v>
      </c>
      <c r="BD56" s="30">
        <f t="shared" si="41"/>
        <v>43842.578295637861</v>
      </c>
      <c r="BE56" s="30">
        <f t="shared" si="41"/>
        <v>0</v>
      </c>
      <c r="BF56" s="30">
        <f t="shared" si="41"/>
        <v>1278.1358807133056</v>
      </c>
      <c r="BG56" s="30">
        <f t="shared" si="41"/>
        <v>1121.6286803182447</v>
      </c>
      <c r="BH56" s="30">
        <f t="shared" si="41"/>
        <v>1337.1871604938272</v>
      </c>
      <c r="BI56" s="31">
        <f t="shared" si="5"/>
        <v>47579.530017163241</v>
      </c>
      <c r="BK56" s="9" t="str">
        <f t="shared" si="6"/>
        <v>43001220</v>
      </c>
      <c r="BL56" s="26">
        <f t="shared" si="7"/>
        <v>95485.72</v>
      </c>
    </row>
    <row r="57" spans="1:64">
      <c r="A57" s="10" t="str">
        <f t="shared" si="0"/>
        <v>4300</v>
      </c>
      <c r="B57" s="10" t="str">
        <f t="shared" si="1"/>
        <v>1222</v>
      </c>
      <c r="C57" s="35" t="s">
        <v>139</v>
      </c>
      <c r="D57" s="16">
        <v>830060</v>
      </c>
      <c r="E57" s="32" t="s">
        <v>140</v>
      </c>
      <c r="F57" s="18">
        <f>IFERROR(VLOOKUP(C57,'[4]Revenue Data - FY19 MAR-YTD '!$C$3:$Q$82,15,FALSE),0)</f>
        <v>-1092011</v>
      </c>
      <c r="G57" s="18"/>
      <c r="H57" s="18">
        <f t="shared" si="8"/>
        <v>-1092011</v>
      </c>
      <c r="I57" s="18">
        <f>'[4]Statistics Projections'!J86</f>
        <v>5563</v>
      </c>
      <c r="J57" s="18">
        <f t="shared" si="9"/>
        <v>-196.29893942117562</v>
      </c>
      <c r="K57" s="19"/>
      <c r="L57" s="20">
        <v>1</v>
      </c>
      <c r="M57" s="18">
        <f t="shared" si="55"/>
        <v>-196.3</v>
      </c>
      <c r="N57" s="19"/>
      <c r="O57" s="21">
        <f>'[4]Statistics Projections'!L86</f>
        <v>11500</v>
      </c>
      <c r="P57" s="18">
        <f t="shared" si="11"/>
        <v>2257450</v>
      </c>
      <c r="Q57" s="22"/>
      <c r="R57" s="24">
        <f>VLOOKUP($C57,'[4]Revenue Data - FY19 MAR-YTD '!$C$3:$V$82,20,FALSE)</f>
        <v>0.65187713310580209</v>
      </c>
      <c r="S57" s="24">
        <f>VLOOKUP($C57,'[4]Revenue Data - FY19 MAR-YTD '!$C$3:$V$82,19,FALSE)</f>
        <v>8.3750987856349435E-2</v>
      </c>
      <c r="T57" s="24">
        <f>VLOOKUP($C57,'[4]Revenue Data - FY19 MAR-YTD '!$C$3:$V$82,17,FALSE)</f>
        <v>0.11504279718794042</v>
      </c>
      <c r="U57" s="24">
        <f>VLOOKUP($C57,'[4]Revenue Data - FY19 MAR-YTD '!$C$3:$V$82,18,FALSE)</f>
        <v>0.14932908184990812</v>
      </c>
      <c r="V57" s="23">
        <f>VLOOKUP($C57,'[4]Revenue Data - FY19 MAR-YTD '!$C$3:$W$82,21,FALSE)</f>
        <v>0</v>
      </c>
      <c r="W57" s="24">
        <f t="shared" si="47"/>
        <v>1</v>
      </c>
      <c r="X57" s="24"/>
      <c r="Y57" s="25">
        <f t="shared" si="48"/>
        <v>1471580.0341296929</v>
      </c>
      <c r="Z57" s="25">
        <f t="shared" si="49"/>
        <v>189063.66753631603</v>
      </c>
      <c r="AA57" s="25">
        <f t="shared" si="50"/>
        <v>259703.36251191609</v>
      </c>
      <c r="AB57" s="25">
        <f t="shared" si="51"/>
        <v>337102.93582207506</v>
      </c>
      <c r="AC57" s="25">
        <f t="shared" si="52"/>
        <v>0</v>
      </c>
      <c r="AD57" s="21">
        <f t="shared" si="42"/>
        <v>2257450</v>
      </c>
      <c r="AE57" s="26">
        <f t="shared" si="2"/>
        <v>0</v>
      </c>
      <c r="AF57" s="27">
        <f t="shared" si="43"/>
        <v>0.38039999999999996</v>
      </c>
      <c r="AG57" s="27">
        <f t="shared" si="44"/>
        <v>0.37590000000000001</v>
      </c>
      <c r="AH57" s="27">
        <f t="shared" si="45"/>
        <v>0.82200000000000006</v>
      </c>
      <c r="AI57" s="27">
        <f t="shared" si="46"/>
        <v>0.93079999999999996</v>
      </c>
      <c r="AJ57" s="27">
        <v>0</v>
      </c>
      <c r="AT57" s="18">
        <f t="shared" si="53"/>
        <v>559789.04498293519</v>
      </c>
      <c r="AU57" s="18">
        <f t="shared" si="53"/>
        <v>71069.0326269012</v>
      </c>
      <c r="AV57" s="18">
        <f t="shared" si="53"/>
        <v>213476.16398479504</v>
      </c>
      <c r="AW57" s="18">
        <f t="shared" si="53"/>
        <v>313775.41266318742</v>
      </c>
      <c r="AX57" s="18">
        <f t="shared" si="53"/>
        <v>0</v>
      </c>
      <c r="AY57" s="26">
        <f t="shared" si="54"/>
        <v>1158109.6542578188</v>
      </c>
      <c r="AZ57" s="26"/>
      <c r="BA57" s="20">
        <f t="shared" si="56"/>
        <v>0.5130167464430303</v>
      </c>
      <c r="BB57" s="20">
        <f t="shared" si="57"/>
        <v>0.4869832535569697</v>
      </c>
      <c r="BC57" s="9">
        <v>5300</v>
      </c>
      <c r="BD57" s="30">
        <f t="shared" si="41"/>
        <v>911790.98914675775</v>
      </c>
      <c r="BE57" s="30">
        <f t="shared" si="41"/>
        <v>117994.63490941483</v>
      </c>
      <c r="BF57" s="30">
        <f t="shared" si="41"/>
        <v>46227.198527121043</v>
      </c>
      <c r="BG57" s="30">
        <f t="shared" si="41"/>
        <v>23327.523158887634</v>
      </c>
      <c r="BH57" s="30">
        <f t="shared" si="41"/>
        <v>0</v>
      </c>
      <c r="BI57" s="31">
        <f t="shared" si="5"/>
        <v>1099340.3457421812</v>
      </c>
      <c r="BK57" s="9" t="str">
        <f t="shared" si="6"/>
        <v>43001222</v>
      </c>
      <c r="BL57" s="26">
        <f t="shared" si="7"/>
        <v>2257450</v>
      </c>
    </row>
    <row r="58" spans="1:64">
      <c r="A58" s="10" t="str">
        <f t="shared" si="0"/>
        <v>4300</v>
      </c>
      <c r="B58" s="10" t="str">
        <f t="shared" si="1"/>
        <v>1223</v>
      </c>
      <c r="C58" s="35" t="s">
        <v>141</v>
      </c>
      <c r="D58" s="16">
        <v>830060</v>
      </c>
      <c r="E58" s="32" t="s">
        <v>142</v>
      </c>
      <c r="F58" s="18">
        <f>IFERROR(VLOOKUP(C58,'[4]Revenue Data - FY19 MAR-YTD '!$C$3:$Q$82,15,FALSE),0)</f>
        <v>-1119454</v>
      </c>
      <c r="G58" s="18"/>
      <c r="H58" s="18">
        <f t="shared" si="8"/>
        <v>-1119454</v>
      </c>
      <c r="I58" s="18">
        <f>'[4]Statistics Projections'!J92</f>
        <v>5614</v>
      </c>
      <c r="J58" s="18">
        <f t="shared" si="9"/>
        <v>-199.40399002493766</v>
      </c>
      <c r="K58" s="19"/>
      <c r="L58" s="20">
        <v>1</v>
      </c>
      <c r="M58" s="18">
        <f t="shared" si="55"/>
        <v>-199.4</v>
      </c>
      <c r="N58" s="19"/>
      <c r="O58" s="21">
        <f>'[4]Statistics Projections'!L92</f>
        <v>11357</v>
      </c>
      <c r="P58" s="18">
        <f t="shared" si="11"/>
        <v>2264585.8000000003</v>
      </c>
      <c r="Q58" s="22"/>
      <c r="R58" s="24">
        <f>VLOOKUP($C58,'[4]Revenue Data - FY19 MAR-YTD '!$C$3:$V$82,20,FALSE)</f>
        <v>0.64943534973299488</v>
      </c>
      <c r="S58" s="24">
        <f>VLOOKUP($C58,'[4]Revenue Data - FY19 MAR-YTD '!$C$3:$V$82,19,FALSE)</f>
        <v>8.0485665333278542E-2</v>
      </c>
      <c r="T58" s="24">
        <f>VLOOKUP($C58,'[4]Revenue Data - FY19 MAR-YTD '!$C$3:$V$82,17,FALSE)</f>
        <v>0.11236281258542111</v>
      </c>
      <c r="U58" s="24">
        <f>VLOOKUP($C58,'[4]Revenue Data - FY19 MAR-YTD '!$C$3:$V$82,18,FALSE)</f>
        <v>0.15771617234830551</v>
      </c>
      <c r="V58" s="23">
        <f>VLOOKUP($C58,'[4]Revenue Data - FY19 MAR-YTD '!$C$3:$W$82,21,FALSE)</f>
        <v>0</v>
      </c>
      <c r="W58" s="24">
        <f t="shared" si="47"/>
        <v>1</v>
      </c>
      <c r="X58" s="24"/>
      <c r="Y58" s="25">
        <f t="shared" si="48"/>
        <v>1470702.0710233741</v>
      </c>
      <c r="Z58" s="25">
        <f t="shared" si="49"/>
        <v>182266.69481729486</v>
      </c>
      <c r="AA58" s="25">
        <f t="shared" si="50"/>
        <v>254455.22982900596</v>
      </c>
      <c r="AB58" s="25">
        <f t="shared" si="51"/>
        <v>357161.80433032534</v>
      </c>
      <c r="AC58" s="25">
        <f t="shared" si="52"/>
        <v>0</v>
      </c>
      <c r="AD58" s="21">
        <f t="shared" si="42"/>
        <v>2264585.8000000003</v>
      </c>
      <c r="AE58" s="26">
        <f t="shared" si="2"/>
        <v>0</v>
      </c>
      <c r="AF58" s="27">
        <f t="shared" si="43"/>
        <v>0.38039999999999996</v>
      </c>
      <c r="AG58" s="27">
        <f t="shared" si="44"/>
        <v>0.37590000000000001</v>
      </c>
      <c r="AH58" s="27">
        <f t="shared" si="45"/>
        <v>0.82200000000000006</v>
      </c>
      <c r="AI58" s="27">
        <f t="shared" si="46"/>
        <v>0.93079999999999996</v>
      </c>
      <c r="AJ58" s="27">
        <v>0</v>
      </c>
      <c r="AT58" s="18">
        <f t="shared" si="53"/>
        <v>559455.06781729148</v>
      </c>
      <c r="AU58" s="18">
        <f t="shared" si="53"/>
        <v>68514.050581821139</v>
      </c>
      <c r="AV58" s="18">
        <f t="shared" si="53"/>
        <v>209162.19891944292</v>
      </c>
      <c r="AW58" s="18">
        <f t="shared" si="53"/>
        <v>332446.20747066679</v>
      </c>
      <c r="AX58" s="18">
        <f t="shared" si="53"/>
        <v>0</v>
      </c>
      <c r="AY58" s="26">
        <f t="shared" si="54"/>
        <v>1169577.5247892223</v>
      </c>
      <c r="AZ58" s="26"/>
      <c r="BA58" s="20">
        <f t="shared" si="56"/>
        <v>0.51646421380422947</v>
      </c>
      <c r="BB58" s="20">
        <f t="shared" si="57"/>
        <v>0.48353578619577053</v>
      </c>
      <c r="BC58" s="9">
        <v>5300</v>
      </c>
      <c r="BD58" s="30">
        <f t="shared" si="41"/>
        <v>911247.00320608262</v>
      </c>
      <c r="BE58" s="30">
        <f t="shared" si="41"/>
        <v>113752.64423547372</v>
      </c>
      <c r="BF58" s="30">
        <f t="shared" si="41"/>
        <v>45293.030909563036</v>
      </c>
      <c r="BG58" s="30">
        <f t="shared" si="41"/>
        <v>24715.596859658544</v>
      </c>
      <c r="BH58" s="30">
        <f t="shared" si="41"/>
        <v>0</v>
      </c>
      <c r="BI58" s="31">
        <f t="shared" si="5"/>
        <v>1095008.275210778</v>
      </c>
      <c r="BK58" s="9" t="str">
        <f t="shared" si="6"/>
        <v>43001223</v>
      </c>
      <c r="BL58" s="26">
        <f t="shared" si="7"/>
        <v>2264585.8000000003</v>
      </c>
    </row>
    <row r="59" spans="1:64">
      <c r="A59" s="10" t="str">
        <f t="shared" si="0"/>
        <v>4300</v>
      </c>
      <c r="B59" s="10" t="str">
        <f t="shared" si="1"/>
        <v>1224</v>
      </c>
      <c r="C59" s="35" t="s">
        <v>143</v>
      </c>
      <c r="D59" s="16">
        <v>830060</v>
      </c>
      <c r="E59" s="32" t="s">
        <v>144</v>
      </c>
      <c r="F59" s="18">
        <f>IFERROR(VLOOKUP(C59,'[4]Revenue Data - FY19 MAR-YTD '!$C$3:$Q$82,15,FALSE),0)</f>
        <v>-158855</v>
      </c>
      <c r="G59" s="18"/>
      <c r="H59" s="18">
        <f t="shared" si="8"/>
        <v>-158855</v>
      </c>
      <c r="I59" s="18">
        <f>'[4]Statistics Projections'!J98</f>
        <v>438</v>
      </c>
      <c r="J59" s="18">
        <f t="shared" si="9"/>
        <v>-362.6826484018265</v>
      </c>
      <c r="K59" s="19"/>
      <c r="L59" s="20">
        <v>1</v>
      </c>
      <c r="M59" s="18">
        <f t="shared" si="55"/>
        <v>-362.68</v>
      </c>
      <c r="N59" s="19"/>
      <c r="O59" s="21">
        <f>'[4]Statistics Projections'!L98</f>
        <v>850</v>
      </c>
      <c r="P59" s="18">
        <f t="shared" si="11"/>
        <v>308278</v>
      </c>
      <c r="Q59" s="22"/>
      <c r="R59" s="24">
        <f>VLOOKUP($C59,'[4]Revenue Data - FY19 MAR-YTD '!$C$3:$V$82,20,FALSE)</f>
        <v>0.68793553869881341</v>
      </c>
      <c r="S59" s="24">
        <f>VLOOKUP($C59,'[4]Revenue Data - FY19 MAR-YTD '!$C$3:$V$82,19,FALSE)</f>
        <v>2.838437568852098E-2</v>
      </c>
      <c r="T59" s="24">
        <f>VLOOKUP($C59,'[4]Revenue Data - FY19 MAR-YTD '!$C$3:$V$82,17,FALSE)</f>
        <v>9.9178496112807282E-2</v>
      </c>
      <c r="U59" s="24">
        <f>VLOOKUP($C59,'[4]Revenue Data - FY19 MAR-YTD '!$C$3:$V$82,18,FALSE)</f>
        <v>0.18450158949985837</v>
      </c>
      <c r="V59" s="23">
        <f>VLOOKUP($C59,'[4]Revenue Data - FY19 MAR-YTD '!$C$3:$W$82,21,FALSE)</f>
        <v>0</v>
      </c>
      <c r="W59" s="24">
        <f t="shared" si="47"/>
        <v>1</v>
      </c>
      <c r="X59" s="24"/>
      <c r="Y59" s="25">
        <f t="shared" si="48"/>
        <v>212075.3919989928</v>
      </c>
      <c r="Z59" s="25">
        <f t="shared" si="49"/>
        <v>8750.2785685058698</v>
      </c>
      <c r="AA59" s="25">
        <f t="shared" si="50"/>
        <v>30574.548424664004</v>
      </c>
      <c r="AB59" s="25">
        <f t="shared" si="51"/>
        <v>56877.781007837337</v>
      </c>
      <c r="AC59" s="25">
        <f t="shared" si="52"/>
        <v>0</v>
      </c>
      <c r="AD59" s="21">
        <f t="shared" si="42"/>
        <v>308278</v>
      </c>
      <c r="AE59" s="26">
        <f t="shared" si="2"/>
        <v>0</v>
      </c>
      <c r="AF59" s="27">
        <f t="shared" si="43"/>
        <v>0.38039999999999996</v>
      </c>
      <c r="AG59" s="27">
        <f t="shared" si="44"/>
        <v>0.37590000000000001</v>
      </c>
      <c r="AH59" s="27">
        <f t="shared" si="45"/>
        <v>0.82200000000000006</v>
      </c>
      <c r="AI59" s="27">
        <f t="shared" si="46"/>
        <v>0.93079999999999996</v>
      </c>
      <c r="AJ59" s="27">
        <v>0</v>
      </c>
      <c r="AT59" s="18">
        <f t="shared" si="53"/>
        <v>80673.479116416856</v>
      </c>
      <c r="AU59" s="18">
        <f t="shared" si="53"/>
        <v>3289.2297139013567</v>
      </c>
      <c r="AV59" s="18">
        <f t="shared" si="53"/>
        <v>25132.278805073813</v>
      </c>
      <c r="AW59" s="18">
        <f t="shared" si="53"/>
        <v>52941.838562094992</v>
      </c>
      <c r="AX59" s="18">
        <f t="shared" si="53"/>
        <v>0</v>
      </c>
      <c r="AY59" s="26">
        <f t="shared" si="54"/>
        <v>162036.82619748701</v>
      </c>
      <c r="AZ59" s="26"/>
      <c r="BA59" s="20">
        <f t="shared" si="56"/>
        <v>0.52561916905353934</v>
      </c>
      <c r="BB59" s="20">
        <f t="shared" si="57"/>
        <v>0.47438083094646066</v>
      </c>
      <c r="BC59" s="9">
        <v>5300</v>
      </c>
      <c r="BD59" s="30">
        <f t="shared" si="41"/>
        <v>131401.91288257594</v>
      </c>
      <c r="BE59" s="30">
        <f t="shared" si="41"/>
        <v>5461.0488546045126</v>
      </c>
      <c r="BF59" s="30">
        <f t="shared" si="41"/>
        <v>5442.2696195901917</v>
      </c>
      <c r="BG59" s="30">
        <f t="shared" si="41"/>
        <v>3935.9424457423447</v>
      </c>
      <c r="BH59" s="30">
        <f t="shared" si="41"/>
        <v>0</v>
      </c>
      <c r="BI59" s="31">
        <f t="shared" si="5"/>
        <v>146241.17380251299</v>
      </c>
      <c r="BK59" s="9" t="str">
        <f t="shared" si="6"/>
        <v>43001224</v>
      </c>
      <c r="BL59" s="26">
        <f t="shared" si="7"/>
        <v>308278</v>
      </c>
    </row>
    <row r="60" spans="1:64">
      <c r="A60" s="36" t="str">
        <f t="shared" si="0"/>
        <v>4300</v>
      </c>
      <c r="B60" s="36" t="str">
        <f t="shared" si="1"/>
        <v>1382</v>
      </c>
      <c r="C60" s="56" t="s">
        <v>145</v>
      </c>
      <c r="D60" s="38"/>
      <c r="E60" s="39"/>
      <c r="F60" s="43">
        <f>IFERROR(VLOOKUP(C60,'[4]Revenue Data - FY19 MAR-YTD '!$C$3:$Q$82,15,FALSE),0)</f>
        <v>0</v>
      </c>
      <c r="G60" s="43"/>
      <c r="H60" s="43">
        <f t="shared" si="8"/>
        <v>0</v>
      </c>
      <c r="I60" s="43"/>
      <c r="J60" s="43">
        <f t="shared" si="9"/>
        <v>0</v>
      </c>
      <c r="K60" s="41"/>
      <c r="L60" s="20">
        <v>1</v>
      </c>
      <c r="M60" s="43">
        <f t="shared" si="10"/>
        <v>0</v>
      </c>
      <c r="N60" s="41"/>
      <c r="O60" s="42">
        <v>0</v>
      </c>
      <c r="P60" s="43">
        <f t="shared" si="11"/>
        <v>0</v>
      </c>
      <c r="Q60" s="44"/>
      <c r="R60" s="45"/>
      <c r="S60" s="45"/>
      <c r="T60" s="45"/>
      <c r="U60" s="45"/>
      <c r="V60" s="45"/>
      <c r="W60" s="45"/>
      <c r="X60" s="45"/>
      <c r="Y60" s="46">
        <v>0</v>
      </c>
      <c r="Z60" s="46">
        <v>0</v>
      </c>
      <c r="AA60" s="46">
        <v>0</v>
      </c>
      <c r="AB60" s="46">
        <v>0</v>
      </c>
      <c r="AC60" s="46">
        <v>0</v>
      </c>
      <c r="AD60" s="42">
        <f t="shared" si="42"/>
        <v>0</v>
      </c>
      <c r="AE60" s="26">
        <f t="shared" si="2"/>
        <v>0</v>
      </c>
      <c r="AF60" s="47"/>
      <c r="AG60" s="47"/>
      <c r="AH60" s="47"/>
      <c r="AI60" s="47"/>
      <c r="AJ60" s="47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>
        <v>5300</v>
      </c>
      <c r="BD60" s="49">
        <f t="shared" si="41"/>
        <v>0</v>
      </c>
      <c r="BE60" s="49">
        <f t="shared" si="41"/>
        <v>0</v>
      </c>
      <c r="BF60" s="49">
        <f t="shared" si="41"/>
        <v>0</v>
      </c>
      <c r="BG60" s="49">
        <f t="shared" si="41"/>
        <v>0</v>
      </c>
      <c r="BH60" s="49">
        <f t="shared" si="41"/>
        <v>0</v>
      </c>
      <c r="BI60" s="50">
        <f t="shared" si="5"/>
        <v>0</v>
      </c>
      <c r="BJ60" s="39"/>
      <c r="BK60" s="39" t="str">
        <f t="shared" si="6"/>
        <v>43001382</v>
      </c>
      <c r="BL60" s="51">
        <f t="shared" si="7"/>
        <v>0</v>
      </c>
    </row>
    <row r="61" spans="1:64">
      <c r="A61" s="10" t="str">
        <f t="shared" si="0"/>
        <v>4400</v>
      </c>
      <c r="B61" s="10" t="str">
        <f t="shared" si="1"/>
        <v>1101</v>
      </c>
      <c r="C61" s="35" t="s">
        <v>146</v>
      </c>
      <c r="D61" s="16"/>
      <c r="F61" s="18">
        <f>IFERROR(VLOOKUP(C61,'[4]Revenue Data - FY19 MAR-YTD '!$C$3:$Q$82,15,FALSE),0)</f>
        <v>0</v>
      </c>
      <c r="G61" s="18"/>
      <c r="H61" s="18">
        <f t="shared" si="8"/>
        <v>0</v>
      </c>
      <c r="I61" s="18"/>
      <c r="J61" s="18">
        <f t="shared" si="9"/>
        <v>0</v>
      </c>
      <c r="K61" s="19"/>
      <c r="L61" s="20">
        <v>1</v>
      </c>
      <c r="M61" s="18">
        <f t="shared" si="10"/>
        <v>0</v>
      </c>
      <c r="N61" s="19"/>
      <c r="O61" s="21">
        <v>0</v>
      </c>
      <c r="P61" s="18">
        <f t="shared" si="11"/>
        <v>0</v>
      </c>
      <c r="Q61" s="22"/>
      <c r="R61" s="24"/>
      <c r="S61" s="24"/>
      <c r="T61" s="24"/>
      <c r="U61" s="24"/>
      <c r="V61" s="24"/>
      <c r="W61" s="24"/>
      <c r="X61" s="24"/>
      <c r="Y61" s="57">
        <v>0</v>
      </c>
      <c r="Z61" s="57">
        <v>0</v>
      </c>
      <c r="AA61" s="57">
        <v>0</v>
      </c>
      <c r="AB61" s="57">
        <v>0</v>
      </c>
      <c r="AC61" s="57">
        <v>0</v>
      </c>
      <c r="AD61" s="21">
        <f t="shared" si="42"/>
        <v>0</v>
      </c>
      <c r="AE61" s="26">
        <f t="shared" si="2"/>
        <v>0</v>
      </c>
      <c r="AF61" s="27"/>
      <c r="AG61" s="27"/>
      <c r="AH61" s="27"/>
      <c r="AI61" s="27"/>
      <c r="AJ61" s="27"/>
      <c r="BC61" s="9">
        <v>5400</v>
      </c>
      <c r="BD61" s="30">
        <f t="shared" si="41"/>
        <v>0</v>
      </c>
      <c r="BE61" s="30">
        <f t="shared" si="41"/>
        <v>0</v>
      </c>
      <c r="BF61" s="30">
        <f t="shared" si="41"/>
        <v>0</v>
      </c>
      <c r="BG61" s="30">
        <f t="shared" si="41"/>
        <v>0</v>
      </c>
      <c r="BH61" s="30">
        <f t="shared" si="41"/>
        <v>0</v>
      </c>
      <c r="BI61" s="31">
        <f t="shared" si="5"/>
        <v>0</v>
      </c>
      <c r="BK61" s="9" t="str">
        <f t="shared" si="6"/>
        <v>44001101</v>
      </c>
      <c r="BL61" s="26">
        <f t="shared" si="7"/>
        <v>0</v>
      </c>
    </row>
    <row r="62" spans="1:64">
      <c r="A62" s="10" t="str">
        <f t="shared" si="0"/>
        <v>4400</v>
      </c>
      <c r="B62" s="10" t="str">
        <f t="shared" si="1"/>
        <v>1106</v>
      </c>
      <c r="C62" s="35" t="s">
        <v>147</v>
      </c>
      <c r="D62" s="16"/>
      <c r="F62" s="18">
        <f>IFERROR(VLOOKUP(C62,'[4]Revenue Data - FY19 MAR-YTD '!$C$3:$Q$82,15,FALSE),0)</f>
        <v>0</v>
      </c>
      <c r="G62" s="18"/>
      <c r="H62" s="18">
        <f t="shared" si="8"/>
        <v>0</v>
      </c>
      <c r="I62" s="18"/>
      <c r="J62" s="18">
        <f t="shared" si="9"/>
        <v>0</v>
      </c>
      <c r="K62" s="19"/>
      <c r="L62" s="20">
        <v>1</v>
      </c>
      <c r="M62" s="18">
        <f t="shared" si="10"/>
        <v>0</v>
      </c>
      <c r="N62" s="19"/>
      <c r="O62" s="21">
        <v>0</v>
      </c>
      <c r="P62" s="18">
        <f t="shared" si="11"/>
        <v>0</v>
      </c>
      <c r="Q62" s="22"/>
      <c r="R62" s="24"/>
      <c r="S62" s="24"/>
      <c r="T62" s="24"/>
      <c r="U62" s="24"/>
      <c r="V62" s="24"/>
      <c r="W62" s="24"/>
      <c r="X62" s="24"/>
      <c r="Y62" s="57">
        <v>0</v>
      </c>
      <c r="Z62" s="57">
        <v>0</v>
      </c>
      <c r="AA62" s="57">
        <v>0</v>
      </c>
      <c r="AB62" s="57">
        <v>0</v>
      </c>
      <c r="AC62" s="57">
        <v>0</v>
      </c>
      <c r="AD62" s="21">
        <f t="shared" si="42"/>
        <v>0</v>
      </c>
      <c r="AE62" s="26">
        <f t="shared" si="2"/>
        <v>0</v>
      </c>
      <c r="AF62" s="27"/>
      <c r="AG62" s="27"/>
      <c r="AH62" s="27"/>
      <c r="AI62" s="27"/>
      <c r="AJ62" s="27"/>
      <c r="BC62" s="9">
        <v>5400</v>
      </c>
      <c r="BD62" s="30">
        <f t="shared" si="41"/>
        <v>0</v>
      </c>
      <c r="BE62" s="30">
        <f t="shared" si="41"/>
        <v>0</v>
      </c>
      <c r="BF62" s="30">
        <f t="shared" si="41"/>
        <v>0</v>
      </c>
      <c r="BG62" s="30">
        <f t="shared" si="41"/>
        <v>0</v>
      </c>
      <c r="BH62" s="30">
        <f t="shared" si="41"/>
        <v>0</v>
      </c>
      <c r="BI62" s="31">
        <f t="shared" si="5"/>
        <v>0</v>
      </c>
      <c r="BK62" s="9" t="str">
        <f t="shared" si="6"/>
        <v>44001106</v>
      </c>
      <c r="BL62" s="26">
        <f t="shared" si="7"/>
        <v>0</v>
      </c>
    </row>
    <row r="63" spans="1:64">
      <c r="A63" s="10" t="str">
        <f t="shared" si="0"/>
        <v>4400</v>
      </c>
      <c r="B63" s="10" t="str">
        <f t="shared" si="1"/>
        <v>1216</v>
      </c>
      <c r="C63" s="35" t="s">
        <v>148</v>
      </c>
      <c r="D63" s="16"/>
      <c r="E63" s="32"/>
      <c r="F63" s="18">
        <f>IFERROR(VLOOKUP(C63,'[4]Revenue Data - FY19 MAR-YTD '!$C$3:$Q$82,15,FALSE),0)</f>
        <v>0</v>
      </c>
      <c r="G63" s="18"/>
      <c r="H63" s="18">
        <f t="shared" si="8"/>
        <v>0</v>
      </c>
      <c r="I63" s="18"/>
      <c r="J63" s="18">
        <f t="shared" si="9"/>
        <v>0</v>
      </c>
      <c r="K63" s="19"/>
      <c r="L63" s="20">
        <v>1</v>
      </c>
      <c r="M63" s="18">
        <f t="shared" si="10"/>
        <v>0</v>
      </c>
      <c r="N63" s="19"/>
      <c r="O63" s="21">
        <v>0</v>
      </c>
      <c r="P63" s="18">
        <f t="shared" si="11"/>
        <v>0</v>
      </c>
      <c r="Q63" s="22"/>
      <c r="R63" s="24"/>
      <c r="S63" s="24"/>
      <c r="T63" s="24"/>
      <c r="U63" s="24"/>
      <c r="V63" s="24"/>
      <c r="W63" s="24"/>
      <c r="X63" s="24"/>
      <c r="Y63" s="57">
        <v>0</v>
      </c>
      <c r="Z63" s="57">
        <v>0</v>
      </c>
      <c r="AA63" s="57">
        <v>0</v>
      </c>
      <c r="AB63" s="57">
        <v>0</v>
      </c>
      <c r="AC63" s="57">
        <v>0</v>
      </c>
      <c r="AD63" s="21">
        <f t="shared" si="42"/>
        <v>0</v>
      </c>
      <c r="AE63" s="26">
        <f t="shared" si="2"/>
        <v>0</v>
      </c>
      <c r="AF63" s="27"/>
      <c r="AG63" s="27"/>
      <c r="AH63" s="27"/>
      <c r="AI63" s="27"/>
      <c r="AJ63" s="27"/>
      <c r="BC63" s="9">
        <v>5400</v>
      </c>
      <c r="BD63" s="30">
        <f t="shared" si="41"/>
        <v>0</v>
      </c>
      <c r="BE63" s="30">
        <f t="shared" si="41"/>
        <v>0</v>
      </c>
      <c r="BF63" s="30">
        <f t="shared" si="41"/>
        <v>0</v>
      </c>
      <c r="BG63" s="30">
        <f t="shared" si="41"/>
        <v>0</v>
      </c>
      <c r="BH63" s="30">
        <f t="shared" si="41"/>
        <v>0</v>
      </c>
      <c r="BI63" s="31">
        <f t="shared" si="5"/>
        <v>0</v>
      </c>
      <c r="BK63" s="9" t="str">
        <f t="shared" si="6"/>
        <v>44001216</v>
      </c>
      <c r="BL63" s="26">
        <f t="shared" si="7"/>
        <v>0</v>
      </c>
    </row>
    <row r="64" spans="1:64">
      <c r="A64" s="10" t="str">
        <f t="shared" si="0"/>
        <v>4400</v>
      </c>
      <c r="B64" s="10" t="str">
        <f t="shared" si="1"/>
        <v>1217</v>
      </c>
      <c r="C64" s="35" t="s">
        <v>149</v>
      </c>
      <c r="D64" s="16"/>
      <c r="E64" s="32"/>
      <c r="F64" s="18">
        <f>IFERROR(VLOOKUP(C64,'[4]Revenue Data - FY19 MAR-YTD '!$C$3:$Q$82,15,FALSE),0)</f>
        <v>0</v>
      </c>
      <c r="G64" s="18"/>
      <c r="H64" s="18">
        <f t="shared" si="8"/>
        <v>0</v>
      </c>
      <c r="I64" s="18"/>
      <c r="J64" s="18">
        <f t="shared" si="9"/>
        <v>0</v>
      </c>
      <c r="K64" s="19"/>
      <c r="L64" s="20">
        <v>1</v>
      </c>
      <c r="M64" s="18">
        <f t="shared" si="10"/>
        <v>0</v>
      </c>
      <c r="N64" s="19"/>
      <c r="O64" s="21">
        <v>0</v>
      </c>
      <c r="P64" s="18">
        <f t="shared" si="11"/>
        <v>0</v>
      </c>
      <c r="Q64" s="22"/>
      <c r="R64" s="24"/>
      <c r="S64" s="24"/>
      <c r="T64" s="24"/>
      <c r="U64" s="24"/>
      <c r="V64" s="24"/>
      <c r="W64" s="24"/>
      <c r="X64" s="24"/>
      <c r="Y64" s="57">
        <v>0</v>
      </c>
      <c r="Z64" s="57">
        <v>0</v>
      </c>
      <c r="AA64" s="57">
        <v>0</v>
      </c>
      <c r="AB64" s="57">
        <v>0</v>
      </c>
      <c r="AC64" s="57">
        <v>0</v>
      </c>
      <c r="AD64" s="21">
        <f t="shared" si="42"/>
        <v>0</v>
      </c>
      <c r="AE64" s="26">
        <f t="shared" si="2"/>
        <v>0</v>
      </c>
      <c r="AF64" s="27"/>
      <c r="AG64" s="27"/>
      <c r="AH64" s="27"/>
      <c r="AI64" s="27"/>
      <c r="AJ64" s="27"/>
      <c r="BC64" s="9">
        <v>5400</v>
      </c>
      <c r="BD64" s="30">
        <f t="shared" si="41"/>
        <v>0</v>
      </c>
      <c r="BE64" s="30">
        <f t="shared" si="41"/>
        <v>0</v>
      </c>
      <c r="BF64" s="30">
        <f t="shared" si="41"/>
        <v>0</v>
      </c>
      <c r="BG64" s="30">
        <f t="shared" si="41"/>
        <v>0</v>
      </c>
      <c r="BH64" s="30">
        <f t="shared" si="41"/>
        <v>0</v>
      </c>
      <c r="BI64" s="31">
        <f t="shared" si="5"/>
        <v>0</v>
      </c>
      <c r="BK64" s="9" t="str">
        <f t="shared" si="6"/>
        <v>44001217</v>
      </c>
      <c r="BL64" s="26">
        <f t="shared" si="7"/>
        <v>0</v>
      </c>
    </row>
    <row r="65" spans="1:64">
      <c r="A65" s="10" t="str">
        <f t="shared" si="0"/>
        <v>4400</v>
      </c>
      <c r="B65" s="10" t="str">
        <f t="shared" si="1"/>
        <v>1219</v>
      </c>
      <c r="C65" s="35" t="s">
        <v>150</v>
      </c>
      <c r="D65" s="16"/>
      <c r="E65" s="32"/>
      <c r="F65" s="18">
        <f>IFERROR(VLOOKUP(C65,'[4]Revenue Data - FY19 MAR-YTD '!$C$3:$Q$82,15,FALSE),0)</f>
        <v>0</v>
      </c>
      <c r="G65" s="18"/>
      <c r="H65" s="18">
        <f t="shared" si="8"/>
        <v>0</v>
      </c>
      <c r="I65" s="18"/>
      <c r="J65" s="18">
        <f t="shared" si="9"/>
        <v>0</v>
      </c>
      <c r="K65" s="19"/>
      <c r="L65" s="20">
        <v>1</v>
      </c>
      <c r="M65" s="18">
        <f t="shared" si="10"/>
        <v>0</v>
      </c>
      <c r="N65" s="19"/>
      <c r="O65" s="21">
        <v>0</v>
      </c>
      <c r="P65" s="18">
        <f t="shared" si="11"/>
        <v>0</v>
      </c>
      <c r="Q65" s="22"/>
      <c r="R65" s="24"/>
      <c r="S65" s="20"/>
      <c r="T65" s="24"/>
      <c r="U65" s="24"/>
      <c r="V65" s="24"/>
      <c r="W65" s="24"/>
      <c r="X65" s="24"/>
      <c r="Y65" s="57">
        <v>0</v>
      </c>
      <c r="Z65" s="57">
        <v>0</v>
      </c>
      <c r="AA65" s="57">
        <v>0</v>
      </c>
      <c r="AB65" s="57">
        <v>0</v>
      </c>
      <c r="AC65" s="57">
        <v>0</v>
      </c>
      <c r="AD65" s="21">
        <f t="shared" si="42"/>
        <v>0</v>
      </c>
      <c r="AE65" s="26">
        <f t="shared" si="2"/>
        <v>0</v>
      </c>
      <c r="AF65" s="27"/>
      <c r="AG65" s="27"/>
      <c r="AH65" s="27"/>
      <c r="AI65" s="27"/>
      <c r="AJ65" s="27"/>
      <c r="BC65" s="9">
        <v>5400</v>
      </c>
      <c r="BD65" s="30">
        <f t="shared" si="41"/>
        <v>0</v>
      </c>
      <c r="BE65" s="30">
        <f t="shared" si="41"/>
        <v>0</v>
      </c>
      <c r="BF65" s="30">
        <f t="shared" si="41"/>
        <v>0</v>
      </c>
      <c r="BG65" s="30">
        <f t="shared" si="41"/>
        <v>0</v>
      </c>
      <c r="BH65" s="30">
        <f t="shared" si="41"/>
        <v>0</v>
      </c>
      <c r="BI65" s="31">
        <f t="shared" si="5"/>
        <v>0</v>
      </c>
      <c r="BK65" s="9" t="str">
        <f t="shared" si="6"/>
        <v>44001219</v>
      </c>
      <c r="BL65" s="26">
        <f t="shared" si="7"/>
        <v>0</v>
      </c>
    </row>
    <row r="66" spans="1:64">
      <c r="A66" s="10" t="str">
        <f t="shared" si="0"/>
        <v>4400</v>
      </c>
      <c r="B66" s="10" t="str">
        <f t="shared" si="1"/>
        <v>1220</v>
      </c>
      <c r="C66" s="35" t="s">
        <v>151</v>
      </c>
      <c r="D66" s="16"/>
      <c r="E66" s="32"/>
      <c r="F66" s="18">
        <f>IFERROR(VLOOKUP(C66,'[4]Revenue Data - FY19 MAR-YTD '!$C$3:$Q$82,15,FALSE),0)</f>
        <v>0</v>
      </c>
      <c r="G66" s="18"/>
      <c r="H66" s="18">
        <f t="shared" si="8"/>
        <v>0</v>
      </c>
      <c r="I66" s="18"/>
      <c r="J66" s="18">
        <f t="shared" si="9"/>
        <v>0</v>
      </c>
      <c r="K66" s="19"/>
      <c r="L66" s="20">
        <v>1</v>
      </c>
      <c r="M66" s="18">
        <f t="shared" si="10"/>
        <v>0</v>
      </c>
      <c r="N66" s="19"/>
      <c r="O66" s="21">
        <v>0</v>
      </c>
      <c r="P66" s="18">
        <f t="shared" si="11"/>
        <v>0</v>
      </c>
      <c r="Q66" s="22"/>
      <c r="R66" s="24"/>
      <c r="S66" s="58"/>
      <c r="T66" s="24"/>
      <c r="U66" s="24"/>
      <c r="V66" s="24"/>
      <c r="W66" s="24"/>
      <c r="X66" s="24"/>
      <c r="Y66" s="57">
        <v>0</v>
      </c>
      <c r="Z66" s="57">
        <v>0</v>
      </c>
      <c r="AA66" s="57">
        <v>0</v>
      </c>
      <c r="AB66" s="57">
        <v>0</v>
      </c>
      <c r="AC66" s="57">
        <v>0</v>
      </c>
      <c r="AD66" s="21">
        <f t="shared" si="42"/>
        <v>0</v>
      </c>
      <c r="AE66" s="26">
        <f t="shared" si="2"/>
        <v>0</v>
      </c>
      <c r="AF66" s="27"/>
      <c r="AG66" s="27"/>
      <c r="AH66" s="27"/>
      <c r="AI66" s="27"/>
      <c r="AJ66" s="27"/>
      <c r="BC66" s="9">
        <v>5400</v>
      </c>
      <c r="BD66" s="30">
        <f t="shared" si="41"/>
        <v>0</v>
      </c>
      <c r="BE66" s="30">
        <f t="shared" si="41"/>
        <v>0</v>
      </c>
      <c r="BF66" s="30">
        <f t="shared" si="41"/>
        <v>0</v>
      </c>
      <c r="BG66" s="30">
        <f t="shared" si="41"/>
        <v>0</v>
      </c>
      <c r="BH66" s="30">
        <f t="shared" si="41"/>
        <v>0</v>
      </c>
      <c r="BI66" s="31">
        <f t="shared" si="5"/>
        <v>0</v>
      </c>
      <c r="BK66" s="9" t="str">
        <f t="shared" si="6"/>
        <v>44001220</v>
      </c>
      <c r="BL66" s="26">
        <f t="shared" si="7"/>
        <v>0</v>
      </c>
    </row>
    <row r="67" spans="1:64">
      <c r="A67" s="10" t="str">
        <f t="shared" si="0"/>
        <v>4400</v>
      </c>
      <c r="B67" s="10" t="str">
        <f t="shared" si="1"/>
        <v>1222</v>
      </c>
      <c r="C67" s="35" t="s">
        <v>152</v>
      </c>
      <c r="D67" s="16"/>
      <c r="E67" s="32"/>
      <c r="F67" s="18">
        <f>IFERROR(VLOOKUP(C67,'[4]Revenue Data - FY19 MAR-YTD '!$C$3:$Q$82,15,FALSE),0)</f>
        <v>0</v>
      </c>
      <c r="G67" s="18"/>
      <c r="H67" s="18">
        <f t="shared" si="8"/>
        <v>0</v>
      </c>
      <c r="I67" s="18"/>
      <c r="J67" s="18">
        <f t="shared" si="9"/>
        <v>0</v>
      </c>
      <c r="K67" s="19"/>
      <c r="L67" s="20">
        <v>1</v>
      </c>
      <c r="M67" s="18">
        <f t="shared" si="10"/>
        <v>0</v>
      </c>
      <c r="N67" s="19"/>
      <c r="O67" s="21">
        <v>0</v>
      </c>
      <c r="P67" s="18">
        <f t="shared" si="11"/>
        <v>0</v>
      </c>
      <c r="Q67" s="22"/>
      <c r="R67" s="24"/>
      <c r="S67" s="58"/>
      <c r="T67" s="24"/>
      <c r="U67" s="24"/>
      <c r="V67" s="24"/>
      <c r="W67" s="24"/>
      <c r="X67" s="24"/>
      <c r="Y67" s="57">
        <v>0</v>
      </c>
      <c r="Z67" s="57">
        <v>0</v>
      </c>
      <c r="AA67" s="57">
        <v>0</v>
      </c>
      <c r="AB67" s="57">
        <v>0</v>
      </c>
      <c r="AC67" s="57">
        <v>0</v>
      </c>
      <c r="AD67" s="21">
        <f t="shared" si="42"/>
        <v>0</v>
      </c>
      <c r="AE67" s="26">
        <f t="shared" si="2"/>
        <v>0</v>
      </c>
      <c r="AF67" s="27"/>
      <c r="AG67" s="27"/>
      <c r="AH67" s="27"/>
      <c r="AI67" s="27"/>
      <c r="AJ67" s="27"/>
      <c r="BC67" s="9">
        <v>5400</v>
      </c>
      <c r="BD67" s="30">
        <f t="shared" si="41"/>
        <v>0</v>
      </c>
      <c r="BE67" s="30">
        <f t="shared" si="41"/>
        <v>0</v>
      </c>
      <c r="BF67" s="30">
        <f t="shared" si="41"/>
        <v>0</v>
      </c>
      <c r="BG67" s="30">
        <f t="shared" si="41"/>
        <v>0</v>
      </c>
      <c r="BH67" s="30">
        <f t="shared" si="41"/>
        <v>0</v>
      </c>
      <c r="BI67" s="31">
        <f t="shared" si="5"/>
        <v>0</v>
      </c>
      <c r="BK67" s="9" t="str">
        <f t="shared" si="6"/>
        <v>44001222</v>
      </c>
      <c r="BL67" s="26">
        <f t="shared" si="7"/>
        <v>0</v>
      </c>
    </row>
    <row r="68" spans="1:64">
      <c r="A68" s="10" t="str">
        <f t="shared" si="0"/>
        <v>4400</v>
      </c>
      <c r="B68" s="10" t="str">
        <f t="shared" si="1"/>
        <v>1223</v>
      </c>
      <c r="C68" s="35" t="s">
        <v>153</v>
      </c>
      <c r="D68" s="16"/>
      <c r="E68" s="32"/>
      <c r="F68" s="18">
        <f>IFERROR(VLOOKUP(C68,'[4]Revenue Data - FY19 MAR-YTD '!$C$3:$Q$82,15,FALSE),0)</f>
        <v>0</v>
      </c>
      <c r="G68" s="18"/>
      <c r="H68" s="18">
        <f t="shared" si="8"/>
        <v>0</v>
      </c>
      <c r="I68" s="18"/>
      <c r="J68" s="18">
        <f t="shared" si="9"/>
        <v>0</v>
      </c>
      <c r="K68" s="19"/>
      <c r="L68" s="20">
        <v>1</v>
      </c>
      <c r="M68" s="18">
        <f t="shared" si="10"/>
        <v>0</v>
      </c>
      <c r="N68" s="19"/>
      <c r="O68" s="21">
        <v>0</v>
      </c>
      <c r="P68" s="18">
        <f t="shared" si="11"/>
        <v>0</v>
      </c>
      <c r="Q68" s="22"/>
      <c r="R68" s="24"/>
      <c r="S68" s="24"/>
      <c r="T68" s="24"/>
      <c r="U68" s="24"/>
      <c r="V68" s="24"/>
      <c r="W68" s="24"/>
      <c r="X68" s="24"/>
      <c r="Y68" s="57">
        <v>0</v>
      </c>
      <c r="Z68" s="57">
        <v>0</v>
      </c>
      <c r="AA68" s="57">
        <v>0</v>
      </c>
      <c r="AB68" s="57">
        <v>0</v>
      </c>
      <c r="AC68" s="57">
        <v>0</v>
      </c>
      <c r="AD68" s="21">
        <f t="shared" si="42"/>
        <v>0</v>
      </c>
      <c r="AE68" s="26">
        <f t="shared" si="2"/>
        <v>0</v>
      </c>
      <c r="AF68" s="27"/>
      <c r="AG68" s="27"/>
      <c r="AH68" s="27"/>
      <c r="AI68" s="27"/>
      <c r="AJ68" s="27"/>
      <c r="BC68" s="9">
        <v>5400</v>
      </c>
      <c r="BD68" s="30">
        <f t="shared" si="41"/>
        <v>0</v>
      </c>
      <c r="BE68" s="30">
        <f t="shared" si="41"/>
        <v>0</v>
      </c>
      <c r="BF68" s="30">
        <f t="shared" si="41"/>
        <v>0</v>
      </c>
      <c r="BG68" s="30">
        <f t="shared" si="41"/>
        <v>0</v>
      </c>
      <c r="BH68" s="30">
        <f t="shared" si="41"/>
        <v>0</v>
      </c>
      <c r="BI68" s="31">
        <f t="shared" si="5"/>
        <v>0</v>
      </c>
      <c r="BK68" s="9" t="str">
        <f t="shared" si="6"/>
        <v>44001223</v>
      </c>
      <c r="BL68" s="26">
        <f t="shared" si="7"/>
        <v>0</v>
      </c>
    </row>
    <row r="69" spans="1:64">
      <c r="A69" s="36" t="str">
        <f t="shared" si="0"/>
        <v>4400</v>
      </c>
      <c r="B69" s="36" t="str">
        <f t="shared" si="1"/>
        <v>1224</v>
      </c>
      <c r="C69" s="56" t="s">
        <v>154</v>
      </c>
      <c r="D69" s="38"/>
      <c r="E69" s="59"/>
      <c r="F69" s="43">
        <f>IFERROR(VLOOKUP(C69,'[4]Revenue Data - FY19 MAR-YTD '!$C$3:$Q$82,15,FALSE),0)</f>
        <v>0</v>
      </c>
      <c r="G69" s="43"/>
      <c r="H69" s="43">
        <f t="shared" si="8"/>
        <v>0</v>
      </c>
      <c r="I69" s="43"/>
      <c r="J69" s="43">
        <f t="shared" si="9"/>
        <v>0</v>
      </c>
      <c r="K69" s="41"/>
      <c r="L69" s="20">
        <v>1</v>
      </c>
      <c r="M69" s="43">
        <f t="shared" si="10"/>
        <v>0</v>
      </c>
      <c r="N69" s="41"/>
      <c r="O69" s="42">
        <v>0</v>
      </c>
      <c r="P69" s="43">
        <f t="shared" si="11"/>
        <v>0</v>
      </c>
      <c r="Q69" s="44"/>
      <c r="R69" s="45"/>
      <c r="S69" s="45"/>
      <c r="T69" s="45"/>
      <c r="U69" s="45"/>
      <c r="V69" s="45"/>
      <c r="W69" s="45"/>
      <c r="X69" s="45"/>
      <c r="Y69" s="60">
        <v>0</v>
      </c>
      <c r="Z69" s="60">
        <v>0</v>
      </c>
      <c r="AA69" s="60">
        <v>0</v>
      </c>
      <c r="AB69" s="60">
        <v>0</v>
      </c>
      <c r="AC69" s="60">
        <v>0</v>
      </c>
      <c r="AD69" s="42">
        <f t="shared" si="42"/>
        <v>0</v>
      </c>
      <c r="AE69" s="26">
        <f t="shared" si="2"/>
        <v>0</v>
      </c>
      <c r="AF69" s="47"/>
      <c r="AG69" s="47"/>
      <c r="AH69" s="47"/>
      <c r="AI69" s="47"/>
      <c r="AJ69" s="47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>
        <v>5400</v>
      </c>
      <c r="BD69" s="49">
        <f t="shared" si="41"/>
        <v>0</v>
      </c>
      <c r="BE69" s="49">
        <f t="shared" si="41"/>
        <v>0</v>
      </c>
      <c r="BF69" s="49">
        <f t="shared" si="41"/>
        <v>0</v>
      </c>
      <c r="BG69" s="49">
        <f t="shared" si="41"/>
        <v>0</v>
      </c>
      <c r="BH69" s="49">
        <f t="shared" si="41"/>
        <v>0</v>
      </c>
      <c r="BI69" s="50">
        <f t="shared" si="5"/>
        <v>0</v>
      </c>
      <c r="BJ69" s="39"/>
      <c r="BK69" s="39" t="str">
        <f t="shared" si="6"/>
        <v>44001224</v>
      </c>
      <c r="BL69" s="51">
        <f t="shared" si="7"/>
        <v>0</v>
      </c>
    </row>
    <row r="70" spans="1:64">
      <c r="A70" s="10" t="str">
        <f t="shared" si="0"/>
        <v>4500</v>
      </c>
      <c r="B70" s="10" t="str">
        <f t="shared" si="1"/>
        <v>1101</v>
      </c>
      <c r="C70" s="35" t="s">
        <v>155</v>
      </c>
      <c r="D70" s="16">
        <v>800003</v>
      </c>
      <c r="E70" s="32" t="s">
        <v>156</v>
      </c>
      <c r="F70" s="18">
        <f>IFERROR(VLOOKUP(C70,'[4]Revenue Data - FY19 MAR-YTD '!$C$3:$Q$82,15,FALSE),0)</f>
        <v>-2284633</v>
      </c>
      <c r="G70" s="18"/>
      <c r="H70" s="18">
        <f t="shared" si="8"/>
        <v>-2284633</v>
      </c>
      <c r="I70" s="18">
        <f>'[4]Statistics Projections'!J5</f>
        <v>2978</v>
      </c>
      <c r="J70" s="18">
        <f t="shared" si="9"/>
        <v>-767.17024848891879</v>
      </c>
      <c r="K70" s="19"/>
      <c r="L70" s="20">
        <v>1</v>
      </c>
      <c r="M70" s="18">
        <f>ROUND(J70*L70,2)</f>
        <v>-767.17</v>
      </c>
      <c r="N70" s="19"/>
      <c r="O70" s="21">
        <f>'[4]Statistics Projections'!L5</f>
        <v>5850</v>
      </c>
      <c r="P70" s="18">
        <f t="shared" si="11"/>
        <v>4487944.5</v>
      </c>
      <c r="Q70" s="22"/>
      <c r="R70" s="24">
        <f>VLOOKUP($C70,'[4]Revenue Data - FY19 MAR-YTD '!$C$3:$V$82,20,FALSE)</f>
        <v>0.85793079238547287</v>
      </c>
      <c r="S70" s="24">
        <f>VLOOKUP($C70,'[4]Revenue Data - FY19 MAR-YTD '!$C$3:$V$82,19,FALSE)</f>
        <v>3.8255597288492288E-2</v>
      </c>
      <c r="T70" s="24">
        <f>VLOOKUP($C70,'[4]Revenue Data - FY19 MAR-YTD '!$C$3:$V$82,17,FALSE)</f>
        <v>4.6860042728963471E-2</v>
      </c>
      <c r="U70" s="24">
        <f>VLOOKUP($C70,'[4]Revenue Data - FY19 MAR-YTD '!$C$3:$V$82,18,FALSE)</f>
        <v>5.6953567597071389E-2</v>
      </c>
      <c r="V70" s="23">
        <f>VLOOKUP($C70,'[4]Revenue Data - FY19 MAR-YTD '!$C$3:$W$82,21,FALSE)</f>
        <v>0</v>
      </c>
      <c r="W70" s="24">
        <f>SUM(R70:V70)</f>
        <v>1</v>
      </c>
      <c r="X70" s="24"/>
      <c r="Y70" s="25">
        <f t="shared" ref="Y70" si="58">P70*R70</f>
        <v>3850345.7810670249</v>
      </c>
      <c r="Z70" s="25">
        <f t="shared" ref="Z70" si="59">P70*S70</f>
        <v>171688.99744510389</v>
      </c>
      <c r="AA70" s="25">
        <f t="shared" ref="AA70" si="60">P70*T70</f>
        <v>210305.2710352166</v>
      </c>
      <c r="AB70" s="25">
        <f t="shared" ref="AB70" si="61">P70*U70</f>
        <v>255604.45045265477</v>
      </c>
      <c r="AC70" s="25">
        <f t="shared" ref="AC70" si="62">P70*V70</f>
        <v>0</v>
      </c>
      <c r="AD70" s="21">
        <f t="shared" si="42"/>
        <v>4487944.5</v>
      </c>
      <c r="AE70" s="26">
        <f t="shared" si="2"/>
        <v>0</v>
      </c>
      <c r="AF70" s="27"/>
      <c r="AG70" s="27"/>
      <c r="AH70" s="27"/>
      <c r="AI70" s="27"/>
      <c r="AJ70" s="27"/>
      <c r="AT70" s="18">
        <f>Y70*AF70</f>
        <v>0</v>
      </c>
      <c r="AU70" s="18">
        <f>Z70*AG70</f>
        <v>0</v>
      </c>
      <c r="AV70" s="18">
        <f>AA70*AH70</f>
        <v>0</v>
      </c>
      <c r="AW70" s="18">
        <f>AB70*AI70</f>
        <v>0</v>
      </c>
      <c r="AX70" s="18">
        <f>AC70*AJ70</f>
        <v>0</v>
      </c>
      <c r="AY70" s="26">
        <f>SUM(AT70:AX70)</f>
        <v>0</v>
      </c>
      <c r="AZ70" s="26"/>
      <c r="BA70" s="20">
        <f>AY70/AD70</f>
        <v>0</v>
      </c>
      <c r="BB70" s="20">
        <f>1-BA70</f>
        <v>1</v>
      </c>
      <c r="BC70" s="9">
        <v>5500</v>
      </c>
      <c r="BD70" s="61">
        <f t="shared" si="41"/>
        <v>3850345.7810670249</v>
      </c>
      <c r="BE70" s="30">
        <f t="shared" si="41"/>
        <v>171688.99744510389</v>
      </c>
      <c r="BF70" s="30">
        <f t="shared" si="41"/>
        <v>210305.2710352166</v>
      </c>
      <c r="BG70" s="30">
        <f t="shared" si="41"/>
        <v>255604.45045265477</v>
      </c>
      <c r="BH70" s="30">
        <f t="shared" si="41"/>
        <v>0</v>
      </c>
      <c r="BI70" s="31">
        <f t="shared" si="5"/>
        <v>4487944.5</v>
      </c>
      <c r="BK70" s="9" t="str">
        <f t="shared" si="6"/>
        <v>45001101</v>
      </c>
      <c r="BL70" s="26">
        <f t="shared" si="7"/>
        <v>4487944.5</v>
      </c>
    </row>
    <row r="71" spans="1:64">
      <c r="A71" s="10" t="str">
        <f t="shared" ref="A71:A119" si="63">LEFT(C71,4)</f>
        <v>4500</v>
      </c>
      <c r="B71" s="10" t="str">
        <f t="shared" ref="B71:B119" si="64">RIGHT(C71,4)</f>
        <v>1104</v>
      </c>
      <c r="C71" s="35" t="s">
        <v>157</v>
      </c>
      <c r="D71" s="16"/>
      <c r="F71" s="18">
        <f>IFERROR(VLOOKUP(C71,'[4]Revenue Data - FY19 MAR-YTD '!$C$3:$Q$82,15,FALSE),0)</f>
        <v>0</v>
      </c>
      <c r="G71" s="18"/>
      <c r="H71" s="18">
        <f t="shared" si="8"/>
        <v>0</v>
      </c>
      <c r="I71" s="18"/>
      <c r="J71" s="18">
        <f t="shared" si="9"/>
        <v>0</v>
      </c>
      <c r="K71" s="19"/>
      <c r="L71" s="20">
        <v>1</v>
      </c>
      <c r="M71" s="18">
        <f t="shared" si="10"/>
        <v>0</v>
      </c>
      <c r="N71" s="19"/>
      <c r="O71" s="21">
        <v>0</v>
      </c>
      <c r="P71" s="18">
        <f t="shared" si="11"/>
        <v>0</v>
      </c>
      <c r="Q71" s="22"/>
      <c r="R71" s="24"/>
      <c r="S71" s="24"/>
      <c r="T71" s="24"/>
      <c r="U71" s="24"/>
      <c r="V71" s="24"/>
      <c r="W71" s="24"/>
      <c r="X71" s="24"/>
      <c r="Y71" s="25">
        <f t="shared" ref="Y71:AC85" si="65">L71*R71</f>
        <v>0</v>
      </c>
      <c r="Z71" s="25">
        <f t="shared" si="65"/>
        <v>0</v>
      </c>
      <c r="AA71" s="25">
        <f t="shared" si="65"/>
        <v>0</v>
      </c>
      <c r="AB71" s="25">
        <f t="shared" si="65"/>
        <v>0</v>
      </c>
      <c r="AC71" s="25">
        <f t="shared" si="65"/>
        <v>0</v>
      </c>
      <c r="AD71" s="21">
        <f t="shared" si="42"/>
        <v>0</v>
      </c>
      <c r="AE71" s="26">
        <f t="shared" ref="AE71:AE114" si="66">P71-AD71</f>
        <v>0</v>
      </c>
      <c r="AF71" s="27"/>
      <c r="AG71" s="27"/>
      <c r="AH71" s="27"/>
      <c r="AI71" s="27"/>
      <c r="AJ71" s="27"/>
      <c r="BC71" s="9">
        <v>5500</v>
      </c>
      <c r="BD71" s="62">
        <f t="shared" ref="BD71:BH102" si="67">Y71-AT71</f>
        <v>0</v>
      </c>
      <c r="BE71" s="30">
        <f t="shared" si="67"/>
        <v>0</v>
      </c>
      <c r="BF71" s="30">
        <f t="shared" si="67"/>
        <v>0</v>
      </c>
      <c r="BG71" s="30">
        <f t="shared" si="67"/>
        <v>0</v>
      </c>
      <c r="BH71" s="30">
        <f t="shared" si="67"/>
        <v>0</v>
      </c>
      <c r="BI71" s="31">
        <f t="shared" ref="BI71:BI119" si="68">SUM(BD71:BH71)</f>
        <v>0</v>
      </c>
      <c r="BK71" s="9" t="str">
        <f t="shared" ref="BK71:BK119" si="69">CONCATENATE(A71,B71)</f>
        <v>45001104</v>
      </c>
      <c r="BL71" s="26">
        <f t="shared" ref="BL71:BL119" si="70">P71</f>
        <v>0</v>
      </c>
    </row>
    <row r="72" spans="1:64">
      <c r="A72" s="10" t="str">
        <f t="shared" si="63"/>
        <v>4500</v>
      </c>
      <c r="B72" s="10" t="str">
        <f t="shared" si="64"/>
        <v>1106</v>
      </c>
      <c r="C72" s="35" t="s">
        <v>158</v>
      </c>
      <c r="D72" s="16"/>
      <c r="F72" s="18">
        <f>IFERROR(VLOOKUP(C72,'[4]Revenue Data - FY19 MAR-YTD '!$C$3:$Q$82,15,FALSE),0)</f>
        <v>0</v>
      </c>
      <c r="G72" s="18"/>
      <c r="H72" s="18">
        <f t="shared" ref="H72:H119" si="71">SUM(F72:G72)</f>
        <v>0</v>
      </c>
      <c r="I72" s="18"/>
      <c r="J72" s="18">
        <f t="shared" ref="J72:J119" si="72">IF(ISERROR(H72/I72),0,H72/I72)</f>
        <v>0</v>
      </c>
      <c r="K72" s="19"/>
      <c r="L72" s="20">
        <v>1</v>
      </c>
      <c r="M72" s="18">
        <f t="shared" ref="M72:M99" si="73">J72*L72</f>
        <v>0</v>
      </c>
      <c r="N72" s="19"/>
      <c r="O72" s="21">
        <v>0</v>
      </c>
      <c r="P72" s="18">
        <f t="shared" ref="P72:P119" si="74">O72*M72*-1</f>
        <v>0</v>
      </c>
      <c r="Q72" s="22"/>
      <c r="R72" s="24"/>
      <c r="S72" s="24"/>
      <c r="T72" s="24"/>
      <c r="U72" s="24"/>
      <c r="V72" s="24"/>
      <c r="W72" s="24"/>
      <c r="X72" s="24"/>
      <c r="Y72" s="25">
        <f t="shared" si="65"/>
        <v>0</v>
      </c>
      <c r="Z72" s="25">
        <f t="shared" si="65"/>
        <v>0</v>
      </c>
      <c r="AA72" s="25">
        <f t="shared" si="65"/>
        <v>0</v>
      </c>
      <c r="AB72" s="25">
        <f t="shared" si="65"/>
        <v>0</v>
      </c>
      <c r="AC72" s="25">
        <f t="shared" si="65"/>
        <v>0</v>
      </c>
      <c r="AD72" s="21">
        <f t="shared" si="42"/>
        <v>0</v>
      </c>
      <c r="AE72" s="26">
        <f t="shared" si="66"/>
        <v>0</v>
      </c>
      <c r="AF72" s="27"/>
      <c r="AG72" s="27"/>
      <c r="AH72" s="27"/>
      <c r="AI72" s="27"/>
      <c r="AJ72" s="27"/>
      <c r="BC72" s="9">
        <v>5500</v>
      </c>
      <c r="BD72" s="30">
        <f t="shared" si="67"/>
        <v>0</v>
      </c>
      <c r="BE72" s="30">
        <f t="shared" si="67"/>
        <v>0</v>
      </c>
      <c r="BF72" s="30">
        <f t="shared" si="67"/>
        <v>0</v>
      </c>
      <c r="BG72" s="30">
        <f t="shared" si="67"/>
        <v>0</v>
      </c>
      <c r="BH72" s="30">
        <f t="shared" si="67"/>
        <v>0</v>
      </c>
      <c r="BI72" s="31">
        <f t="shared" si="68"/>
        <v>0</v>
      </c>
      <c r="BK72" s="9" t="str">
        <f t="shared" si="69"/>
        <v>45001106</v>
      </c>
      <c r="BL72" s="26">
        <f t="shared" si="70"/>
        <v>0</v>
      </c>
    </row>
    <row r="73" spans="1:64">
      <c r="A73" s="10" t="str">
        <f t="shared" si="63"/>
        <v>4500</v>
      </c>
      <c r="B73" s="10" t="str">
        <f t="shared" si="64"/>
        <v>1172</v>
      </c>
      <c r="C73" s="35" t="s">
        <v>159</v>
      </c>
      <c r="D73" s="16"/>
      <c r="F73" s="18">
        <f>IFERROR(VLOOKUP(C73,'[4]Revenue Data - FY19 MAR-YTD '!$C$3:$Q$82,15,FALSE),0)</f>
        <v>0</v>
      </c>
      <c r="G73" s="18"/>
      <c r="H73" s="18">
        <f t="shared" si="71"/>
        <v>0</v>
      </c>
      <c r="I73" s="18"/>
      <c r="J73" s="18">
        <f t="shared" si="72"/>
        <v>0</v>
      </c>
      <c r="K73" s="19"/>
      <c r="L73" s="20">
        <v>1</v>
      </c>
      <c r="M73" s="18">
        <f t="shared" si="73"/>
        <v>0</v>
      </c>
      <c r="N73" s="19"/>
      <c r="O73" s="21">
        <v>0</v>
      </c>
      <c r="P73" s="18">
        <f t="shared" si="74"/>
        <v>0</v>
      </c>
      <c r="Q73" s="22"/>
      <c r="R73" s="24"/>
      <c r="S73" s="24"/>
      <c r="T73" s="24"/>
      <c r="U73" s="24"/>
      <c r="V73" s="24"/>
      <c r="W73" s="24"/>
      <c r="X73" s="24"/>
      <c r="Y73" s="25">
        <f t="shared" si="65"/>
        <v>0</v>
      </c>
      <c r="Z73" s="25">
        <f t="shared" si="65"/>
        <v>0</v>
      </c>
      <c r="AA73" s="25">
        <f t="shared" si="65"/>
        <v>0</v>
      </c>
      <c r="AB73" s="25">
        <f t="shared" si="65"/>
        <v>0</v>
      </c>
      <c r="AC73" s="25">
        <f t="shared" si="65"/>
        <v>0</v>
      </c>
      <c r="AD73" s="21">
        <f t="shared" si="42"/>
        <v>0</v>
      </c>
      <c r="AE73" s="26">
        <f t="shared" si="66"/>
        <v>0</v>
      </c>
      <c r="AF73" s="27"/>
      <c r="AG73" s="27"/>
      <c r="AH73" s="27"/>
      <c r="AI73" s="27"/>
      <c r="AJ73" s="27"/>
      <c r="BC73" s="9">
        <v>5500</v>
      </c>
      <c r="BD73" s="30">
        <f t="shared" si="67"/>
        <v>0</v>
      </c>
      <c r="BE73" s="30">
        <f t="shared" si="67"/>
        <v>0</v>
      </c>
      <c r="BF73" s="30">
        <f t="shared" si="67"/>
        <v>0</v>
      </c>
      <c r="BG73" s="30">
        <f t="shared" si="67"/>
        <v>0</v>
      </c>
      <c r="BH73" s="30">
        <f t="shared" si="67"/>
        <v>0</v>
      </c>
      <c r="BI73" s="31">
        <f t="shared" si="68"/>
        <v>0</v>
      </c>
      <c r="BK73" s="9" t="str">
        <f t="shared" si="69"/>
        <v>45001172</v>
      </c>
      <c r="BL73" s="26">
        <f t="shared" si="70"/>
        <v>0</v>
      </c>
    </row>
    <row r="74" spans="1:64">
      <c r="A74" s="10" t="str">
        <f t="shared" si="63"/>
        <v>4500</v>
      </c>
      <c r="B74" s="10" t="str">
        <f t="shared" si="64"/>
        <v>1210</v>
      </c>
      <c r="C74" s="35" t="s">
        <v>160</v>
      </c>
      <c r="D74" s="16">
        <v>850010</v>
      </c>
      <c r="E74" s="32" t="s">
        <v>161</v>
      </c>
      <c r="F74" s="18">
        <f>IFERROR(VLOOKUP(C74,'[4]Revenue Data - FY19 MAR-YTD '!$C$3:$Q$82,15,FALSE),0)</f>
        <v>-1863</v>
      </c>
      <c r="G74" s="18">
        <v>1863</v>
      </c>
      <c r="H74" s="18">
        <f t="shared" si="71"/>
        <v>0</v>
      </c>
      <c r="I74" s="18"/>
      <c r="J74" s="18">
        <f t="shared" si="72"/>
        <v>0</v>
      </c>
      <c r="K74" s="19"/>
      <c r="L74" s="20">
        <v>1</v>
      </c>
      <c r="M74" s="18">
        <f t="shared" si="73"/>
        <v>0</v>
      </c>
      <c r="N74" s="19"/>
      <c r="O74" s="21">
        <v>0</v>
      </c>
      <c r="P74" s="18">
        <f t="shared" si="74"/>
        <v>0</v>
      </c>
      <c r="Q74" s="22"/>
      <c r="R74" s="24"/>
      <c r="S74" s="24"/>
      <c r="T74" s="24"/>
      <c r="U74" s="24"/>
      <c r="V74" s="24"/>
      <c r="W74" s="24"/>
      <c r="X74" s="24"/>
      <c r="Y74" s="25">
        <f t="shared" si="65"/>
        <v>0</v>
      </c>
      <c r="Z74" s="25">
        <f t="shared" si="65"/>
        <v>0</v>
      </c>
      <c r="AA74" s="25">
        <f t="shared" si="65"/>
        <v>0</v>
      </c>
      <c r="AB74" s="25">
        <f t="shared" si="65"/>
        <v>0</v>
      </c>
      <c r="AC74" s="25">
        <f t="shared" si="65"/>
        <v>0</v>
      </c>
      <c r="AD74" s="21">
        <f t="shared" si="42"/>
        <v>0</v>
      </c>
      <c r="AE74" s="26">
        <f t="shared" si="66"/>
        <v>0</v>
      </c>
      <c r="AF74" s="27">
        <f>1-0.012</f>
        <v>0.98799999999999999</v>
      </c>
      <c r="AG74" s="27">
        <f>1-0.8682</f>
        <v>0.13180000000000003</v>
      </c>
      <c r="AH74" s="27">
        <f t="shared" ref="AH74:AH84" si="75">1-0.0491-0.0839</f>
        <v>0.86699999999999999</v>
      </c>
      <c r="AI74" s="27">
        <f>1-0.1677</f>
        <v>0.83230000000000004</v>
      </c>
      <c r="AJ74" s="27">
        <v>0</v>
      </c>
      <c r="BC74" s="9">
        <v>5500</v>
      </c>
      <c r="BD74" s="30">
        <f t="shared" si="67"/>
        <v>0</v>
      </c>
      <c r="BE74" s="30">
        <f t="shared" si="67"/>
        <v>0</v>
      </c>
      <c r="BF74" s="30">
        <f t="shared" si="67"/>
        <v>0</v>
      </c>
      <c r="BG74" s="30">
        <f t="shared" si="67"/>
        <v>0</v>
      </c>
      <c r="BH74" s="30">
        <f t="shared" si="67"/>
        <v>0</v>
      </c>
      <c r="BI74" s="31">
        <f t="shared" si="68"/>
        <v>0</v>
      </c>
      <c r="BK74" s="9" t="str">
        <f t="shared" si="69"/>
        <v>45001210</v>
      </c>
      <c r="BL74" s="26">
        <f t="shared" si="70"/>
        <v>0</v>
      </c>
    </row>
    <row r="75" spans="1:64">
      <c r="A75" s="10" t="str">
        <f t="shared" si="63"/>
        <v>4500</v>
      </c>
      <c r="B75" s="10" t="str">
        <f t="shared" si="64"/>
        <v>1211</v>
      </c>
      <c r="C75" s="35" t="s">
        <v>162</v>
      </c>
      <c r="D75" s="16">
        <v>850011</v>
      </c>
      <c r="E75" s="32" t="s">
        <v>163</v>
      </c>
      <c r="F75" s="18">
        <f>IFERROR(VLOOKUP(C75,'[4]Revenue Data - FY19 MAR-YTD '!$C$3:$Q$82,15,FALSE),0)</f>
        <v>-3491.39</v>
      </c>
      <c r="G75" s="18"/>
      <c r="H75" s="18">
        <f>SUM(F75:G75)</f>
        <v>-3491.39</v>
      </c>
      <c r="I75" s="18">
        <f>'[4]Statistics Projections'!J28</f>
        <v>2</v>
      </c>
      <c r="J75" s="18">
        <f t="shared" si="72"/>
        <v>-1745.6949999999999</v>
      </c>
      <c r="K75" s="19"/>
      <c r="L75" s="20">
        <v>1</v>
      </c>
      <c r="M75" s="18">
        <f>ROUND(J75*L75,2)</f>
        <v>-1745.7</v>
      </c>
      <c r="N75" s="19"/>
      <c r="O75" s="21">
        <f>'[4]Statistics Projections'!L28</f>
        <v>3</v>
      </c>
      <c r="P75" s="18">
        <f t="shared" si="74"/>
        <v>5237.1000000000004</v>
      </c>
      <c r="Q75" s="22"/>
      <c r="R75" s="24">
        <f>VLOOKUP($C75,'[4]Revenue Data - FY19 MAR-YTD '!$C$3:$V$82,20,FALSE)</f>
        <v>1</v>
      </c>
      <c r="S75" s="24">
        <f>VLOOKUP($C75,'[4]Revenue Data - FY19 MAR-YTD '!$C$3:$V$82,19,FALSE)</f>
        <v>0</v>
      </c>
      <c r="T75" s="24">
        <f>VLOOKUP($C75,'[4]Revenue Data - FY19 MAR-YTD '!$C$3:$V$82,17,FALSE)</f>
        <v>0</v>
      </c>
      <c r="U75" s="24">
        <f>VLOOKUP($C75,'[4]Revenue Data - FY19 MAR-YTD '!$C$3:$V$82,18,FALSE)</f>
        <v>0</v>
      </c>
      <c r="V75" s="23">
        <f>VLOOKUP($C75,'[4]Revenue Data - FY19 MAR-YTD '!$C$3:$W$82,21,FALSE)</f>
        <v>0</v>
      </c>
      <c r="W75" s="24">
        <f>SUM(R75:V75)</f>
        <v>1</v>
      </c>
      <c r="X75" s="24"/>
      <c r="Y75" s="25">
        <f t="shared" ref="Y75:Y83" si="76">P75*R75</f>
        <v>5237.1000000000004</v>
      </c>
      <c r="Z75" s="25">
        <f t="shared" ref="Z75:Z83" si="77">P75*S75</f>
        <v>0</v>
      </c>
      <c r="AA75" s="25">
        <f t="shared" ref="AA75:AA83" si="78">P75*T75</f>
        <v>0</v>
      </c>
      <c r="AB75" s="25">
        <f t="shared" ref="AB75:AB83" si="79">P75*U75</f>
        <v>0</v>
      </c>
      <c r="AC75" s="25">
        <f t="shared" si="65"/>
        <v>0</v>
      </c>
      <c r="AD75" s="21">
        <f>SUM(Y75:AC75)</f>
        <v>5237.1000000000004</v>
      </c>
      <c r="AE75" s="26">
        <f t="shared" si="66"/>
        <v>0</v>
      </c>
      <c r="AF75" s="27">
        <f t="shared" ref="AF75:AF84" si="80">1-0.012</f>
        <v>0.98799999999999999</v>
      </c>
      <c r="AG75" s="27">
        <f t="shared" ref="AG75:AG84" si="81">1-0.8682</f>
        <v>0.13180000000000003</v>
      </c>
      <c r="AH75" s="27">
        <f t="shared" si="75"/>
        <v>0.86699999999999999</v>
      </c>
      <c r="AI75" s="27">
        <f t="shared" ref="AI75:AI84" si="82">1-0.1677</f>
        <v>0.83230000000000004</v>
      </c>
      <c r="AJ75" s="27">
        <v>0</v>
      </c>
      <c r="AT75" s="18">
        <f>Y75*AF75</f>
        <v>5174.2548000000006</v>
      </c>
      <c r="AU75" s="18">
        <f>Z75*AG75</f>
        <v>0</v>
      </c>
      <c r="AV75" s="18">
        <f>AA75*AH75</f>
        <v>0</v>
      </c>
      <c r="AW75" s="18">
        <f>AB75*AI75</f>
        <v>0</v>
      </c>
      <c r="AX75" s="18">
        <f>AC75*AJ75</f>
        <v>0</v>
      </c>
      <c r="AY75" s="26">
        <f>SUM(AT75:AX75)</f>
        <v>5174.2548000000006</v>
      </c>
      <c r="AZ75" s="26"/>
      <c r="BA75" s="20"/>
      <c r="BB75" s="20"/>
      <c r="BC75" s="9">
        <v>5500</v>
      </c>
      <c r="BD75" s="30">
        <f t="shared" si="67"/>
        <v>62.84519999999975</v>
      </c>
      <c r="BE75" s="30">
        <f t="shared" si="67"/>
        <v>0</v>
      </c>
      <c r="BF75" s="30">
        <f t="shared" si="67"/>
        <v>0</v>
      </c>
      <c r="BG75" s="30">
        <f t="shared" si="67"/>
        <v>0</v>
      </c>
      <c r="BH75" s="30">
        <f t="shared" si="67"/>
        <v>0</v>
      </c>
      <c r="BI75" s="31">
        <f t="shared" si="68"/>
        <v>62.84519999999975</v>
      </c>
      <c r="BK75" s="9" t="str">
        <f t="shared" si="69"/>
        <v>45001211</v>
      </c>
      <c r="BL75" s="26">
        <f t="shared" si="70"/>
        <v>5237.1000000000004</v>
      </c>
    </row>
    <row r="76" spans="1:64">
      <c r="A76" s="10" t="str">
        <f t="shared" si="63"/>
        <v>4500</v>
      </c>
      <c r="B76" s="10" t="str">
        <f t="shared" si="64"/>
        <v>1215</v>
      </c>
      <c r="C76" s="35" t="s">
        <v>164</v>
      </c>
      <c r="D76" s="16">
        <v>850125</v>
      </c>
      <c r="E76" s="32" t="s">
        <v>165</v>
      </c>
      <c r="F76" s="18">
        <f>IFERROR(VLOOKUP(C76,'[4]Revenue Data - FY19 MAR-YTD '!$C$3:$Q$82,15,FALSE),0)</f>
        <v>-1288.93</v>
      </c>
      <c r="G76" s="18"/>
      <c r="H76" s="18">
        <f t="shared" si="71"/>
        <v>-1288.93</v>
      </c>
      <c r="I76" s="18">
        <f>'[4]Statistics Projections'!J35</f>
        <v>61</v>
      </c>
      <c r="J76" s="18">
        <f t="shared" si="72"/>
        <v>-21.130000000000003</v>
      </c>
      <c r="K76" s="19"/>
      <c r="L76" s="20">
        <v>1</v>
      </c>
      <c r="M76" s="18">
        <f>J76*L76</f>
        <v>-21.130000000000003</v>
      </c>
      <c r="N76" s="19"/>
      <c r="O76" s="21">
        <f>'[4]Statistics Projections'!L35</f>
        <v>178</v>
      </c>
      <c r="P76" s="18">
        <f t="shared" si="74"/>
        <v>3761.1400000000003</v>
      </c>
      <c r="Q76" s="22"/>
      <c r="R76" s="24">
        <f>VLOOKUP($C76,'[4]Revenue Data - FY19 MAR-YTD '!$C$3:$V$82,20,FALSE)</f>
        <v>1</v>
      </c>
      <c r="S76" s="24">
        <f>VLOOKUP($C76,'[4]Revenue Data - FY19 MAR-YTD '!$C$3:$V$82,19,FALSE)</f>
        <v>0</v>
      </c>
      <c r="T76" s="24">
        <f>VLOOKUP($C76,'[4]Revenue Data - FY19 MAR-YTD '!$C$3:$V$82,17,FALSE)</f>
        <v>0</v>
      </c>
      <c r="U76" s="24">
        <f>VLOOKUP($C76,'[4]Revenue Data - FY19 MAR-YTD '!$C$3:$V$82,18,FALSE)</f>
        <v>0</v>
      </c>
      <c r="V76" s="23">
        <f>VLOOKUP($C76,'[4]Revenue Data - FY19 MAR-YTD '!$C$3:$W$82,21,FALSE)</f>
        <v>0</v>
      </c>
      <c r="W76" s="24">
        <f t="shared" ref="W76:W83" si="83">SUM(R76:V76)</f>
        <v>1</v>
      </c>
      <c r="X76" s="24"/>
      <c r="Y76" s="25">
        <f t="shared" si="76"/>
        <v>3761.1400000000003</v>
      </c>
      <c r="Z76" s="25">
        <f t="shared" si="77"/>
        <v>0</v>
      </c>
      <c r="AA76" s="25">
        <f t="shared" si="78"/>
        <v>0</v>
      </c>
      <c r="AB76" s="25">
        <f t="shared" si="79"/>
        <v>0</v>
      </c>
      <c r="AC76" s="25">
        <f t="shared" si="65"/>
        <v>0</v>
      </c>
      <c r="AD76" s="21">
        <f t="shared" ref="AD76:AD85" si="84">SUM(Y76:AC76)</f>
        <v>3761.1400000000003</v>
      </c>
      <c r="AE76" s="26">
        <f t="shared" si="66"/>
        <v>0</v>
      </c>
      <c r="AF76" s="27">
        <f t="shared" si="80"/>
        <v>0.98799999999999999</v>
      </c>
      <c r="AG76" s="27">
        <f t="shared" si="81"/>
        <v>0.13180000000000003</v>
      </c>
      <c r="AH76" s="27">
        <f t="shared" si="75"/>
        <v>0.86699999999999999</v>
      </c>
      <c r="AI76" s="27">
        <f t="shared" si="82"/>
        <v>0.83230000000000004</v>
      </c>
      <c r="AJ76" s="27">
        <v>0</v>
      </c>
      <c r="AT76" s="18"/>
      <c r="AY76" s="26">
        <f>SUM(AT76:AX76)</f>
        <v>0</v>
      </c>
      <c r="BC76" s="9">
        <v>5500</v>
      </c>
      <c r="BD76" s="30">
        <f t="shared" si="67"/>
        <v>3761.1400000000003</v>
      </c>
      <c r="BE76" s="30">
        <f t="shared" si="67"/>
        <v>0</v>
      </c>
      <c r="BF76" s="30">
        <f t="shared" si="67"/>
        <v>0</v>
      </c>
      <c r="BG76" s="30">
        <f t="shared" si="67"/>
        <v>0</v>
      </c>
      <c r="BH76" s="30">
        <f t="shared" si="67"/>
        <v>0</v>
      </c>
      <c r="BI76" s="31">
        <f t="shared" si="68"/>
        <v>3761.1400000000003</v>
      </c>
      <c r="BK76" s="9" t="str">
        <f t="shared" si="69"/>
        <v>45001215</v>
      </c>
      <c r="BL76" s="26">
        <f t="shared" si="70"/>
        <v>3761.1400000000003</v>
      </c>
    </row>
    <row r="77" spans="1:64">
      <c r="A77" s="10" t="str">
        <f t="shared" si="63"/>
        <v>4500</v>
      </c>
      <c r="B77" s="10" t="str">
        <f t="shared" si="64"/>
        <v>1216</v>
      </c>
      <c r="C77" s="35" t="s">
        <v>166</v>
      </c>
      <c r="D77" s="16">
        <v>850020</v>
      </c>
      <c r="E77" s="32" t="s">
        <v>167</v>
      </c>
      <c r="F77" s="18">
        <f>IFERROR(VLOOKUP(C77,'[4]Revenue Data - FY19 MAR-YTD '!$C$3:$Q$82,15,FALSE),0)</f>
        <v>-225804</v>
      </c>
      <c r="G77" s="18"/>
      <c r="H77" s="18">
        <f t="shared" si="71"/>
        <v>-225804</v>
      </c>
      <c r="I77" s="18">
        <f>'[4]Statistics Projections'!J59</f>
        <v>132</v>
      </c>
      <c r="J77" s="18">
        <f t="shared" si="72"/>
        <v>-1710.6363636363637</v>
      </c>
      <c r="K77" s="19"/>
      <c r="L77" s="20">
        <v>1</v>
      </c>
      <c r="M77" s="18">
        <f t="shared" ref="M77:M83" si="85">ROUND(J77*L77,2)</f>
        <v>-1710.64</v>
      </c>
      <c r="N77" s="19"/>
      <c r="O77" s="21">
        <f>'[4]Statistics Projections'!L59</f>
        <v>262</v>
      </c>
      <c r="P77" s="18">
        <f t="shared" si="74"/>
        <v>448187.68000000005</v>
      </c>
      <c r="Q77" s="22"/>
      <c r="R77" s="24">
        <f>VLOOKUP($C77,'[4]Revenue Data - FY19 MAR-YTD '!$C$3:$V$82,20,FALSE)</f>
        <v>0.79516749038989565</v>
      </c>
      <c r="S77" s="24">
        <f>VLOOKUP($C77,'[4]Revenue Data - FY19 MAR-YTD '!$C$3:$V$82,19,FALSE)</f>
        <v>7.738569733042816E-2</v>
      </c>
      <c r="T77" s="24">
        <f>VLOOKUP($C77,'[4]Revenue Data - FY19 MAR-YTD '!$C$3:$V$82,17,FALSE)</f>
        <v>4.7855662432906412E-2</v>
      </c>
      <c r="U77" s="24">
        <f>VLOOKUP($C77,'[4]Revenue Data - FY19 MAR-YTD '!$C$3:$V$82,18,FALSE)</f>
        <v>7.9591149846769765E-2</v>
      </c>
      <c r="V77" s="23">
        <f>VLOOKUP($C77,'[4]Revenue Data - FY19 MAR-YTD '!$C$3:$W$82,21,FALSE)</f>
        <v>0</v>
      </c>
      <c r="W77" s="24">
        <f t="shared" si="83"/>
        <v>1</v>
      </c>
      <c r="X77" s="24"/>
      <c r="Y77" s="25">
        <f t="shared" si="76"/>
        <v>356384.27272926969</v>
      </c>
      <c r="Z77" s="25">
        <f t="shared" si="77"/>
        <v>34683.316151706793</v>
      </c>
      <c r="AA77" s="25">
        <f t="shared" si="78"/>
        <v>21448.318320667484</v>
      </c>
      <c r="AB77" s="25">
        <f t="shared" si="79"/>
        <v>35671.772798356098</v>
      </c>
      <c r="AC77" s="25">
        <f t="shared" si="65"/>
        <v>0</v>
      </c>
      <c r="AD77" s="21">
        <f t="shared" si="84"/>
        <v>448187.68000000005</v>
      </c>
      <c r="AE77" s="26">
        <f t="shared" si="66"/>
        <v>0</v>
      </c>
      <c r="AF77" s="27">
        <f t="shared" si="80"/>
        <v>0.98799999999999999</v>
      </c>
      <c r="AG77" s="27">
        <f t="shared" si="81"/>
        <v>0.13180000000000003</v>
      </c>
      <c r="AH77" s="27">
        <f t="shared" si="75"/>
        <v>0.86699999999999999</v>
      </c>
      <c r="AI77" s="27">
        <f t="shared" si="82"/>
        <v>0.83230000000000004</v>
      </c>
      <c r="AJ77" s="27">
        <v>0</v>
      </c>
      <c r="AT77" s="18">
        <f t="shared" ref="AT77:AX83" si="86">Y77*AF77</f>
        <v>352107.66145651846</v>
      </c>
      <c r="AU77" s="18">
        <f t="shared" si="86"/>
        <v>4571.2610687949564</v>
      </c>
      <c r="AV77" s="18">
        <f t="shared" si="86"/>
        <v>18595.691984018707</v>
      </c>
      <c r="AW77" s="18">
        <f t="shared" si="86"/>
        <v>29689.616500071781</v>
      </c>
      <c r="AX77" s="18">
        <f t="shared" si="86"/>
        <v>0</v>
      </c>
      <c r="AY77" s="26">
        <f t="shared" ref="AY77:AY83" si="87">SUM(AT77:AX77)</f>
        <v>404964.23100940388</v>
      </c>
      <c r="AZ77" s="26"/>
      <c r="BA77" s="20">
        <f t="shared" ref="BA77:BA83" si="88">AY77/AD77</f>
        <v>0.90355948876016368</v>
      </c>
      <c r="BB77" s="20">
        <f t="shared" ref="BB77:BB83" si="89">1-BA77</f>
        <v>9.6440511239836324E-2</v>
      </c>
      <c r="BC77" s="9">
        <v>5500</v>
      </c>
      <c r="BD77" s="30">
        <f t="shared" si="67"/>
        <v>4276.6112727512373</v>
      </c>
      <c r="BE77" s="30">
        <f t="shared" si="67"/>
        <v>30112.055082911837</v>
      </c>
      <c r="BF77" s="30">
        <f t="shared" si="67"/>
        <v>2852.6263366487765</v>
      </c>
      <c r="BG77" s="30">
        <f t="shared" si="67"/>
        <v>5982.156298284317</v>
      </c>
      <c r="BH77" s="30">
        <f t="shared" si="67"/>
        <v>0</v>
      </c>
      <c r="BI77" s="31">
        <f t="shared" si="68"/>
        <v>43223.448990596167</v>
      </c>
      <c r="BK77" s="9" t="str">
        <f t="shared" si="69"/>
        <v>45001216</v>
      </c>
      <c r="BL77" s="26">
        <f t="shared" si="70"/>
        <v>448187.68000000005</v>
      </c>
    </row>
    <row r="78" spans="1:64">
      <c r="A78" s="10" t="str">
        <f t="shared" si="63"/>
        <v>4500</v>
      </c>
      <c r="B78" s="10" t="str">
        <f t="shared" si="64"/>
        <v>1217</v>
      </c>
      <c r="C78" s="35" t="s">
        <v>168</v>
      </c>
      <c r="D78" s="16">
        <v>850030</v>
      </c>
      <c r="E78" s="32" t="s">
        <v>169</v>
      </c>
      <c r="F78" s="18">
        <f>IFERROR(VLOOKUP(C78,'[4]Revenue Data - FY19 MAR-YTD '!$C$3:$Q$82,15,FALSE),0)</f>
        <v>-233325.3</v>
      </c>
      <c r="G78" s="18"/>
      <c r="H78" s="18">
        <f t="shared" si="71"/>
        <v>-233325.3</v>
      </c>
      <c r="I78" s="18">
        <f>'[4]Statistics Projections'!J69</f>
        <v>1625</v>
      </c>
      <c r="J78" s="18">
        <f t="shared" si="72"/>
        <v>-143.5848</v>
      </c>
      <c r="K78" s="19"/>
      <c r="L78" s="20">
        <v>1</v>
      </c>
      <c r="M78" s="18">
        <f t="shared" si="85"/>
        <v>-143.58000000000001</v>
      </c>
      <c r="N78" s="19"/>
      <c r="O78" s="21">
        <f>'[4]Statistics Projections'!L69</f>
        <v>3675</v>
      </c>
      <c r="P78" s="18">
        <f t="shared" si="74"/>
        <v>527656.5</v>
      </c>
      <c r="Q78" s="22"/>
      <c r="R78" s="24">
        <f>VLOOKUP($C78,'[4]Revenue Data - FY19 MAR-YTD '!$C$3:$V$82,20,FALSE)</f>
        <v>0.85425498220724461</v>
      </c>
      <c r="S78" s="24">
        <f>VLOOKUP($C78,'[4]Revenue Data - FY19 MAR-YTD '!$C$3:$V$82,19,FALSE)</f>
        <v>4.703733371391787E-2</v>
      </c>
      <c r="T78" s="24">
        <f>VLOOKUP($C78,'[4]Revenue Data - FY19 MAR-YTD '!$C$3:$V$82,17,FALSE)</f>
        <v>2.756666336655305E-2</v>
      </c>
      <c r="U78" s="24">
        <f>VLOOKUP($C78,'[4]Revenue Data - FY19 MAR-YTD '!$C$3:$V$82,18,FALSE)</f>
        <v>7.1141020712284522E-2</v>
      </c>
      <c r="V78" s="23">
        <f>VLOOKUP($C78,'[4]Revenue Data - FY19 MAR-YTD '!$C$3:$W$82,21,FALSE)</f>
        <v>0</v>
      </c>
      <c r="W78" s="24">
        <f t="shared" si="83"/>
        <v>1</v>
      </c>
      <c r="X78" s="24"/>
      <c r="Y78" s="25">
        <f t="shared" si="76"/>
        <v>450753.19401903695</v>
      </c>
      <c r="Z78" s="25">
        <f t="shared" si="77"/>
        <v>24819.554876817903</v>
      </c>
      <c r="AA78" s="25">
        <f t="shared" si="78"/>
        <v>14545.729108673599</v>
      </c>
      <c r="AB78" s="25">
        <f t="shared" si="79"/>
        <v>37538.021995471558</v>
      </c>
      <c r="AC78" s="25">
        <f t="shared" si="65"/>
        <v>0</v>
      </c>
      <c r="AD78" s="21">
        <f t="shared" si="84"/>
        <v>527656.5</v>
      </c>
      <c r="AE78" s="26">
        <f t="shared" si="66"/>
        <v>0</v>
      </c>
      <c r="AF78" s="27">
        <f t="shared" si="80"/>
        <v>0.98799999999999999</v>
      </c>
      <c r="AG78" s="27">
        <f t="shared" si="81"/>
        <v>0.13180000000000003</v>
      </c>
      <c r="AH78" s="27">
        <f t="shared" si="75"/>
        <v>0.86699999999999999</v>
      </c>
      <c r="AI78" s="27">
        <f t="shared" si="82"/>
        <v>0.83230000000000004</v>
      </c>
      <c r="AJ78" s="27">
        <v>0</v>
      </c>
      <c r="AT78" s="18">
        <f t="shared" si="86"/>
        <v>445344.15569080849</v>
      </c>
      <c r="AU78" s="18">
        <f t="shared" si="86"/>
        <v>3271.2173327646005</v>
      </c>
      <c r="AV78" s="18">
        <f t="shared" si="86"/>
        <v>12611.14713722001</v>
      </c>
      <c r="AW78" s="18">
        <f t="shared" si="86"/>
        <v>31242.895706830979</v>
      </c>
      <c r="AX78" s="18">
        <f t="shared" si="86"/>
        <v>0</v>
      </c>
      <c r="AY78" s="26">
        <f t="shared" si="87"/>
        <v>492469.41586762405</v>
      </c>
      <c r="AZ78" s="26"/>
      <c r="BA78" s="20">
        <f t="shared" si="88"/>
        <v>0.93331441168188778</v>
      </c>
      <c r="BB78" s="20">
        <f t="shared" si="89"/>
        <v>6.6685588318112221E-2</v>
      </c>
      <c r="BC78" s="9">
        <v>5500</v>
      </c>
      <c r="BD78" s="30">
        <f t="shared" si="67"/>
        <v>5409.0383282284602</v>
      </c>
      <c r="BE78" s="30">
        <f t="shared" si="67"/>
        <v>21548.337544053302</v>
      </c>
      <c r="BF78" s="30">
        <f t="shared" si="67"/>
        <v>1934.5819714535883</v>
      </c>
      <c r="BG78" s="30">
        <f t="shared" si="67"/>
        <v>6295.1262886405784</v>
      </c>
      <c r="BH78" s="30">
        <f t="shared" si="67"/>
        <v>0</v>
      </c>
      <c r="BI78" s="31">
        <f t="shared" si="68"/>
        <v>35187.084132375923</v>
      </c>
      <c r="BK78" s="9" t="str">
        <f t="shared" si="69"/>
        <v>45001217</v>
      </c>
      <c r="BL78" s="26">
        <f t="shared" si="70"/>
        <v>527656.5</v>
      </c>
    </row>
    <row r="79" spans="1:64">
      <c r="A79" s="10" t="str">
        <f t="shared" si="63"/>
        <v>4500</v>
      </c>
      <c r="B79" s="10" t="str">
        <f t="shared" si="64"/>
        <v>1219</v>
      </c>
      <c r="C79" s="35" t="s">
        <v>170</v>
      </c>
      <c r="D79" s="16">
        <v>850045</v>
      </c>
      <c r="E79" s="32" t="s">
        <v>171</v>
      </c>
      <c r="F79" s="18">
        <f>IFERROR(VLOOKUP(C79,'[4]Revenue Data - FY19 MAR-YTD '!$C$3:$Q$82,15,FALSE),0)</f>
        <v>-570242.19999999995</v>
      </c>
      <c r="G79" s="18"/>
      <c r="H79" s="18">
        <f t="shared" si="71"/>
        <v>-570242.19999999995</v>
      </c>
      <c r="I79" s="18">
        <f>'[4]Statistics Projections'!J75</f>
        <v>59513.49</v>
      </c>
      <c r="J79" s="18">
        <f t="shared" si="72"/>
        <v>-9.5817301253883773</v>
      </c>
      <c r="K79" s="19"/>
      <c r="L79" s="20">
        <v>1</v>
      </c>
      <c r="M79" s="18">
        <f t="shared" si="85"/>
        <v>-9.58</v>
      </c>
      <c r="N79" s="19"/>
      <c r="O79" s="21">
        <f>'[4]Statistics Projections'!L75</f>
        <v>119000</v>
      </c>
      <c r="P79" s="18">
        <f t="shared" si="74"/>
        <v>1140020</v>
      </c>
      <c r="Q79" s="22"/>
      <c r="R79" s="24">
        <f>VLOOKUP($C79,'[4]Revenue Data - FY19 MAR-YTD '!$C$3:$V$82,20,FALSE)</f>
        <v>0.90283961797285439</v>
      </c>
      <c r="S79" s="24">
        <f>VLOOKUP($C79,'[4]Revenue Data - FY19 MAR-YTD '!$C$3:$V$82,19,FALSE)</f>
        <v>2.7307957916829027E-2</v>
      </c>
      <c r="T79" s="24">
        <f>VLOOKUP($C79,'[4]Revenue Data - FY19 MAR-YTD '!$C$3:$V$82,17,FALSE)</f>
        <v>1.7369636971799E-2</v>
      </c>
      <c r="U79" s="24">
        <f>VLOOKUP($C79,'[4]Revenue Data - FY19 MAR-YTD '!$C$3:$V$82,18,FALSE)</f>
        <v>5.2482787138517638E-2</v>
      </c>
      <c r="V79" s="23">
        <f>VLOOKUP($C79,'[4]Revenue Data - FY19 MAR-YTD '!$C$3:$W$82,21,FALSE)</f>
        <v>0</v>
      </c>
      <c r="W79" s="24">
        <f t="shared" si="83"/>
        <v>1.0000000000000002</v>
      </c>
      <c r="X79" s="24"/>
      <c r="Y79" s="25">
        <f t="shared" si="76"/>
        <v>1029255.2212814135</v>
      </c>
      <c r="Z79" s="25">
        <f t="shared" si="77"/>
        <v>31131.618184343428</v>
      </c>
      <c r="AA79" s="25">
        <f t="shared" si="78"/>
        <v>19801.733540590296</v>
      </c>
      <c r="AB79" s="25">
        <f t="shared" si="79"/>
        <v>59831.42699365288</v>
      </c>
      <c r="AC79" s="25">
        <f t="shared" si="65"/>
        <v>0</v>
      </c>
      <c r="AD79" s="21">
        <f t="shared" si="84"/>
        <v>1140020.0000000002</v>
      </c>
      <c r="AE79" s="26">
        <f t="shared" si="66"/>
        <v>0</v>
      </c>
      <c r="AF79" s="27">
        <f t="shared" si="80"/>
        <v>0.98799999999999999</v>
      </c>
      <c r="AG79" s="27">
        <f t="shared" si="81"/>
        <v>0.13180000000000003</v>
      </c>
      <c r="AH79" s="27">
        <f t="shared" si="75"/>
        <v>0.86699999999999999</v>
      </c>
      <c r="AI79" s="27">
        <f t="shared" si="82"/>
        <v>0.83230000000000004</v>
      </c>
      <c r="AJ79" s="27">
        <v>0</v>
      </c>
      <c r="AT79" s="18">
        <f t="shared" si="86"/>
        <v>1016904.1586260365</v>
      </c>
      <c r="AU79" s="18">
        <f t="shared" si="86"/>
        <v>4103.1472766964644</v>
      </c>
      <c r="AV79" s="18">
        <f t="shared" si="86"/>
        <v>17168.102979691786</v>
      </c>
      <c r="AW79" s="18">
        <f t="shared" si="86"/>
        <v>49797.696686817297</v>
      </c>
      <c r="AX79" s="18">
        <f t="shared" si="86"/>
        <v>0</v>
      </c>
      <c r="AY79" s="26">
        <f t="shared" si="87"/>
        <v>1087973.105569242</v>
      </c>
      <c r="AZ79" s="26"/>
      <c r="BA79" s="20">
        <f t="shared" si="88"/>
        <v>0.95434563040055598</v>
      </c>
      <c r="BB79" s="20">
        <f t="shared" si="89"/>
        <v>4.5654369599444022E-2</v>
      </c>
      <c r="BC79" s="9">
        <v>5500</v>
      </c>
      <c r="BD79" s="30">
        <f t="shared" si="67"/>
        <v>12351.062655376969</v>
      </c>
      <c r="BE79" s="30">
        <f t="shared" si="67"/>
        <v>27028.470907646963</v>
      </c>
      <c r="BF79" s="30">
        <f t="shared" si="67"/>
        <v>2633.6305608985094</v>
      </c>
      <c r="BG79" s="30">
        <f t="shared" si="67"/>
        <v>10033.730306835583</v>
      </c>
      <c r="BH79" s="30">
        <f t="shared" si="67"/>
        <v>0</v>
      </c>
      <c r="BI79" s="31">
        <f t="shared" si="68"/>
        <v>52046.894430758024</v>
      </c>
      <c r="BK79" s="9" t="str">
        <f t="shared" si="69"/>
        <v>45001219</v>
      </c>
      <c r="BL79" s="26">
        <f t="shared" si="70"/>
        <v>1140020</v>
      </c>
    </row>
    <row r="80" spans="1:64">
      <c r="A80" s="10" t="str">
        <f t="shared" si="63"/>
        <v>4500</v>
      </c>
      <c r="B80" s="10" t="str">
        <f t="shared" si="64"/>
        <v>1220</v>
      </c>
      <c r="C80" s="35" t="s">
        <v>172</v>
      </c>
      <c r="D80" s="16">
        <v>850050</v>
      </c>
      <c r="E80" s="32" t="s">
        <v>173</v>
      </c>
      <c r="F80" s="18">
        <f>IFERROR(VLOOKUP(C80,'[4]Revenue Data - FY19 MAR-YTD '!$C$3:$Q$82,15,FALSE),0)</f>
        <v>-342711</v>
      </c>
      <c r="G80" s="18"/>
      <c r="H80" s="18">
        <f t="shared" si="71"/>
        <v>-342711</v>
      </c>
      <c r="I80" s="18">
        <f>'[4]Statistics Projections'!J81</f>
        <v>2432</v>
      </c>
      <c r="J80" s="18">
        <f t="shared" si="72"/>
        <v>-140.91735197368422</v>
      </c>
      <c r="K80" s="19"/>
      <c r="L80" s="20">
        <v>1</v>
      </c>
      <c r="M80" s="18">
        <f t="shared" si="85"/>
        <v>-140.91999999999999</v>
      </c>
      <c r="N80" s="19"/>
      <c r="O80" s="21">
        <f>'[4]Statistics Projections'!L81</f>
        <v>4612</v>
      </c>
      <c r="P80" s="18">
        <f t="shared" si="74"/>
        <v>649923.03999999992</v>
      </c>
      <c r="Q80" s="22"/>
      <c r="R80" s="24">
        <f>VLOOKUP($C80,'[4]Revenue Data - FY19 MAR-YTD '!$C$3:$V$82,20,FALSE)</f>
        <v>0.94581440338944478</v>
      </c>
      <c r="S80" s="24">
        <f>VLOOKUP($C80,'[4]Revenue Data - FY19 MAR-YTD '!$C$3:$V$82,19,FALSE)</f>
        <v>8.9871641120360885E-4</v>
      </c>
      <c r="T80" s="24">
        <f>VLOOKUP($C80,'[4]Revenue Data - FY19 MAR-YTD '!$C$3:$V$82,17,FALSE)</f>
        <v>1.4014723776009524E-2</v>
      </c>
      <c r="U80" s="24">
        <f>VLOOKUP($C80,'[4]Revenue Data - FY19 MAR-YTD '!$C$3:$V$82,18,FALSE)</f>
        <v>3.9272156423342114E-2</v>
      </c>
      <c r="V80" s="23">
        <f>VLOOKUP($C80,'[4]Revenue Data - FY19 MAR-YTD '!$C$3:$W$82,21,FALSE)</f>
        <v>0</v>
      </c>
      <c r="W80" s="24">
        <f t="shared" si="83"/>
        <v>1</v>
      </c>
      <c r="X80" s="24"/>
      <c r="Y80" s="25">
        <f t="shared" si="76"/>
        <v>614706.57232665422</v>
      </c>
      <c r="Z80" s="25">
        <f t="shared" si="77"/>
        <v>584.09650206733943</v>
      </c>
      <c r="AA80" s="25">
        <f t="shared" si="78"/>
        <v>9108.4918812643882</v>
      </c>
      <c r="AB80" s="25">
        <f t="shared" si="79"/>
        <v>25523.879290014029</v>
      </c>
      <c r="AC80" s="25">
        <f t="shared" si="65"/>
        <v>0</v>
      </c>
      <c r="AD80" s="21">
        <f t="shared" si="84"/>
        <v>649923.03999999992</v>
      </c>
      <c r="AE80" s="26">
        <f t="shared" si="66"/>
        <v>0</v>
      </c>
      <c r="AF80" s="27">
        <f t="shared" si="80"/>
        <v>0.98799999999999999</v>
      </c>
      <c r="AG80" s="27">
        <f t="shared" si="81"/>
        <v>0.13180000000000003</v>
      </c>
      <c r="AH80" s="27">
        <f t="shared" si="75"/>
        <v>0.86699999999999999</v>
      </c>
      <c r="AI80" s="27">
        <f t="shared" si="82"/>
        <v>0.83230000000000004</v>
      </c>
      <c r="AJ80" s="27">
        <v>0</v>
      </c>
      <c r="AT80" s="18">
        <f t="shared" si="86"/>
        <v>607330.09345873434</v>
      </c>
      <c r="AU80" s="18">
        <f t="shared" si="86"/>
        <v>76.983918972475351</v>
      </c>
      <c r="AV80" s="18">
        <f t="shared" si="86"/>
        <v>7897.0624610562245</v>
      </c>
      <c r="AW80" s="18">
        <f t="shared" si="86"/>
        <v>21243.524733078677</v>
      </c>
      <c r="AX80" s="18">
        <f t="shared" si="86"/>
        <v>0</v>
      </c>
      <c r="AY80" s="26">
        <f t="shared" si="87"/>
        <v>636547.66457184171</v>
      </c>
      <c r="AZ80" s="26"/>
      <c r="BA80" s="20">
        <f t="shared" si="88"/>
        <v>0.979420062676716</v>
      </c>
      <c r="BB80" s="20">
        <f t="shared" si="89"/>
        <v>2.0579937323284003E-2</v>
      </c>
      <c r="BC80" s="9">
        <v>5500</v>
      </c>
      <c r="BD80" s="30">
        <f t="shared" si="67"/>
        <v>7376.4788679198828</v>
      </c>
      <c r="BE80" s="30">
        <f t="shared" si="67"/>
        <v>507.11258309486408</v>
      </c>
      <c r="BF80" s="30">
        <f t="shared" si="67"/>
        <v>1211.4294202081637</v>
      </c>
      <c r="BG80" s="30">
        <f t="shared" si="67"/>
        <v>4280.3545569353519</v>
      </c>
      <c r="BH80" s="30">
        <f t="shared" si="67"/>
        <v>0</v>
      </c>
      <c r="BI80" s="31">
        <f t="shared" si="68"/>
        <v>13375.375428158262</v>
      </c>
      <c r="BK80" s="9" t="str">
        <f t="shared" si="69"/>
        <v>45001220</v>
      </c>
      <c r="BL80" s="26">
        <f t="shared" si="70"/>
        <v>649923.03999999992</v>
      </c>
    </row>
    <row r="81" spans="1:64">
      <c r="A81" s="10" t="str">
        <f t="shared" si="63"/>
        <v>4500</v>
      </c>
      <c r="B81" s="10" t="str">
        <f t="shared" si="64"/>
        <v>1222</v>
      </c>
      <c r="C81" s="35" t="s">
        <v>174</v>
      </c>
      <c r="D81" s="16">
        <v>850060</v>
      </c>
      <c r="E81" s="32" t="s">
        <v>175</v>
      </c>
      <c r="F81" s="18">
        <f>IFERROR(VLOOKUP(C81,'[4]Revenue Data - FY19 MAR-YTD '!$C$3:$Q$82,15,FALSE),0)</f>
        <v>-426406.07</v>
      </c>
      <c r="G81" s="18"/>
      <c r="H81" s="18">
        <f t="shared" si="71"/>
        <v>-426406.07</v>
      </c>
      <c r="I81" s="18">
        <f>'[4]Statistics Projections'!J87</f>
        <v>2025</v>
      </c>
      <c r="J81" s="18">
        <f t="shared" si="72"/>
        <v>-210.5708987654321</v>
      </c>
      <c r="K81" s="19"/>
      <c r="L81" s="20">
        <v>1</v>
      </c>
      <c r="M81" s="18">
        <f t="shared" si="85"/>
        <v>-210.57</v>
      </c>
      <c r="N81" s="19"/>
      <c r="O81" s="21">
        <f>'[4]Statistics Projections'!L87</f>
        <v>4500</v>
      </c>
      <c r="P81" s="18">
        <f t="shared" si="74"/>
        <v>947565</v>
      </c>
      <c r="Q81" s="22"/>
      <c r="R81" s="24">
        <f>VLOOKUP($C81,'[4]Revenue Data - FY19 MAR-YTD '!$C$3:$V$82,20,FALSE)</f>
        <v>0.83954245773283664</v>
      </c>
      <c r="S81" s="24">
        <f>VLOOKUP($C81,'[4]Revenue Data - FY19 MAR-YTD '!$C$3:$V$82,19,FALSE)</f>
        <v>3.1570845133607035E-2</v>
      </c>
      <c r="T81" s="24">
        <f>VLOOKUP($C81,'[4]Revenue Data - FY19 MAR-YTD '!$C$3:$V$82,17,FALSE)</f>
        <v>4.3540655976121542E-2</v>
      </c>
      <c r="U81" s="24">
        <f>VLOOKUP($C81,'[4]Revenue Data - FY19 MAR-YTD '!$C$3:$V$82,18,FALSE)</f>
        <v>8.5346041157434743E-2</v>
      </c>
      <c r="V81" s="23">
        <f>VLOOKUP($C81,'[4]Revenue Data - FY19 MAR-YTD '!$C$3:$W$82,21,FALSE)</f>
        <v>0</v>
      </c>
      <c r="W81" s="24">
        <f t="shared" si="83"/>
        <v>1</v>
      </c>
      <c r="X81" s="24"/>
      <c r="Y81" s="25">
        <f t="shared" si="76"/>
        <v>795521.04896161531</v>
      </c>
      <c r="Z81" s="25">
        <f t="shared" si="77"/>
        <v>29915.427869026349</v>
      </c>
      <c r="AA81" s="25">
        <f t="shared" si="78"/>
        <v>41257.601680013606</v>
      </c>
      <c r="AB81" s="25">
        <f t="shared" si="79"/>
        <v>80870.921489344648</v>
      </c>
      <c r="AC81" s="25">
        <f t="shared" si="65"/>
        <v>0</v>
      </c>
      <c r="AD81" s="21">
        <f t="shared" si="84"/>
        <v>947564.99999999988</v>
      </c>
      <c r="AE81" s="26">
        <f t="shared" si="66"/>
        <v>0</v>
      </c>
      <c r="AF81" s="27">
        <f t="shared" si="80"/>
        <v>0.98799999999999999</v>
      </c>
      <c r="AG81" s="27">
        <f t="shared" si="81"/>
        <v>0.13180000000000003</v>
      </c>
      <c r="AH81" s="27">
        <f t="shared" si="75"/>
        <v>0.86699999999999999</v>
      </c>
      <c r="AI81" s="27">
        <f t="shared" si="82"/>
        <v>0.83230000000000004</v>
      </c>
      <c r="AJ81" s="27">
        <v>0</v>
      </c>
      <c r="AT81" s="18">
        <f t="shared" si="86"/>
        <v>785974.79637407593</v>
      </c>
      <c r="AU81" s="18">
        <f t="shared" si="86"/>
        <v>3942.8533931376737</v>
      </c>
      <c r="AV81" s="18">
        <f t="shared" si="86"/>
        <v>35770.340656571796</v>
      </c>
      <c r="AW81" s="18">
        <f t="shared" si="86"/>
        <v>67308.867955581547</v>
      </c>
      <c r="AX81" s="18">
        <f t="shared" si="86"/>
        <v>0</v>
      </c>
      <c r="AY81" s="26">
        <f t="shared" si="87"/>
        <v>892996.85837936692</v>
      </c>
      <c r="AZ81" s="26"/>
      <c r="BA81" s="20">
        <f t="shared" si="88"/>
        <v>0.94241224441528237</v>
      </c>
      <c r="BB81" s="20">
        <f t="shared" si="89"/>
        <v>5.7587755584717626E-2</v>
      </c>
      <c r="BC81" s="9">
        <v>5500</v>
      </c>
      <c r="BD81" s="30">
        <f t="shared" si="67"/>
        <v>9546.2525875393767</v>
      </c>
      <c r="BE81" s="30">
        <f t="shared" si="67"/>
        <v>25972.574475888676</v>
      </c>
      <c r="BF81" s="30">
        <f t="shared" si="67"/>
        <v>5487.2610234418098</v>
      </c>
      <c r="BG81" s="30">
        <f t="shared" si="67"/>
        <v>13562.053533763101</v>
      </c>
      <c r="BH81" s="30">
        <f t="shared" si="67"/>
        <v>0</v>
      </c>
      <c r="BI81" s="31">
        <f t="shared" si="68"/>
        <v>54568.14162063296</v>
      </c>
      <c r="BK81" s="9" t="str">
        <f t="shared" si="69"/>
        <v>45001222</v>
      </c>
      <c r="BL81" s="26">
        <f t="shared" si="70"/>
        <v>947565</v>
      </c>
    </row>
    <row r="82" spans="1:64">
      <c r="A82" s="10" t="str">
        <f t="shared" si="63"/>
        <v>4500</v>
      </c>
      <c r="B82" s="10" t="str">
        <f t="shared" si="64"/>
        <v>1223</v>
      </c>
      <c r="C82" s="35" t="s">
        <v>176</v>
      </c>
      <c r="D82" s="16">
        <v>850060</v>
      </c>
      <c r="E82" s="32" t="s">
        <v>177</v>
      </c>
      <c r="F82" s="18">
        <f>IFERROR(VLOOKUP(C82,'[4]Revenue Data - FY19 MAR-YTD '!$C$3:$Q$82,15,FALSE),0)</f>
        <v>-454724.01999999996</v>
      </c>
      <c r="G82" s="18"/>
      <c r="H82" s="18">
        <f t="shared" si="71"/>
        <v>-454724.01999999996</v>
      </c>
      <c r="I82" s="18">
        <f>'[4]Statistics Projections'!J93</f>
        <v>2161</v>
      </c>
      <c r="J82" s="18">
        <f t="shared" si="72"/>
        <v>-210.4229615918556</v>
      </c>
      <c r="K82" s="19"/>
      <c r="L82" s="20">
        <v>1</v>
      </c>
      <c r="M82" s="18">
        <f t="shared" si="85"/>
        <v>-210.42</v>
      </c>
      <c r="N82" s="19"/>
      <c r="O82" s="21">
        <f>'[4]Statistics Projections'!L93</f>
        <v>4650</v>
      </c>
      <c r="P82" s="18">
        <f t="shared" si="74"/>
        <v>978453</v>
      </c>
      <c r="Q82" s="22"/>
      <c r="R82" s="24">
        <f>VLOOKUP($C82,'[4]Revenue Data - FY19 MAR-YTD '!$C$3:$V$82,20,FALSE)</f>
        <v>0.86035694793514539</v>
      </c>
      <c r="S82" s="24">
        <f>VLOOKUP($C82,'[4]Revenue Data - FY19 MAR-YTD '!$C$3:$V$82,19,FALSE)</f>
        <v>2.8353461512765483E-2</v>
      </c>
      <c r="T82" s="24">
        <f>VLOOKUP($C82,'[4]Revenue Data - FY19 MAR-YTD '!$C$3:$V$82,17,FALSE)</f>
        <v>4.3305387738259357E-2</v>
      </c>
      <c r="U82" s="24">
        <f>VLOOKUP($C82,'[4]Revenue Data - FY19 MAR-YTD '!$C$3:$V$82,18,FALSE)</f>
        <v>6.7984202813829803E-2</v>
      </c>
      <c r="V82" s="23">
        <f>VLOOKUP($C82,'[4]Revenue Data - FY19 MAR-YTD '!$C$3:$W$82,21,FALSE)</f>
        <v>0</v>
      </c>
      <c r="W82" s="24">
        <f t="shared" si="83"/>
        <v>1</v>
      </c>
      <c r="X82" s="24"/>
      <c r="Y82" s="25">
        <f t="shared" si="76"/>
        <v>841818.83677798684</v>
      </c>
      <c r="Z82" s="25">
        <f t="shared" si="77"/>
        <v>27742.529477549924</v>
      </c>
      <c r="AA82" s="25">
        <f t="shared" si="78"/>
        <v>42372.286548663084</v>
      </c>
      <c r="AB82" s="25">
        <f t="shared" si="79"/>
        <v>66519.347195800219</v>
      </c>
      <c r="AC82" s="25">
        <f t="shared" si="65"/>
        <v>0</v>
      </c>
      <c r="AD82" s="21">
        <f t="shared" si="84"/>
        <v>978453</v>
      </c>
      <c r="AE82" s="26">
        <f t="shared" si="66"/>
        <v>0</v>
      </c>
      <c r="AF82" s="27">
        <f t="shared" si="80"/>
        <v>0.98799999999999999</v>
      </c>
      <c r="AG82" s="27">
        <f t="shared" si="81"/>
        <v>0.13180000000000003</v>
      </c>
      <c r="AH82" s="27">
        <f t="shared" si="75"/>
        <v>0.86699999999999999</v>
      </c>
      <c r="AI82" s="27">
        <f t="shared" si="82"/>
        <v>0.83230000000000004</v>
      </c>
      <c r="AJ82" s="27">
        <v>0</v>
      </c>
      <c r="AT82" s="18">
        <f t="shared" si="86"/>
        <v>831717.01073665102</v>
      </c>
      <c r="AU82" s="18">
        <f t="shared" si="86"/>
        <v>3656.4653851410808</v>
      </c>
      <c r="AV82" s="18">
        <f t="shared" si="86"/>
        <v>36736.772437690895</v>
      </c>
      <c r="AW82" s="18">
        <f t="shared" si="86"/>
        <v>55364.052671064528</v>
      </c>
      <c r="AX82" s="18">
        <f t="shared" si="86"/>
        <v>0</v>
      </c>
      <c r="AY82" s="26">
        <f t="shared" si="87"/>
        <v>927474.30123054748</v>
      </c>
      <c r="AZ82" s="26"/>
      <c r="BA82" s="20">
        <f t="shared" si="88"/>
        <v>0.94789867395832761</v>
      </c>
      <c r="BB82" s="20">
        <f t="shared" si="89"/>
        <v>5.2101326041672391E-2</v>
      </c>
      <c r="BC82" s="9">
        <v>5500</v>
      </c>
      <c r="BD82" s="30">
        <f t="shared" si="67"/>
        <v>10101.826041335822</v>
      </c>
      <c r="BE82" s="30">
        <f t="shared" si="67"/>
        <v>24086.064092408844</v>
      </c>
      <c r="BF82" s="30">
        <f t="shared" si="67"/>
        <v>5635.5141109721881</v>
      </c>
      <c r="BG82" s="30">
        <f t="shared" si="67"/>
        <v>11155.294524735691</v>
      </c>
      <c r="BH82" s="30">
        <f t="shared" si="67"/>
        <v>0</v>
      </c>
      <c r="BI82" s="31">
        <f t="shared" si="68"/>
        <v>50978.698769452545</v>
      </c>
      <c r="BK82" s="9" t="str">
        <f t="shared" si="69"/>
        <v>45001223</v>
      </c>
      <c r="BL82" s="26">
        <f t="shared" si="70"/>
        <v>978453</v>
      </c>
    </row>
    <row r="83" spans="1:64">
      <c r="A83" s="10" t="str">
        <f t="shared" si="63"/>
        <v>4500</v>
      </c>
      <c r="B83" s="10" t="str">
        <f t="shared" si="64"/>
        <v>1224</v>
      </c>
      <c r="C83" s="35" t="s">
        <v>178</v>
      </c>
      <c r="D83" s="16">
        <v>850060</v>
      </c>
      <c r="E83" s="32" t="s">
        <v>179</v>
      </c>
      <c r="F83" s="18">
        <f>IFERROR(VLOOKUP(C83,'[4]Revenue Data - FY19 MAR-YTD '!$C$3:$Q$82,15,FALSE),0)</f>
        <v>-30064</v>
      </c>
      <c r="G83" s="18"/>
      <c r="H83" s="18">
        <f>SUM(F83:G83)</f>
        <v>-30064</v>
      </c>
      <c r="I83" s="18">
        <f>'[4]Statistics Projections'!J99</f>
        <v>81</v>
      </c>
      <c r="J83" s="18">
        <f t="shared" si="72"/>
        <v>-371.16049382716051</v>
      </c>
      <c r="K83" s="19"/>
      <c r="L83" s="20">
        <v>1</v>
      </c>
      <c r="M83" s="18">
        <f t="shared" si="85"/>
        <v>-371.16</v>
      </c>
      <c r="N83" s="19"/>
      <c r="O83" s="21">
        <f>'[4]Statistics Projections'!L99</f>
        <v>171</v>
      </c>
      <c r="P83" s="18">
        <f t="shared" si="74"/>
        <v>63468.360000000008</v>
      </c>
      <c r="Q83" s="22"/>
      <c r="R83" s="24">
        <f>VLOOKUP($C83,'[4]Revenue Data - FY19 MAR-YTD '!$C$3:$V$82,20,FALSE)</f>
        <v>0.59542974986695052</v>
      </c>
      <c r="S83" s="24">
        <f>VLOOKUP($C83,'[4]Revenue Data - FY19 MAR-YTD '!$C$3:$V$82,19,FALSE)</f>
        <v>0.33122671633847789</v>
      </c>
      <c r="T83" s="24">
        <f>VLOOKUP($C83,'[4]Revenue Data - FY19 MAR-YTD '!$C$3:$V$82,17,FALSE)</f>
        <v>7.3343533794571578E-2</v>
      </c>
      <c r="U83" s="24">
        <f>VLOOKUP($C83,'[4]Revenue Data - FY19 MAR-YTD '!$C$3:$V$82,18,FALSE)</f>
        <v>0</v>
      </c>
      <c r="V83" s="23">
        <f>VLOOKUP($C83,'[4]Revenue Data - FY19 MAR-YTD '!$C$3:$W$82,21,FALSE)</f>
        <v>0</v>
      </c>
      <c r="W83" s="24">
        <f t="shared" si="83"/>
        <v>1</v>
      </c>
      <c r="X83" s="24"/>
      <c r="Y83" s="25">
        <f t="shared" si="76"/>
        <v>37790.949719265569</v>
      </c>
      <c r="Z83" s="25">
        <f t="shared" si="77"/>
        <v>21022.416474188398</v>
      </c>
      <c r="AA83" s="25">
        <f t="shared" si="78"/>
        <v>4654.9938065460356</v>
      </c>
      <c r="AB83" s="25">
        <f t="shared" si="79"/>
        <v>0</v>
      </c>
      <c r="AC83" s="25">
        <f t="shared" si="65"/>
        <v>0</v>
      </c>
      <c r="AD83" s="21">
        <f t="shared" si="84"/>
        <v>63468.360000000008</v>
      </c>
      <c r="AE83" s="26">
        <f t="shared" si="66"/>
        <v>0</v>
      </c>
      <c r="AF83" s="27">
        <f t="shared" si="80"/>
        <v>0.98799999999999999</v>
      </c>
      <c r="AG83" s="27">
        <f t="shared" si="81"/>
        <v>0.13180000000000003</v>
      </c>
      <c r="AH83" s="27">
        <f t="shared" si="75"/>
        <v>0.86699999999999999</v>
      </c>
      <c r="AI83" s="27">
        <f t="shared" si="82"/>
        <v>0.83230000000000004</v>
      </c>
      <c r="AJ83" s="27">
        <v>0</v>
      </c>
      <c r="AT83" s="18">
        <f t="shared" si="86"/>
        <v>37337.458322634382</v>
      </c>
      <c r="AU83" s="18">
        <f t="shared" si="86"/>
        <v>2770.7544912980316</v>
      </c>
      <c r="AV83" s="18">
        <f t="shared" si="86"/>
        <v>4035.8796302754126</v>
      </c>
      <c r="AW83" s="18">
        <f t="shared" si="86"/>
        <v>0</v>
      </c>
      <c r="AX83" s="18">
        <f t="shared" si="86"/>
        <v>0</v>
      </c>
      <c r="AY83" s="26">
        <f t="shared" si="87"/>
        <v>44144.092444207825</v>
      </c>
      <c r="AZ83" s="26"/>
      <c r="BA83" s="20">
        <f t="shared" si="88"/>
        <v>0.69552911788185201</v>
      </c>
      <c r="BB83" s="20">
        <f t="shared" si="89"/>
        <v>0.30447088211814799</v>
      </c>
      <c r="BC83" s="9">
        <v>5500</v>
      </c>
      <c r="BD83" s="30">
        <f t="shared" si="67"/>
        <v>453.49139663118694</v>
      </c>
      <c r="BE83" s="30">
        <f t="shared" si="67"/>
        <v>18251.661982890368</v>
      </c>
      <c r="BF83" s="30">
        <f t="shared" si="67"/>
        <v>619.11417627062292</v>
      </c>
      <c r="BG83" s="30">
        <f t="shared" si="67"/>
        <v>0</v>
      </c>
      <c r="BH83" s="30">
        <f t="shared" si="67"/>
        <v>0</v>
      </c>
      <c r="BI83" s="31">
        <f t="shared" si="68"/>
        <v>19324.267555792176</v>
      </c>
      <c r="BK83" s="9" t="str">
        <f t="shared" si="69"/>
        <v>45001224</v>
      </c>
      <c r="BL83" s="26">
        <f t="shared" si="70"/>
        <v>63468.360000000008</v>
      </c>
    </row>
    <row r="84" spans="1:64">
      <c r="A84" s="36" t="str">
        <f t="shared" si="63"/>
        <v>4500</v>
      </c>
      <c r="B84" s="36" t="str">
        <f t="shared" si="64"/>
        <v>1245</v>
      </c>
      <c r="C84" s="56" t="s">
        <v>180</v>
      </c>
      <c r="D84" s="38">
        <v>820100</v>
      </c>
      <c r="E84" s="59" t="s">
        <v>112</v>
      </c>
      <c r="F84" s="43">
        <f>IFERROR(VLOOKUP(C84,'[4]Revenue Data - FY19 MAR-YTD '!$C$3:$Q$82,15,FALSE),0)</f>
        <v>0</v>
      </c>
      <c r="G84" s="43"/>
      <c r="H84" s="43">
        <f t="shared" si="71"/>
        <v>0</v>
      </c>
      <c r="I84" s="43"/>
      <c r="J84" s="43">
        <f t="shared" si="72"/>
        <v>0</v>
      </c>
      <c r="K84" s="41"/>
      <c r="L84" s="20">
        <v>1</v>
      </c>
      <c r="M84" s="43">
        <f t="shared" si="73"/>
        <v>0</v>
      </c>
      <c r="N84" s="39"/>
      <c r="O84" s="42">
        <v>0</v>
      </c>
      <c r="P84" s="43">
        <f t="shared" si="74"/>
        <v>0</v>
      </c>
      <c r="Q84" s="44"/>
      <c r="R84" s="45"/>
      <c r="S84" s="45"/>
      <c r="T84" s="45"/>
      <c r="U84" s="45"/>
      <c r="V84" s="45"/>
      <c r="W84" s="45"/>
      <c r="X84" s="45"/>
      <c r="Y84" s="63">
        <f t="shared" ref="Y84:AA85" si="90">L84*R84</f>
        <v>0</v>
      </c>
      <c r="Z84" s="63">
        <f t="shared" si="90"/>
        <v>0</v>
      </c>
      <c r="AA84" s="63">
        <f>N119*T84</f>
        <v>0</v>
      </c>
      <c r="AB84" s="63">
        <f t="shared" ref="AB84:AB85" si="91">O84*U84</f>
        <v>0</v>
      </c>
      <c r="AC84" s="63">
        <f t="shared" si="65"/>
        <v>0</v>
      </c>
      <c r="AD84" s="42">
        <f t="shared" si="84"/>
        <v>0</v>
      </c>
      <c r="AE84" s="26">
        <f t="shared" si="66"/>
        <v>0</v>
      </c>
      <c r="AF84" s="47">
        <f t="shared" si="80"/>
        <v>0.98799999999999999</v>
      </c>
      <c r="AG84" s="47">
        <f t="shared" si="81"/>
        <v>0.13180000000000003</v>
      </c>
      <c r="AH84" s="47">
        <f t="shared" si="75"/>
        <v>0.86699999999999999</v>
      </c>
      <c r="AI84" s="47">
        <f t="shared" si="82"/>
        <v>0.83230000000000004</v>
      </c>
      <c r="AJ84" s="47">
        <v>0</v>
      </c>
      <c r="AK84" s="39"/>
      <c r="AL84" s="39"/>
      <c r="AM84" s="39"/>
      <c r="AN84" s="39"/>
      <c r="AO84" s="39"/>
      <c r="AP84" s="39"/>
      <c r="AQ84" s="39"/>
      <c r="AR84" s="39"/>
      <c r="AS84" s="39"/>
      <c r="AT84" s="43"/>
      <c r="AU84" s="39"/>
      <c r="AV84" s="39"/>
      <c r="AW84" s="39"/>
      <c r="AX84" s="39"/>
      <c r="AY84" s="39"/>
      <c r="AZ84" s="39"/>
      <c r="BA84" s="39"/>
      <c r="BB84" s="39"/>
      <c r="BC84" s="39">
        <v>5500</v>
      </c>
      <c r="BD84" s="49">
        <f t="shared" si="67"/>
        <v>0</v>
      </c>
      <c r="BE84" s="49">
        <f t="shared" si="67"/>
        <v>0</v>
      </c>
      <c r="BF84" s="49">
        <f t="shared" si="67"/>
        <v>0</v>
      </c>
      <c r="BG84" s="49">
        <f t="shared" si="67"/>
        <v>0</v>
      </c>
      <c r="BH84" s="49">
        <f t="shared" si="67"/>
        <v>0</v>
      </c>
      <c r="BI84" s="50">
        <f t="shared" si="68"/>
        <v>0</v>
      </c>
      <c r="BJ84" s="39"/>
      <c r="BK84" s="39" t="str">
        <f t="shared" si="69"/>
        <v>45001245</v>
      </c>
      <c r="BL84" s="51">
        <f t="shared" si="70"/>
        <v>0</v>
      </c>
    </row>
    <row r="85" spans="1:64">
      <c r="A85" s="10" t="str">
        <f t="shared" si="63"/>
        <v>4600</v>
      </c>
      <c r="B85" s="10" t="str">
        <f t="shared" si="64"/>
        <v>1101</v>
      </c>
      <c r="C85" s="35" t="s">
        <v>181</v>
      </c>
      <c r="D85" s="16"/>
      <c r="F85" s="18">
        <f>IFERROR(VLOOKUP(C85,'[4]Revenue Data - FY19 MAR-YTD '!$C$3:$Q$82,15,FALSE),0)</f>
        <v>0</v>
      </c>
      <c r="G85" s="18"/>
      <c r="H85" s="18">
        <f t="shared" si="71"/>
        <v>0</v>
      </c>
      <c r="I85" s="18"/>
      <c r="J85" s="18">
        <f t="shared" si="72"/>
        <v>0</v>
      </c>
      <c r="K85" s="19"/>
      <c r="L85" s="20">
        <v>1</v>
      </c>
      <c r="M85" s="18">
        <f t="shared" si="73"/>
        <v>0</v>
      </c>
      <c r="N85" s="19"/>
      <c r="O85" s="21">
        <v>0</v>
      </c>
      <c r="P85" s="18">
        <f t="shared" si="74"/>
        <v>0</v>
      </c>
      <c r="Q85" s="22"/>
      <c r="R85" s="24"/>
      <c r="S85" s="24"/>
      <c r="T85" s="24"/>
      <c r="U85" s="24"/>
      <c r="V85" s="24"/>
      <c r="W85" s="24"/>
      <c r="X85" s="24"/>
      <c r="Y85" s="25">
        <f t="shared" si="90"/>
        <v>0</v>
      </c>
      <c r="Z85" s="25">
        <f t="shared" si="90"/>
        <v>0</v>
      </c>
      <c r="AA85" s="25">
        <f t="shared" si="90"/>
        <v>0</v>
      </c>
      <c r="AB85" s="25">
        <f t="shared" si="91"/>
        <v>0</v>
      </c>
      <c r="AC85" s="25">
        <f t="shared" si="65"/>
        <v>0</v>
      </c>
      <c r="AD85" s="21">
        <f t="shared" si="84"/>
        <v>0</v>
      </c>
      <c r="AE85" s="26">
        <f t="shared" si="66"/>
        <v>0</v>
      </c>
      <c r="AF85" s="27"/>
      <c r="AG85" s="27"/>
      <c r="AH85" s="27"/>
      <c r="AI85" s="27"/>
      <c r="AJ85" s="27"/>
      <c r="BC85" s="9">
        <v>5600</v>
      </c>
      <c r="BD85" s="30">
        <f t="shared" si="67"/>
        <v>0</v>
      </c>
      <c r="BE85" s="30">
        <f t="shared" si="67"/>
        <v>0</v>
      </c>
      <c r="BF85" s="30">
        <f t="shared" si="67"/>
        <v>0</v>
      </c>
      <c r="BG85" s="30">
        <f t="shared" si="67"/>
        <v>0</v>
      </c>
      <c r="BH85" s="30">
        <f t="shared" si="67"/>
        <v>0</v>
      </c>
      <c r="BI85" s="31">
        <f t="shared" si="68"/>
        <v>0</v>
      </c>
      <c r="BK85" s="9" t="str">
        <f t="shared" si="69"/>
        <v>46001101</v>
      </c>
      <c r="BL85" s="26">
        <f t="shared" si="70"/>
        <v>0</v>
      </c>
    </row>
    <row r="86" spans="1:64">
      <c r="A86" s="10" t="str">
        <f t="shared" si="63"/>
        <v>4600</v>
      </c>
      <c r="B86" s="10" t="str">
        <f t="shared" si="64"/>
        <v>1104</v>
      </c>
      <c r="C86" s="35" t="s">
        <v>182</v>
      </c>
      <c r="D86" s="16">
        <v>860010</v>
      </c>
      <c r="E86" s="32" t="s">
        <v>183</v>
      </c>
      <c r="F86" s="18">
        <f>IFERROR(VLOOKUP(C86,'[4]Revenue Data - FY19 MAR-YTD '!$C$3:$Q$82,15,FALSE),0)</f>
        <v>-262699.2</v>
      </c>
      <c r="G86" s="18"/>
      <c r="H86" s="18">
        <f t="shared" si="71"/>
        <v>-262699.2</v>
      </c>
      <c r="I86" s="18">
        <f>'[4]Statistics Projections'!J15</f>
        <v>1047</v>
      </c>
      <c r="J86" s="18">
        <f t="shared" si="72"/>
        <v>-250.90659025787966</v>
      </c>
      <c r="K86" s="19"/>
      <c r="L86" s="20">
        <v>1</v>
      </c>
      <c r="M86" s="18">
        <f>ROUND(J86*L86,2)</f>
        <v>-250.91</v>
      </c>
      <c r="N86" s="19"/>
      <c r="O86" s="21">
        <f>'[4]Statistics Projections'!L15</f>
        <v>2112</v>
      </c>
      <c r="P86" s="18">
        <f t="shared" si="74"/>
        <v>529921.92000000004</v>
      </c>
      <c r="Q86" s="22"/>
      <c r="R86" s="24">
        <f>VLOOKUP($C86,'[4]Revenue Data - FY19 MAR-YTD '!$C$3:$V$82,20,FALSE)</f>
        <v>0.63639211691546838</v>
      </c>
      <c r="S86" s="24">
        <f>VLOOKUP($C86,'[4]Revenue Data - FY19 MAR-YTD '!$C$3:$V$82,19,FALSE)</f>
        <v>0.10002504765907166</v>
      </c>
      <c r="T86" s="24">
        <f>VLOOKUP($C86,'[4]Revenue Data - FY19 MAR-YTD '!$C$3:$V$82,17,FALSE)</f>
        <v>0.12601484892226547</v>
      </c>
      <c r="U86" s="24">
        <f>VLOOKUP($C86,'[4]Revenue Data - FY19 MAR-YTD '!$C$3:$V$82,18,FALSE)</f>
        <v>0.13756798650319452</v>
      </c>
      <c r="V86" s="23">
        <f>VLOOKUP($C86,'[4]Revenue Data - FY19 MAR-YTD '!$C$3:$W$82,21,FALSE)</f>
        <v>0</v>
      </c>
      <c r="W86" s="24">
        <f>SUM(R86:V86)</f>
        <v>1</v>
      </c>
      <c r="X86" s="24"/>
      <c r="Y86" s="25">
        <f>P86*R86</f>
        <v>337238.13246870949</v>
      </c>
      <c r="Z86" s="25">
        <f>P86*S86</f>
        <v>53005.465303586767</v>
      </c>
      <c r="AA86" s="25">
        <f>P86*T86</f>
        <v>66778.030689396852</v>
      </c>
      <c r="AB86" s="25">
        <f>P86*U86</f>
        <v>72900.291538306934</v>
      </c>
      <c r="AC86" s="25">
        <f>P86*V86</f>
        <v>0</v>
      </c>
      <c r="AD86" s="21">
        <f>SUM(Y86:AC86)</f>
        <v>529921.92000000004</v>
      </c>
      <c r="AE86" s="26">
        <f t="shared" si="66"/>
        <v>0</v>
      </c>
      <c r="AF86" s="27">
        <f>1-0.6385</f>
        <v>0.36150000000000004</v>
      </c>
      <c r="AG86" s="27">
        <f>1-0.6604</f>
        <v>0.33960000000000001</v>
      </c>
      <c r="AH86" s="27">
        <f>1-0.4591-0.0839</f>
        <v>0.45699999999999996</v>
      </c>
      <c r="AI86" s="27">
        <f>1-0.4622</f>
        <v>0.53780000000000006</v>
      </c>
      <c r="AJ86" s="27">
        <v>0</v>
      </c>
      <c r="AT86" s="18">
        <f>Y86*AF86</f>
        <v>121911.5848874385</v>
      </c>
      <c r="AU86" s="18">
        <f>Z86*AG86</f>
        <v>18000.656017098067</v>
      </c>
      <c r="AV86" s="18">
        <f>AA86*AH86</f>
        <v>30517.560025054358</v>
      </c>
      <c r="AW86" s="18">
        <f>AB86*AI86</f>
        <v>39205.776789301475</v>
      </c>
      <c r="AX86" s="18">
        <f>AC86*AJ86</f>
        <v>0</v>
      </c>
      <c r="AY86" s="26">
        <f>SUM(AT86:AX86)</f>
        <v>209635.5777188924</v>
      </c>
      <c r="AZ86" s="26"/>
      <c r="BA86" s="20">
        <f>AY86/AD86</f>
        <v>0.39559710554885591</v>
      </c>
      <c r="BB86" s="20">
        <f>1-BA86</f>
        <v>0.60440289445114415</v>
      </c>
      <c r="BC86" s="9">
        <v>5600</v>
      </c>
      <c r="BD86" s="30">
        <f t="shared" si="67"/>
        <v>215326.54758127098</v>
      </c>
      <c r="BE86" s="30">
        <f t="shared" si="67"/>
        <v>35004.8092864887</v>
      </c>
      <c r="BF86" s="30">
        <f t="shared" si="67"/>
        <v>36260.470664342494</v>
      </c>
      <c r="BG86" s="30">
        <f t="shared" si="67"/>
        <v>33694.514749005459</v>
      </c>
      <c r="BH86" s="30">
        <f t="shared" si="67"/>
        <v>0</v>
      </c>
      <c r="BI86" s="31">
        <f t="shared" si="68"/>
        <v>320286.34228110762</v>
      </c>
      <c r="BK86" s="9" t="str">
        <f t="shared" si="69"/>
        <v>46001104</v>
      </c>
      <c r="BL86" s="26">
        <f t="shared" si="70"/>
        <v>529921.92000000004</v>
      </c>
    </row>
    <row r="87" spans="1:64">
      <c r="A87" s="10" t="str">
        <f t="shared" si="63"/>
        <v>4600</v>
      </c>
      <c r="B87" s="10" t="str">
        <f t="shared" si="64"/>
        <v>1106</v>
      </c>
      <c r="C87" s="35" t="s">
        <v>184</v>
      </c>
      <c r="D87" s="16"/>
      <c r="F87" s="18">
        <f>IFERROR(VLOOKUP(C87,'[4]Revenue Data - FY19 MAR-YTD '!$C$3:$Q$82,15,FALSE),0)</f>
        <v>0</v>
      </c>
      <c r="G87" s="18"/>
      <c r="H87" s="18">
        <f t="shared" si="71"/>
        <v>0</v>
      </c>
      <c r="I87" s="18">
        <v>0</v>
      </c>
      <c r="J87" s="18">
        <f t="shared" si="72"/>
        <v>0</v>
      </c>
      <c r="K87" s="19"/>
      <c r="L87" s="20">
        <v>1</v>
      </c>
      <c r="M87" s="18">
        <f t="shared" si="73"/>
        <v>0</v>
      </c>
      <c r="N87" s="19"/>
      <c r="O87" s="21">
        <v>0</v>
      </c>
      <c r="P87" s="18">
        <f t="shared" si="74"/>
        <v>0</v>
      </c>
      <c r="Q87" s="22"/>
      <c r="R87" s="24"/>
      <c r="S87" s="24"/>
      <c r="T87" s="24"/>
      <c r="U87" s="24"/>
      <c r="V87" s="24"/>
      <c r="W87" s="24"/>
      <c r="X87" s="24"/>
      <c r="Y87" s="25">
        <f>P87*R87</f>
        <v>0</v>
      </c>
      <c r="Z87" s="25">
        <f>P87*S87</f>
        <v>0</v>
      </c>
      <c r="AA87" s="25">
        <f>P87*T87</f>
        <v>0</v>
      </c>
      <c r="AB87" s="25">
        <f>P87*U87</f>
        <v>0</v>
      </c>
      <c r="AC87" s="25">
        <f>P87*V87</f>
        <v>0</v>
      </c>
      <c r="AD87" s="21">
        <f>SUM(Y87:AC87)</f>
        <v>0</v>
      </c>
      <c r="AE87" s="26">
        <f t="shared" si="66"/>
        <v>0</v>
      </c>
      <c r="AF87" s="27"/>
      <c r="AG87" s="27"/>
      <c r="AH87" s="27"/>
      <c r="AI87" s="27"/>
      <c r="AJ87" s="27"/>
      <c r="AT87" s="18"/>
      <c r="AU87" s="18"/>
      <c r="AV87" s="18"/>
      <c r="AW87" s="18"/>
      <c r="AX87" s="18"/>
      <c r="AY87" s="26"/>
      <c r="AZ87" s="26"/>
      <c r="BA87" s="20"/>
      <c r="BB87" s="20"/>
      <c r="BC87" s="9">
        <v>5600</v>
      </c>
      <c r="BD87" s="30">
        <f t="shared" si="67"/>
        <v>0</v>
      </c>
      <c r="BE87" s="30">
        <f t="shared" si="67"/>
        <v>0</v>
      </c>
      <c r="BF87" s="30">
        <f t="shared" si="67"/>
        <v>0</v>
      </c>
      <c r="BG87" s="30">
        <f t="shared" si="67"/>
        <v>0</v>
      </c>
      <c r="BH87" s="30">
        <f t="shared" si="67"/>
        <v>0</v>
      </c>
      <c r="BI87" s="31">
        <f t="shared" si="68"/>
        <v>0</v>
      </c>
      <c r="BK87" s="9" t="str">
        <f t="shared" si="69"/>
        <v>46001106</v>
      </c>
      <c r="BL87" s="26">
        <f t="shared" si="70"/>
        <v>0</v>
      </c>
    </row>
    <row r="88" spans="1:64">
      <c r="A88" s="10" t="str">
        <f t="shared" si="63"/>
        <v>4600</v>
      </c>
      <c r="B88" s="10" t="str">
        <f t="shared" si="64"/>
        <v>1172</v>
      </c>
      <c r="C88" s="35" t="s">
        <v>185</v>
      </c>
      <c r="D88" s="16">
        <v>860010</v>
      </c>
      <c r="E88" s="32" t="s">
        <v>186</v>
      </c>
      <c r="F88" s="18">
        <f>IFERROR(VLOOKUP(C88,'[4]Revenue Data - FY19 MAR-YTD '!$C$3:$Q$82,15,FALSE),0)</f>
        <v>-468565.1</v>
      </c>
      <c r="G88" s="18"/>
      <c r="H88" s="18">
        <f t="shared" si="71"/>
        <v>-468565.1</v>
      </c>
      <c r="I88" s="18">
        <f>'[4]Statistics Projections'!J17</f>
        <v>1831</v>
      </c>
      <c r="J88" s="18">
        <f t="shared" si="72"/>
        <v>-255.90666302566902</v>
      </c>
      <c r="K88" s="19"/>
      <c r="L88" s="20">
        <v>1</v>
      </c>
      <c r="M88" s="18">
        <f>ROUND(J88*L88,2)</f>
        <v>-255.91</v>
      </c>
      <c r="N88" s="19"/>
      <c r="O88" s="21">
        <f>'[4]Statistics Projections'!L17</f>
        <v>3659</v>
      </c>
      <c r="P88" s="18">
        <f t="shared" si="74"/>
        <v>936374.69</v>
      </c>
      <c r="Q88" s="22"/>
      <c r="R88" s="24">
        <f>VLOOKUP($C88,'[4]Revenue Data - FY19 MAR-YTD '!$C$3:$V$82,20,FALSE)</f>
        <v>0.80714099278840867</v>
      </c>
      <c r="S88" s="24">
        <f>VLOOKUP($C88,'[4]Revenue Data - FY19 MAR-YTD '!$C$3:$V$82,19,FALSE)</f>
        <v>5.9692879388584426E-2</v>
      </c>
      <c r="T88" s="24">
        <f>VLOOKUP($C88,'[4]Revenue Data - FY19 MAR-YTD '!$C$3:$V$82,17,FALSE)</f>
        <v>7.3163793035375457E-2</v>
      </c>
      <c r="U88" s="24">
        <f>VLOOKUP($C88,'[4]Revenue Data - FY19 MAR-YTD '!$C$3:$V$82,18,FALSE)</f>
        <v>5.734528670615887E-2</v>
      </c>
      <c r="V88" s="23">
        <f>VLOOKUP($C88,'[4]Revenue Data - FY19 MAR-YTD '!$C$3:$W$82,21,FALSE)</f>
        <v>2.6570480814725639E-3</v>
      </c>
      <c r="W88" s="24">
        <f>SUM(R88:V88)</f>
        <v>1</v>
      </c>
      <c r="X88" s="24"/>
      <c r="Y88" s="25">
        <f>P88*R88</f>
        <v>755786.39690853842</v>
      </c>
      <c r="Z88" s="25">
        <f>P88*S88</f>
        <v>55894.901432693128</v>
      </c>
      <c r="AA88" s="25">
        <f>P88*T88</f>
        <v>68508.724022723851</v>
      </c>
      <c r="AB88" s="25">
        <f>P88*U88</f>
        <v>53696.675062440627</v>
      </c>
      <c r="AC88" s="25">
        <f>P88*V88</f>
        <v>2487.9925736039668</v>
      </c>
      <c r="AD88" s="21">
        <f>SUM(Y88:AC88)</f>
        <v>936374.69</v>
      </c>
      <c r="AE88" s="26">
        <f t="shared" si="66"/>
        <v>0</v>
      </c>
      <c r="AF88" s="27">
        <f t="shared" ref="AF88:AF89" si="92">1-0.6385</f>
        <v>0.36150000000000004</v>
      </c>
      <c r="AG88" s="27">
        <f t="shared" ref="AG88:AG89" si="93">1-0.6604</f>
        <v>0.33960000000000001</v>
      </c>
      <c r="AH88" s="27">
        <f>1-0.4591-0.0839</f>
        <v>0.45699999999999996</v>
      </c>
      <c r="AI88" s="27">
        <f t="shared" ref="AI88:AI89" si="94">1-0.4622</f>
        <v>0.53780000000000006</v>
      </c>
      <c r="AJ88" s="27">
        <v>0</v>
      </c>
      <c r="AT88" s="18">
        <f t="shared" ref="AT88:AX89" si="95">Y88*AF88</f>
        <v>273216.78248243668</v>
      </c>
      <c r="AU88" s="18">
        <f t="shared" si="95"/>
        <v>18981.908526542586</v>
      </c>
      <c r="AV88" s="18">
        <f t="shared" si="95"/>
        <v>31308.486878384796</v>
      </c>
      <c r="AW88" s="18">
        <f t="shared" si="95"/>
        <v>28878.071848580574</v>
      </c>
      <c r="AX88" s="18">
        <f t="shared" si="95"/>
        <v>0</v>
      </c>
      <c r="AY88" s="26">
        <f>SUM(AT88:AX88)</f>
        <v>352385.24973594461</v>
      </c>
      <c r="AZ88" s="26"/>
      <c r="BA88" s="20">
        <f>AY88/AD88</f>
        <v>0.37632931934111186</v>
      </c>
      <c r="BB88" s="20">
        <f>1-BA88</f>
        <v>0.62367068065888809</v>
      </c>
      <c r="BC88" s="9">
        <v>5600</v>
      </c>
      <c r="BD88" s="30">
        <f t="shared" si="67"/>
        <v>482569.61442610173</v>
      </c>
      <c r="BE88" s="30">
        <f t="shared" si="67"/>
        <v>36912.992906150539</v>
      </c>
      <c r="BF88" s="30">
        <f t="shared" si="67"/>
        <v>37200.237144339058</v>
      </c>
      <c r="BG88" s="30">
        <f t="shared" si="67"/>
        <v>24818.603213860053</v>
      </c>
      <c r="BH88" s="30">
        <f t="shared" si="67"/>
        <v>2487.9925736039668</v>
      </c>
      <c r="BI88" s="31">
        <f t="shared" si="68"/>
        <v>583989.44026405539</v>
      </c>
      <c r="BK88" s="9" t="str">
        <f t="shared" si="69"/>
        <v>46001172</v>
      </c>
      <c r="BL88" s="26">
        <f t="shared" si="70"/>
        <v>936374.69</v>
      </c>
    </row>
    <row r="89" spans="1:64">
      <c r="A89" s="10" t="str">
        <f t="shared" si="63"/>
        <v>4600</v>
      </c>
      <c r="B89" s="10" t="str">
        <f t="shared" si="64"/>
        <v>1210</v>
      </c>
      <c r="C89" s="35" t="s">
        <v>187</v>
      </c>
      <c r="D89" s="16">
        <v>860010</v>
      </c>
      <c r="E89" s="32" t="s">
        <v>188</v>
      </c>
      <c r="F89" s="18">
        <f>IFERROR(VLOOKUP(C89,'[4]Revenue Data - FY19 MAR-YTD '!$C$3:$Q$82,15,FALSE),0)</f>
        <v>-1146627.73</v>
      </c>
      <c r="G89" s="18"/>
      <c r="H89" s="18">
        <f t="shared" si="71"/>
        <v>-1146627.73</v>
      </c>
      <c r="I89" s="18">
        <f>'[4]Statistics Projections'!J23</f>
        <v>2335</v>
      </c>
      <c r="J89" s="18">
        <f t="shared" si="72"/>
        <v>-491.06112633832976</v>
      </c>
      <c r="K89" s="19"/>
      <c r="L89" s="20">
        <v>1</v>
      </c>
      <c r="M89" s="18">
        <f>ROUND(J89*L89,2)</f>
        <v>-491.06</v>
      </c>
      <c r="N89" s="19"/>
      <c r="O89" s="21">
        <f>'[4]Statistics Projections'!L23</f>
        <v>4729</v>
      </c>
      <c r="P89" s="18">
        <f t="shared" si="74"/>
        <v>2322222.7400000002</v>
      </c>
      <c r="Q89" s="22"/>
      <c r="R89" s="24">
        <f>VLOOKUP($C89,'[4]Revenue Data - FY19 MAR-YTD '!$C$3:$V$82,20,FALSE)</f>
        <v>0.4435903534270883</v>
      </c>
      <c r="S89" s="24">
        <f>VLOOKUP($C89,'[4]Revenue Data - FY19 MAR-YTD '!$C$3:$V$82,19,FALSE)</f>
        <v>0.20579840677671385</v>
      </c>
      <c r="T89" s="24">
        <f>VLOOKUP($C89,'[4]Revenue Data - FY19 MAR-YTD '!$C$3:$V$82,17,FALSE)</f>
        <v>0.16014351929200246</v>
      </c>
      <c r="U89" s="24">
        <f>VLOOKUP($C89,'[4]Revenue Data - FY19 MAR-YTD '!$C$3:$V$82,18,FALSE)</f>
        <v>0.15031345003316815</v>
      </c>
      <c r="V89" s="23">
        <f>VLOOKUP($C89,'[4]Revenue Data - FY19 MAR-YTD '!$C$3:$W$82,21,FALSE)</f>
        <v>4.0154270471027244E-2</v>
      </c>
      <c r="W89" s="24">
        <f>SUM(R89:V89)</f>
        <v>1</v>
      </c>
      <c r="X89" s="24"/>
      <c r="Y89" s="25">
        <f>P89*R89</f>
        <v>1030115.6059730215</v>
      </c>
      <c r="Z89" s="25">
        <f>P89*S89</f>
        <v>477909.74007265503</v>
      </c>
      <c r="AA89" s="25">
        <f>P89*T89</f>
        <v>371888.92216351687</v>
      </c>
      <c r="AB89" s="25">
        <f>P89*U89</f>
        <v>349061.31179487688</v>
      </c>
      <c r="AC89" s="25">
        <f>P89*V89</f>
        <v>93247.159995929993</v>
      </c>
      <c r="AD89" s="21">
        <f>SUM(Y89:AC89)</f>
        <v>2322222.7400000002</v>
      </c>
      <c r="AE89" s="26">
        <f t="shared" si="66"/>
        <v>0</v>
      </c>
      <c r="AF89" s="27">
        <f t="shared" si="92"/>
        <v>0.36150000000000004</v>
      </c>
      <c r="AG89" s="27">
        <f t="shared" si="93"/>
        <v>0.33960000000000001</v>
      </c>
      <c r="AH89" s="27">
        <f>1-0.4591-0.0839</f>
        <v>0.45699999999999996</v>
      </c>
      <c r="AI89" s="27">
        <f t="shared" si="94"/>
        <v>0.53780000000000006</v>
      </c>
      <c r="AJ89" s="27">
        <v>0</v>
      </c>
      <c r="AT89" s="18">
        <f t="shared" si="95"/>
        <v>372386.7915592473</v>
      </c>
      <c r="AU89" s="18">
        <f t="shared" si="95"/>
        <v>162298.14772867365</v>
      </c>
      <c r="AV89" s="18">
        <f t="shared" si="95"/>
        <v>169953.23742872718</v>
      </c>
      <c r="AW89" s="18">
        <f t="shared" si="95"/>
        <v>187725.1734832848</v>
      </c>
      <c r="AX89" s="18">
        <f t="shared" si="95"/>
        <v>0</v>
      </c>
      <c r="AY89" s="26">
        <f>SUM(AT89:AX89)</f>
        <v>892363.35019993293</v>
      </c>
      <c r="AZ89" s="26"/>
      <c r="BA89" s="20">
        <f>AY89/AD89</f>
        <v>0.3842712134495474</v>
      </c>
      <c r="BB89" s="20">
        <f>1-BA89</f>
        <v>0.6157287865504526</v>
      </c>
      <c r="BC89" s="9">
        <v>5600</v>
      </c>
      <c r="BD89" s="30">
        <f t="shared" si="67"/>
        <v>657728.81441377418</v>
      </c>
      <c r="BE89" s="30">
        <f t="shared" si="67"/>
        <v>315611.59234398138</v>
      </c>
      <c r="BF89" s="30">
        <f t="shared" si="67"/>
        <v>201935.68473478968</v>
      </c>
      <c r="BG89" s="30">
        <f t="shared" si="67"/>
        <v>161336.13831159208</v>
      </c>
      <c r="BH89" s="30">
        <f t="shared" si="67"/>
        <v>93247.159995929993</v>
      </c>
      <c r="BI89" s="31">
        <f t="shared" si="68"/>
        <v>1429859.3898000675</v>
      </c>
      <c r="BK89" s="9" t="str">
        <f t="shared" si="69"/>
        <v>46001210</v>
      </c>
      <c r="BL89" s="26">
        <f t="shared" si="70"/>
        <v>2322222.7400000002</v>
      </c>
    </row>
    <row r="90" spans="1:64">
      <c r="A90" s="10" t="str">
        <f t="shared" si="63"/>
        <v>4600</v>
      </c>
      <c r="B90" s="10" t="str">
        <f t="shared" si="64"/>
        <v>1211</v>
      </c>
      <c r="C90" s="35" t="s">
        <v>189</v>
      </c>
      <c r="D90" s="16">
        <v>860010</v>
      </c>
      <c r="E90" s="32" t="s">
        <v>190</v>
      </c>
      <c r="F90" s="18">
        <f>IFERROR(VLOOKUP(C90,'[4]Revenue Data - FY19 MAR-YTD '!$C$3:$Q$82,15,FALSE),0)</f>
        <v>0</v>
      </c>
      <c r="G90" s="18"/>
      <c r="H90" s="18">
        <f t="shared" si="71"/>
        <v>0</v>
      </c>
      <c r="I90" s="18"/>
      <c r="J90" s="18">
        <f t="shared" si="72"/>
        <v>0</v>
      </c>
      <c r="K90" s="19"/>
      <c r="L90" s="20">
        <v>1</v>
      </c>
      <c r="M90" s="18">
        <f t="shared" si="73"/>
        <v>0</v>
      </c>
      <c r="N90" s="19"/>
      <c r="O90" s="21">
        <v>0</v>
      </c>
      <c r="P90" s="18">
        <f t="shared" si="74"/>
        <v>0</v>
      </c>
      <c r="Q90" s="22"/>
      <c r="R90" s="24"/>
      <c r="S90" s="24"/>
      <c r="T90" s="24"/>
      <c r="U90" s="24"/>
      <c r="V90" s="24"/>
      <c r="W90" s="24"/>
      <c r="X90" s="24"/>
      <c r="Y90" s="10">
        <v>0</v>
      </c>
      <c r="Z90" s="10">
        <v>0</v>
      </c>
      <c r="AA90" s="10">
        <v>0</v>
      </c>
      <c r="AB90" s="10">
        <v>0</v>
      </c>
      <c r="AC90" s="10">
        <v>0</v>
      </c>
      <c r="AD90" s="10">
        <v>0</v>
      </c>
      <c r="AE90" s="26">
        <f t="shared" si="66"/>
        <v>0</v>
      </c>
      <c r="AF90" s="27"/>
      <c r="AG90" s="27"/>
      <c r="AH90" s="27"/>
      <c r="AI90" s="27"/>
      <c r="AJ90" s="27"/>
      <c r="BC90" s="9">
        <v>5600</v>
      </c>
      <c r="BD90" s="30">
        <f t="shared" si="67"/>
        <v>0</v>
      </c>
      <c r="BE90" s="30">
        <f t="shared" si="67"/>
        <v>0</v>
      </c>
      <c r="BF90" s="30">
        <f t="shared" si="67"/>
        <v>0</v>
      </c>
      <c r="BG90" s="30">
        <f t="shared" si="67"/>
        <v>0</v>
      </c>
      <c r="BH90" s="30">
        <f t="shared" si="67"/>
        <v>0</v>
      </c>
      <c r="BI90" s="31">
        <f t="shared" si="68"/>
        <v>0</v>
      </c>
      <c r="BK90" s="9" t="str">
        <f t="shared" si="69"/>
        <v>46001211</v>
      </c>
      <c r="BL90" s="26">
        <f t="shared" si="70"/>
        <v>0</v>
      </c>
    </row>
    <row r="91" spans="1:64">
      <c r="A91" s="10" t="str">
        <f t="shared" si="63"/>
        <v>4600</v>
      </c>
      <c r="B91" s="10" t="str">
        <f t="shared" si="64"/>
        <v>1215</v>
      </c>
      <c r="C91" s="35" t="s">
        <v>191</v>
      </c>
      <c r="D91" s="16">
        <v>860125</v>
      </c>
      <c r="E91" s="32" t="s">
        <v>192</v>
      </c>
      <c r="F91" s="18">
        <f>IFERROR(VLOOKUP(C91,'[4]Revenue Data - FY19 MAR-YTD '!$C$3:$Q$82,15,FALSE),0)</f>
        <v>-464915</v>
      </c>
      <c r="G91" s="18"/>
      <c r="H91" s="18">
        <f t="shared" si="71"/>
        <v>-464915</v>
      </c>
      <c r="I91" s="18">
        <f>'[4]Statistics Projections'!J33</f>
        <v>755</v>
      </c>
      <c r="J91" s="18">
        <f t="shared" si="72"/>
        <v>-615.78145695364242</v>
      </c>
      <c r="K91" s="19"/>
      <c r="L91" s="20">
        <v>1</v>
      </c>
      <c r="M91" s="18">
        <f>ROUND(J91*L91,2)</f>
        <v>-615.78</v>
      </c>
      <c r="N91" s="19"/>
      <c r="O91" s="21">
        <f>'[4]Statistics Projections'!L33</f>
        <v>1613.6730135142573</v>
      </c>
      <c r="P91" s="18">
        <f t="shared" si="74"/>
        <v>993667.5682618093</v>
      </c>
      <c r="Q91" s="22"/>
      <c r="R91" s="24">
        <f>VLOOKUP($C91,'[4]Revenue Data - FY19 MAR-YTD '!$C$3:$V$82,20,FALSE)</f>
        <v>0.4795500252734371</v>
      </c>
      <c r="S91" s="24">
        <f>VLOOKUP($C91,'[4]Revenue Data - FY19 MAR-YTD '!$C$3:$V$82,19,FALSE)</f>
        <v>5.3091425314304767E-2</v>
      </c>
      <c r="T91" s="24">
        <f>VLOOKUP($C91,'[4]Revenue Data - FY19 MAR-YTD '!$C$3:$V$82,17,FALSE)</f>
        <v>0.24352838690943507</v>
      </c>
      <c r="U91" s="24">
        <f>VLOOKUP($C91,'[4]Revenue Data - FY19 MAR-YTD '!$C$3:$V$82,18,FALSE)</f>
        <v>0.21877977694847445</v>
      </c>
      <c r="V91" s="23">
        <f>VLOOKUP($C91,'[4]Revenue Data - FY19 MAR-YTD '!$C$3:$W$82,21,FALSE)</f>
        <v>5.0503855543486444E-3</v>
      </c>
      <c r="W91" s="24">
        <f>SUM(R91:V91)</f>
        <v>1</v>
      </c>
      <c r="X91" s="24"/>
      <c r="Y91" s="25">
        <f>P91*R91</f>
        <v>476513.30747334543</v>
      </c>
      <c r="Z91" s="25">
        <f>P91*S91</f>
        <v>52755.227487618686</v>
      </c>
      <c r="AA91" s="25">
        <f>P91*T91</f>
        <v>241986.26002301936</v>
      </c>
      <c r="AB91" s="25">
        <f>P91*U91</f>
        <v>217394.36894525166</v>
      </c>
      <c r="AC91" s="25">
        <f>P91*V91</f>
        <v>5018.4043325741868</v>
      </c>
      <c r="AD91" s="21">
        <f>SUM(Y91:AC91)</f>
        <v>993667.56826180941</v>
      </c>
      <c r="AE91" s="26">
        <f t="shared" si="66"/>
        <v>0</v>
      </c>
      <c r="AF91" s="27">
        <f>1-0.6385</f>
        <v>0.36150000000000004</v>
      </c>
      <c r="AG91" s="27">
        <f>1-0.6604</f>
        <v>0.33960000000000001</v>
      </c>
      <c r="AH91" s="27">
        <f>1-0.4591-0.0839</f>
        <v>0.45699999999999996</v>
      </c>
      <c r="AI91" s="27">
        <f>1-0.4622</f>
        <v>0.53780000000000006</v>
      </c>
      <c r="AJ91" s="27">
        <v>0</v>
      </c>
      <c r="AT91" s="18">
        <f>Y91*AF91</f>
        <v>172259.56065161439</v>
      </c>
      <c r="AU91" s="18">
        <f>Z91*AG91</f>
        <v>17915.675254795307</v>
      </c>
      <c r="AV91" s="18">
        <f>AA91*AH91</f>
        <v>110587.72083051984</v>
      </c>
      <c r="AW91" s="18">
        <f>AB91*AI91</f>
        <v>116914.69161875635</v>
      </c>
      <c r="AX91" s="18">
        <f>AC91*AJ91</f>
        <v>0</v>
      </c>
      <c r="AY91" s="26">
        <f>SUM(AT91:AX91)</f>
        <v>417677.64835568587</v>
      </c>
      <c r="AZ91" s="26"/>
      <c r="BA91" s="20">
        <f>AY91/AD91</f>
        <v>0.42033941903358674</v>
      </c>
      <c r="BB91" s="20">
        <f>1-BA91</f>
        <v>0.57966058096641326</v>
      </c>
      <c r="BC91" s="9">
        <v>5600</v>
      </c>
      <c r="BD91" s="30">
        <f t="shared" si="67"/>
        <v>304253.74682173104</v>
      </c>
      <c r="BE91" s="30">
        <f t="shared" si="67"/>
        <v>34839.552232823378</v>
      </c>
      <c r="BF91" s="30">
        <f t="shared" si="67"/>
        <v>131398.53919249953</v>
      </c>
      <c r="BG91" s="30">
        <f t="shared" si="67"/>
        <v>100479.67732649531</v>
      </c>
      <c r="BH91" s="30">
        <f t="shared" si="67"/>
        <v>5018.4043325741868</v>
      </c>
      <c r="BI91" s="31">
        <f t="shared" si="68"/>
        <v>575989.91990612354</v>
      </c>
      <c r="BK91" s="9" t="str">
        <f t="shared" si="69"/>
        <v>46001215</v>
      </c>
      <c r="BL91" s="26">
        <f t="shared" si="70"/>
        <v>993667.5682618093</v>
      </c>
    </row>
    <row r="92" spans="1:64">
      <c r="A92" s="10" t="str">
        <f t="shared" si="63"/>
        <v>4600</v>
      </c>
      <c r="B92" s="10" t="str">
        <f t="shared" si="64"/>
        <v>1216</v>
      </c>
      <c r="C92" s="35" t="s">
        <v>193</v>
      </c>
      <c r="D92" s="16">
        <v>860010</v>
      </c>
      <c r="E92" s="32" t="s">
        <v>194</v>
      </c>
      <c r="F92" s="18">
        <f>IFERROR(VLOOKUP(C92,'[4]Revenue Data - FY19 MAR-YTD '!$C$3:$Q$82,15,FALSE),0)</f>
        <v>0</v>
      </c>
      <c r="G92" s="18"/>
      <c r="H92" s="18">
        <f t="shared" si="71"/>
        <v>0</v>
      </c>
      <c r="I92" s="18"/>
      <c r="J92" s="18">
        <f t="shared" si="72"/>
        <v>0</v>
      </c>
      <c r="K92" s="19"/>
      <c r="L92" s="20">
        <v>1</v>
      </c>
      <c r="M92" s="18">
        <f t="shared" si="73"/>
        <v>0</v>
      </c>
      <c r="N92" s="19"/>
      <c r="O92" s="21">
        <v>0</v>
      </c>
      <c r="P92" s="18">
        <f t="shared" si="74"/>
        <v>0</v>
      </c>
      <c r="Q92" s="22"/>
      <c r="R92" s="24"/>
      <c r="S92" s="24"/>
      <c r="T92" s="24"/>
      <c r="U92" s="24"/>
      <c r="V92" s="23"/>
      <c r="W92" s="24"/>
      <c r="X92" s="24"/>
      <c r="Y92" s="25">
        <f t="shared" ref="Y92:Y119" si="96">P92*R92</f>
        <v>0</v>
      </c>
      <c r="Z92" s="25">
        <f t="shared" ref="Z92:Z119" si="97">P92*S92</f>
        <v>0</v>
      </c>
      <c r="AA92" s="25">
        <f t="shared" ref="AA92:AA119" si="98">P92*T92</f>
        <v>0</v>
      </c>
      <c r="AB92" s="25">
        <f t="shared" ref="AB92:AB119" si="99">P92*U92</f>
        <v>0</v>
      </c>
      <c r="AC92" s="25">
        <f t="shared" ref="AC92:AC119" si="100">P92*V92</f>
        <v>0</v>
      </c>
      <c r="AD92" s="21">
        <f t="shared" ref="AD92:AD115" si="101">SUM(Y92:AC92)</f>
        <v>0</v>
      </c>
      <c r="AE92" s="26">
        <f t="shared" si="66"/>
        <v>0</v>
      </c>
      <c r="AF92" s="27"/>
      <c r="AG92" s="27"/>
      <c r="AH92" s="27"/>
      <c r="AI92" s="27"/>
      <c r="AJ92" s="27"/>
      <c r="BC92" s="9">
        <v>5600</v>
      </c>
      <c r="BD92" s="30">
        <f t="shared" si="67"/>
        <v>0</v>
      </c>
      <c r="BE92" s="30">
        <f t="shared" si="67"/>
        <v>0</v>
      </c>
      <c r="BF92" s="30">
        <f t="shared" si="67"/>
        <v>0</v>
      </c>
      <c r="BG92" s="30">
        <f t="shared" si="67"/>
        <v>0</v>
      </c>
      <c r="BH92" s="30">
        <f t="shared" si="67"/>
        <v>0</v>
      </c>
      <c r="BI92" s="31">
        <f t="shared" si="68"/>
        <v>0</v>
      </c>
      <c r="BK92" s="9" t="str">
        <f t="shared" si="69"/>
        <v>46001216</v>
      </c>
      <c r="BL92" s="26">
        <f t="shared" si="70"/>
        <v>0</v>
      </c>
    </row>
    <row r="93" spans="1:64">
      <c r="A93" s="10" t="str">
        <f t="shared" si="63"/>
        <v>4600</v>
      </c>
      <c r="B93" s="10" t="str">
        <f t="shared" si="64"/>
        <v>1217</v>
      </c>
      <c r="C93" s="35" t="s">
        <v>195</v>
      </c>
      <c r="D93" s="16">
        <v>860010</v>
      </c>
      <c r="E93" s="32" t="s">
        <v>196</v>
      </c>
      <c r="F93" s="18">
        <f>IFERROR(VLOOKUP(C93,'[4]Revenue Data - FY19 MAR-YTD '!$C$3:$Q$82,15,FALSE),0)</f>
        <v>0</v>
      </c>
      <c r="G93" s="18"/>
      <c r="H93" s="18">
        <f t="shared" si="71"/>
        <v>0</v>
      </c>
      <c r="I93" s="18"/>
      <c r="J93" s="18">
        <f t="shared" si="72"/>
        <v>0</v>
      </c>
      <c r="K93" s="19"/>
      <c r="L93" s="20">
        <v>1</v>
      </c>
      <c r="M93" s="18">
        <f t="shared" si="73"/>
        <v>0</v>
      </c>
      <c r="N93" s="19"/>
      <c r="O93" s="21">
        <v>0</v>
      </c>
      <c r="P93" s="18">
        <f t="shared" si="74"/>
        <v>0</v>
      </c>
      <c r="Q93" s="22"/>
      <c r="R93" s="24"/>
      <c r="S93" s="24"/>
      <c r="T93" s="24"/>
      <c r="U93" s="24"/>
      <c r="V93" s="23"/>
      <c r="W93" s="24"/>
      <c r="X93" s="24"/>
      <c r="Y93" s="25">
        <f t="shared" si="96"/>
        <v>0</v>
      </c>
      <c r="Z93" s="25">
        <f t="shared" si="97"/>
        <v>0</v>
      </c>
      <c r="AA93" s="25">
        <f t="shared" si="98"/>
        <v>0</v>
      </c>
      <c r="AB93" s="25">
        <f t="shared" si="99"/>
        <v>0</v>
      </c>
      <c r="AC93" s="25">
        <f t="shared" si="100"/>
        <v>0</v>
      </c>
      <c r="AD93" s="21">
        <f t="shared" si="101"/>
        <v>0</v>
      </c>
      <c r="AE93" s="26">
        <f t="shared" si="66"/>
        <v>0</v>
      </c>
      <c r="AF93" s="27"/>
      <c r="AG93" s="27"/>
      <c r="AH93" s="27"/>
      <c r="AI93" s="27"/>
      <c r="AJ93" s="27"/>
      <c r="BC93" s="9">
        <v>5600</v>
      </c>
      <c r="BD93" s="30">
        <f t="shared" si="67"/>
        <v>0</v>
      </c>
      <c r="BE93" s="30">
        <f t="shared" si="67"/>
        <v>0</v>
      </c>
      <c r="BF93" s="30">
        <f t="shared" si="67"/>
        <v>0</v>
      </c>
      <c r="BG93" s="30">
        <f t="shared" si="67"/>
        <v>0</v>
      </c>
      <c r="BH93" s="30">
        <f t="shared" si="67"/>
        <v>0</v>
      </c>
      <c r="BI93" s="31">
        <f t="shared" si="68"/>
        <v>0</v>
      </c>
      <c r="BK93" s="9" t="str">
        <f t="shared" si="69"/>
        <v>46001217</v>
      </c>
      <c r="BL93" s="26">
        <f t="shared" si="70"/>
        <v>0</v>
      </c>
    </row>
    <row r="94" spans="1:64">
      <c r="A94" s="10" t="str">
        <f t="shared" si="63"/>
        <v>4600</v>
      </c>
      <c r="B94" s="10" t="str">
        <f t="shared" si="64"/>
        <v>1219</v>
      </c>
      <c r="C94" s="35" t="s">
        <v>197</v>
      </c>
      <c r="D94" s="16">
        <v>860010</v>
      </c>
      <c r="E94" s="32" t="s">
        <v>198</v>
      </c>
      <c r="F94" s="18">
        <f>IFERROR(VLOOKUP(C94,'[4]Revenue Data - FY19 MAR-YTD '!$C$3:$Q$82,15,FALSE),0)</f>
        <v>0</v>
      </c>
      <c r="G94" s="18"/>
      <c r="H94" s="18">
        <f t="shared" si="71"/>
        <v>0</v>
      </c>
      <c r="I94" s="18"/>
      <c r="J94" s="18">
        <f t="shared" si="72"/>
        <v>0</v>
      </c>
      <c r="K94" s="19"/>
      <c r="L94" s="20">
        <v>1</v>
      </c>
      <c r="M94" s="18">
        <f t="shared" si="73"/>
        <v>0</v>
      </c>
      <c r="N94" s="19"/>
      <c r="O94" s="21">
        <v>0</v>
      </c>
      <c r="P94" s="18">
        <f t="shared" si="74"/>
        <v>0</v>
      </c>
      <c r="Q94" s="22"/>
      <c r="R94" s="24"/>
      <c r="S94" s="24"/>
      <c r="T94" s="24"/>
      <c r="U94" s="24"/>
      <c r="V94" s="23"/>
      <c r="W94" s="24"/>
      <c r="X94" s="24"/>
      <c r="Y94" s="25">
        <f t="shared" si="96"/>
        <v>0</v>
      </c>
      <c r="Z94" s="25">
        <f t="shared" si="97"/>
        <v>0</v>
      </c>
      <c r="AA94" s="25">
        <f t="shared" si="98"/>
        <v>0</v>
      </c>
      <c r="AB94" s="25">
        <f t="shared" si="99"/>
        <v>0</v>
      </c>
      <c r="AC94" s="25">
        <f t="shared" si="100"/>
        <v>0</v>
      </c>
      <c r="AD94" s="21">
        <f t="shared" si="101"/>
        <v>0</v>
      </c>
      <c r="AE94" s="26">
        <f t="shared" si="66"/>
        <v>0</v>
      </c>
      <c r="AF94" s="27"/>
      <c r="AG94" s="27"/>
      <c r="AH94" s="27"/>
      <c r="AI94" s="27"/>
      <c r="AJ94" s="27"/>
      <c r="BC94" s="9">
        <v>5600</v>
      </c>
      <c r="BD94" s="30">
        <f t="shared" si="67"/>
        <v>0</v>
      </c>
      <c r="BE94" s="30">
        <f t="shared" si="67"/>
        <v>0</v>
      </c>
      <c r="BF94" s="30">
        <f t="shared" si="67"/>
        <v>0</v>
      </c>
      <c r="BG94" s="30">
        <f t="shared" si="67"/>
        <v>0</v>
      </c>
      <c r="BH94" s="30">
        <f t="shared" si="67"/>
        <v>0</v>
      </c>
      <c r="BI94" s="31">
        <f t="shared" si="68"/>
        <v>0</v>
      </c>
      <c r="BK94" s="9" t="str">
        <f t="shared" si="69"/>
        <v>46001219</v>
      </c>
      <c r="BL94" s="26">
        <f t="shared" si="70"/>
        <v>0</v>
      </c>
    </row>
    <row r="95" spans="1:64">
      <c r="A95" s="10" t="str">
        <f t="shared" si="63"/>
        <v>4600</v>
      </c>
      <c r="B95" s="10" t="str">
        <f t="shared" si="64"/>
        <v>1220</v>
      </c>
      <c r="C95" s="35" t="s">
        <v>199</v>
      </c>
      <c r="D95" s="16">
        <v>860010</v>
      </c>
      <c r="E95" s="32" t="s">
        <v>200</v>
      </c>
      <c r="F95" s="18">
        <f>IFERROR(VLOOKUP(C95,'[4]Revenue Data - FY19 MAR-YTD '!$C$3:$Q$82,15,FALSE),0)</f>
        <v>0</v>
      </c>
      <c r="G95" s="18"/>
      <c r="H95" s="18">
        <f t="shared" si="71"/>
        <v>0</v>
      </c>
      <c r="I95" s="18">
        <v>0</v>
      </c>
      <c r="J95" s="18">
        <f t="shared" si="72"/>
        <v>0</v>
      </c>
      <c r="K95" s="19"/>
      <c r="L95" s="20">
        <v>1</v>
      </c>
      <c r="M95" s="18">
        <f t="shared" si="73"/>
        <v>0</v>
      </c>
      <c r="N95" s="19"/>
      <c r="O95" s="21">
        <v>0</v>
      </c>
      <c r="P95" s="18">
        <f t="shared" si="74"/>
        <v>0</v>
      </c>
      <c r="Q95" s="22"/>
      <c r="R95" s="24"/>
      <c r="S95" s="24"/>
      <c r="T95" s="24"/>
      <c r="U95" s="24"/>
      <c r="V95" s="23"/>
      <c r="W95" s="24"/>
      <c r="X95" s="24"/>
      <c r="Y95" s="25">
        <f t="shared" si="96"/>
        <v>0</v>
      </c>
      <c r="Z95" s="25">
        <f t="shared" si="97"/>
        <v>0</v>
      </c>
      <c r="AA95" s="25">
        <f t="shared" si="98"/>
        <v>0</v>
      </c>
      <c r="AB95" s="25">
        <f t="shared" si="99"/>
        <v>0</v>
      </c>
      <c r="AC95" s="25">
        <f t="shared" si="100"/>
        <v>0</v>
      </c>
      <c r="AD95" s="21">
        <f t="shared" si="101"/>
        <v>0</v>
      </c>
      <c r="AE95" s="26">
        <f t="shared" si="66"/>
        <v>0</v>
      </c>
      <c r="AF95" s="27"/>
      <c r="AG95" s="27"/>
      <c r="AH95" s="27"/>
      <c r="AI95" s="27"/>
      <c r="AJ95" s="27"/>
      <c r="BC95" s="9">
        <v>5600</v>
      </c>
      <c r="BD95" s="30">
        <f t="shared" si="67"/>
        <v>0</v>
      </c>
      <c r="BE95" s="30">
        <f t="shared" si="67"/>
        <v>0</v>
      </c>
      <c r="BF95" s="30">
        <f t="shared" si="67"/>
        <v>0</v>
      </c>
      <c r="BG95" s="30">
        <f t="shared" si="67"/>
        <v>0</v>
      </c>
      <c r="BH95" s="30">
        <f t="shared" si="67"/>
        <v>0</v>
      </c>
      <c r="BI95" s="31">
        <f t="shared" si="68"/>
        <v>0</v>
      </c>
      <c r="BK95" s="9" t="str">
        <f t="shared" si="69"/>
        <v>46001220</v>
      </c>
      <c r="BL95" s="26">
        <f t="shared" si="70"/>
        <v>0</v>
      </c>
    </row>
    <row r="96" spans="1:64">
      <c r="A96" s="10" t="str">
        <f t="shared" si="63"/>
        <v>4600</v>
      </c>
      <c r="B96" s="10" t="str">
        <f t="shared" si="64"/>
        <v>1222</v>
      </c>
      <c r="C96" s="35" t="s">
        <v>201</v>
      </c>
      <c r="D96" s="16">
        <v>860010</v>
      </c>
      <c r="E96" s="32" t="s">
        <v>202</v>
      </c>
      <c r="F96" s="18">
        <f>IFERROR(VLOOKUP(C96,'[4]Revenue Data - FY19 MAR-YTD '!$C$3:$Q$82,15,FALSE),0)</f>
        <v>0</v>
      </c>
      <c r="G96" s="18"/>
      <c r="H96" s="18">
        <f t="shared" si="71"/>
        <v>0</v>
      </c>
      <c r="I96" s="18"/>
      <c r="J96" s="18">
        <f t="shared" si="72"/>
        <v>0</v>
      </c>
      <c r="K96" s="19"/>
      <c r="L96" s="20">
        <v>1</v>
      </c>
      <c r="M96" s="18">
        <f t="shared" si="73"/>
        <v>0</v>
      </c>
      <c r="N96" s="19"/>
      <c r="O96" s="21">
        <v>0</v>
      </c>
      <c r="P96" s="18">
        <f t="shared" si="74"/>
        <v>0</v>
      </c>
      <c r="Q96" s="22"/>
      <c r="R96" s="24"/>
      <c r="S96" s="24"/>
      <c r="T96" s="24"/>
      <c r="U96" s="24"/>
      <c r="V96" s="23"/>
      <c r="W96" s="24"/>
      <c r="X96" s="24"/>
      <c r="Y96" s="25">
        <f t="shared" si="96"/>
        <v>0</v>
      </c>
      <c r="Z96" s="25">
        <f t="shared" si="97"/>
        <v>0</v>
      </c>
      <c r="AA96" s="25">
        <f t="shared" si="98"/>
        <v>0</v>
      </c>
      <c r="AB96" s="25">
        <f t="shared" si="99"/>
        <v>0</v>
      </c>
      <c r="AC96" s="25">
        <f t="shared" si="100"/>
        <v>0</v>
      </c>
      <c r="AD96" s="21">
        <f t="shared" si="101"/>
        <v>0</v>
      </c>
      <c r="AE96" s="26">
        <f t="shared" si="66"/>
        <v>0</v>
      </c>
      <c r="AF96" s="27"/>
      <c r="AG96" s="27"/>
      <c r="AH96" s="27"/>
      <c r="AI96" s="27"/>
      <c r="AJ96" s="27"/>
      <c r="BC96" s="9">
        <v>5600</v>
      </c>
      <c r="BD96" s="30">
        <f t="shared" si="67"/>
        <v>0</v>
      </c>
      <c r="BE96" s="30">
        <f t="shared" si="67"/>
        <v>0</v>
      </c>
      <c r="BF96" s="30">
        <f t="shared" si="67"/>
        <v>0</v>
      </c>
      <c r="BG96" s="30">
        <f t="shared" si="67"/>
        <v>0</v>
      </c>
      <c r="BH96" s="30">
        <f t="shared" si="67"/>
        <v>0</v>
      </c>
      <c r="BI96" s="31">
        <f t="shared" si="68"/>
        <v>0</v>
      </c>
      <c r="BK96" s="9" t="str">
        <f t="shared" si="69"/>
        <v>46001222</v>
      </c>
      <c r="BL96" s="26">
        <f t="shared" si="70"/>
        <v>0</v>
      </c>
    </row>
    <row r="97" spans="1:64">
      <c r="A97" s="10" t="str">
        <f t="shared" si="63"/>
        <v>4600</v>
      </c>
      <c r="B97" s="10" t="str">
        <f t="shared" si="64"/>
        <v>1223</v>
      </c>
      <c r="C97" s="35" t="s">
        <v>203</v>
      </c>
      <c r="D97" s="16">
        <v>860010</v>
      </c>
      <c r="E97" s="32" t="s">
        <v>204</v>
      </c>
      <c r="F97" s="18">
        <f>IFERROR(VLOOKUP(C97,'[4]Revenue Data - FY19 MAR-YTD '!$C$3:$Q$82,15,FALSE),0)</f>
        <v>0</v>
      </c>
      <c r="G97" s="18"/>
      <c r="H97" s="18">
        <f t="shared" si="71"/>
        <v>0</v>
      </c>
      <c r="I97" s="18"/>
      <c r="J97" s="18">
        <f t="shared" si="72"/>
        <v>0</v>
      </c>
      <c r="K97" s="19"/>
      <c r="L97" s="20">
        <v>1</v>
      </c>
      <c r="M97" s="18">
        <f t="shared" si="73"/>
        <v>0</v>
      </c>
      <c r="N97" s="19"/>
      <c r="O97" s="21">
        <v>0</v>
      </c>
      <c r="P97" s="18">
        <f t="shared" si="74"/>
        <v>0</v>
      </c>
      <c r="Q97" s="22"/>
      <c r="R97" s="24"/>
      <c r="S97" s="24"/>
      <c r="T97" s="24"/>
      <c r="U97" s="24"/>
      <c r="V97" s="24"/>
      <c r="W97" s="24"/>
      <c r="X97" s="24"/>
      <c r="Y97" s="25">
        <f t="shared" si="96"/>
        <v>0</v>
      </c>
      <c r="Z97" s="25">
        <f t="shared" si="97"/>
        <v>0</v>
      </c>
      <c r="AA97" s="25">
        <f t="shared" si="98"/>
        <v>0</v>
      </c>
      <c r="AB97" s="25">
        <f t="shared" si="99"/>
        <v>0</v>
      </c>
      <c r="AC97" s="25">
        <f t="shared" si="100"/>
        <v>0</v>
      </c>
      <c r="AD97" s="21">
        <f t="shared" si="101"/>
        <v>0</v>
      </c>
      <c r="AE97" s="26">
        <f t="shared" si="66"/>
        <v>0</v>
      </c>
      <c r="AF97" s="27"/>
      <c r="AG97" s="27"/>
      <c r="AH97" s="27"/>
      <c r="AI97" s="27"/>
      <c r="AJ97" s="27"/>
      <c r="BC97" s="9">
        <v>5600</v>
      </c>
      <c r="BD97" s="30">
        <f t="shared" si="67"/>
        <v>0</v>
      </c>
      <c r="BE97" s="30">
        <f t="shared" si="67"/>
        <v>0</v>
      </c>
      <c r="BF97" s="30">
        <f t="shared" si="67"/>
        <v>0</v>
      </c>
      <c r="BG97" s="30">
        <f t="shared" si="67"/>
        <v>0</v>
      </c>
      <c r="BH97" s="30">
        <f t="shared" si="67"/>
        <v>0</v>
      </c>
      <c r="BI97" s="31">
        <f t="shared" si="68"/>
        <v>0</v>
      </c>
      <c r="BK97" s="9" t="str">
        <f t="shared" si="69"/>
        <v>46001223</v>
      </c>
      <c r="BL97" s="26">
        <f t="shared" si="70"/>
        <v>0</v>
      </c>
    </row>
    <row r="98" spans="1:64">
      <c r="A98" s="10" t="str">
        <f t="shared" si="63"/>
        <v>4600</v>
      </c>
      <c r="B98" s="10" t="str">
        <f t="shared" si="64"/>
        <v>1225</v>
      </c>
      <c r="C98" s="35" t="s">
        <v>205</v>
      </c>
      <c r="D98" s="16">
        <v>860010</v>
      </c>
      <c r="E98" s="32" t="s">
        <v>206</v>
      </c>
      <c r="F98" s="18">
        <f>IFERROR(VLOOKUP(C98,'[4]Revenue Data - FY19 MAR-YTD '!$C$3:$Q$82,15,FALSE),0)</f>
        <v>-1287</v>
      </c>
      <c r="G98" s="18"/>
      <c r="H98" s="18">
        <f t="shared" si="71"/>
        <v>-1287</v>
      </c>
      <c r="I98" s="18"/>
      <c r="J98" s="18">
        <f t="shared" si="72"/>
        <v>0</v>
      </c>
      <c r="K98" s="19"/>
      <c r="L98" s="20">
        <v>1</v>
      </c>
      <c r="M98" s="18">
        <f t="shared" si="73"/>
        <v>0</v>
      </c>
      <c r="N98" s="19"/>
      <c r="O98" s="21">
        <v>0</v>
      </c>
      <c r="P98" s="18">
        <f t="shared" si="74"/>
        <v>0</v>
      </c>
      <c r="Q98" s="22"/>
      <c r="R98" s="24"/>
      <c r="S98" s="24"/>
      <c r="T98" s="24"/>
      <c r="U98" s="24"/>
      <c r="V98" s="24"/>
      <c r="W98" s="24"/>
      <c r="X98" s="24"/>
      <c r="Y98" s="25">
        <f t="shared" si="96"/>
        <v>0</v>
      </c>
      <c r="Z98" s="25">
        <f t="shared" si="97"/>
        <v>0</v>
      </c>
      <c r="AA98" s="25">
        <f t="shared" si="98"/>
        <v>0</v>
      </c>
      <c r="AB98" s="25">
        <f t="shared" si="99"/>
        <v>0</v>
      </c>
      <c r="AC98" s="25">
        <f t="shared" si="100"/>
        <v>0</v>
      </c>
      <c r="AD98" s="21">
        <f t="shared" si="101"/>
        <v>0</v>
      </c>
      <c r="AE98" s="26">
        <f t="shared" si="66"/>
        <v>0</v>
      </c>
      <c r="AF98" s="27"/>
      <c r="AG98" s="27"/>
      <c r="AH98" s="27"/>
      <c r="AI98" s="27"/>
      <c r="AJ98" s="27"/>
      <c r="BC98" s="9">
        <v>5600</v>
      </c>
      <c r="BD98" s="30">
        <f t="shared" si="67"/>
        <v>0</v>
      </c>
      <c r="BE98" s="30">
        <f t="shared" si="67"/>
        <v>0</v>
      </c>
      <c r="BF98" s="30">
        <f t="shared" si="67"/>
        <v>0</v>
      </c>
      <c r="BG98" s="30">
        <f t="shared" si="67"/>
        <v>0</v>
      </c>
      <c r="BH98" s="30">
        <f t="shared" si="67"/>
        <v>0</v>
      </c>
      <c r="BI98" s="31">
        <f t="shared" si="68"/>
        <v>0</v>
      </c>
      <c r="BK98" s="9" t="str">
        <f t="shared" si="69"/>
        <v>46001225</v>
      </c>
      <c r="BL98" s="26">
        <f t="shared" si="70"/>
        <v>0</v>
      </c>
    </row>
    <row r="99" spans="1:64">
      <c r="A99" s="10" t="str">
        <f t="shared" si="63"/>
        <v>4600</v>
      </c>
      <c r="B99" s="10" t="str">
        <f t="shared" si="64"/>
        <v>1245</v>
      </c>
      <c r="C99" s="35" t="s">
        <v>207</v>
      </c>
      <c r="D99" s="16">
        <v>860010</v>
      </c>
      <c r="E99" s="32" t="s">
        <v>208</v>
      </c>
      <c r="F99" s="18">
        <f>IFERROR(VLOOKUP(C99,'[4]Revenue Data - FY19 MAR-YTD '!$C$3:$Q$82,15,FALSE),0)</f>
        <v>0</v>
      </c>
      <c r="G99" s="18"/>
      <c r="H99" s="18">
        <f t="shared" si="71"/>
        <v>0</v>
      </c>
      <c r="I99" s="18"/>
      <c r="J99" s="18">
        <f t="shared" si="72"/>
        <v>0</v>
      </c>
      <c r="K99" s="19"/>
      <c r="L99" s="20">
        <v>1</v>
      </c>
      <c r="M99" s="18">
        <f t="shared" si="73"/>
        <v>0</v>
      </c>
      <c r="N99" s="19"/>
      <c r="O99" s="21">
        <v>0</v>
      </c>
      <c r="P99" s="18">
        <f t="shared" si="74"/>
        <v>0</v>
      </c>
      <c r="Q99" s="22"/>
      <c r="R99" s="24"/>
      <c r="S99" s="24"/>
      <c r="T99" s="24"/>
      <c r="U99" s="24"/>
      <c r="V99" s="24"/>
      <c r="W99" s="24"/>
      <c r="X99" s="24"/>
      <c r="Y99" s="25">
        <f t="shared" si="96"/>
        <v>0</v>
      </c>
      <c r="Z99" s="25">
        <f t="shared" si="97"/>
        <v>0</v>
      </c>
      <c r="AA99" s="25">
        <f t="shared" si="98"/>
        <v>0</v>
      </c>
      <c r="AB99" s="25">
        <f t="shared" si="99"/>
        <v>0</v>
      </c>
      <c r="AC99" s="25">
        <f t="shared" si="100"/>
        <v>0</v>
      </c>
      <c r="AD99" s="21">
        <f t="shared" si="101"/>
        <v>0</v>
      </c>
      <c r="AE99" s="26">
        <f t="shared" si="66"/>
        <v>0</v>
      </c>
      <c r="AF99" s="27"/>
      <c r="AG99" s="27"/>
      <c r="AH99" s="27"/>
      <c r="AI99" s="27"/>
      <c r="AJ99" s="27"/>
      <c r="BC99" s="9">
        <v>5600</v>
      </c>
      <c r="BD99" s="30">
        <f t="shared" si="67"/>
        <v>0</v>
      </c>
      <c r="BE99" s="30">
        <f t="shared" si="67"/>
        <v>0</v>
      </c>
      <c r="BF99" s="30">
        <f t="shared" si="67"/>
        <v>0</v>
      </c>
      <c r="BG99" s="30">
        <f t="shared" si="67"/>
        <v>0</v>
      </c>
      <c r="BH99" s="30">
        <f t="shared" si="67"/>
        <v>0</v>
      </c>
      <c r="BI99" s="31">
        <f t="shared" si="68"/>
        <v>0</v>
      </c>
      <c r="BK99" s="9" t="str">
        <f t="shared" si="69"/>
        <v>46001245</v>
      </c>
      <c r="BL99" s="26">
        <f t="shared" si="70"/>
        <v>0</v>
      </c>
    </row>
    <row r="100" spans="1:64">
      <c r="A100" s="10" t="str">
        <f t="shared" si="63"/>
        <v>4600</v>
      </c>
      <c r="B100" s="10" t="str">
        <f t="shared" si="64"/>
        <v>1330</v>
      </c>
      <c r="C100" s="35" t="s">
        <v>209</v>
      </c>
      <c r="D100" s="16">
        <v>900010</v>
      </c>
      <c r="E100" s="32" t="s">
        <v>210</v>
      </c>
      <c r="F100" s="18">
        <f>IFERROR(VLOOKUP(C100,'[4]Revenue Data - FY19 MAR-YTD '!$C$3:$Q$82,15,FALSE),0)</f>
        <v>-1880614.06</v>
      </c>
      <c r="G100" s="18"/>
      <c r="H100" s="18">
        <f t="shared" si="71"/>
        <v>-1880614.06</v>
      </c>
      <c r="I100" s="18">
        <f>'[4]Statistics Projections'!J110</f>
        <v>6819</v>
      </c>
      <c r="J100" s="18">
        <f t="shared" si="72"/>
        <v>-275.79030063059099</v>
      </c>
      <c r="K100" s="19"/>
      <c r="L100" s="20">
        <v>1</v>
      </c>
      <c r="M100" s="18">
        <f>(ROUND(J100*L100,2))</f>
        <v>-275.79000000000002</v>
      </c>
      <c r="N100" s="19"/>
      <c r="O100" s="21">
        <f>'[4]Statistics Projections'!L110</f>
        <v>16097.971999999998</v>
      </c>
      <c r="P100" s="18">
        <f t="shared" si="74"/>
        <v>4439659.6978799999</v>
      </c>
      <c r="Q100" s="22"/>
      <c r="R100" s="24">
        <f>VLOOKUP($C100,'[4]Revenue Data - FY19 MAR-YTD '!$C$3:$V$82,20,FALSE)</f>
        <v>0.46271975122848968</v>
      </c>
      <c r="S100" s="24">
        <f>VLOOKUP($C100,'[4]Revenue Data - FY19 MAR-YTD '!$C$3:$V$82,19,FALSE)</f>
        <v>0.10748329192008699</v>
      </c>
      <c r="T100" s="24">
        <f>VLOOKUP($C100,'[4]Revenue Data - FY19 MAR-YTD '!$C$3:$V$82,17,FALSE)</f>
        <v>0.18831715530192303</v>
      </c>
      <c r="U100" s="24">
        <f>VLOOKUP($C100,'[4]Revenue Data - FY19 MAR-YTD '!$C$3:$V$82,18,FALSE)</f>
        <v>0.2265159710653232</v>
      </c>
      <c r="V100" s="23">
        <f>VLOOKUP($C100,'[4]Revenue Data - FY19 MAR-YTD '!$C$3:$W$82,21,FALSE)</f>
        <v>1.4963830484177066E-2</v>
      </c>
      <c r="W100" s="24">
        <f t="shared" ref="W100:W115" si="102">SUM(R100:V100)</f>
        <v>1</v>
      </c>
      <c r="X100" s="24"/>
      <c r="Y100" s="25">
        <f t="shared" si="96"/>
        <v>2054318.2309421853</v>
      </c>
      <c r="Z100" s="25">
        <f t="shared" si="97"/>
        <v>477189.23933308123</v>
      </c>
      <c r="AA100" s="25">
        <f t="shared" si="98"/>
        <v>836064.08481335663</v>
      </c>
      <c r="AB100" s="25">
        <f t="shared" si="99"/>
        <v>1005653.8276648676</v>
      </c>
      <c r="AC100" s="25">
        <f t="shared" si="100"/>
        <v>66434.315126509086</v>
      </c>
      <c r="AD100" s="21">
        <f t="shared" si="101"/>
        <v>4439659.6978800008</v>
      </c>
      <c r="AE100" s="26">
        <f t="shared" si="66"/>
        <v>0</v>
      </c>
      <c r="AF100" s="27">
        <f t="shared" ref="AF100:AF118" si="103">1-0.6385</f>
        <v>0.36150000000000004</v>
      </c>
      <c r="AG100" s="27">
        <f t="shared" ref="AG100:AG118" si="104">1-0.6604</f>
        <v>0.33960000000000001</v>
      </c>
      <c r="AH100" s="27">
        <f t="shared" ref="AH100:AH118" si="105">1-0.4591-0.0839</f>
        <v>0.45699999999999996</v>
      </c>
      <c r="AI100" s="27">
        <f t="shared" ref="AI100:AI118" si="106">1-0.4622</f>
        <v>0.53780000000000006</v>
      </c>
      <c r="AJ100" s="27">
        <v>0</v>
      </c>
      <c r="AT100" s="18">
        <f t="shared" ref="AT100:AX119" si="107">Y100*AF100</f>
        <v>742636.04048560001</v>
      </c>
      <c r="AU100" s="18">
        <f t="shared" si="107"/>
        <v>162053.46567751438</v>
      </c>
      <c r="AV100" s="18">
        <f t="shared" si="107"/>
        <v>382081.28675970394</v>
      </c>
      <c r="AW100" s="18">
        <f t="shared" si="107"/>
        <v>540840.6285181659</v>
      </c>
      <c r="AX100" s="18">
        <f t="shared" si="107"/>
        <v>0</v>
      </c>
      <c r="AY100" s="26">
        <f t="shared" ref="AY100:AY115" si="108">SUM(AT100:AX100)</f>
        <v>1827611.4214409841</v>
      </c>
      <c r="AZ100" s="26"/>
      <c r="BA100" s="20">
        <f t="shared" ref="BA100:BA109" si="109">AY100/AD100</f>
        <v>0.4116557452170701</v>
      </c>
      <c r="BB100" s="20">
        <f t="shared" ref="BB100:BB115" si="110">1-BA100</f>
        <v>0.58834425478292984</v>
      </c>
      <c r="BC100" s="9">
        <v>5600</v>
      </c>
      <c r="BD100" s="30">
        <f t="shared" si="67"/>
        <v>1311682.1904565853</v>
      </c>
      <c r="BE100" s="30">
        <f t="shared" si="67"/>
        <v>315135.77365556685</v>
      </c>
      <c r="BF100" s="30">
        <f t="shared" si="67"/>
        <v>453982.79805365269</v>
      </c>
      <c r="BG100" s="30">
        <f t="shared" si="67"/>
        <v>464813.19914670172</v>
      </c>
      <c r="BH100" s="30">
        <f t="shared" si="67"/>
        <v>66434.315126509086</v>
      </c>
      <c r="BI100" s="31">
        <f t="shared" si="68"/>
        <v>2612048.2764390153</v>
      </c>
      <c r="BK100" s="9" t="str">
        <f t="shared" si="69"/>
        <v>46001330</v>
      </c>
      <c r="BL100" s="26">
        <f t="shared" si="70"/>
        <v>4439659.6978799999</v>
      </c>
    </row>
    <row r="101" spans="1:64">
      <c r="A101" s="10" t="str">
        <f t="shared" si="63"/>
        <v>4600</v>
      </c>
      <c r="B101" s="10" t="str">
        <f t="shared" si="64"/>
        <v>1331</v>
      </c>
      <c r="C101" s="35" t="s">
        <v>211</v>
      </c>
      <c r="D101" s="16">
        <v>900010</v>
      </c>
      <c r="E101" s="32" t="s">
        <v>212</v>
      </c>
      <c r="F101" s="18">
        <f>IFERROR(VLOOKUP(C101,'[4]Revenue Data - FY19 MAR-YTD '!$C$3:$Q$82,15,FALSE),0)</f>
        <v>-1177021.51</v>
      </c>
      <c r="G101" s="18"/>
      <c r="H101" s="18">
        <f t="shared" si="71"/>
        <v>-1177021.51</v>
      </c>
      <c r="I101" s="18">
        <f>'[4]Statistics Projections'!J114</f>
        <v>1846</v>
      </c>
      <c r="J101" s="18">
        <f t="shared" si="72"/>
        <v>-637.60645178764901</v>
      </c>
      <c r="K101" s="19"/>
      <c r="L101" s="20">
        <v>1</v>
      </c>
      <c r="M101" s="18">
        <f t="shared" ref="M101:M115" si="111">ROUND(J101*L101,2)</f>
        <v>-637.61</v>
      </c>
      <c r="N101" s="19"/>
      <c r="O101" s="21">
        <f>'[4]Statistics Projections'!L114</f>
        <v>3454</v>
      </c>
      <c r="P101" s="18">
        <f t="shared" si="74"/>
        <v>2202304.94</v>
      </c>
      <c r="Q101" s="22"/>
      <c r="R101" s="24">
        <f>VLOOKUP($C101,'[4]Revenue Data - FY19 MAR-YTD '!$C$3:$V$82,20,FALSE)</f>
        <v>0.43109322615522971</v>
      </c>
      <c r="S101" s="24">
        <f>VLOOKUP($C101,'[4]Revenue Data - FY19 MAR-YTD '!$C$3:$V$82,19,FALSE)</f>
        <v>6.7821190455559302E-2</v>
      </c>
      <c r="T101" s="24">
        <f>VLOOKUP($C101,'[4]Revenue Data - FY19 MAR-YTD '!$C$3:$V$82,17,FALSE)</f>
        <v>0.25585428765868518</v>
      </c>
      <c r="U101" s="24">
        <f>VLOOKUP($C101,'[4]Revenue Data - FY19 MAR-YTD '!$C$3:$V$82,18,FALSE)</f>
        <v>0.24084904786489417</v>
      </c>
      <c r="V101" s="23">
        <f>VLOOKUP($C101,'[4]Revenue Data - FY19 MAR-YTD '!$C$3:$W$82,21,FALSE)</f>
        <v>4.3822478656316147E-3</v>
      </c>
      <c r="W101" s="24">
        <f t="shared" si="102"/>
        <v>0.99999999999999989</v>
      </c>
      <c r="X101" s="24"/>
      <c r="Y101" s="25">
        <f t="shared" si="96"/>
        <v>949398.74156219955</v>
      </c>
      <c r="Z101" s="25">
        <f t="shared" si="97"/>
        <v>149362.9427769591</v>
      </c>
      <c r="AA101" s="25">
        <f t="shared" si="98"/>
        <v>563469.16163090337</v>
      </c>
      <c r="AB101" s="25">
        <f t="shared" si="99"/>
        <v>530423.04790715291</v>
      </c>
      <c r="AC101" s="25">
        <f t="shared" si="100"/>
        <v>9651.046122784961</v>
      </c>
      <c r="AD101" s="21">
        <f t="shared" si="101"/>
        <v>2202304.94</v>
      </c>
      <c r="AE101" s="26">
        <f t="shared" si="66"/>
        <v>0</v>
      </c>
      <c r="AF101" s="27">
        <f t="shared" si="103"/>
        <v>0.36150000000000004</v>
      </c>
      <c r="AG101" s="27">
        <f t="shared" si="104"/>
        <v>0.33960000000000001</v>
      </c>
      <c r="AH101" s="27">
        <f t="shared" si="105"/>
        <v>0.45699999999999996</v>
      </c>
      <c r="AI101" s="27">
        <f t="shared" si="106"/>
        <v>0.53780000000000006</v>
      </c>
      <c r="AJ101" s="27">
        <v>0</v>
      </c>
      <c r="AT101" s="18">
        <f t="shared" si="107"/>
        <v>343207.64507473516</v>
      </c>
      <c r="AU101" s="18">
        <f t="shared" si="107"/>
        <v>50723.655367055311</v>
      </c>
      <c r="AV101" s="18">
        <f t="shared" si="107"/>
        <v>257505.40686532282</v>
      </c>
      <c r="AW101" s="18">
        <f t="shared" si="107"/>
        <v>285261.51516446687</v>
      </c>
      <c r="AX101" s="18">
        <f t="shared" si="107"/>
        <v>0</v>
      </c>
      <c r="AY101" s="26">
        <f t="shared" si="108"/>
        <v>936698.22247158014</v>
      </c>
      <c r="AZ101" s="26"/>
      <c r="BA101" s="20">
        <f t="shared" si="109"/>
        <v>0.42532630493558271</v>
      </c>
      <c r="BB101" s="20">
        <f t="shared" si="110"/>
        <v>0.57467369506441734</v>
      </c>
      <c r="BC101" s="9">
        <v>5600</v>
      </c>
      <c r="BD101" s="30">
        <f t="shared" si="67"/>
        <v>606191.09648746438</v>
      </c>
      <c r="BE101" s="30">
        <f t="shared" si="67"/>
        <v>98639.287409903787</v>
      </c>
      <c r="BF101" s="30">
        <f t="shared" si="67"/>
        <v>305963.75476558052</v>
      </c>
      <c r="BG101" s="30">
        <f t="shared" si="67"/>
        <v>245161.53274268605</v>
      </c>
      <c r="BH101" s="30">
        <f t="shared" si="67"/>
        <v>9651.046122784961</v>
      </c>
      <c r="BI101" s="31">
        <f t="shared" si="68"/>
        <v>1265606.7175284198</v>
      </c>
      <c r="BK101" s="9" t="str">
        <f t="shared" si="69"/>
        <v>46001331</v>
      </c>
      <c r="BL101" s="26">
        <f t="shared" si="70"/>
        <v>2202304.94</v>
      </c>
    </row>
    <row r="102" spans="1:64">
      <c r="A102" s="10" t="str">
        <f t="shared" si="63"/>
        <v>4600</v>
      </c>
      <c r="B102" s="10" t="str">
        <f t="shared" si="64"/>
        <v>1335</v>
      </c>
      <c r="C102" s="35" t="s">
        <v>213</v>
      </c>
      <c r="D102" s="16">
        <v>900010</v>
      </c>
      <c r="E102" s="32" t="s">
        <v>214</v>
      </c>
      <c r="F102" s="18">
        <f>IFERROR(VLOOKUP(C102,'[4]Revenue Data - FY19 MAR-YTD '!$C$3:$Q$82,15,FALSE),0)</f>
        <v>-161591.02000000002</v>
      </c>
      <c r="G102" s="18"/>
      <c r="H102" s="18">
        <f>SUM(F102:G102)</f>
        <v>-161591.02000000002</v>
      </c>
      <c r="I102" s="18">
        <f>'[4]Statistics Projections'!J116</f>
        <v>583</v>
      </c>
      <c r="J102" s="18">
        <f t="shared" si="72"/>
        <v>-277.17156089193827</v>
      </c>
      <c r="K102" s="19"/>
      <c r="L102" s="20">
        <v>1</v>
      </c>
      <c r="M102" s="18">
        <f>ROUND(J102*L102,2)</f>
        <v>-277.17</v>
      </c>
      <c r="N102" s="19"/>
      <c r="O102" s="21">
        <f>'[4]Statistics Projections'!L116</f>
        <v>2013</v>
      </c>
      <c r="P102" s="18">
        <f t="shared" si="74"/>
        <v>557943.21000000008</v>
      </c>
      <c r="Q102" s="64"/>
      <c r="R102" s="24">
        <f>VLOOKUP($C102,'[4]Revenue Data - FY19 MAR-YTD '!$C$3:$V$82,20,FALSE)</f>
        <v>0.24245159167879499</v>
      </c>
      <c r="S102" s="24">
        <f>VLOOKUP($C102,'[4]Revenue Data - FY19 MAR-YTD '!$C$3:$V$82,19,FALSE)</f>
        <v>0.28877848533909867</v>
      </c>
      <c r="T102" s="24">
        <f>VLOOKUP($C102,'[4]Revenue Data - FY19 MAR-YTD '!$C$3:$V$82,17,FALSE)</f>
        <v>0.21345251734904575</v>
      </c>
      <c r="U102" s="24">
        <f>VLOOKUP($C102,'[4]Revenue Data - FY19 MAR-YTD '!$C$3:$V$82,18,FALSE)</f>
        <v>0.23597845969410922</v>
      </c>
      <c r="V102" s="23">
        <f>VLOOKUP($C102,'[4]Revenue Data - FY19 MAR-YTD '!$C$3:$W$82,21,FALSE)</f>
        <v>1.9338945938951309E-2</v>
      </c>
      <c r="W102" s="24">
        <f t="shared" si="102"/>
        <v>1</v>
      </c>
      <c r="X102" s="24"/>
      <c r="Y102" s="25">
        <f t="shared" si="96"/>
        <v>135274.21933087619</v>
      </c>
      <c r="Z102" s="25">
        <f t="shared" si="97"/>
        <v>161121.99508903467</v>
      </c>
      <c r="AA102" s="25">
        <f t="shared" si="98"/>
        <v>119094.38271230728</v>
      </c>
      <c r="AB102" s="25">
        <f t="shared" si="99"/>
        <v>131662.57929258695</v>
      </c>
      <c r="AC102" s="25">
        <f t="shared" si="100"/>
        <v>10790.033575194959</v>
      </c>
      <c r="AD102" s="21">
        <f t="shared" si="101"/>
        <v>557943.21000000008</v>
      </c>
      <c r="AE102" s="26">
        <f t="shared" si="66"/>
        <v>0</v>
      </c>
      <c r="AF102" s="27">
        <f t="shared" si="103"/>
        <v>0.36150000000000004</v>
      </c>
      <c r="AG102" s="27">
        <f t="shared" si="104"/>
        <v>0.33960000000000001</v>
      </c>
      <c r="AH102" s="27">
        <f t="shared" si="105"/>
        <v>0.45699999999999996</v>
      </c>
      <c r="AI102" s="27">
        <f t="shared" si="106"/>
        <v>0.53780000000000006</v>
      </c>
      <c r="AJ102" s="27">
        <v>0</v>
      </c>
      <c r="AT102" s="18">
        <f t="shared" si="107"/>
        <v>48901.630288111752</v>
      </c>
      <c r="AU102" s="18">
        <f t="shared" si="107"/>
        <v>54717.029532236178</v>
      </c>
      <c r="AV102" s="18">
        <f t="shared" si="107"/>
        <v>54426.132899524426</v>
      </c>
      <c r="AW102" s="18">
        <f t="shared" si="107"/>
        <v>70808.135143553271</v>
      </c>
      <c r="AX102" s="18">
        <f t="shared" si="107"/>
        <v>0</v>
      </c>
      <c r="AY102" s="26">
        <f t="shared" si="108"/>
        <v>228852.92786342563</v>
      </c>
      <c r="AZ102" s="26"/>
      <c r="BA102" s="20">
        <f t="shared" si="109"/>
        <v>0.41017244006504822</v>
      </c>
      <c r="BB102" s="20">
        <f t="shared" si="110"/>
        <v>0.58982755993495184</v>
      </c>
      <c r="BC102" s="9">
        <v>5600</v>
      </c>
      <c r="BD102" s="30">
        <f t="shared" si="67"/>
        <v>86372.589042764448</v>
      </c>
      <c r="BE102" s="30">
        <f t="shared" si="67"/>
        <v>106404.96555679849</v>
      </c>
      <c r="BF102" s="30">
        <f t="shared" si="67"/>
        <v>64668.249812782858</v>
      </c>
      <c r="BG102" s="30">
        <f t="shared" si="67"/>
        <v>60854.444149033676</v>
      </c>
      <c r="BH102" s="30">
        <f t="shared" si="67"/>
        <v>10790.033575194959</v>
      </c>
      <c r="BI102" s="31">
        <f t="shared" si="68"/>
        <v>329090.28213657445</v>
      </c>
      <c r="BK102" s="9" t="str">
        <f t="shared" si="69"/>
        <v>46001335</v>
      </c>
      <c r="BL102" s="26">
        <f t="shared" si="70"/>
        <v>557943.21000000008</v>
      </c>
    </row>
    <row r="103" spans="1:64">
      <c r="A103" s="10" t="str">
        <f t="shared" si="63"/>
        <v>4600</v>
      </c>
      <c r="B103" s="10" t="str">
        <f t="shared" si="64"/>
        <v>1342</v>
      </c>
      <c r="C103" s="35" t="s">
        <v>215</v>
      </c>
      <c r="D103" s="16">
        <v>900010</v>
      </c>
      <c r="E103" s="32" t="s">
        <v>216</v>
      </c>
      <c r="F103" s="18">
        <f>IFERROR(VLOOKUP(C103,'[4]Revenue Data - FY19 MAR-YTD '!$C$3:$Q$82,15,FALSE),0)</f>
        <v>0</v>
      </c>
      <c r="G103" s="18"/>
      <c r="H103" s="18">
        <f t="shared" si="71"/>
        <v>0</v>
      </c>
      <c r="I103" s="18"/>
      <c r="J103" s="18">
        <f>IF(ISERROR(H103/I103),0,H103/I103)</f>
        <v>0</v>
      </c>
      <c r="K103" s="19"/>
      <c r="L103" s="20">
        <v>1</v>
      </c>
      <c r="M103" s="18">
        <f t="shared" si="111"/>
        <v>0</v>
      </c>
      <c r="N103" s="19"/>
      <c r="O103" s="21">
        <v>0</v>
      </c>
      <c r="P103" s="18">
        <f t="shared" si="74"/>
        <v>0</v>
      </c>
      <c r="Q103" s="22"/>
      <c r="R103" s="24"/>
      <c r="S103" s="24"/>
      <c r="T103" s="24"/>
      <c r="U103" s="24"/>
      <c r="V103" s="24"/>
      <c r="W103" s="24">
        <f t="shared" si="102"/>
        <v>0</v>
      </c>
      <c r="X103" s="24"/>
      <c r="Y103" s="25">
        <f t="shared" si="96"/>
        <v>0</v>
      </c>
      <c r="Z103" s="25">
        <f t="shared" si="97"/>
        <v>0</v>
      </c>
      <c r="AA103" s="25">
        <f t="shared" si="98"/>
        <v>0</v>
      </c>
      <c r="AB103" s="25">
        <f t="shared" si="99"/>
        <v>0</v>
      </c>
      <c r="AC103" s="25">
        <f t="shared" si="100"/>
        <v>0</v>
      </c>
      <c r="AD103" s="21">
        <f t="shared" si="101"/>
        <v>0</v>
      </c>
      <c r="AE103" s="26">
        <f t="shared" si="66"/>
        <v>0</v>
      </c>
      <c r="AF103" s="27">
        <f t="shared" si="103"/>
        <v>0.36150000000000004</v>
      </c>
      <c r="AG103" s="27">
        <f t="shared" si="104"/>
        <v>0.33960000000000001</v>
      </c>
      <c r="AH103" s="27">
        <f t="shared" si="105"/>
        <v>0.45699999999999996</v>
      </c>
      <c r="AI103" s="27">
        <f t="shared" si="106"/>
        <v>0.53780000000000006</v>
      </c>
      <c r="AJ103" s="27">
        <v>0</v>
      </c>
      <c r="AT103" s="18">
        <f t="shared" si="107"/>
        <v>0</v>
      </c>
      <c r="AU103" s="18">
        <f t="shared" si="107"/>
        <v>0</v>
      </c>
      <c r="AV103" s="18">
        <f t="shared" si="107"/>
        <v>0</v>
      </c>
      <c r="AW103" s="18">
        <f t="shared" si="107"/>
        <v>0</v>
      </c>
      <c r="AX103" s="18">
        <f t="shared" si="107"/>
        <v>0</v>
      </c>
      <c r="AY103" s="26">
        <f t="shared" si="108"/>
        <v>0</v>
      </c>
      <c r="AZ103" s="26"/>
      <c r="BA103" s="20" t="e">
        <f t="shared" si="109"/>
        <v>#DIV/0!</v>
      </c>
      <c r="BB103" s="20" t="e">
        <f t="shared" si="110"/>
        <v>#DIV/0!</v>
      </c>
      <c r="BC103" s="9">
        <v>5600</v>
      </c>
      <c r="BD103" s="30">
        <f t="shared" ref="BD103:BH119" si="112">Y103-AT103</f>
        <v>0</v>
      </c>
      <c r="BE103" s="30">
        <f t="shared" si="112"/>
        <v>0</v>
      </c>
      <c r="BF103" s="30">
        <f t="shared" si="112"/>
        <v>0</v>
      </c>
      <c r="BG103" s="30">
        <f t="shared" si="112"/>
        <v>0</v>
      </c>
      <c r="BH103" s="30">
        <f t="shared" si="112"/>
        <v>0</v>
      </c>
      <c r="BI103" s="31">
        <f t="shared" si="68"/>
        <v>0</v>
      </c>
      <c r="BK103" s="9" t="str">
        <f t="shared" si="69"/>
        <v>46001342</v>
      </c>
      <c r="BL103" s="26">
        <f t="shared" si="70"/>
        <v>0</v>
      </c>
    </row>
    <row r="104" spans="1:64">
      <c r="A104" s="10" t="str">
        <f t="shared" si="63"/>
        <v>4600</v>
      </c>
      <c r="B104" s="10" t="str">
        <f t="shared" si="64"/>
        <v>1375</v>
      </c>
      <c r="C104" s="35" t="s">
        <v>217</v>
      </c>
      <c r="D104" s="16">
        <v>900010</v>
      </c>
      <c r="E104" s="32" t="s">
        <v>218</v>
      </c>
      <c r="F104" s="18">
        <f>IFERROR(VLOOKUP(C104,'[4]Revenue Data - FY19 MAR-YTD '!$C$3:$Q$82,15,FALSE),0)</f>
        <v>-88962.8</v>
      </c>
      <c r="G104" s="18"/>
      <c r="H104" s="18">
        <f t="shared" si="71"/>
        <v>-88962.8</v>
      </c>
      <c r="I104" s="18">
        <f>'[4]Statistics Projections'!J118</f>
        <v>261</v>
      </c>
      <c r="J104" s="18">
        <f t="shared" si="72"/>
        <v>-340.85363984674331</v>
      </c>
      <c r="K104" s="19"/>
      <c r="L104" s="20">
        <v>1</v>
      </c>
      <c r="M104" s="18">
        <f t="shared" si="111"/>
        <v>-340.85</v>
      </c>
      <c r="N104" s="19"/>
      <c r="O104" s="21">
        <f>'[4]Statistics Projections'!L118</f>
        <v>462</v>
      </c>
      <c r="P104" s="18">
        <f t="shared" si="74"/>
        <v>157472.70000000001</v>
      </c>
      <c r="Q104" s="22"/>
      <c r="R104" s="24">
        <f>VLOOKUP($C104,'[4]Revenue Data - FY19 MAR-YTD '!$C$3:$V$82,20,FALSE)</f>
        <v>0.55770501827730246</v>
      </c>
      <c r="S104" s="24">
        <f>VLOOKUP($C104,'[4]Revenue Data - FY19 MAR-YTD '!$C$3:$V$82,19,FALSE)</f>
        <v>6.1722427801283231E-2</v>
      </c>
      <c r="T104" s="24">
        <f>VLOOKUP($C104,'[4]Revenue Data - FY19 MAR-YTD '!$C$3:$V$82,17,FALSE)</f>
        <v>0.21460655464980868</v>
      </c>
      <c r="U104" s="24">
        <f>VLOOKUP($C104,'[4]Revenue Data - FY19 MAR-YTD '!$C$3:$V$82,18,FALSE)</f>
        <v>0.13408975436924198</v>
      </c>
      <c r="V104" s="23">
        <f>VLOOKUP($C104,'[4]Revenue Data - FY19 MAR-YTD '!$C$3:$W$82,21,FALSE)</f>
        <v>3.1876244902363689E-2</v>
      </c>
      <c r="W104" s="24">
        <f t="shared" si="102"/>
        <v>1</v>
      </c>
      <c r="X104" s="24"/>
      <c r="Y104" s="25">
        <f t="shared" si="96"/>
        <v>87823.315031676175</v>
      </c>
      <c r="Z104" s="25">
        <f t="shared" si="97"/>
        <v>9719.5973564231354</v>
      </c>
      <c r="AA104" s="25">
        <f t="shared" si="98"/>
        <v>33794.673598402929</v>
      </c>
      <c r="AB104" s="25">
        <f t="shared" si="99"/>
        <v>21115.475662861332</v>
      </c>
      <c r="AC104" s="25">
        <f t="shared" si="100"/>
        <v>5019.6383506364464</v>
      </c>
      <c r="AD104" s="21">
        <f>SUM(Y104:AC104)</f>
        <v>157472.70000000001</v>
      </c>
      <c r="AE104" s="26">
        <f t="shared" si="66"/>
        <v>0</v>
      </c>
      <c r="AF104" s="27">
        <f t="shared" si="103"/>
        <v>0.36150000000000004</v>
      </c>
      <c r="AG104" s="27">
        <f t="shared" si="104"/>
        <v>0.33960000000000001</v>
      </c>
      <c r="AH104" s="27">
        <f t="shared" si="105"/>
        <v>0.45699999999999996</v>
      </c>
      <c r="AI104" s="27">
        <f t="shared" si="106"/>
        <v>0.53780000000000006</v>
      </c>
      <c r="AJ104" s="27">
        <v>0</v>
      </c>
      <c r="AT104" s="18">
        <f t="shared" si="107"/>
        <v>31748.128383950941</v>
      </c>
      <c r="AU104" s="18">
        <f t="shared" si="107"/>
        <v>3300.7752622412968</v>
      </c>
      <c r="AV104" s="18">
        <f t="shared" si="107"/>
        <v>15444.165834470137</v>
      </c>
      <c r="AW104" s="18">
        <f t="shared" si="107"/>
        <v>11355.902811486825</v>
      </c>
      <c r="AX104" s="18">
        <f t="shared" si="107"/>
        <v>0</v>
      </c>
      <c r="AY104" s="26">
        <f t="shared" si="108"/>
        <v>61848.972292149199</v>
      </c>
      <c r="AZ104" s="26"/>
      <c r="BA104" s="20">
        <f t="shared" si="109"/>
        <v>0.39275996596330154</v>
      </c>
      <c r="BB104" s="20">
        <f t="shared" si="110"/>
        <v>0.60724003403669846</v>
      </c>
      <c r="BC104" s="9">
        <v>5600</v>
      </c>
      <c r="BD104" s="30">
        <f t="shared" si="112"/>
        <v>56075.186647725233</v>
      </c>
      <c r="BE104" s="30">
        <f t="shared" si="112"/>
        <v>6418.8220941818381</v>
      </c>
      <c r="BF104" s="30">
        <f t="shared" si="112"/>
        <v>18350.507763932794</v>
      </c>
      <c r="BG104" s="30">
        <f t="shared" si="112"/>
        <v>9759.5728513745071</v>
      </c>
      <c r="BH104" s="30">
        <f t="shared" si="112"/>
        <v>5019.6383506364464</v>
      </c>
      <c r="BI104" s="31">
        <f t="shared" si="68"/>
        <v>95623.72770785082</v>
      </c>
      <c r="BK104" s="9" t="str">
        <f t="shared" si="69"/>
        <v>46001375</v>
      </c>
      <c r="BL104" s="26">
        <f t="shared" si="70"/>
        <v>157472.70000000001</v>
      </c>
    </row>
    <row r="105" spans="1:64">
      <c r="A105" s="10" t="str">
        <f t="shared" si="63"/>
        <v>4600</v>
      </c>
      <c r="B105" s="10" t="str">
        <f t="shared" si="64"/>
        <v>1376</v>
      </c>
      <c r="C105" s="35" t="s">
        <v>219</v>
      </c>
      <c r="D105" s="16">
        <v>900010</v>
      </c>
      <c r="E105" s="32" t="s">
        <v>220</v>
      </c>
      <c r="F105" s="18">
        <f>IFERROR(VLOOKUP(C105,'[4]Revenue Data - FY19 MAR-YTD '!$C$3:$Q$82,15,FALSE),0)</f>
        <v>-210195.6</v>
      </c>
      <c r="G105" s="18"/>
      <c r="H105" s="18">
        <f t="shared" si="71"/>
        <v>-210195.6</v>
      </c>
      <c r="I105" s="18">
        <f>'[4]Statistics Projections'!J122</f>
        <v>154</v>
      </c>
      <c r="J105" s="18">
        <f t="shared" si="72"/>
        <v>-1364.9064935064935</v>
      </c>
      <c r="K105" s="19"/>
      <c r="L105" s="20">
        <v>1</v>
      </c>
      <c r="M105" s="18">
        <f t="shared" si="111"/>
        <v>-1364.91</v>
      </c>
      <c r="N105" s="19"/>
      <c r="O105" s="21">
        <f>'[4]Statistics Projections'!L122</f>
        <v>737</v>
      </c>
      <c r="P105" s="18">
        <f t="shared" si="74"/>
        <v>1005938.67</v>
      </c>
      <c r="Q105" s="22"/>
      <c r="R105" s="24">
        <v>0.6689159305701402</v>
      </c>
      <c r="S105" s="24">
        <v>0.12713818024584594</v>
      </c>
      <c r="T105" s="24">
        <v>0.16077830625733522</v>
      </c>
      <c r="U105" s="24">
        <v>4.3167582926678612E-2</v>
      </c>
      <c r="V105" s="24">
        <v>0</v>
      </c>
      <c r="W105" s="24">
        <f t="shared" si="102"/>
        <v>1</v>
      </c>
      <c r="X105" s="24"/>
      <c r="Y105" s="25">
        <f t="shared" si="96"/>
        <v>672888.40153953922</v>
      </c>
      <c r="Z105" s="25">
        <f t="shared" si="97"/>
        <v>127893.21194272654</v>
      </c>
      <c r="AA105" s="25">
        <f t="shared" si="98"/>
        <v>161733.11556135648</v>
      </c>
      <c r="AB105" s="25">
        <f t="shared" si="99"/>
        <v>43423.940956377795</v>
      </c>
      <c r="AC105" s="25">
        <f t="shared" si="100"/>
        <v>0</v>
      </c>
      <c r="AD105" s="21">
        <f t="shared" si="101"/>
        <v>1005938.67</v>
      </c>
      <c r="AE105" s="26">
        <f t="shared" si="66"/>
        <v>0</v>
      </c>
      <c r="AF105" s="27">
        <f t="shared" si="103"/>
        <v>0.36150000000000004</v>
      </c>
      <c r="AG105" s="27">
        <f t="shared" si="104"/>
        <v>0.33960000000000001</v>
      </c>
      <c r="AH105" s="27">
        <f t="shared" si="105"/>
        <v>0.45699999999999996</v>
      </c>
      <c r="AI105" s="27">
        <f t="shared" si="106"/>
        <v>0.53780000000000006</v>
      </c>
      <c r="AJ105" s="27">
        <v>0</v>
      </c>
      <c r="AT105" s="18">
        <f t="shared" si="107"/>
        <v>243249.15715654346</v>
      </c>
      <c r="AU105" s="18">
        <f t="shared" si="107"/>
        <v>43432.534775749933</v>
      </c>
      <c r="AV105" s="18">
        <f t="shared" si="107"/>
        <v>73912.033811539906</v>
      </c>
      <c r="AW105" s="18">
        <f t="shared" si="107"/>
        <v>23353.395446339982</v>
      </c>
      <c r="AX105" s="18">
        <f t="shared" si="107"/>
        <v>0</v>
      </c>
      <c r="AY105" s="26">
        <f t="shared" si="108"/>
        <v>383947.12119017332</v>
      </c>
      <c r="AZ105" s="26"/>
      <c r="BA105" s="20">
        <f t="shared" si="109"/>
        <v>0.38168044697016501</v>
      </c>
      <c r="BB105" s="20">
        <f t="shared" si="110"/>
        <v>0.61831955302983499</v>
      </c>
      <c r="BC105" s="9">
        <v>5600</v>
      </c>
      <c r="BD105" s="30">
        <f t="shared" si="112"/>
        <v>429639.24438299576</v>
      </c>
      <c r="BE105" s="30">
        <f t="shared" si="112"/>
        <v>84460.677166976617</v>
      </c>
      <c r="BF105" s="30">
        <f t="shared" si="112"/>
        <v>87821.081749816571</v>
      </c>
      <c r="BG105" s="30">
        <f t="shared" si="112"/>
        <v>20070.545510037813</v>
      </c>
      <c r="BH105" s="30">
        <f t="shared" si="112"/>
        <v>0</v>
      </c>
      <c r="BI105" s="31">
        <f t="shared" si="68"/>
        <v>621991.54880982672</v>
      </c>
      <c r="BK105" s="9" t="str">
        <f t="shared" si="69"/>
        <v>46001376</v>
      </c>
      <c r="BL105" s="26">
        <f t="shared" si="70"/>
        <v>1005938.67</v>
      </c>
    </row>
    <row r="106" spans="1:64">
      <c r="A106" s="10" t="str">
        <f t="shared" si="63"/>
        <v>4600</v>
      </c>
      <c r="B106" s="10" t="str">
        <f t="shared" si="64"/>
        <v>1381</v>
      </c>
      <c r="C106" s="35" t="s">
        <v>221</v>
      </c>
      <c r="D106" s="16">
        <v>900010</v>
      </c>
      <c r="E106" s="32" t="s">
        <v>222</v>
      </c>
      <c r="F106" s="18">
        <f>IFERROR(VLOOKUP(C106,'[4]Revenue Data - FY19 MAR-YTD '!$C$3:$Q$82,15,FALSE),0)</f>
        <v>-585021.4800000001</v>
      </c>
      <c r="G106" s="18"/>
      <c r="H106" s="18">
        <f t="shared" si="71"/>
        <v>-585021.4800000001</v>
      </c>
      <c r="I106" s="18">
        <f>'[4]Statistics Projections'!J124</f>
        <v>2178</v>
      </c>
      <c r="J106" s="18">
        <f t="shared" si="72"/>
        <v>-268.60490358126725</v>
      </c>
      <c r="K106" s="19"/>
      <c r="L106" s="20">
        <v>1</v>
      </c>
      <c r="M106" s="18">
        <f t="shared" si="111"/>
        <v>-268.60000000000002</v>
      </c>
      <c r="N106" s="19"/>
      <c r="O106" s="21">
        <f>'[4]Statistics Projections'!L124</f>
        <v>4264</v>
      </c>
      <c r="P106" s="18">
        <f t="shared" si="74"/>
        <v>1145310.4000000001</v>
      </c>
      <c r="Q106" s="22"/>
      <c r="R106" s="24">
        <f>VLOOKUP($C106,'[4]Revenue Data - FY19 MAR-YTD '!$C$3:$V$82,20,FALSE)</f>
        <v>5.9638835825310196E-3</v>
      </c>
      <c r="S106" s="24">
        <f>VLOOKUP($C106,'[4]Revenue Data - FY19 MAR-YTD '!$C$3:$V$82,19,FALSE)</f>
        <v>0.46796259515120697</v>
      </c>
      <c r="T106" s="24">
        <f>VLOOKUP($C106,'[4]Revenue Data - FY19 MAR-YTD '!$C$3:$V$82,17,FALSE)</f>
        <v>0.23266708087368002</v>
      </c>
      <c r="U106" s="24">
        <f>VLOOKUP($C106,'[4]Revenue Data - FY19 MAR-YTD '!$C$3:$V$82,18,FALSE)</f>
        <v>0.28129678247027778</v>
      </c>
      <c r="V106" s="23">
        <f>VLOOKUP($C106,'[4]Revenue Data - FY19 MAR-YTD '!$C$3:$W$82,21,FALSE)</f>
        <v>1.2109657922303979E-2</v>
      </c>
      <c r="W106" s="24">
        <f t="shared" si="102"/>
        <v>0.99999999999999978</v>
      </c>
      <c r="X106" s="24"/>
      <c r="Y106" s="25">
        <f t="shared" si="96"/>
        <v>6830.497891462036</v>
      </c>
      <c r="Z106" s="25">
        <f t="shared" si="97"/>
        <v>535962.42703766702</v>
      </c>
      <c r="AA106" s="25">
        <f t="shared" si="98"/>
        <v>266476.02746226685</v>
      </c>
      <c r="AB106" s="25">
        <f t="shared" si="99"/>
        <v>322172.13044974685</v>
      </c>
      <c r="AC106" s="25">
        <f t="shared" si="100"/>
        <v>13869.31715885714</v>
      </c>
      <c r="AD106" s="21">
        <f t="shared" si="101"/>
        <v>1145310.3999999999</v>
      </c>
      <c r="AE106" s="26">
        <f t="shared" si="66"/>
        <v>0</v>
      </c>
      <c r="AF106" s="27">
        <f t="shared" si="103"/>
        <v>0.36150000000000004</v>
      </c>
      <c r="AG106" s="27">
        <f t="shared" si="104"/>
        <v>0.33960000000000001</v>
      </c>
      <c r="AH106" s="27">
        <f t="shared" si="105"/>
        <v>0.45699999999999996</v>
      </c>
      <c r="AI106" s="27">
        <f t="shared" si="106"/>
        <v>0.53780000000000006</v>
      </c>
      <c r="AJ106" s="27">
        <v>0</v>
      </c>
      <c r="AT106" s="18">
        <f t="shared" si="107"/>
        <v>2469.2249877635263</v>
      </c>
      <c r="AU106" s="18">
        <f t="shared" si="107"/>
        <v>182012.84022199173</v>
      </c>
      <c r="AV106" s="18">
        <f t="shared" si="107"/>
        <v>121779.54455025595</v>
      </c>
      <c r="AW106" s="18">
        <f t="shared" si="107"/>
        <v>173264.17175587389</v>
      </c>
      <c r="AX106" s="18">
        <f t="shared" si="107"/>
        <v>0</v>
      </c>
      <c r="AY106" s="26">
        <f t="shared" si="108"/>
        <v>479525.78151588509</v>
      </c>
      <c r="AZ106" s="26"/>
      <c r="BA106" s="20">
        <f t="shared" si="109"/>
        <v>0.41868630680022212</v>
      </c>
      <c r="BB106" s="20">
        <f t="shared" si="110"/>
        <v>0.58131369319977788</v>
      </c>
      <c r="BC106" s="9">
        <v>5600</v>
      </c>
      <c r="BD106" s="30">
        <f t="shared" si="112"/>
        <v>4361.2729036985093</v>
      </c>
      <c r="BE106" s="30">
        <f t="shared" si="112"/>
        <v>353949.58681567525</v>
      </c>
      <c r="BF106" s="30">
        <f t="shared" si="112"/>
        <v>144696.48291201092</v>
      </c>
      <c r="BG106" s="30">
        <f t="shared" si="112"/>
        <v>148907.95869387296</v>
      </c>
      <c r="BH106" s="30">
        <f t="shared" si="112"/>
        <v>13869.31715885714</v>
      </c>
      <c r="BI106" s="31">
        <f t="shared" si="68"/>
        <v>665784.61848411476</v>
      </c>
      <c r="BK106" s="9" t="str">
        <f t="shared" si="69"/>
        <v>46001381</v>
      </c>
      <c r="BL106" s="26">
        <f t="shared" si="70"/>
        <v>1145310.4000000001</v>
      </c>
    </row>
    <row r="107" spans="1:64">
      <c r="A107" s="10" t="str">
        <f t="shared" si="63"/>
        <v>4600</v>
      </c>
      <c r="B107" s="10" t="str">
        <f t="shared" si="64"/>
        <v>1382</v>
      </c>
      <c r="C107" s="35" t="s">
        <v>223</v>
      </c>
      <c r="D107" s="16">
        <v>900010</v>
      </c>
      <c r="E107" s="32" t="s">
        <v>224</v>
      </c>
      <c r="F107" s="18">
        <f>IFERROR(VLOOKUP(C107,'[4]Revenue Data - FY19 MAR-YTD '!$C$3:$Q$82,15,FALSE),0)</f>
        <v>-272713.59999999998</v>
      </c>
      <c r="G107" s="18"/>
      <c r="H107" s="18">
        <f t="shared" si="71"/>
        <v>-272713.59999999998</v>
      </c>
      <c r="I107" s="18">
        <f>'[4]Statistics Projections'!J126</f>
        <v>570</v>
      </c>
      <c r="J107" s="18">
        <f t="shared" si="72"/>
        <v>-478.44491228070171</v>
      </c>
      <c r="K107" s="19"/>
      <c r="L107" s="20">
        <v>1</v>
      </c>
      <c r="M107" s="18">
        <f t="shared" si="111"/>
        <v>-478.44</v>
      </c>
      <c r="N107" s="19"/>
      <c r="O107" s="21">
        <f>'[4]Statistics Projections'!L126</f>
        <v>1260</v>
      </c>
      <c r="P107" s="18">
        <f t="shared" si="74"/>
        <v>602834.4</v>
      </c>
      <c r="Q107" s="22"/>
      <c r="R107" s="24">
        <f>VLOOKUP($C107,'[4]Revenue Data - FY19 MAR-YTD '!$C$3:$V$82,20,FALSE)</f>
        <v>0.30870480973446141</v>
      </c>
      <c r="S107" s="24">
        <f>VLOOKUP($C107,'[4]Revenue Data - FY19 MAR-YTD '!$C$3:$V$82,19,FALSE)</f>
        <v>0.12659434659657606</v>
      </c>
      <c r="T107" s="24">
        <f>VLOOKUP($C107,'[4]Revenue Data - FY19 MAR-YTD '!$C$3:$V$82,17,FALSE)</f>
        <v>0.25996503291365008</v>
      </c>
      <c r="U107" s="24">
        <f>VLOOKUP($C107,'[4]Revenue Data - FY19 MAR-YTD '!$C$3:$V$82,18,FALSE)</f>
        <v>0.298525632751722</v>
      </c>
      <c r="V107" s="23">
        <f>VLOOKUP($C107,'[4]Revenue Data - FY19 MAR-YTD '!$C$3:$W$82,21,FALSE)</f>
        <v>6.2101780035905803E-3</v>
      </c>
      <c r="W107" s="24">
        <f t="shared" si="102"/>
        <v>1.0000000000000002</v>
      </c>
      <c r="X107" s="24"/>
      <c r="Y107" s="25">
        <f t="shared" si="96"/>
        <v>186097.87875338821</v>
      </c>
      <c r="Z107" s="25">
        <f t="shared" si="97"/>
        <v>76315.426973938971</v>
      </c>
      <c r="AA107" s="25">
        <f t="shared" si="98"/>
        <v>156715.8646374805</v>
      </c>
      <c r="AB107" s="25">
        <f t="shared" si="99"/>
        <v>179961.52070450468</v>
      </c>
      <c r="AC107" s="25">
        <f t="shared" si="100"/>
        <v>3743.7089306877256</v>
      </c>
      <c r="AD107" s="21">
        <f t="shared" si="101"/>
        <v>602834.40000000014</v>
      </c>
      <c r="AE107" s="26">
        <f t="shared" si="66"/>
        <v>0</v>
      </c>
      <c r="AF107" s="27">
        <f t="shared" si="103"/>
        <v>0.36150000000000004</v>
      </c>
      <c r="AG107" s="27">
        <f t="shared" si="104"/>
        <v>0.33960000000000001</v>
      </c>
      <c r="AH107" s="27">
        <f t="shared" si="105"/>
        <v>0.45699999999999996</v>
      </c>
      <c r="AI107" s="27">
        <f t="shared" si="106"/>
        <v>0.53780000000000006</v>
      </c>
      <c r="AJ107" s="27">
        <v>0</v>
      </c>
      <c r="AT107" s="18">
        <f t="shared" si="107"/>
        <v>67274.383169349851</v>
      </c>
      <c r="AU107" s="18">
        <f t="shared" si="107"/>
        <v>25916.719000349676</v>
      </c>
      <c r="AV107" s="18">
        <f t="shared" si="107"/>
        <v>71619.150139328587</v>
      </c>
      <c r="AW107" s="18">
        <f t="shared" si="107"/>
        <v>96783.305834882631</v>
      </c>
      <c r="AX107" s="18">
        <f t="shared" si="107"/>
        <v>0</v>
      </c>
      <c r="AY107" s="26">
        <f t="shared" si="108"/>
        <v>261593.55814391075</v>
      </c>
      <c r="AZ107" s="26"/>
      <c r="BA107" s="20">
        <f t="shared" si="109"/>
        <v>0.43393933415861918</v>
      </c>
      <c r="BB107" s="20">
        <f t="shared" si="110"/>
        <v>0.56606066584138082</v>
      </c>
      <c r="BC107" s="9">
        <v>5600</v>
      </c>
      <c r="BD107" s="30">
        <f t="shared" si="112"/>
        <v>118823.49558403836</v>
      </c>
      <c r="BE107" s="30">
        <f t="shared" si="112"/>
        <v>50398.707973589291</v>
      </c>
      <c r="BF107" s="30">
        <f t="shared" si="112"/>
        <v>85096.714498151909</v>
      </c>
      <c r="BG107" s="30">
        <f t="shared" si="112"/>
        <v>83178.214869622054</v>
      </c>
      <c r="BH107" s="30">
        <f t="shared" si="112"/>
        <v>3743.7089306877256</v>
      </c>
      <c r="BI107" s="31">
        <f t="shared" si="68"/>
        <v>341240.84185608936</v>
      </c>
      <c r="BK107" s="9" t="str">
        <f t="shared" si="69"/>
        <v>46001382</v>
      </c>
      <c r="BL107" s="26">
        <f t="shared" si="70"/>
        <v>602834.4</v>
      </c>
    </row>
    <row r="108" spans="1:64">
      <c r="A108" s="10" t="str">
        <f t="shared" si="63"/>
        <v>4600</v>
      </c>
      <c r="B108" s="10" t="str">
        <f t="shared" si="64"/>
        <v>1383</v>
      </c>
      <c r="C108" s="35" t="s">
        <v>225</v>
      </c>
      <c r="D108" s="16">
        <v>900010</v>
      </c>
      <c r="E108" s="32" t="s">
        <v>226</v>
      </c>
      <c r="F108" s="18">
        <f>IFERROR(VLOOKUP(C108,'[4]Revenue Data - FY19 MAR-YTD '!$C$3:$Q$82,15,FALSE),0)</f>
        <v>-49755.9</v>
      </c>
      <c r="G108" s="18"/>
      <c r="H108" s="18">
        <f t="shared" si="71"/>
        <v>-49755.9</v>
      </c>
      <c r="I108" s="18">
        <f>'[4]Statistics Projections'!J128</f>
        <v>194</v>
      </c>
      <c r="J108" s="18">
        <f t="shared" si="72"/>
        <v>-256.47371134020619</v>
      </c>
      <c r="K108" s="19"/>
      <c r="L108" s="20">
        <v>1</v>
      </c>
      <c r="M108" s="18">
        <f t="shared" si="111"/>
        <v>-256.47000000000003</v>
      </c>
      <c r="N108" s="19"/>
      <c r="O108" s="21">
        <f>'[4]Statistics Projections'!L128</f>
        <v>396</v>
      </c>
      <c r="P108" s="18">
        <f t="shared" si="74"/>
        <v>101562.12000000001</v>
      </c>
      <c r="Q108" s="22"/>
      <c r="R108" s="24">
        <f>VLOOKUP($C108,'[4]Revenue Data - FY19 MAR-YTD '!$C$3:$V$82,20,FALSE)</f>
        <v>0.72391213906290508</v>
      </c>
      <c r="S108" s="24">
        <f>VLOOKUP($C108,'[4]Revenue Data - FY19 MAR-YTD '!$C$3:$V$82,19,FALSE)</f>
        <v>4.9200195353716843E-2</v>
      </c>
      <c r="T108" s="24">
        <f>VLOOKUP($C108,'[4]Revenue Data - FY19 MAR-YTD '!$C$3:$V$82,17,FALSE)</f>
        <v>0.11262985897149885</v>
      </c>
      <c r="U108" s="24">
        <f>VLOOKUP($C108,'[4]Revenue Data - FY19 MAR-YTD '!$C$3:$V$82,18,FALSE)</f>
        <v>0.11425780661187919</v>
      </c>
      <c r="V108" s="24">
        <v>0</v>
      </c>
      <c r="W108" s="24">
        <f t="shared" si="102"/>
        <v>1</v>
      </c>
      <c r="X108" s="24"/>
      <c r="Y108" s="25">
        <f t="shared" si="96"/>
        <v>73522.051536963467</v>
      </c>
      <c r="Z108" s="25">
        <f t="shared" si="97"/>
        <v>4996.8761445376331</v>
      </c>
      <c r="AA108" s="25">
        <f t="shared" si="98"/>
        <v>11438.927252446445</v>
      </c>
      <c r="AB108" s="25">
        <f t="shared" si="99"/>
        <v>11604.265066052469</v>
      </c>
      <c r="AC108" s="25">
        <f t="shared" si="100"/>
        <v>0</v>
      </c>
      <c r="AD108" s="21">
        <f t="shared" si="101"/>
        <v>101562.12000000001</v>
      </c>
      <c r="AE108" s="26">
        <f t="shared" si="66"/>
        <v>0</v>
      </c>
      <c r="AF108" s="27">
        <f t="shared" si="103"/>
        <v>0.36150000000000004</v>
      </c>
      <c r="AG108" s="27">
        <f t="shared" si="104"/>
        <v>0.33960000000000001</v>
      </c>
      <c r="AH108" s="27">
        <f t="shared" si="105"/>
        <v>0.45699999999999996</v>
      </c>
      <c r="AI108" s="27">
        <f t="shared" si="106"/>
        <v>0.53780000000000006</v>
      </c>
      <c r="AJ108" s="27">
        <v>0</v>
      </c>
      <c r="AT108" s="18">
        <f t="shared" si="107"/>
        <v>26578.221630612297</v>
      </c>
      <c r="AU108" s="18">
        <f t="shared" si="107"/>
        <v>1696.9391386849802</v>
      </c>
      <c r="AV108" s="18">
        <f t="shared" si="107"/>
        <v>5227.5897543680248</v>
      </c>
      <c r="AW108" s="18">
        <f t="shared" si="107"/>
        <v>6240.7737525230186</v>
      </c>
      <c r="AX108" s="18">
        <f t="shared" si="107"/>
        <v>0</v>
      </c>
      <c r="AY108" s="26">
        <f t="shared" si="108"/>
        <v>39743.52427618832</v>
      </c>
      <c r="AZ108" s="26"/>
      <c r="BA108" s="20">
        <f t="shared" si="109"/>
        <v>0.39132231855920607</v>
      </c>
      <c r="BB108" s="20">
        <f t="shared" si="110"/>
        <v>0.60867768144079393</v>
      </c>
      <c r="BC108" s="9">
        <v>5600</v>
      </c>
      <c r="BD108" s="30">
        <f t="shared" si="112"/>
        <v>46943.829906351166</v>
      </c>
      <c r="BE108" s="30">
        <f t="shared" si="112"/>
        <v>3299.9370058526529</v>
      </c>
      <c r="BF108" s="30">
        <f t="shared" si="112"/>
        <v>6211.3374980784201</v>
      </c>
      <c r="BG108" s="30">
        <f t="shared" si="112"/>
        <v>5363.4913135294501</v>
      </c>
      <c r="BH108" s="30">
        <f t="shared" si="112"/>
        <v>0</v>
      </c>
      <c r="BI108" s="31">
        <f t="shared" si="68"/>
        <v>61818.59572381169</v>
      </c>
      <c r="BK108" s="9" t="str">
        <f t="shared" si="69"/>
        <v>46001383</v>
      </c>
      <c r="BL108" s="26">
        <f t="shared" si="70"/>
        <v>101562.12000000001</v>
      </c>
    </row>
    <row r="109" spans="1:64">
      <c r="A109" s="10" t="str">
        <f t="shared" si="63"/>
        <v>4600</v>
      </c>
      <c r="B109" s="10" t="str">
        <f t="shared" si="64"/>
        <v>1388</v>
      </c>
      <c r="C109" s="35" t="s">
        <v>227</v>
      </c>
      <c r="D109" s="16">
        <v>900010</v>
      </c>
      <c r="E109" s="32" t="s">
        <v>228</v>
      </c>
      <c r="F109" s="18">
        <f>IFERROR(VLOOKUP(C109,'[4]Revenue Data - FY19 MAR-YTD '!$C$3:$Q$82,15,FALSE),0)</f>
        <v>-13112</v>
      </c>
      <c r="G109" s="18"/>
      <c r="H109" s="18">
        <f t="shared" si="71"/>
        <v>-13112</v>
      </c>
      <c r="I109" s="18">
        <v>1</v>
      </c>
      <c r="J109" s="18">
        <v>-30000</v>
      </c>
      <c r="K109" s="19"/>
      <c r="L109" s="20">
        <v>1</v>
      </c>
      <c r="M109" s="18">
        <f t="shared" si="111"/>
        <v>-30000</v>
      </c>
      <c r="N109" s="19"/>
      <c r="O109" s="21">
        <v>1</v>
      </c>
      <c r="P109" s="18">
        <f t="shared" si="74"/>
        <v>30000</v>
      </c>
      <c r="Q109" s="22"/>
      <c r="R109" s="24">
        <f>VLOOKUP($C109,'[4]Revenue Data - FY19 MAR-YTD '!$C$3:$V$82,20,FALSE)</f>
        <v>0.47605247101891396</v>
      </c>
      <c r="S109" s="24">
        <f>VLOOKUP($C109,'[4]Revenue Data - FY19 MAR-YTD '!$C$3:$V$82,19,FALSE)</f>
        <v>0.16092129347162903</v>
      </c>
      <c r="T109" s="24">
        <f>VLOOKUP($C109,'[4]Revenue Data - FY19 MAR-YTD '!$C$3:$V$82,17,FALSE)</f>
        <v>0.18418242830994508</v>
      </c>
      <c r="U109" s="24">
        <f>VLOOKUP($C109,'[4]Revenue Data - FY19 MAR-YTD '!$C$3:$V$82,18,FALSE)</f>
        <v>0.17106467358145211</v>
      </c>
      <c r="V109" s="23">
        <f>VLOOKUP($C109,'[4]Revenue Data - FY19 MAR-YTD '!$C$3:$W$82,21,FALSE)</f>
        <v>7.7791336180597923E-3</v>
      </c>
      <c r="W109" s="24">
        <f t="shared" si="102"/>
        <v>0.99999999999999989</v>
      </c>
      <c r="X109" s="24"/>
      <c r="Y109" s="25">
        <f t="shared" si="96"/>
        <v>14281.574130567418</v>
      </c>
      <c r="Z109" s="25">
        <f t="shared" si="97"/>
        <v>4827.6388041488708</v>
      </c>
      <c r="AA109" s="25">
        <f t="shared" si="98"/>
        <v>5525.4728492983522</v>
      </c>
      <c r="AB109" s="25">
        <f t="shared" si="99"/>
        <v>5131.9402074435629</v>
      </c>
      <c r="AC109" s="25">
        <f t="shared" si="100"/>
        <v>233.37400854179376</v>
      </c>
      <c r="AD109" s="21">
        <f t="shared" si="101"/>
        <v>29999.999999999996</v>
      </c>
      <c r="AE109" s="26">
        <f t="shared" si="66"/>
        <v>0</v>
      </c>
      <c r="AF109" s="27">
        <f t="shared" si="103"/>
        <v>0.36150000000000004</v>
      </c>
      <c r="AG109" s="27">
        <f t="shared" si="104"/>
        <v>0.33960000000000001</v>
      </c>
      <c r="AH109" s="27">
        <f t="shared" si="105"/>
        <v>0.45699999999999996</v>
      </c>
      <c r="AI109" s="27">
        <f t="shared" si="106"/>
        <v>0.53780000000000006</v>
      </c>
      <c r="AJ109" s="27">
        <v>0</v>
      </c>
      <c r="AT109" s="18">
        <f t="shared" si="107"/>
        <v>5162.7890482001221</v>
      </c>
      <c r="AU109" s="18">
        <f t="shared" si="107"/>
        <v>1639.4661378889566</v>
      </c>
      <c r="AV109" s="18">
        <f t="shared" si="107"/>
        <v>2525.1410921293468</v>
      </c>
      <c r="AW109" s="18">
        <f t="shared" si="107"/>
        <v>2759.9574435631484</v>
      </c>
      <c r="AX109" s="18">
        <f t="shared" si="107"/>
        <v>0</v>
      </c>
      <c r="AY109" s="26">
        <f t="shared" si="108"/>
        <v>12087.353721781576</v>
      </c>
      <c r="AZ109" s="26"/>
      <c r="BA109" s="20">
        <f t="shared" si="109"/>
        <v>0.40291179072605254</v>
      </c>
      <c r="BB109" s="20">
        <f t="shared" si="110"/>
        <v>0.59708820927394746</v>
      </c>
      <c r="BC109" s="9">
        <v>5600</v>
      </c>
      <c r="BD109" s="30">
        <f t="shared" si="112"/>
        <v>9118.7850823672961</v>
      </c>
      <c r="BE109" s="30">
        <f t="shared" si="112"/>
        <v>3188.172666259914</v>
      </c>
      <c r="BF109" s="30">
        <f t="shared" si="112"/>
        <v>3000.3317571690054</v>
      </c>
      <c r="BG109" s="30">
        <f t="shared" si="112"/>
        <v>2371.9827638804145</v>
      </c>
      <c r="BH109" s="30">
        <f t="shared" si="112"/>
        <v>233.37400854179376</v>
      </c>
      <c r="BI109" s="31">
        <f t="shared" si="68"/>
        <v>17912.646278218421</v>
      </c>
      <c r="BK109" s="9" t="str">
        <f t="shared" si="69"/>
        <v>46001388</v>
      </c>
      <c r="BL109" s="26">
        <f t="shared" si="70"/>
        <v>30000</v>
      </c>
    </row>
    <row r="110" spans="1:64">
      <c r="A110" s="10" t="str">
        <f t="shared" si="63"/>
        <v>4600</v>
      </c>
      <c r="B110" s="10" t="str">
        <f t="shared" si="64"/>
        <v>1390</v>
      </c>
      <c r="C110" s="35" t="s">
        <v>229</v>
      </c>
      <c r="D110" s="16">
        <v>900010</v>
      </c>
      <c r="E110" s="32" t="s">
        <v>230</v>
      </c>
      <c r="F110" s="18">
        <f>IFERROR(VLOOKUP(C110,'[4]Revenue Data - FY19 MAR-YTD '!$C$3:$Q$82,15,FALSE),0)</f>
        <v>0</v>
      </c>
      <c r="G110" s="18"/>
      <c r="H110" s="18">
        <f t="shared" si="71"/>
        <v>0</v>
      </c>
      <c r="I110" s="18"/>
      <c r="J110" s="18">
        <f t="shared" si="72"/>
        <v>0</v>
      </c>
      <c r="K110" s="19"/>
      <c r="L110" s="20">
        <v>1</v>
      </c>
      <c r="M110" s="18">
        <f t="shared" si="111"/>
        <v>0</v>
      </c>
      <c r="N110" s="19"/>
      <c r="O110" s="21">
        <v>0</v>
      </c>
      <c r="P110" s="18">
        <f t="shared" si="74"/>
        <v>0</v>
      </c>
      <c r="Q110" s="22"/>
      <c r="R110" s="24"/>
      <c r="S110" s="24"/>
      <c r="T110" s="24"/>
      <c r="U110" s="24"/>
      <c r="V110" s="24"/>
      <c r="W110" s="24"/>
      <c r="X110" s="24"/>
      <c r="Y110" s="25">
        <f t="shared" si="96"/>
        <v>0</v>
      </c>
      <c r="Z110" s="25">
        <f t="shared" si="97"/>
        <v>0</v>
      </c>
      <c r="AA110" s="25">
        <f t="shared" si="98"/>
        <v>0</v>
      </c>
      <c r="AB110" s="25">
        <f t="shared" si="99"/>
        <v>0</v>
      </c>
      <c r="AC110" s="25">
        <f t="shared" si="100"/>
        <v>0</v>
      </c>
      <c r="AD110" s="21">
        <f t="shared" si="101"/>
        <v>0</v>
      </c>
      <c r="AE110" s="26">
        <f t="shared" si="66"/>
        <v>0</v>
      </c>
      <c r="AF110" s="27">
        <f t="shared" si="103"/>
        <v>0.36150000000000004</v>
      </c>
      <c r="AG110" s="27">
        <f t="shared" si="104"/>
        <v>0.33960000000000001</v>
      </c>
      <c r="AH110" s="27">
        <f t="shared" si="105"/>
        <v>0.45699999999999996</v>
      </c>
      <c r="AI110" s="27">
        <f t="shared" si="106"/>
        <v>0.53780000000000006</v>
      </c>
      <c r="AJ110" s="27">
        <v>0</v>
      </c>
      <c r="AT110" s="18">
        <f t="shared" si="107"/>
        <v>0</v>
      </c>
      <c r="AU110" s="18">
        <f t="shared" si="107"/>
        <v>0</v>
      </c>
      <c r="AV110" s="18">
        <f t="shared" si="107"/>
        <v>0</v>
      </c>
      <c r="AW110" s="18">
        <f t="shared" si="107"/>
        <v>0</v>
      </c>
      <c r="AX110" s="18">
        <f t="shared" si="107"/>
        <v>0</v>
      </c>
      <c r="AY110" s="26">
        <f t="shared" si="108"/>
        <v>0</v>
      </c>
      <c r="AZ110" s="26"/>
      <c r="BA110" s="20"/>
      <c r="BB110" s="20"/>
      <c r="BC110" s="9">
        <v>5600</v>
      </c>
      <c r="BD110" s="30">
        <f t="shared" si="112"/>
        <v>0</v>
      </c>
      <c r="BE110" s="30">
        <f t="shared" si="112"/>
        <v>0</v>
      </c>
      <c r="BF110" s="30">
        <f t="shared" si="112"/>
        <v>0</v>
      </c>
      <c r="BG110" s="30">
        <f t="shared" si="112"/>
        <v>0</v>
      </c>
      <c r="BH110" s="30">
        <f t="shared" si="112"/>
        <v>0</v>
      </c>
      <c r="BI110" s="31">
        <f t="shared" si="68"/>
        <v>0</v>
      </c>
      <c r="BK110" s="9" t="str">
        <f t="shared" si="69"/>
        <v>46001390</v>
      </c>
      <c r="BL110" s="26">
        <f t="shared" si="70"/>
        <v>0</v>
      </c>
    </row>
    <row r="111" spans="1:64">
      <c r="A111" s="10" t="str">
        <f t="shared" si="63"/>
        <v>4600</v>
      </c>
      <c r="B111" s="10" t="str">
        <f t="shared" si="64"/>
        <v>1391</v>
      </c>
      <c r="C111" s="35" t="s">
        <v>231</v>
      </c>
      <c r="D111" s="16">
        <v>900010</v>
      </c>
      <c r="E111" s="32" t="s">
        <v>232</v>
      </c>
      <c r="F111" s="18">
        <f>IFERROR(VLOOKUP(C111,'[4]Revenue Data - FY19 MAR-YTD '!$C$3:$Q$82,15,FALSE),0)</f>
        <v>-289780.40000000002</v>
      </c>
      <c r="G111" s="18"/>
      <c r="H111" s="18">
        <f t="shared" si="71"/>
        <v>-289780.40000000002</v>
      </c>
      <c r="I111" s="18">
        <f>'[4]Statistics Projections'!J138</f>
        <v>1275</v>
      </c>
      <c r="J111" s="18">
        <f t="shared" si="72"/>
        <v>-227.27874509803922</v>
      </c>
      <c r="K111" s="19"/>
      <c r="L111" s="20">
        <v>1</v>
      </c>
      <c r="M111" s="18">
        <f t="shared" si="111"/>
        <v>-227.28</v>
      </c>
      <c r="N111" s="19"/>
      <c r="O111" s="21">
        <f>'[4]Statistics Projections'!L138</f>
        <v>2241</v>
      </c>
      <c r="P111" s="18">
        <f t="shared" si="74"/>
        <v>509334.48</v>
      </c>
      <c r="Q111" s="22"/>
      <c r="R111" s="24">
        <f>VLOOKUP($C111,'[4]Revenue Data - FY19 MAR-YTD '!$C$3:$V$82,20,FALSE)</f>
        <v>0.55950436951567462</v>
      </c>
      <c r="S111" s="24">
        <f>VLOOKUP($C111,'[4]Revenue Data - FY19 MAR-YTD '!$C$3:$V$82,19,FALSE)</f>
        <v>0.11181225507315194</v>
      </c>
      <c r="T111" s="24">
        <f>VLOOKUP($C111,'[4]Revenue Data - FY19 MAR-YTD '!$C$3:$V$82,17,FALSE)</f>
        <v>0.16295097943132109</v>
      </c>
      <c r="U111" s="24">
        <f>VLOOKUP($C111,'[4]Revenue Data - FY19 MAR-YTD '!$C$3:$V$82,18,FALSE)</f>
        <v>0.16042492867012398</v>
      </c>
      <c r="V111" s="23">
        <f>VLOOKUP($C111,'[4]Revenue Data - FY19 MAR-YTD '!$C$3:$W$82,21,FALSE)</f>
        <v>5.3074673097283321E-3</v>
      </c>
      <c r="W111" s="24">
        <f t="shared" si="102"/>
        <v>0.99999999999999989</v>
      </c>
      <c r="X111" s="24"/>
      <c r="Y111" s="25">
        <f t="shared" si="96"/>
        <v>284974.86710499396</v>
      </c>
      <c r="Z111" s="25">
        <f t="shared" si="97"/>
        <v>56949.836795311203</v>
      </c>
      <c r="AA111" s="25">
        <f t="shared" si="98"/>
        <v>82996.552374142615</v>
      </c>
      <c r="AB111" s="25">
        <f t="shared" si="99"/>
        <v>81709.947623234679</v>
      </c>
      <c r="AC111" s="25">
        <f t="shared" si="100"/>
        <v>2703.2761023174789</v>
      </c>
      <c r="AD111" s="21">
        <f t="shared" si="101"/>
        <v>509334.48</v>
      </c>
      <c r="AE111" s="26">
        <f t="shared" si="66"/>
        <v>0</v>
      </c>
      <c r="AF111" s="27">
        <f t="shared" si="103"/>
        <v>0.36150000000000004</v>
      </c>
      <c r="AG111" s="27">
        <f t="shared" si="104"/>
        <v>0.33960000000000001</v>
      </c>
      <c r="AH111" s="27">
        <f t="shared" si="105"/>
        <v>0.45699999999999996</v>
      </c>
      <c r="AI111" s="27">
        <f t="shared" si="106"/>
        <v>0.53780000000000006</v>
      </c>
      <c r="AJ111" s="27">
        <v>0</v>
      </c>
      <c r="AT111" s="18">
        <f t="shared" si="107"/>
        <v>103018.41445845533</v>
      </c>
      <c r="AU111" s="18">
        <f t="shared" si="107"/>
        <v>19340.164575687686</v>
      </c>
      <c r="AV111" s="18">
        <f t="shared" si="107"/>
        <v>37929.424434983172</v>
      </c>
      <c r="AW111" s="18">
        <f t="shared" si="107"/>
        <v>43943.609831775611</v>
      </c>
      <c r="AX111" s="18">
        <f t="shared" si="107"/>
        <v>0</v>
      </c>
      <c r="AY111" s="26">
        <f t="shared" si="108"/>
        <v>204231.61330090178</v>
      </c>
      <c r="AZ111" s="26"/>
      <c r="BA111" s="20">
        <f>AY111/AD111</f>
        <v>0.40097739564166518</v>
      </c>
      <c r="BB111" s="20">
        <f t="shared" si="110"/>
        <v>0.59902260435833488</v>
      </c>
      <c r="BC111" s="9">
        <v>5600</v>
      </c>
      <c r="BD111" s="30">
        <f t="shared" si="112"/>
        <v>181956.45264653862</v>
      </c>
      <c r="BE111" s="30">
        <f t="shared" si="112"/>
        <v>37609.672219623521</v>
      </c>
      <c r="BF111" s="30">
        <f t="shared" si="112"/>
        <v>45067.127939159443</v>
      </c>
      <c r="BG111" s="30">
        <f t="shared" si="112"/>
        <v>37766.337791459067</v>
      </c>
      <c r="BH111" s="30">
        <f t="shared" si="112"/>
        <v>2703.2761023174789</v>
      </c>
      <c r="BI111" s="31">
        <f t="shared" si="68"/>
        <v>305102.86669909814</v>
      </c>
      <c r="BK111" s="9" t="str">
        <f t="shared" si="69"/>
        <v>46001391</v>
      </c>
      <c r="BL111" s="26">
        <f t="shared" si="70"/>
        <v>509334.48</v>
      </c>
    </row>
    <row r="112" spans="1:64">
      <c r="A112" s="10" t="str">
        <f t="shared" si="63"/>
        <v>4600</v>
      </c>
      <c r="B112" s="10" t="str">
        <f t="shared" si="64"/>
        <v>1392</v>
      </c>
      <c r="C112" s="35" t="s">
        <v>233</v>
      </c>
      <c r="D112" s="16">
        <v>900010</v>
      </c>
      <c r="E112" s="32" t="s">
        <v>234</v>
      </c>
      <c r="F112" s="18">
        <f>IFERROR(VLOOKUP(C112,'[4]Revenue Data - FY19 MAR-YTD '!$C$3:$Q$82,15,FALSE),0)</f>
        <v>0</v>
      </c>
      <c r="G112" s="18"/>
      <c r="H112" s="18">
        <f t="shared" si="71"/>
        <v>0</v>
      </c>
      <c r="I112" s="18">
        <f>'[4]Statistics Projections'!J142</f>
        <v>0</v>
      </c>
      <c r="J112" s="18">
        <f t="shared" si="72"/>
        <v>0</v>
      </c>
      <c r="K112" s="19"/>
      <c r="L112" s="20">
        <v>1</v>
      </c>
      <c r="M112" s="18">
        <f t="shared" si="111"/>
        <v>0</v>
      </c>
      <c r="N112" s="19"/>
      <c r="O112" s="21">
        <f>'[4]Statistics Projections'!L142</f>
        <v>0</v>
      </c>
      <c r="P112" s="18">
        <f t="shared" si="74"/>
        <v>0</v>
      </c>
      <c r="Q112" s="22"/>
      <c r="R112" s="24"/>
      <c r="S112" s="24"/>
      <c r="T112" s="24"/>
      <c r="U112" s="24"/>
      <c r="V112" s="24"/>
      <c r="W112" s="24"/>
      <c r="X112" s="24"/>
      <c r="Y112" s="25">
        <f t="shared" si="96"/>
        <v>0</v>
      </c>
      <c r="Z112" s="25">
        <f t="shared" si="97"/>
        <v>0</v>
      </c>
      <c r="AA112" s="25">
        <f t="shared" si="98"/>
        <v>0</v>
      </c>
      <c r="AB112" s="25">
        <f t="shared" si="99"/>
        <v>0</v>
      </c>
      <c r="AC112" s="25">
        <f t="shared" si="100"/>
        <v>0</v>
      </c>
      <c r="AD112" s="21">
        <f t="shared" si="101"/>
        <v>0</v>
      </c>
      <c r="AE112" s="26">
        <f t="shared" si="66"/>
        <v>0</v>
      </c>
      <c r="AF112" s="27">
        <f t="shared" si="103"/>
        <v>0.36150000000000004</v>
      </c>
      <c r="AG112" s="27">
        <f t="shared" si="104"/>
        <v>0.33960000000000001</v>
      </c>
      <c r="AH112" s="27">
        <f t="shared" si="105"/>
        <v>0.45699999999999996</v>
      </c>
      <c r="AI112" s="27">
        <f t="shared" si="106"/>
        <v>0.53780000000000006</v>
      </c>
      <c r="AJ112" s="27">
        <v>0</v>
      </c>
      <c r="AT112" s="18">
        <f t="shared" si="107"/>
        <v>0</v>
      </c>
      <c r="AU112" s="18">
        <f t="shared" si="107"/>
        <v>0</v>
      </c>
      <c r="AV112" s="18">
        <f t="shared" si="107"/>
        <v>0</v>
      </c>
      <c r="AW112" s="18">
        <f t="shared" si="107"/>
        <v>0</v>
      </c>
      <c r="AX112" s="18">
        <f t="shared" si="107"/>
        <v>0</v>
      </c>
      <c r="AY112" s="26">
        <f t="shared" si="108"/>
        <v>0</v>
      </c>
      <c r="AZ112" s="26"/>
      <c r="BA112" s="20" t="e">
        <f>AY112/AD112</f>
        <v>#DIV/0!</v>
      </c>
      <c r="BB112" s="20" t="e">
        <f t="shared" si="110"/>
        <v>#DIV/0!</v>
      </c>
      <c r="BC112" s="9">
        <v>5600</v>
      </c>
      <c r="BD112" s="30">
        <f t="shared" si="112"/>
        <v>0</v>
      </c>
      <c r="BE112" s="30">
        <f t="shared" si="112"/>
        <v>0</v>
      </c>
      <c r="BF112" s="30">
        <f t="shared" si="112"/>
        <v>0</v>
      </c>
      <c r="BG112" s="30">
        <f t="shared" si="112"/>
        <v>0</v>
      </c>
      <c r="BH112" s="30">
        <f t="shared" si="112"/>
        <v>0</v>
      </c>
      <c r="BI112" s="31">
        <f t="shared" si="68"/>
        <v>0</v>
      </c>
      <c r="BK112" s="9" t="str">
        <f t="shared" si="69"/>
        <v>46001392</v>
      </c>
      <c r="BL112" s="26">
        <f t="shared" si="70"/>
        <v>0</v>
      </c>
    </row>
    <row r="113" spans="1:64">
      <c r="A113" s="10" t="str">
        <f t="shared" si="63"/>
        <v>4600</v>
      </c>
      <c r="B113" s="10" t="str">
        <f t="shared" si="64"/>
        <v>1393</v>
      </c>
      <c r="C113" s="35" t="s">
        <v>235</v>
      </c>
      <c r="D113" s="16">
        <v>900010</v>
      </c>
      <c r="E113" s="32" t="s">
        <v>236</v>
      </c>
      <c r="F113" s="18">
        <f>IFERROR(VLOOKUP(C113,'[4]Revenue Data - FY19 MAR-YTD '!$C$3:$Q$82,15,FALSE),0)</f>
        <v>0</v>
      </c>
      <c r="G113" s="18"/>
      <c r="H113" s="18"/>
      <c r="I113" s="18">
        <v>0</v>
      </c>
      <c r="J113" s="18">
        <f t="shared" si="72"/>
        <v>0</v>
      </c>
      <c r="K113" s="19"/>
      <c r="L113" s="20">
        <v>1</v>
      </c>
      <c r="M113" s="18">
        <f t="shared" si="111"/>
        <v>0</v>
      </c>
      <c r="N113" s="19"/>
      <c r="O113" s="21">
        <v>0</v>
      </c>
      <c r="P113" s="18">
        <f t="shared" si="74"/>
        <v>0</v>
      </c>
      <c r="Q113" s="22"/>
      <c r="R113" s="24"/>
      <c r="S113" s="24"/>
      <c r="T113" s="24"/>
      <c r="U113" s="24"/>
      <c r="V113" s="23"/>
      <c r="W113" s="24"/>
      <c r="X113" s="24"/>
      <c r="Y113" s="25">
        <f t="shared" si="96"/>
        <v>0</v>
      </c>
      <c r="Z113" s="25">
        <f t="shared" si="97"/>
        <v>0</v>
      </c>
      <c r="AA113" s="25">
        <f t="shared" si="98"/>
        <v>0</v>
      </c>
      <c r="AB113" s="25">
        <f t="shared" si="99"/>
        <v>0</v>
      </c>
      <c r="AC113" s="25">
        <f t="shared" si="100"/>
        <v>0</v>
      </c>
      <c r="AD113" s="21">
        <f t="shared" si="101"/>
        <v>0</v>
      </c>
      <c r="AE113" s="26">
        <f t="shared" si="66"/>
        <v>0</v>
      </c>
      <c r="AF113" s="27">
        <f t="shared" si="103"/>
        <v>0.36150000000000004</v>
      </c>
      <c r="AG113" s="27">
        <f t="shared" si="104"/>
        <v>0.33960000000000001</v>
      </c>
      <c r="AH113" s="27">
        <f t="shared" si="105"/>
        <v>0.45699999999999996</v>
      </c>
      <c r="AI113" s="27">
        <f t="shared" si="106"/>
        <v>0.53780000000000006</v>
      </c>
      <c r="AJ113" s="27">
        <v>0</v>
      </c>
      <c r="AT113" s="18">
        <f t="shared" si="107"/>
        <v>0</v>
      </c>
      <c r="AU113" s="18">
        <f t="shared" si="107"/>
        <v>0</v>
      </c>
      <c r="AV113" s="18">
        <f t="shared" si="107"/>
        <v>0</v>
      </c>
      <c r="AW113" s="18">
        <f t="shared" si="107"/>
        <v>0</v>
      </c>
      <c r="AX113" s="18">
        <f t="shared" si="107"/>
        <v>0</v>
      </c>
      <c r="AY113" s="26">
        <f t="shared" si="108"/>
        <v>0</v>
      </c>
      <c r="AZ113" s="26"/>
      <c r="BA113" s="20" t="e">
        <f>AY113/AD113</f>
        <v>#DIV/0!</v>
      </c>
      <c r="BB113" s="20" t="e">
        <f t="shared" si="110"/>
        <v>#DIV/0!</v>
      </c>
      <c r="BC113" s="9">
        <v>5600</v>
      </c>
      <c r="BD113" s="30">
        <f t="shared" si="112"/>
        <v>0</v>
      </c>
      <c r="BE113" s="30">
        <f t="shared" si="112"/>
        <v>0</v>
      </c>
      <c r="BF113" s="30">
        <f t="shared" si="112"/>
        <v>0</v>
      </c>
      <c r="BG113" s="30">
        <f t="shared" si="112"/>
        <v>0</v>
      </c>
      <c r="BH113" s="30">
        <f t="shared" si="112"/>
        <v>0</v>
      </c>
      <c r="BI113" s="31">
        <f t="shared" si="68"/>
        <v>0</v>
      </c>
      <c r="BK113" s="9" t="str">
        <f t="shared" si="69"/>
        <v>46001393</v>
      </c>
      <c r="BL113" s="26">
        <f t="shared" si="70"/>
        <v>0</v>
      </c>
    </row>
    <row r="114" spans="1:64">
      <c r="A114" s="10" t="str">
        <f t="shared" si="63"/>
        <v>4600</v>
      </c>
      <c r="B114" s="10" t="str">
        <f t="shared" si="64"/>
        <v>1394</v>
      </c>
      <c r="C114" s="35" t="s">
        <v>237</v>
      </c>
      <c r="D114" s="16">
        <v>900010</v>
      </c>
      <c r="E114" s="32" t="s">
        <v>238</v>
      </c>
      <c r="F114" s="18">
        <f>IFERROR(VLOOKUP(C114,'[4]Revenue Data - FY19 MAR-YTD '!$C$3:$Q$82,15,FALSE),0)</f>
        <v>-1670597.3800000001</v>
      </c>
      <c r="G114" s="18"/>
      <c r="H114" s="18">
        <f t="shared" si="71"/>
        <v>-1670597.3800000001</v>
      </c>
      <c r="I114" s="18">
        <f>'[4]Statistics Projections'!J146</f>
        <v>3100</v>
      </c>
      <c r="J114" s="18">
        <f t="shared" si="72"/>
        <v>-538.90238064516132</v>
      </c>
      <c r="K114" s="19"/>
      <c r="L114" s="20">
        <v>1</v>
      </c>
      <c r="M114" s="18">
        <f t="shared" si="111"/>
        <v>-538.9</v>
      </c>
      <c r="N114" s="19"/>
      <c r="O114" s="21">
        <f>'[4]Statistics Projections'!L146</f>
        <v>6740</v>
      </c>
      <c r="P114" s="18">
        <f t="shared" si="74"/>
        <v>3632186</v>
      </c>
      <c r="Q114" s="22"/>
      <c r="R114" s="24">
        <f>VLOOKUP($C114,'[4]Revenue Data - FY19 MAR-YTD '!$C$3:$V$82,20,FALSE)</f>
        <v>0.72660331838901848</v>
      </c>
      <c r="S114" s="24">
        <f>VLOOKUP($C114,'[4]Revenue Data - FY19 MAR-YTD '!$C$3:$V$82,19,FALSE)</f>
        <v>1.4399040898771191E-2</v>
      </c>
      <c r="T114" s="24">
        <f>VLOOKUP($C114,'[4]Revenue Data - FY19 MAR-YTD '!$C$3:$V$82,17,FALSE)</f>
        <v>0.12066940988498377</v>
      </c>
      <c r="U114" s="24">
        <f>VLOOKUP($C114,'[4]Revenue Data - FY19 MAR-YTD '!$C$3:$V$82,18,FALSE)</f>
        <v>0.13648518950748023</v>
      </c>
      <c r="V114" s="23">
        <f>VLOOKUP($C114,'[4]Revenue Data - FY19 MAR-YTD '!$C$3:$W$82,21,FALSE)</f>
        <v>1.8430413197463532E-3</v>
      </c>
      <c r="W114" s="24">
        <f t="shared" si="102"/>
        <v>1</v>
      </c>
      <c r="X114" s="24"/>
      <c r="Y114" s="25">
        <f t="shared" si="96"/>
        <v>2639158.4006061354</v>
      </c>
      <c r="Z114" s="25">
        <f t="shared" si="97"/>
        <v>52299.994765944139</v>
      </c>
      <c r="AA114" s="25">
        <f t="shared" si="98"/>
        <v>438293.74121249968</v>
      </c>
      <c r="AB114" s="25">
        <f t="shared" si="99"/>
        <v>495739.59453641658</v>
      </c>
      <c r="AC114" s="25">
        <f t="shared" si="100"/>
        <v>6694.2688790042275</v>
      </c>
      <c r="AD114" s="21">
        <f t="shared" si="101"/>
        <v>3632186.0000000005</v>
      </c>
      <c r="AE114" s="26">
        <f t="shared" si="66"/>
        <v>0</v>
      </c>
      <c r="AF114" s="27">
        <f t="shared" si="103"/>
        <v>0.36150000000000004</v>
      </c>
      <c r="AG114" s="27">
        <f t="shared" si="104"/>
        <v>0.33960000000000001</v>
      </c>
      <c r="AH114" s="27">
        <f t="shared" si="105"/>
        <v>0.45699999999999996</v>
      </c>
      <c r="AI114" s="27">
        <f t="shared" si="106"/>
        <v>0.53780000000000006</v>
      </c>
      <c r="AJ114" s="27">
        <v>0</v>
      </c>
      <c r="AT114" s="18">
        <f t="shared" si="107"/>
        <v>954055.76181911805</v>
      </c>
      <c r="AU114" s="18">
        <f t="shared" si="107"/>
        <v>17761.078222514629</v>
      </c>
      <c r="AV114" s="18">
        <f t="shared" si="107"/>
        <v>200300.23973411234</v>
      </c>
      <c r="AW114" s="18">
        <f t="shared" si="107"/>
        <v>266608.75394168484</v>
      </c>
      <c r="AX114" s="18">
        <f t="shared" si="107"/>
        <v>0</v>
      </c>
      <c r="AY114" s="26">
        <f t="shared" si="108"/>
        <v>1438725.83371743</v>
      </c>
      <c r="AZ114" s="26"/>
      <c r="BA114" s="20">
        <f>AY114/AD114</f>
        <v>0.39610466912141334</v>
      </c>
      <c r="BB114" s="20">
        <f t="shared" si="110"/>
        <v>0.6038953308785866</v>
      </c>
      <c r="BC114" s="9">
        <v>5600</v>
      </c>
      <c r="BD114" s="30">
        <f t="shared" si="112"/>
        <v>1685102.6387870172</v>
      </c>
      <c r="BE114" s="30">
        <f t="shared" si="112"/>
        <v>34538.916543429514</v>
      </c>
      <c r="BF114" s="30">
        <f t="shared" si="112"/>
        <v>237993.50147838733</v>
      </c>
      <c r="BG114" s="30">
        <f t="shared" si="112"/>
        <v>229130.84059473174</v>
      </c>
      <c r="BH114" s="30">
        <f t="shared" si="112"/>
        <v>6694.2688790042275</v>
      </c>
      <c r="BI114" s="31">
        <f t="shared" si="68"/>
        <v>2193460.16628257</v>
      </c>
      <c r="BK114" s="9" t="str">
        <f t="shared" si="69"/>
        <v>46001394</v>
      </c>
      <c r="BL114" s="26">
        <f t="shared" si="70"/>
        <v>3632186</v>
      </c>
    </row>
    <row r="115" spans="1:64">
      <c r="A115" s="10" t="str">
        <f t="shared" si="63"/>
        <v>4600</v>
      </c>
      <c r="B115" s="10" t="str">
        <f t="shared" si="64"/>
        <v>1395</v>
      </c>
      <c r="C115" s="35" t="s">
        <v>239</v>
      </c>
      <c r="D115" s="16">
        <v>900010</v>
      </c>
      <c r="E115" s="32" t="s">
        <v>240</v>
      </c>
      <c r="F115" s="18">
        <f>IFERROR(VLOOKUP(C115,'[4]Revenue Data - FY19 MAR-YTD '!$C$3:$Q$82,15,FALSE),0)</f>
        <v>-1311393.76</v>
      </c>
      <c r="G115" s="18"/>
      <c r="H115" s="18">
        <f t="shared" si="71"/>
        <v>-1311393.76</v>
      </c>
      <c r="I115" s="18">
        <f>'[4]Statistics Projections'!J148</f>
        <v>5238</v>
      </c>
      <c r="J115" s="18">
        <f t="shared" si="72"/>
        <v>-250.36154257350134</v>
      </c>
      <c r="K115" s="19"/>
      <c r="L115" s="20">
        <v>1</v>
      </c>
      <c r="M115" s="18">
        <f t="shared" si="111"/>
        <v>-250.36</v>
      </c>
      <c r="N115" s="19"/>
      <c r="O115" s="21">
        <f>'[4]Statistics Projections'!L148</f>
        <v>11514.259999999998</v>
      </c>
      <c r="P115" s="18">
        <f t="shared" si="74"/>
        <v>2882710.1335999998</v>
      </c>
      <c r="Q115" s="22"/>
      <c r="R115" s="24">
        <f>VLOOKUP($C115,'[4]Revenue Data - FY19 MAR-YTD '!$C$3:$V$82,20,FALSE)</f>
        <v>0.30743660851337284</v>
      </c>
      <c r="S115" s="24">
        <f>VLOOKUP($C115,'[4]Revenue Data - FY19 MAR-YTD '!$C$3:$V$82,19,FALSE)</f>
        <v>0.19194318874904515</v>
      </c>
      <c r="T115" s="24">
        <f>VLOOKUP($C115,'[4]Revenue Data - FY19 MAR-YTD '!$C$3:$V$82,17,FALSE)</f>
        <v>0.29491381749444956</v>
      </c>
      <c r="U115" s="24">
        <f>VLOOKUP($C115,'[4]Revenue Data - FY19 MAR-YTD '!$C$3:$V$82,18,FALSE)</f>
        <v>0.19603254784436369</v>
      </c>
      <c r="V115" s="23">
        <f>VLOOKUP($C115,'[4]Revenue Data - FY19 MAR-YTD '!$C$3:$W$82,21,FALSE)</f>
        <v>9.6738373987687726E-3</v>
      </c>
      <c r="W115" s="24">
        <f t="shared" si="102"/>
        <v>1</v>
      </c>
      <c r="X115" s="24"/>
      <c r="Y115" s="25">
        <f t="shared" si="96"/>
        <v>886250.62680111593</v>
      </c>
      <c r="Z115" s="25">
        <f t="shared" si="97"/>
        <v>553316.57528236997</v>
      </c>
      <c r="AA115" s="25">
        <f t="shared" si="98"/>
        <v>850151.05022991064</v>
      </c>
      <c r="AB115" s="25">
        <f t="shared" si="99"/>
        <v>565105.01218637405</v>
      </c>
      <c r="AC115" s="25">
        <f t="shared" si="100"/>
        <v>27886.869100229404</v>
      </c>
      <c r="AD115" s="21">
        <f t="shared" si="101"/>
        <v>2882710.1335999998</v>
      </c>
      <c r="AE115" s="26">
        <f>P115-AD115</f>
        <v>0</v>
      </c>
      <c r="AF115" s="27">
        <f t="shared" si="103"/>
        <v>0.36150000000000004</v>
      </c>
      <c r="AG115" s="27">
        <f t="shared" si="104"/>
        <v>0.33960000000000001</v>
      </c>
      <c r="AH115" s="27">
        <f t="shared" si="105"/>
        <v>0.45699999999999996</v>
      </c>
      <c r="AI115" s="27">
        <f t="shared" si="106"/>
        <v>0.53780000000000006</v>
      </c>
      <c r="AJ115" s="27">
        <v>0</v>
      </c>
      <c r="AT115" s="18">
        <f t="shared" si="107"/>
        <v>320379.60158860346</v>
      </c>
      <c r="AU115" s="18">
        <f t="shared" si="107"/>
        <v>187906.30896589285</v>
      </c>
      <c r="AV115" s="18">
        <f t="shared" si="107"/>
        <v>388519.02995506913</v>
      </c>
      <c r="AW115" s="18">
        <f t="shared" si="107"/>
        <v>303913.47555383202</v>
      </c>
      <c r="AX115" s="18">
        <f t="shared" si="107"/>
        <v>0</v>
      </c>
      <c r="AY115" s="26">
        <f t="shared" si="108"/>
        <v>1200718.4160633974</v>
      </c>
      <c r="AZ115" s="26"/>
      <c r="BA115" s="20">
        <f>AY115/AD115</f>
        <v>0.41652415970242229</v>
      </c>
      <c r="BB115" s="20">
        <f t="shared" si="110"/>
        <v>0.58347584029757771</v>
      </c>
      <c r="BC115" s="9">
        <v>5600</v>
      </c>
      <c r="BD115" s="30">
        <f t="shared" si="112"/>
        <v>565871.02521251247</v>
      </c>
      <c r="BE115" s="30">
        <f t="shared" si="112"/>
        <v>365410.26631647709</v>
      </c>
      <c r="BF115" s="30">
        <f t="shared" si="112"/>
        <v>461632.02027484152</v>
      </c>
      <c r="BG115" s="30">
        <f t="shared" si="112"/>
        <v>261191.53663254203</v>
      </c>
      <c r="BH115" s="30">
        <f t="shared" si="112"/>
        <v>27886.869100229404</v>
      </c>
      <c r="BI115" s="31">
        <f t="shared" si="68"/>
        <v>1681991.7175366024</v>
      </c>
      <c r="BK115" s="9" t="str">
        <f t="shared" si="69"/>
        <v>46001395</v>
      </c>
      <c r="BL115" s="26">
        <f t="shared" si="70"/>
        <v>2882710.1335999998</v>
      </c>
    </row>
    <row r="116" spans="1:64">
      <c r="A116" s="10" t="str">
        <f t="shared" si="63"/>
        <v>4600</v>
      </c>
      <c r="B116" s="10" t="str">
        <f>RIGHT(C116,4)</f>
        <v>1396</v>
      </c>
      <c r="C116" s="35" t="s">
        <v>241</v>
      </c>
      <c r="D116" s="16">
        <v>900010</v>
      </c>
      <c r="E116" s="32" t="s">
        <v>242</v>
      </c>
      <c r="F116" s="18">
        <f>IFERROR(VLOOKUP(C116,'[4]Revenue Data - FY19 MAR-YTD '!$C$3:$Q$82,15,FALSE),0)</f>
        <v>0</v>
      </c>
      <c r="G116" s="18"/>
      <c r="H116" s="18">
        <f t="shared" si="71"/>
        <v>0</v>
      </c>
      <c r="I116" s="18"/>
      <c r="J116" s="18">
        <f t="shared" si="72"/>
        <v>0</v>
      </c>
      <c r="K116" s="19"/>
      <c r="L116" s="20">
        <v>1</v>
      </c>
      <c r="M116" s="18">
        <f t="shared" ref="M116:M119" si="113">J116*L116</f>
        <v>0</v>
      </c>
      <c r="N116" s="19"/>
      <c r="O116" s="21">
        <v>0</v>
      </c>
      <c r="P116" s="18">
        <f t="shared" si="74"/>
        <v>0</v>
      </c>
      <c r="Q116" s="22"/>
      <c r="R116" s="24"/>
      <c r="S116" s="24"/>
      <c r="T116" s="24"/>
      <c r="U116" s="24"/>
      <c r="V116" s="24"/>
      <c r="W116" s="24"/>
      <c r="X116" s="24"/>
      <c r="Y116" s="25">
        <f t="shared" si="96"/>
        <v>0</v>
      </c>
      <c r="Z116" s="25">
        <f t="shared" si="97"/>
        <v>0</v>
      </c>
      <c r="AA116" s="25">
        <f t="shared" si="98"/>
        <v>0</v>
      </c>
      <c r="AB116" s="25">
        <f t="shared" si="99"/>
        <v>0</v>
      </c>
      <c r="AC116" s="25">
        <f t="shared" si="100"/>
        <v>0</v>
      </c>
      <c r="AD116" s="21">
        <f>SUM(Y116:AC116)</f>
        <v>0</v>
      </c>
      <c r="AE116" s="26"/>
      <c r="AF116" s="27">
        <f t="shared" si="103"/>
        <v>0.36150000000000004</v>
      </c>
      <c r="AG116" s="27">
        <f t="shared" si="104"/>
        <v>0.33960000000000001</v>
      </c>
      <c r="AH116" s="27">
        <f t="shared" si="105"/>
        <v>0.45699999999999996</v>
      </c>
      <c r="AI116" s="27">
        <f t="shared" si="106"/>
        <v>0.53780000000000006</v>
      </c>
      <c r="AJ116" s="27">
        <v>0</v>
      </c>
      <c r="AT116" s="18">
        <f t="shared" si="107"/>
        <v>0</v>
      </c>
      <c r="AU116" s="18">
        <f t="shared" si="107"/>
        <v>0</v>
      </c>
      <c r="AV116" s="18">
        <f t="shared" si="107"/>
        <v>0</v>
      </c>
      <c r="AW116" s="18">
        <f t="shared" si="107"/>
        <v>0</v>
      </c>
      <c r="AX116" s="18">
        <f t="shared" si="107"/>
        <v>0</v>
      </c>
      <c r="AY116" s="26">
        <f>SUM(AT116:AX116)</f>
        <v>0</v>
      </c>
      <c r="AZ116" s="26"/>
      <c r="BA116" s="20"/>
      <c r="BB116" s="20"/>
      <c r="BC116" s="9">
        <v>5600</v>
      </c>
      <c r="BD116" s="30">
        <f t="shared" si="112"/>
        <v>0</v>
      </c>
      <c r="BE116" s="30">
        <f t="shared" si="112"/>
        <v>0</v>
      </c>
      <c r="BF116" s="30">
        <f t="shared" si="112"/>
        <v>0</v>
      </c>
      <c r="BG116" s="30">
        <f t="shared" si="112"/>
        <v>0</v>
      </c>
      <c r="BH116" s="30">
        <f t="shared" si="112"/>
        <v>0</v>
      </c>
      <c r="BI116" s="31">
        <f t="shared" si="68"/>
        <v>0</v>
      </c>
      <c r="BK116" s="9" t="str">
        <f t="shared" si="69"/>
        <v>46001396</v>
      </c>
      <c r="BL116" s="26">
        <f t="shared" si="70"/>
        <v>0</v>
      </c>
    </row>
    <row r="117" spans="1:64">
      <c r="A117" s="10" t="str">
        <f t="shared" si="63"/>
        <v>4600</v>
      </c>
      <c r="B117" s="10" t="str">
        <f>RIGHT(C117,4)</f>
        <v>1397</v>
      </c>
      <c r="C117" s="35" t="s">
        <v>243</v>
      </c>
      <c r="D117" s="16">
        <v>900010</v>
      </c>
      <c r="E117" s="32" t="s">
        <v>244</v>
      </c>
      <c r="F117" s="18">
        <f>IFERROR(VLOOKUP(C117,'[4]Revenue Data - FY19 MAR-YTD '!$C$3:$Q$82,15,FALSE),0)</f>
        <v>0</v>
      </c>
      <c r="G117" s="18"/>
      <c r="H117" s="18">
        <f t="shared" si="71"/>
        <v>0</v>
      </c>
      <c r="I117" s="18"/>
      <c r="J117" s="18">
        <f t="shared" si="72"/>
        <v>0</v>
      </c>
      <c r="K117" s="19"/>
      <c r="L117" s="20">
        <v>1</v>
      </c>
      <c r="M117" s="18">
        <f t="shared" si="113"/>
        <v>0</v>
      </c>
      <c r="N117" s="19"/>
      <c r="O117" s="21">
        <v>0</v>
      </c>
      <c r="P117" s="18">
        <f t="shared" si="74"/>
        <v>0</v>
      </c>
      <c r="Q117" s="22"/>
      <c r="R117" s="24"/>
      <c r="S117" s="24"/>
      <c r="T117" s="24"/>
      <c r="U117" s="24"/>
      <c r="V117" s="24"/>
      <c r="W117" s="24"/>
      <c r="X117" s="24"/>
      <c r="Y117" s="25">
        <f t="shared" si="96"/>
        <v>0</v>
      </c>
      <c r="Z117" s="25">
        <f t="shared" si="97"/>
        <v>0</v>
      </c>
      <c r="AA117" s="25">
        <f t="shared" si="98"/>
        <v>0</v>
      </c>
      <c r="AB117" s="25">
        <f t="shared" si="99"/>
        <v>0</v>
      </c>
      <c r="AC117" s="25">
        <f t="shared" si="100"/>
        <v>0</v>
      </c>
      <c r="AD117" s="21">
        <f>SUM(Y117:AC117)</f>
        <v>0</v>
      </c>
      <c r="AE117" s="26"/>
      <c r="AF117" s="27">
        <f t="shared" si="103"/>
        <v>0.36150000000000004</v>
      </c>
      <c r="AG117" s="27">
        <f t="shared" si="104"/>
        <v>0.33960000000000001</v>
      </c>
      <c r="AH117" s="27">
        <f t="shared" si="105"/>
        <v>0.45699999999999996</v>
      </c>
      <c r="AI117" s="27">
        <f t="shared" si="106"/>
        <v>0.53780000000000006</v>
      </c>
      <c r="AJ117" s="27">
        <v>0</v>
      </c>
      <c r="AT117" s="18">
        <f t="shared" si="107"/>
        <v>0</v>
      </c>
      <c r="AU117" s="18">
        <f t="shared" si="107"/>
        <v>0</v>
      </c>
      <c r="AV117" s="18">
        <f t="shared" si="107"/>
        <v>0</v>
      </c>
      <c r="AW117" s="18">
        <f t="shared" si="107"/>
        <v>0</v>
      </c>
      <c r="AX117" s="18">
        <f t="shared" si="107"/>
        <v>0</v>
      </c>
      <c r="AY117" s="26">
        <f>SUM(AT117:AX117)</f>
        <v>0</v>
      </c>
      <c r="AZ117" s="26"/>
      <c r="BA117" s="20"/>
      <c r="BB117" s="20"/>
      <c r="BC117" s="9">
        <v>5600</v>
      </c>
      <c r="BD117" s="30">
        <f t="shared" si="112"/>
        <v>0</v>
      </c>
      <c r="BE117" s="30">
        <f t="shared" si="112"/>
        <v>0</v>
      </c>
      <c r="BF117" s="30">
        <f t="shared" si="112"/>
        <v>0</v>
      </c>
      <c r="BG117" s="30">
        <f t="shared" si="112"/>
        <v>0</v>
      </c>
      <c r="BH117" s="30">
        <f t="shared" si="112"/>
        <v>0</v>
      </c>
      <c r="BI117" s="31">
        <f t="shared" si="68"/>
        <v>0</v>
      </c>
      <c r="BK117" s="9" t="str">
        <f t="shared" si="69"/>
        <v>46001397</v>
      </c>
      <c r="BL117" s="26">
        <f t="shared" si="70"/>
        <v>0</v>
      </c>
    </row>
    <row r="118" spans="1:64">
      <c r="A118" s="10" t="str">
        <f t="shared" si="63"/>
        <v>4600</v>
      </c>
      <c r="B118" s="10" t="str">
        <f t="shared" si="64"/>
        <v>1436</v>
      </c>
      <c r="C118" s="35" t="s">
        <v>245</v>
      </c>
      <c r="D118" s="16">
        <v>900010</v>
      </c>
      <c r="E118" s="32" t="s">
        <v>246</v>
      </c>
      <c r="F118" s="18">
        <f>IFERROR(VLOOKUP(C118,'[4]Revenue Data - FY19 MAR-YTD '!$C$3:$Q$82,15,FALSE),0)</f>
        <v>0</v>
      </c>
      <c r="G118" s="18"/>
      <c r="H118" s="18">
        <f t="shared" si="71"/>
        <v>0</v>
      </c>
      <c r="I118" s="18"/>
      <c r="J118" s="18">
        <f t="shared" si="72"/>
        <v>0</v>
      </c>
      <c r="K118" s="19"/>
      <c r="L118" s="20">
        <v>1</v>
      </c>
      <c r="M118" s="18">
        <f t="shared" si="113"/>
        <v>0</v>
      </c>
      <c r="N118" s="19"/>
      <c r="O118" s="21">
        <v>0</v>
      </c>
      <c r="P118" s="18">
        <f t="shared" si="74"/>
        <v>0</v>
      </c>
      <c r="Q118" s="22"/>
      <c r="R118" s="24"/>
      <c r="S118" s="24"/>
      <c r="T118" s="24"/>
      <c r="U118" s="24"/>
      <c r="V118" s="24"/>
      <c r="W118" s="24"/>
      <c r="X118" s="24"/>
      <c r="Y118" s="25">
        <f t="shared" si="96"/>
        <v>0</v>
      </c>
      <c r="Z118" s="25">
        <f t="shared" si="97"/>
        <v>0</v>
      </c>
      <c r="AA118" s="25">
        <f t="shared" si="98"/>
        <v>0</v>
      </c>
      <c r="AB118" s="25">
        <f t="shared" si="99"/>
        <v>0</v>
      </c>
      <c r="AC118" s="25">
        <f t="shared" si="100"/>
        <v>0</v>
      </c>
      <c r="AD118" s="21">
        <f>SUM(Y118:AC118)</f>
        <v>0</v>
      </c>
      <c r="AE118" s="26"/>
      <c r="AF118" s="27">
        <f t="shared" si="103"/>
        <v>0.36150000000000004</v>
      </c>
      <c r="AG118" s="27">
        <f t="shared" si="104"/>
        <v>0.33960000000000001</v>
      </c>
      <c r="AH118" s="27">
        <f t="shared" si="105"/>
        <v>0.45699999999999996</v>
      </c>
      <c r="AI118" s="27">
        <f t="shared" si="106"/>
        <v>0.53780000000000006</v>
      </c>
      <c r="AJ118" s="27">
        <v>0</v>
      </c>
      <c r="AT118" s="18">
        <f t="shared" si="107"/>
        <v>0</v>
      </c>
      <c r="AU118" s="18">
        <f t="shared" si="107"/>
        <v>0</v>
      </c>
      <c r="AV118" s="18">
        <f t="shared" si="107"/>
        <v>0</v>
      </c>
      <c r="AW118" s="18">
        <f t="shared" si="107"/>
        <v>0</v>
      </c>
      <c r="AX118" s="18">
        <f t="shared" si="107"/>
        <v>0</v>
      </c>
      <c r="AY118" s="26">
        <f>SUM(AT118:AX118)</f>
        <v>0</v>
      </c>
      <c r="AZ118" s="26"/>
      <c r="BA118" s="20"/>
      <c r="BB118" s="20"/>
      <c r="BC118" s="9">
        <v>5600</v>
      </c>
      <c r="BD118" s="30">
        <f t="shared" si="112"/>
        <v>0</v>
      </c>
      <c r="BE118" s="30">
        <f t="shared" si="112"/>
        <v>0</v>
      </c>
      <c r="BF118" s="30">
        <f t="shared" si="112"/>
        <v>0</v>
      </c>
      <c r="BG118" s="30">
        <f t="shared" si="112"/>
        <v>0</v>
      </c>
      <c r="BH118" s="30">
        <f t="shared" si="112"/>
        <v>0</v>
      </c>
      <c r="BI118" s="31">
        <f t="shared" si="68"/>
        <v>0</v>
      </c>
      <c r="BK118" s="9" t="str">
        <f t="shared" si="69"/>
        <v>46001436</v>
      </c>
      <c r="BL118" s="26">
        <f t="shared" si="70"/>
        <v>0</v>
      </c>
    </row>
    <row r="119" spans="1:64">
      <c r="A119" s="36" t="str">
        <f t="shared" si="63"/>
        <v>4600</v>
      </c>
      <c r="B119" s="36" t="str">
        <f t="shared" si="64"/>
        <v>1438</v>
      </c>
      <c r="C119" s="56" t="s">
        <v>247</v>
      </c>
      <c r="D119" s="38">
        <v>900010</v>
      </c>
      <c r="E119" s="59" t="s">
        <v>248</v>
      </c>
      <c r="F119" s="43">
        <f>IFERROR(VLOOKUP(C119,'[4]Revenue Data - FY19 MAR-YTD '!$C$3:$Q$82,15,FALSE),0)</f>
        <v>0</v>
      </c>
      <c r="G119" s="43"/>
      <c r="H119" s="43">
        <f t="shared" si="71"/>
        <v>0</v>
      </c>
      <c r="I119" s="43"/>
      <c r="J119" s="43">
        <f t="shared" si="72"/>
        <v>0</v>
      </c>
      <c r="K119" s="41"/>
      <c r="L119" s="20">
        <v>1</v>
      </c>
      <c r="M119" s="43">
        <f t="shared" si="113"/>
        <v>0</v>
      </c>
      <c r="N119" s="41"/>
      <c r="O119" s="63">
        <v>0</v>
      </c>
      <c r="P119" s="43">
        <f t="shared" si="74"/>
        <v>0</v>
      </c>
      <c r="Q119" s="44"/>
      <c r="R119" s="45"/>
      <c r="S119" s="45"/>
      <c r="T119" s="45"/>
      <c r="U119" s="45"/>
      <c r="V119" s="45"/>
      <c r="W119" s="45"/>
      <c r="X119" s="45"/>
      <c r="Y119" s="63">
        <f t="shared" si="96"/>
        <v>0</v>
      </c>
      <c r="Z119" s="63">
        <f t="shared" si="97"/>
        <v>0</v>
      </c>
      <c r="AA119" s="63">
        <f t="shared" si="98"/>
        <v>0</v>
      </c>
      <c r="AB119" s="63">
        <f t="shared" si="99"/>
        <v>0</v>
      </c>
      <c r="AC119" s="63">
        <f t="shared" si="100"/>
        <v>0</v>
      </c>
      <c r="AD119" s="42">
        <f>SUM(Y119:AC119)</f>
        <v>0</v>
      </c>
      <c r="AE119" s="51"/>
      <c r="AF119" s="65"/>
      <c r="AG119" s="65"/>
      <c r="AH119" s="65"/>
      <c r="AI119" s="65"/>
      <c r="AJ119" s="65"/>
      <c r="AK119" s="39"/>
      <c r="AL119" s="39"/>
      <c r="AM119" s="39"/>
      <c r="AN119" s="39"/>
      <c r="AO119" s="39"/>
      <c r="AP119" s="39"/>
      <c r="AQ119" s="39"/>
      <c r="AR119" s="39"/>
      <c r="AS119" s="39"/>
      <c r="AT119" s="43">
        <f t="shared" si="107"/>
        <v>0</v>
      </c>
      <c r="AU119" s="43">
        <f t="shared" si="107"/>
        <v>0</v>
      </c>
      <c r="AV119" s="43">
        <f t="shared" si="107"/>
        <v>0</v>
      </c>
      <c r="AW119" s="43">
        <f t="shared" si="107"/>
        <v>0</v>
      </c>
      <c r="AX119" s="43">
        <f t="shared" si="107"/>
        <v>0</v>
      </c>
      <c r="AY119" s="51">
        <f>SUM(AT119:AX119)</f>
        <v>0</v>
      </c>
      <c r="AZ119" s="51"/>
      <c r="BA119" s="65"/>
      <c r="BB119" s="65"/>
      <c r="BC119" s="39">
        <v>5600</v>
      </c>
      <c r="BD119" s="49">
        <f t="shared" si="112"/>
        <v>0</v>
      </c>
      <c r="BE119" s="49">
        <f t="shared" si="112"/>
        <v>0</v>
      </c>
      <c r="BF119" s="49">
        <f t="shared" si="112"/>
        <v>0</v>
      </c>
      <c r="BG119" s="49">
        <f t="shared" si="112"/>
        <v>0</v>
      </c>
      <c r="BH119" s="49">
        <f t="shared" si="112"/>
        <v>0</v>
      </c>
      <c r="BI119" s="50">
        <f t="shared" si="68"/>
        <v>0</v>
      </c>
      <c r="BJ119" s="39"/>
      <c r="BK119" s="39" t="str">
        <f t="shared" si="69"/>
        <v>46001438</v>
      </c>
      <c r="BL119" s="51">
        <f t="shared" si="70"/>
        <v>0</v>
      </c>
    </row>
    <row r="120" spans="1:64">
      <c r="F120" s="26">
        <f>SUM(F7:F119)</f>
        <v>-50881055.330000006</v>
      </c>
      <c r="G120" s="26">
        <f>SUM(G7:G119)</f>
        <v>0</v>
      </c>
      <c r="H120" s="26">
        <f>SUM(H7:H119)</f>
        <v>-50881055.330000006</v>
      </c>
      <c r="I120" s="26"/>
      <c r="J120" s="26"/>
      <c r="M120" s="26"/>
      <c r="O120" s="26" t="s">
        <v>249</v>
      </c>
      <c r="P120" s="66">
        <f>SUM(P7:P119)</f>
        <v>104541441.18360722</v>
      </c>
      <c r="R120" s="24"/>
      <c r="S120" s="24"/>
      <c r="T120" s="24"/>
      <c r="U120" s="24"/>
      <c r="V120" s="24"/>
      <c r="W120" s="24"/>
      <c r="X120" s="24"/>
      <c r="Y120" s="26">
        <f t="shared" ref="Y120:AD120" si="114">SUM(Y7:Y119)</f>
        <v>59800707.771876477</v>
      </c>
      <c r="Z120" s="26">
        <f t="shared" si="114"/>
        <v>10588358.469272414</v>
      </c>
      <c r="AA120" s="26">
        <f t="shared" si="114"/>
        <v>16094286.465170853</v>
      </c>
      <c r="AB120" s="26">
        <f t="shared" si="114"/>
        <v>16792755.905999463</v>
      </c>
      <c r="AC120" s="26">
        <f t="shared" si="114"/>
        <v>1265332.5712880164</v>
      </c>
      <c r="AD120" s="26">
        <f t="shared" si="114"/>
        <v>104541441.18360722</v>
      </c>
      <c r="AT120" s="26">
        <f t="shared" ref="AT120:AX120" si="115">SUM(AT7:AT119)</f>
        <v>22198660.599908359</v>
      </c>
      <c r="AU120" s="26">
        <f t="shared" si="115"/>
        <v>2891146.831880481</v>
      </c>
      <c r="AV120" s="26">
        <f t="shared" si="115"/>
        <v>10082767.718662204</v>
      </c>
      <c r="AW120" s="26">
        <f t="shared" si="115"/>
        <v>11052101.127381667</v>
      </c>
      <c r="AX120" s="26">
        <f t="shared" si="115"/>
        <v>0</v>
      </c>
      <c r="AY120" s="26">
        <f>SUM(AY7:AY119)</f>
        <v>46224676.277832717</v>
      </c>
      <c r="AZ120" s="26"/>
      <c r="BA120" s="20">
        <f>AY120/AD120</f>
        <v>0.44216605161055544</v>
      </c>
      <c r="BB120" s="20">
        <f t="shared" ref="BB120" si="116">1-BA120</f>
        <v>0.55783394838944456</v>
      </c>
      <c r="BC120" s="20"/>
      <c r="BD120" s="31">
        <f t="shared" ref="BD120:BI120" si="117">SUM(BD7:BD119)</f>
        <v>37602047.17196811</v>
      </c>
      <c r="BE120" s="31">
        <f t="shared" si="117"/>
        <v>7697211.6373919286</v>
      </c>
      <c r="BF120" s="31">
        <f t="shared" si="117"/>
        <v>6011518.7465086402</v>
      </c>
      <c r="BG120" s="31">
        <f t="shared" si="117"/>
        <v>5740654.7786177974</v>
      </c>
      <c r="BH120" s="31">
        <f t="shared" si="117"/>
        <v>1265332.5712880164</v>
      </c>
      <c r="BI120" s="31">
        <f t="shared" si="117"/>
        <v>58316764.905774504</v>
      </c>
    </row>
    <row r="121" spans="1:64">
      <c r="E121" s="67" t="s">
        <v>250</v>
      </c>
      <c r="F121" s="43">
        <v>-50884921.810000002</v>
      </c>
      <c r="H121" s="26">
        <f>H120-F120</f>
        <v>0</v>
      </c>
      <c r="O121" s="67" t="s">
        <v>251</v>
      </c>
      <c r="P121" s="18">
        <f>F121/6*-12</f>
        <v>101769843.62</v>
      </c>
      <c r="Y121" s="20">
        <f>Y120/$AD$120</f>
        <v>0.57202872941887106</v>
      </c>
      <c r="Z121" s="20">
        <f t="shared" ref="Z121:AD121" si="118">Z120/$AD$120</f>
        <v>0.10128383872837539</v>
      </c>
      <c r="AA121" s="20">
        <f t="shared" si="118"/>
        <v>0.1539512587826706</v>
      </c>
      <c r="AB121" s="20">
        <f t="shared" si="118"/>
        <v>0.1606325273104488</v>
      </c>
      <c r="AC121" s="20">
        <f t="shared" si="118"/>
        <v>1.2103645759634208E-2</v>
      </c>
      <c r="AD121" s="20">
        <f t="shared" si="118"/>
        <v>1</v>
      </c>
      <c r="AT121" s="24"/>
      <c r="AU121" s="24"/>
      <c r="AV121" s="24"/>
      <c r="AW121" s="24"/>
      <c r="AX121" s="24"/>
      <c r="AY121" s="18"/>
      <c r="AZ121" s="18"/>
      <c r="BD121" s="24">
        <f>BD120/Y120</f>
        <v>0.62878933332043074</v>
      </c>
      <c r="BE121" s="24">
        <f>BE120/Z120</f>
        <v>0.72695042009857902</v>
      </c>
      <c r="BF121" s="24">
        <f>BF120/AA120</f>
        <v>0.37351881113325414</v>
      </c>
      <c r="BG121" s="24">
        <f>BG120/AB120</f>
        <v>0.34185304727539467</v>
      </c>
      <c r="BH121" s="24">
        <f>BH120/$AC$120</f>
        <v>1</v>
      </c>
      <c r="BI121" s="24">
        <f>BI120/AD120</f>
        <v>0.55783394838944456</v>
      </c>
    </row>
    <row r="122" spans="1:64">
      <c r="F122" s="18">
        <f>F120-F121</f>
        <v>3866.4799999967217</v>
      </c>
      <c r="O122" s="9" t="s">
        <v>252</v>
      </c>
      <c r="P122" s="26">
        <f>P120-P121</f>
        <v>2771597.5636072159</v>
      </c>
      <c r="AT122" s="24">
        <f t="shared" ref="AT122:AY122" si="119">AT120/Y120</f>
        <v>0.37121066667956915</v>
      </c>
      <c r="AU122" s="24">
        <f t="shared" si="119"/>
        <v>0.27304957990142054</v>
      </c>
      <c r="AV122" s="24">
        <f t="shared" si="119"/>
        <v>0.62648118886674531</v>
      </c>
      <c r="AW122" s="24">
        <f t="shared" si="119"/>
        <v>0.65814695272460544</v>
      </c>
      <c r="AX122" s="24">
        <f t="shared" si="119"/>
        <v>0</v>
      </c>
      <c r="AY122" s="24">
        <f t="shared" si="119"/>
        <v>0.44216605161055544</v>
      </c>
      <c r="AZ122" s="18"/>
    </row>
    <row r="123" spans="1:64">
      <c r="F123" s="58"/>
      <c r="M123" s="9" t="s">
        <v>253</v>
      </c>
      <c r="O123" s="9" t="s">
        <v>254</v>
      </c>
      <c r="P123" s="20">
        <f>P122/P120</f>
        <v>2.651195097587597E-2</v>
      </c>
      <c r="AD123" s="26"/>
      <c r="AT123" s="26"/>
      <c r="AY123" s="20"/>
      <c r="AZ123" s="18"/>
    </row>
    <row r="124" spans="1:64">
      <c r="AY124" s="26"/>
    </row>
    <row r="125" spans="1:64">
      <c r="O125" s="9" t="s">
        <v>255</v>
      </c>
      <c r="P125" s="26"/>
      <c r="AU125" s="26"/>
      <c r="AV125" s="26"/>
      <c r="AW125" s="26"/>
      <c r="AX125" s="26"/>
      <c r="BC125" s="9" t="s">
        <v>256</v>
      </c>
      <c r="BD125" s="26">
        <f>SUM(BD7:BD22)</f>
        <v>1588210.4488611349</v>
      </c>
      <c r="BE125" s="26">
        <f t="shared" ref="BE125:BI125" si="120">SUM(BE7:BE22)</f>
        <v>296199.38729494368</v>
      </c>
      <c r="BF125" s="26">
        <f t="shared" si="120"/>
        <v>219681.37504255137</v>
      </c>
      <c r="BG125" s="26">
        <f t="shared" si="120"/>
        <v>229756.96728660387</v>
      </c>
      <c r="BH125" s="26">
        <f t="shared" si="120"/>
        <v>29472.967685065531</v>
      </c>
      <c r="BI125" s="26">
        <f t="shared" si="120"/>
        <v>2363321.1461702995</v>
      </c>
    </row>
    <row r="126" spans="1:64">
      <c r="O126" s="9" t="s">
        <v>257</v>
      </c>
      <c r="P126" s="18">
        <v>101585272</v>
      </c>
      <c r="AU126" s="26"/>
      <c r="AV126" s="26"/>
      <c r="AW126" s="26"/>
      <c r="AX126" s="26"/>
      <c r="BC126" s="9" t="s">
        <v>258</v>
      </c>
      <c r="BD126" s="26">
        <f>SUM(BD23:BD47)</f>
        <v>20093500.125867113</v>
      </c>
      <c r="BE126" s="26">
        <f t="shared" ref="BE126:BI126" si="121">SUM(BE23:BE47)</f>
        <v>4546416.3461547131</v>
      </c>
      <c r="BF126" s="26">
        <f t="shared" si="121"/>
        <v>2977919.1359556839</v>
      </c>
      <c r="BG126" s="26">
        <f t="shared" si="121"/>
        <v>3177711.3843446444</v>
      </c>
      <c r="BH126" s="26">
        <f t="shared" si="121"/>
        <v>962148.26675973693</v>
      </c>
      <c r="BI126" s="26">
        <f t="shared" si="121"/>
        <v>31757695.259081896</v>
      </c>
    </row>
    <row r="127" spans="1:64">
      <c r="O127" s="9" t="s">
        <v>259</v>
      </c>
      <c r="P127" s="26">
        <f>P120-P126</f>
        <v>2956169.1836072206</v>
      </c>
      <c r="AU127" s="26"/>
      <c r="AV127" s="26"/>
      <c r="AW127" s="26"/>
      <c r="AX127" s="26"/>
      <c r="BC127" s="9" t="s">
        <v>260</v>
      </c>
      <c r="BD127" s="26">
        <f>SUM(BD48:BD60)</f>
        <v>5254635.539440115</v>
      </c>
      <c r="BE127" s="26">
        <f t="shared" ref="BE127:BI127" si="122">SUM(BE48:BE60)</f>
        <v>653576.89763449365</v>
      </c>
      <c r="BF127" s="26">
        <f t="shared" si="122"/>
        <v>261959.96663576257</v>
      </c>
      <c r="BG127" s="26">
        <f t="shared" si="122"/>
        <v>137374.67036427479</v>
      </c>
      <c r="BH127" s="26">
        <f t="shared" si="122"/>
        <v>25931.932586342562</v>
      </c>
      <c r="BI127" s="26">
        <f t="shared" si="122"/>
        <v>6333479.0066609895</v>
      </c>
    </row>
    <row r="128" spans="1:64">
      <c r="O128" s="9" t="s">
        <v>261</v>
      </c>
      <c r="P128" s="20">
        <f>(P120-P126)/P126</f>
        <v>2.9100371790186482E-2</v>
      </c>
      <c r="AU128" s="26"/>
      <c r="AV128" s="26"/>
      <c r="AW128" s="26"/>
      <c r="AX128" s="26"/>
      <c r="BC128" s="9" t="s">
        <v>262</v>
      </c>
      <c r="BD128" s="26">
        <f>SUM(BD70:BD84)</f>
        <v>3903684.5274168081</v>
      </c>
      <c r="BE128" s="26">
        <f t="shared" ref="BE128:BI128" si="123">SUM(BE70:BE84)</f>
        <v>319195.27411399875</v>
      </c>
      <c r="BF128" s="26">
        <f t="shared" si="123"/>
        <v>230679.42863511021</v>
      </c>
      <c r="BG128" s="26">
        <f t="shared" si="123"/>
        <v>306913.1659618495</v>
      </c>
      <c r="BH128" s="26">
        <f t="shared" si="123"/>
        <v>0</v>
      </c>
      <c r="BI128" s="26">
        <f t="shared" si="123"/>
        <v>4760472.3961277669</v>
      </c>
    </row>
    <row r="129" spans="13:61">
      <c r="AU129" s="26"/>
      <c r="AV129" s="26"/>
      <c r="AW129" s="26"/>
      <c r="AX129" s="26"/>
      <c r="BC129" s="9" t="s">
        <v>263</v>
      </c>
      <c r="BD129" s="26">
        <f>SUM(BD85:BD119)</f>
        <v>6762016.5303829359</v>
      </c>
      <c r="BE129" s="26">
        <f t="shared" ref="BE129:BI129" si="124">SUM(BE85:BE119)</f>
        <v>1881823.7321937787</v>
      </c>
      <c r="BF129" s="26">
        <f t="shared" si="124"/>
        <v>2321278.8402395346</v>
      </c>
      <c r="BG129" s="26">
        <f t="shared" si="124"/>
        <v>1888898.5906604244</v>
      </c>
      <c r="BH129" s="26">
        <f t="shared" si="124"/>
        <v>247779.40425687132</v>
      </c>
      <c r="BI129" s="26">
        <f t="shared" si="124"/>
        <v>13101797.097733544</v>
      </c>
    </row>
    <row r="130" spans="13:61">
      <c r="AU130" s="26"/>
      <c r="AV130" s="26"/>
      <c r="AW130" s="26"/>
      <c r="AX130" s="26"/>
      <c r="BD130" s="26">
        <f>SUM(BD125:BD129)</f>
        <v>37602047.171968102</v>
      </c>
      <c r="BE130" s="26">
        <f t="shared" ref="BE130:BI130" si="125">SUM(BE125:BE129)</f>
        <v>7697211.6373919267</v>
      </c>
      <c r="BF130" s="26">
        <f t="shared" si="125"/>
        <v>6011518.746508643</v>
      </c>
      <c r="BG130" s="26">
        <f t="shared" si="125"/>
        <v>5740654.7786177974</v>
      </c>
      <c r="BH130" s="26">
        <f t="shared" si="125"/>
        <v>1265332.5712880164</v>
      </c>
      <c r="BI130" s="26">
        <f t="shared" si="125"/>
        <v>58316764.905774496</v>
      </c>
    </row>
    <row r="131" spans="13:61">
      <c r="AU131" s="26"/>
      <c r="AV131" s="26" t="s">
        <v>264</v>
      </c>
      <c r="AW131" s="24">
        <f>'[4]Price Sensitivity Analysis'!M14</f>
        <v>1.03</v>
      </c>
      <c r="AX131" s="26"/>
    </row>
    <row r="132" spans="13:61">
      <c r="AV132" s="26" t="s">
        <v>265</v>
      </c>
      <c r="AW132" s="24">
        <f>'[4]Price Sensitivity Analysis'!M13</f>
        <v>1.04</v>
      </c>
      <c r="AX132" s="20"/>
      <c r="BE132" s="23"/>
    </row>
    <row r="134" spans="13:61">
      <c r="AT134" s="8" t="s">
        <v>266</v>
      </c>
      <c r="AV134" s="8" t="s">
        <v>267</v>
      </c>
      <c r="AW134" s="8" t="s">
        <v>268</v>
      </c>
      <c r="AX134" s="8"/>
      <c r="BB134" s="13" t="s">
        <v>269</v>
      </c>
      <c r="BC134" s="13" t="s">
        <v>270</v>
      </c>
    </row>
    <row r="135" spans="13:61">
      <c r="AT135" s="26">
        <f>SUM(P7:P21)</f>
        <v>5132717.673865404</v>
      </c>
      <c r="AU135" s="9">
        <v>4100</v>
      </c>
      <c r="AV135" s="26">
        <f>SUM(AY7:AY21)</f>
        <v>2769396.5276951049</v>
      </c>
      <c r="AW135" s="26">
        <f>-SUM(BI7:BI21)</f>
        <v>-2363321.1461702995</v>
      </c>
      <c r="AX135" s="26"/>
      <c r="AY135" s="26">
        <f>SUM(AV135:AW135)</f>
        <v>406075.38152480545</v>
      </c>
      <c r="AZ135" s="26">
        <f>AY135-AT135</f>
        <v>-4726642.292340599</v>
      </c>
      <c r="BB135" s="24">
        <f>AW135/AT135</f>
        <v>-0.46044245881743645</v>
      </c>
      <c r="BC135" s="24">
        <f>AV135/AT135</f>
        <v>0.5395575411825636</v>
      </c>
      <c r="BE135" s="9">
        <v>16505100</v>
      </c>
      <c r="BF135" s="26">
        <f t="shared" ref="BF135:BF140" si="126">-AW135</f>
        <v>2363321.1461702995</v>
      </c>
    </row>
    <row r="136" spans="13:61">
      <c r="AT136" s="26">
        <f>SUM(P23:P47)</f>
        <v>55096342.209999993</v>
      </c>
      <c r="AU136" s="9">
        <v>4200</v>
      </c>
      <c r="AV136" s="26">
        <f>SUM(AY23:AY47)</f>
        <v>23338646.950918101</v>
      </c>
      <c r="AW136" s="26">
        <f>-SUM(BI23:BI47)</f>
        <v>-31757695.259081896</v>
      </c>
      <c r="AX136" s="26"/>
      <c r="AY136" s="26">
        <f t="shared" ref="AY136:AY140" si="127">SUM(AV136:AW136)</f>
        <v>-8419048.3081637956</v>
      </c>
      <c r="AZ136" s="26">
        <f t="shared" ref="AZ136:AZ140" si="128">AY136-AT136</f>
        <v>-63515390.518163785</v>
      </c>
      <c r="BB136" s="24">
        <f t="shared" ref="BB136:BB141" si="129">AW136/AT136</f>
        <v>-0.57640296951179226</v>
      </c>
      <c r="BC136" s="24">
        <f t="shared" ref="BC136:BC141" si="130">AV136/AT136</f>
        <v>0.42359703048820785</v>
      </c>
      <c r="BE136" s="9">
        <v>16505200</v>
      </c>
      <c r="BF136" s="26">
        <f t="shared" si="126"/>
        <v>31757695.259081896</v>
      </c>
    </row>
    <row r="137" spans="13:61">
      <c r="AT137" s="26">
        <f>SUM(P48:P60)</f>
        <v>13010721.309999999</v>
      </c>
      <c r="AU137" s="9">
        <v>4300</v>
      </c>
      <c r="AV137" s="26">
        <f>SUM(AY48:AY60)</f>
        <v>6677242.303339011</v>
      </c>
      <c r="AW137" s="26">
        <f>-SUM(BI48:BI60)</f>
        <v>-6333479.0066609895</v>
      </c>
      <c r="AX137" s="26"/>
      <c r="AY137" s="26">
        <f t="shared" si="127"/>
        <v>343763.29667802155</v>
      </c>
      <c r="AZ137" s="26">
        <f t="shared" si="128"/>
        <v>-12666958.013321977</v>
      </c>
      <c r="BB137" s="24">
        <f t="shared" si="129"/>
        <v>-0.4867892298786769</v>
      </c>
      <c r="BC137" s="24">
        <f t="shared" si="130"/>
        <v>0.51321077012132321</v>
      </c>
      <c r="BE137" s="9">
        <v>16505300</v>
      </c>
      <c r="BF137" s="26">
        <f t="shared" si="126"/>
        <v>6333479.0066609895</v>
      </c>
    </row>
    <row r="138" spans="13:61">
      <c r="AT138" s="26">
        <f>SUM(P61:P69)</f>
        <v>0</v>
      </c>
      <c r="AU138" s="9">
        <v>4400</v>
      </c>
      <c r="AV138" s="26">
        <f>SUM(AY61:AY69)</f>
        <v>0</v>
      </c>
      <c r="AW138" s="26">
        <f>-SUM(BI61:BI69)</f>
        <v>0</v>
      </c>
      <c r="AX138" s="26"/>
      <c r="AY138" s="26">
        <f t="shared" si="127"/>
        <v>0</v>
      </c>
      <c r="AZ138" s="26">
        <f t="shared" si="128"/>
        <v>0</v>
      </c>
      <c r="BB138" s="24"/>
      <c r="BC138" s="24"/>
      <c r="BE138" s="9">
        <v>16505400</v>
      </c>
      <c r="BF138" s="26">
        <f t="shared" si="126"/>
        <v>0</v>
      </c>
    </row>
    <row r="139" spans="13:61">
      <c r="AT139" s="26">
        <f>SUM(P70:P84)</f>
        <v>9252216.3199999984</v>
      </c>
      <c r="AU139" s="9">
        <v>4500</v>
      </c>
      <c r="AV139" s="26">
        <f>SUM(AY70:AY84)</f>
        <v>4491743.9238722334</v>
      </c>
      <c r="AW139" s="26">
        <f>-SUM(BI70:BI84)</f>
        <v>-4760472.3961277669</v>
      </c>
      <c r="AX139" s="26"/>
      <c r="AY139" s="26">
        <f t="shared" si="127"/>
        <v>-268728.47225553356</v>
      </c>
      <c r="AZ139" s="26">
        <f t="shared" si="128"/>
        <v>-9520944.792255532</v>
      </c>
      <c r="BB139" s="24">
        <f t="shared" si="129"/>
        <v>-0.51452238377061288</v>
      </c>
      <c r="BC139" s="24">
        <f t="shared" si="130"/>
        <v>0.48547761622938729</v>
      </c>
      <c r="BE139" s="9">
        <v>16505500</v>
      </c>
      <c r="BF139" s="26">
        <f t="shared" si="126"/>
        <v>4760472.3961277669</v>
      </c>
    </row>
    <row r="140" spans="13:61">
      <c r="AT140" s="51">
        <f>SUM(P85:P119)</f>
        <v>22049443.669741809</v>
      </c>
      <c r="AU140" s="9">
        <v>4600</v>
      </c>
      <c r="AV140" s="51">
        <f>SUM(AY85:AY119)</f>
        <v>8947646.5720082652</v>
      </c>
      <c r="AW140" s="51">
        <f>-SUM(BI85:BI119)</f>
        <v>-13101797.097733544</v>
      </c>
      <c r="AX140" s="26"/>
      <c r="AY140" s="26">
        <f t="shared" si="127"/>
        <v>-4154150.525725279</v>
      </c>
      <c r="AZ140" s="26">
        <f t="shared" si="128"/>
        <v>-26203594.195467088</v>
      </c>
      <c r="BB140" s="24">
        <f t="shared" si="129"/>
        <v>-0.59420080134325504</v>
      </c>
      <c r="BC140" s="24">
        <f t="shared" si="130"/>
        <v>0.40579919865674502</v>
      </c>
      <c r="BE140" s="9">
        <v>16505600</v>
      </c>
      <c r="BF140" s="26">
        <f t="shared" si="126"/>
        <v>13101797.097733544</v>
      </c>
    </row>
    <row r="141" spans="13:61">
      <c r="AT141" s="26">
        <f>SUM(AT135:AT140)</f>
        <v>104541441.18360721</v>
      </c>
      <c r="AV141" s="26">
        <f>SUM(AV135:AV140)</f>
        <v>46224676.277832717</v>
      </c>
      <c r="AW141" s="26">
        <f>SUM(AW135:AW140)</f>
        <v>-58316764.905774496</v>
      </c>
      <c r="AX141" s="26"/>
      <c r="AZ141" s="26"/>
      <c r="BB141" s="68">
        <f t="shared" si="129"/>
        <v>-0.55783394838944456</v>
      </c>
      <c r="BC141" s="68">
        <f t="shared" si="130"/>
        <v>0.4421660516105555</v>
      </c>
      <c r="BF141" s="26"/>
    </row>
    <row r="142" spans="13:61">
      <c r="AT142" s="26">
        <f>AT141+P120</f>
        <v>209082882.36721444</v>
      </c>
      <c r="AU142" s="9" t="s">
        <v>271</v>
      </c>
      <c r="AV142" s="69" t="s">
        <v>272</v>
      </c>
      <c r="AW142" s="25">
        <f>AT141*AY142</f>
        <v>1829475.2207131262</v>
      </c>
      <c r="AX142" s="18"/>
      <c r="AY142" s="28">
        <v>1.7500000000000002E-2</v>
      </c>
      <c r="BE142" s="9">
        <v>16505710</v>
      </c>
      <c r="BF142" s="26">
        <f t="shared" ref="BF142:BF146" si="131">AW142</f>
        <v>1829475.2207131262</v>
      </c>
    </row>
    <row r="143" spans="13:61">
      <c r="M143" s="70"/>
      <c r="AU143" s="9" t="s">
        <v>273</v>
      </c>
      <c r="AV143" s="69" t="s">
        <v>274</v>
      </c>
      <c r="AW143" s="18">
        <f>-AY143*E120</f>
        <v>0</v>
      </c>
      <c r="AX143" s="18"/>
      <c r="AY143" s="28">
        <f>0</f>
        <v>0</v>
      </c>
      <c r="BF143" s="26"/>
    </row>
    <row r="144" spans="13:61">
      <c r="AU144" s="9" t="s">
        <v>275</v>
      </c>
      <c r="AV144" s="69" t="s">
        <v>276</v>
      </c>
      <c r="AW144" s="25">
        <f>AT141*AY144</f>
        <v>1045414.4118360721</v>
      </c>
      <c r="AX144" s="18"/>
      <c r="AY144" s="28">
        <v>0.01</v>
      </c>
      <c r="BE144" s="9">
        <v>16505700</v>
      </c>
      <c r="BF144" s="26">
        <f t="shared" si="131"/>
        <v>1045414.4118360721</v>
      </c>
    </row>
    <row r="145" spans="47:61">
      <c r="AV145" s="69" t="s">
        <v>277</v>
      </c>
      <c r="AW145" s="25">
        <v>0</v>
      </c>
      <c r="AX145" s="18"/>
      <c r="AY145" s="71"/>
      <c r="BE145" s="9">
        <v>16505720</v>
      </c>
      <c r="BF145" s="26">
        <f t="shared" si="131"/>
        <v>0</v>
      </c>
    </row>
    <row r="146" spans="47:61">
      <c r="AU146" s="9" t="s">
        <v>278</v>
      </c>
      <c r="AV146" s="69" t="s">
        <v>279</v>
      </c>
      <c r="AW146" s="63">
        <f>AT141*AY146</f>
        <v>261353.60295901803</v>
      </c>
      <c r="AX146" s="18"/>
      <c r="AY146" s="28">
        <v>2.5000000000000001E-3</v>
      </c>
      <c r="AZ146" s="9" t="s">
        <v>280</v>
      </c>
      <c r="BE146" s="9">
        <v>16505800</v>
      </c>
      <c r="BF146" s="26">
        <f t="shared" si="131"/>
        <v>261353.60295901803</v>
      </c>
    </row>
    <row r="147" spans="47:61">
      <c r="AU147" s="9" t="s">
        <v>281</v>
      </c>
      <c r="AV147" s="18"/>
      <c r="AW147" s="18">
        <f>AW141-AW142-AW144-AW145-AW146</f>
        <v>-61453008.141282707</v>
      </c>
      <c r="AX147" s="26"/>
      <c r="BF147" s="26"/>
    </row>
    <row r="148" spans="47:61">
      <c r="AU148" s="9" t="s">
        <v>282</v>
      </c>
      <c r="AV148" s="43"/>
      <c r="AW148" s="43">
        <v>300000</v>
      </c>
      <c r="AX148" s="18"/>
    </row>
    <row r="149" spans="47:61">
      <c r="AV149" s="18">
        <f>AV141+SUM(AW142:AW146,AW148)</f>
        <v>49660919.513340935</v>
      </c>
      <c r="AW149" s="26">
        <f>SUM(AW147:AW148)</f>
        <v>-61153008.141282707</v>
      </c>
      <c r="AX149" s="26">
        <f>AT141+AW149</f>
        <v>43388433.042324498</v>
      </c>
    </row>
    <row r="150" spans="47:61">
      <c r="AV150" s="43"/>
      <c r="AW150" s="20">
        <f>-AW149/AT141</f>
        <v>0.58496427300900755</v>
      </c>
      <c r="AX150" s="20"/>
    </row>
    <row r="151" spans="47:61">
      <c r="AV151" s="18">
        <f>AV149-AV150</f>
        <v>49660919.513340935</v>
      </c>
      <c r="AW151" s="26"/>
      <c r="AX151" s="26"/>
    </row>
    <row r="152" spans="47:61">
      <c r="AV152" s="18"/>
      <c r="AW152" s="26"/>
      <c r="AX152" s="26"/>
    </row>
    <row r="153" spans="47:61">
      <c r="AV153" s="18"/>
      <c r="AW153" s="18"/>
      <c r="AX153" s="18"/>
    </row>
    <row r="154" spans="47:61">
      <c r="AW154" s="26"/>
      <c r="AX154" s="26"/>
    </row>
    <row r="155" spans="47:61">
      <c r="AU155" s="72" t="s">
        <v>19</v>
      </c>
    </row>
    <row r="156" spans="47:61">
      <c r="AU156" s="72" t="s">
        <v>283</v>
      </c>
      <c r="AY156" s="100" t="s">
        <v>284</v>
      </c>
      <c r="AZ156" s="100"/>
      <c r="BA156" s="100"/>
      <c r="BB156" s="100"/>
      <c r="BC156" s="100"/>
      <c r="BD156" s="100"/>
      <c r="BE156" s="100"/>
      <c r="BF156" s="100"/>
      <c r="BG156" s="100"/>
      <c r="BH156" s="100"/>
      <c r="BI156" s="100"/>
    </row>
    <row r="157" spans="47:61">
      <c r="AZ157" s="34" t="s">
        <v>285</v>
      </c>
      <c r="BA157" s="34" t="s">
        <v>286</v>
      </c>
      <c r="BB157" s="34" t="s">
        <v>286</v>
      </c>
      <c r="BC157" s="34" t="s">
        <v>287</v>
      </c>
      <c r="BD157" s="34" t="s">
        <v>288</v>
      </c>
      <c r="BE157" s="34" t="s">
        <v>289</v>
      </c>
      <c r="BF157" s="34" t="s">
        <v>290</v>
      </c>
      <c r="BG157" s="34" t="s">
        <v>291</v>
      </c>
      <c r="BH157" s="34" t="s">
        <v>292</v>
      </c>
      <c r="BI157" s="34" t="s">
        <v>293</v>
      </c>
    </row>
    <row r="158" spans="47:61" ht="60" customHeight="1">
      <c r="AU158" s="9" t="s">
        <v>253</v>
      </c>
      <c r="AY158" s="9" t="s">
        <v>294</v>
      </c>
      <c r="AZ158" s="73" t="s">
        <v>295</v>
      </c>
      <c r="BA158" s="73" t="s">
        <v>296</v>
      </c>
      <c r="BB158" s="73" t="s">
        <v>296</v>
      </c>
      <c r="BC158" s="73" t="s">
        <v>297</v>
      </c>
      <c r="BD158" s="73" t="s">
        <v>297</v>
      </c>
      <c r="BE158" s="73" t="s">
        <v>298</v>
      </c>
      <c r="BF158" s="73" t="s">
        <v>299</v>
      </c>
      <c r="BG158" s="73" t="s">
        <v>300</v>
      </c>
      <c r="BH158" s="73" t="s">
        <v>301</v>
      </c>
      <c r="BI158" s="73" t="s">
        <v>302</v>
      </c>
    </row>
    <row r="159" spans="47:61">
      <c r="AU159" s="67" t="s">
        <v>29</v>
      </c>
      <c r="AV159" s="26">
        <f>AV141</f>
        <v>46224676.277832717</v>
      </c>
      <c r="AY159" s="9" t="s">
        <v>303</v>
      </c>
      <c r="AZ159" s="70">
        <v>27415830</v>
      </c>
      <c r="BA159" s="26">
        <v>-4567141</v>
      </c>
      <c r="BB159" s="26">
        <v>-6422789</v>
      </c>
      <c r="BE159" s="70">
        <f>AZ159+BA159+BB159</f>
        <v>16425900</v>
      </c>
      <c r="BF159" s="70">
        <f>BE159*2</f>
        <v>32851800</v>
      </c>
      <c r="BG159" s="74">
        <f>BF159*0.06</f>
        <v>1971108</v>
      </c>
      <c r="BH159" s="75">
        <f>BG159*0.75</f>
        <v>1478331</v>
      </c>
      <c r="BI159" s="75">
        <f>BH159/9</f>
        <v>164259</v>
      </c>
    </row>
    <row r="160" spans="47:61">
      <c r="AU160" s="67"/>
      <c r="AZ160" s="9" t="s">
        <v>304</v>
      </c>
    </row>
    <row r="161" spans="47:61">
      <c r="AU161" s="67" t="s">
        <v>305</v>
      </c>
      <c r="AV161" s="26">
        <f>-AT139</f>
        <v>-9252216.3199999984</v>
      </c>
      <c r="BI161" s="75"/>
    </row>
    <row r="162" spans="47:61">
      <c r="AU162" s="67" t="s">
        <v>306</v>
      </c>
      <c r="AV162" s="26">
        <f>-AT138</f>
        <v>0</v>
      </c>
    </row>
    <row r="163" spans="47:61">
      <c r="AU163" s="67" t="s">
        <v>260</v>
      </c>
      <c r="AV163" s="51">
        <f>-AT137</f>
        <v>-13010721.309999999</v>
      </c>
    </row>
    <row r="164" spans="47:61" ht="18.75">
      <c r="AU164" s="67" t="s">
        <v>307</v>
      </c>
      <c r="AV164" s="18">
        <f>SUM(AV161:AV163)</f>
        <v>-22262937.629999995</v>
      </c>
      <c r="AY164" s="76"/>
      <c r="AZ164" s="101" t="s">
        <v>308</v>
      </c>
      <c r="BA164" s="101"/>
      <c r="BB164" s="101"/>
      <c r="BC164" s="101"/>
      <c r="BD164" s="101"/>
      <c r="BE164" s="101"/>
    </row>
    <row r="165" spans="47:61" ht="21">
      <c r="AU165" s="67"/>
      <c r="AY165" s="77"/>
      <c r="AZ165" s="78" t="s">
        <v>47</v>
      </c>
      <c r="BA165" s="78" t="s">
        <v>48</v>
      </c>
      <c r="BB165" s="78" t="s">
        <v>49</v>
      </c>
      <c r="BC165" s="78" t="s">
        <v>50</v>
      </c>
      <c r="BD165" s="78" t="s">
        <v>51</v>
      </c>
      <c r="BE165" s="78" t="s">
        <v>53</v>
      </c>
    </row>
    <row r="166" spans="47:61" ht="18.75">
      <c r="AU166" s="67" t="s">
        <v>309</v>
      </c>
      <c r="AV166" s="26">
        <f>AV159+AV164</f>
        <v>23961738.647832721</v>
      </c>
      <c r="AY166" s="79" t="s">
        <v>310</v>
      </c>
      <c r="AZ166" s="80">
        <v>0.57122469357164374</v>
      </c>
      <c r="BA166" s="80">
        <v>0.10157499374177802</v>
      </c>
      <c r="BB166" s="80">
        <v>0.15423623512338244</v>
      </c>
      <c r="BC166" s="80">
        <v>0.16086837894776529</v>
      </c>
      <c r="BD166" s="80">
        <v>1.2095698615431114E-2</v>
      </c>
      <c r="BE166" s="81">
        <v>1</v>
      </c>
    </row>
    <row r="167" spans="47:61" ht="18.75">
      <c r="AU167" s="67" t="s">
        <v>311</v>
      </c>
      <c r="AV167" s="45">
        <v>0.06</v>
      </c>
      <c r="AY167" s="79" t="s">
        <v>312</v>
      </c>
      <c r="AZ167" s="80">
        <v>0.52380000000000004</v>
      </c>
      <c r="BA167" s="80">
        <v>0.1152</v>
      </c>
      <c r="BB167" s="80">
        <v>0.1903</v>
      </c>
      <c r="BC167" s="80">
        <v>0.1593</v>
      </c>
      <c r="BD167" s="80">
        <v>1.14E-2</v>
      </c>
      <c r="BE167" s="82">
        <f>SUM(AZ167:BD167)</f>
        <v>1</v>
      </c>
    </row>
    <row r="168" spans="47:61">
      <c r="AU168" s="67"/>
      <c r="AV168" s="26">
        <f t="shared" ref="AV168" si="132">AV166*AV167</f>
        <v>1437704.3188699633</v>
      </c>
    </row>
    <row r="169" spans="47:61">
      <c r="AU169" s="67"/>
      <c r="AV169" s="26"/>
    </row>
    <row r="170" spans="47:61">
      <c r="AU170" s="67" t="s">
        <v>313</v>
      </c>
      <c r="AV170" s="26">
        <f>ROUND(AV168,-3)</f>
        <v>1438000</v>
      </c>
    </row>
    <row r="171" spans="47:61">
      <c r="AU171" s="67" t="s">
        <v>314</v>
      </c>
      <c r="AV171" s="43"/>
    </row>
    <row r="172" spans="47:61">
      <c r="AU172" s="9" t="s">
        <v>315</v>
      </c>
      <c r="AV172" s="26">
        <f>AV170-AV171</f>
        <v>1438000</v>
      </c>
    </row>
    <row r="176" spans="47:61">
      <c r="AU176" s="13"/>
      <c r="AV176" s="13"/>
    </row>
    <row r="177" spans="46:56">
      <c r="AT177" s="67"/>
      <c r="AU177" s="18"/>
      <c r="AV177" s="18"/>
    </row>
    <row r="178" spans="46:56">
      <c r="AU178" s="18"/>
      <c r="AV178" s="18"/>
      <c r="BD178" s="83"/>
    </row>
    <row r="179" spans="46:56">
      <c r="AU179" s="18"/>
      <c r="AV179" s="18"/>
    </row>
    <row r="180" spans="46:56">
      <c r="AU180" s="18"/>
      <c r="AV180" s="18"/>
      <c r="AW180" s="67"/>
      <c r="AX180" s="26"/>
      <c r="AY180" s="84"/>
    </row>
    <row r="181" spans="46:56">
      <c r="AU181" s="18"/>
      <c r="AV181" s="18"/>
      <c r="AX181" s="18"/>
    </row>
    <row r="182" spans="46:56">
      <c r="AU182" s="18"/>
      <c r="AV182" s="18"/>
      <c r="AX182" s="26"/>
    </row>
    <row r="185" spans="46:56">
      <c r="AU185" s="18"/>
      <c r="AV185" s="18"/>
    </row>
    <row r="186" spans="46:56">
      <c r="AU186" s="18"/>
      <c r="AV186" s="18"/>
    </row>
    <row r="187" spans="46:56">
      <c r="AU187" s="18"/>
      <c r="AV187" s="18"/>
    </row>
    <row r="188" spans="46:56">
      <c r="AU188" s="18"/>
      <c r="AV188" s="18"/>
    </row>
    <row r="189" spans="46:56">
      <c r="AU189" s="18"/>
      <c r="AV189" s="18"/>
    </row>
    <row r="190" spans="46:56">
      <c r="AU190" s="18"/>
      <c r="AV190" s="18"/>
    </row>
    <row r="191" spans="46:56">
      <c r="AU191" s="18"/>
      <c r="AV191" s="18"/>
    </row>
    <row r="192" spans="46:56">
      <c r="AU192" s="18"/>
      <c r="AV192" s="18"/>
    </row>
    <row r="193" spans="47:48">
      <c r="AU193" s="18"/>
      <c r="AV193" s="18"/>
    </row>
    <row r="194" spans="47:48">
      <c r="AU194" s="18"/>
      <c r="AV194" s="18"/>
    </row>
    <row r="195" spans="47:48">
      <c r="AU195" s="18"/>
      <c r="AV195" s="18"/>
    </row>
    <row r="196" spans="47:48">
      <c r="AU196" s="18"/>
      <c r="AV196" s="18"/>
    </row>
    <row r="197" spans="47:48">
      <c r="AU197" s="18"/>
      <c r="AV197" s="18"/>
    </row>
  </sheetData>
  <mergeCells count="11">
    <mergeCell ref="Y2:AC5"/>
    <mergeCell ref="C1:E5"/>
    <mergeCell ref="F2:J5"/>
    <mergeCell ref="L2:M5"/>
    <mergeCell ref="O2:O5"/>
    <mergeCell ref="R2:W5"/>
    <mergeCell ref="AF2:AJ5"/>
    <mergeCell ref="AT2:AX5"/>
    <mergeCell ref="BD2:BH5"/>
    <mergeCell ref="AY156:BI156"/>
    <mergeCell ref="AZ164:BE164"/>
  </mergeCells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NPR Change</vt:lpstr>
      <vt:lpstr>2020 Model</vt:lpstr>
      <vt:lpstr>2020 Model (wo Increase)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Perry, Lori</dc:creator>
  <cp:lastModifiedBy>Perry, Lori</cp:lastModifiedBy>
  <cp:lastPrinted>2019-03-14T18:11:28Z</cp:lastPrinted>
  <dcterms:created xsi:type="dcterms:W3CDTF">2019-03-14T17:56:05Z</dcterms:created>
  <dcterms:modified xsi:type="dcterms:W3CDTF">2019-07-03T19:03:35Z</dcterms:modified>
</cp:coreProperties>
</file>