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66925"/>
  <mc:AlternateContent xmlns:mc="http://schemas.openxmlformats.org/markup-compatibility/2006">
    <mc:Choice Requires="x15">
      <x15ac:absPath xmlns:x15ac="http://schemas.microsoft.com/office/spreadsheetml/2010/11/ac" url="https://vermontgov.sharepoint.com/teams/GMCB-BusinessOfficeTeam/Shared Documents/Hospital Budget Team/FY26/Guidance/READY FOR POSTING (3-12)/"/>
    </mc:Choice>
  </mc:AlternateContent>
  <xr:revisionPtr revIDLastSave="675" documentId="8_{2757DC01-D05D-45CA-9372-71C1465E465F}" xr6:coauthVersionLast="47" xr6:coauthVersionMax="47" xr10:uidLastSave="{8559738E-F23B-4534-A9D9-F25BC8A8D41C}"/>
  <bookViews>
    <workbookView xWindow="-108" yWindow="-108" windowWidth="23256" windowHeight="12456" firstSheet="11" activeTab="13" xr2:uid="{00000000-000D-0000-FFFF-FFFF00000000}"/>
  </bookViews>
  <sheets>
    <sheet name="340B Data" sheetId="16" r:id="rId1"/>
    <sheet name="Network suppl." sheetId="21" r:id="rId2"/>
    <sheet name="Referral Lags and Visit Lags" sheetId="1" r:id="rId3"/>
    <sheet name="Margin on Services" sheetId="14" r:id="rId4"/>
    <sheet name="Contingency Plan" sheetId="11" r:id="rId5"/>
    <sheet name="Clinical Productivity" sheetId="2" r:id="rId6"/>
    <sheet name="Labor Expense" sheetId="17" r:id="rId7"/>
    <sheet name="Case Mix" sheetId="19" r:id="rId8"/>
    <sheet name="Capital Expenses" sheetId="20" r:id="rId9"/>
    <sheet name="Regional Collaborations" sheetId="10" r:id="rId10"/>
    <sheet name="Cost Inflation" sheetId="18" r:id="rId11"/>
    <sheet name="Instructions - Hospitals v2026" sheetId="22" r:id="rId12"/>
    <sheet name="Comm Rate Decomp - v2026" sheetId="23" r:id="rId13"/>
    <sheet name="Commercial Reimbursement v2026" sheetId="24" r:id="rId1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 i="24" l="1"/>
  <c r="B14" i="24"/>
  <c r="C14" i="24"/>
  <c r="E14" i="24"/>
  <c r="B15" i="24"/>
  <c r="O15" i="24"/>
  <c r="P15" i="24"/>
  <c r="B16" i="24"/>
  <c r="O16" i="24"/>
  <c r="P16" i="24"/>
  <c r="B17" i="24"/>
  <c r="O17" i="24"/>
  <c r="P17" i="24"/>
  <c r="B18" i="24"/>
  <c r="O18" i="24"/>
  <c r="P18" i="24"/>
  <c r="B19" i="24"/>
  <c r="O19" i="24"/>
  <c r="P19" i="24"/>
  <c r="B20" i="24"/>
  <c r="C20" i="24"/>
  <c r="D20" i="24"/>
  <c r="D14" i="24" s="1"/>
  <c r="E20" i="24"/>
  <c r="F20" i="24"/>
  <c r="F14" i="24" s="1"/>
  <c r="G20" i="24"/>
  <c r="G14" i="24" s="1"/>
  <c r="H20" i="24"/>
  <c r="H14" i="24" s="1"/>
  <c r="I20" i="24"/>
  <c r="I14" i="24" s="1"/>
  <c r="J20" i="24"/>
  <c r="J14" i="24" s="1"/>
  <c r="K20" i="24"/>
  <c r="K14" i="24" s="1"/>
  <c r="B21" i="24"/>
  <c r="L21" i="24"/>
  <c r="M21" i="24"/>
  <c r="M20" i="24" s="1"/>
  <c r="M14" i="24" s="1"/>
  <c r="N21" i="24"/>
  <c r="N20" i="24" s="1"/>
  <c r="N14" i="24" s="1"/>
  <c r="O21" i="24"/>
  <c r="P21" i="24"/>
  <c r="B22" i="24"/>
  <c r="L22" i="24"/>
  <c r="L20" i="24" s="1"/>
  <c r="L14" i="24" s="1"/>
  <c r="M22" i="24"/>
  <c r="N22" i="24" s="1"/>
  <c r="O22" i="24"/>
  <c r="P22" i="24"/>
  <c r="B23" i="24"/>
  <c r="O23" i="24"/>
  <c r="P23" i="24"/>
  <c r="B24" i="24"/>
  <c r="O24" i="24"/>
  <c r="P24" i="24"/>
  <c r="B25" i="24"/>
  <c r="O25" i="24"/>
  <c r="P25" i="24"/>
  <c r="G8" i="23"/>
  <c r="D11" i="23"/>
  <c r="H11" i="23" s="1"/>
  <c r="E11" i="23"/>
  <c r="F11" i="23"/>
  <c r="G11" i="23"/>
  <c r="AF11" i="23" s="1"/>
  <c r="K11" i="23"/>
  <c r="N11" i="23"/>
  <c r="O11" i="23"/>
  <c r="Q11" i="23"/>
  <c r="R11" i="23"/>
  <c r="H12" i="23"/>
  <c r="I12" i="23"/>
  <c r="L12" i="23"/>
  <c r="O12" i="23"/>
  <c r="R12" i="23"/>
  <c r="S12" i="23" s="1"/>
  <c r="Z12" i="23"/>
  <c r="AF12" i="23"/>
  <c r="H13" i="23"/>
  <c r="I13" i="23"/>
  <c r="L13" i="23"/>
  <c r="O13" i="23"/>
  <c r="P13" i="23" s="1"/>
  <c r="R13" i="23"/>
  <c r="S13" i="23"/>
  <c r="AF13" i="23"/>
  <c r="H14" i="23"/>
  <c r="I14" i="23"/>
  <c r="L14" i="23"/>
  <c r="O14" i="23"/>
  <c r="AA14" i="23" s="1"/>
  <c r="P14" i="23"/>
  <c r="R14" i="23"/>
  <c r="S14" i="23"/>
  <c r="AF14" i="23"/>
  <c r="H15" i="23"/>
  <c r="I15" i="23"/>
  <c r="L15" i="23"/>
  <c r="M15" i="23" s="1"/>
  <c r="O15" i="23"/>
  <c r="P15" i="23"/>
  <c r="R15" i="23"/>
  <c r="AA15" i="23" s="1"/>
  <c r="S15" i="23"/>
  <c r="U15" i="23"/>
  <c r="AF15" i="23"/>
  <c r="H16" i="23"/>
  <c r="I16" i="23"/>
  <c r="L16" i="23"/>
  <c r="M16" i="23" s="1"/>
  <c r="O16" i="23"/>
  <c r="P16" i="23" s="1"/>
  <c r="R16" i="23"/>
  <c r="AA16" i="23" s="1"/>
  <c r="S16" i="23"/>
  <c r="AF16" i="23"/>
  <c r="D17" i="23"/>
  <c r="E17" i="23"/>
  <c r="F17" i="23"/>
  <c r="H17" i="23" s="1"/>
  <c r="G17" i="23"/>
  <c r="K17" i="23"/>
  <c r="N17" i="23"/>
  <c r="Q17" i="23"/>
  <c r="R17" i="23"/>
  <c r="Z17" i="23"/>
  <c r="H18" i="23"/>
  <c r="I18" i="23"/>
  <c r="L18" i="23"/>
  <c r="L17" i="23" s="1"/>
  <c r="O18" i="23"/>
  <c r="P18" i="23"/>
  <c r="R18" i="23"/>
  <c r="AA18" i="23" s="1"/>
  <c r="AF18" i="23"/>
  <c r="H19" i="23"/>
  <c r="I19" i="23"/>
  <c r="P19" i="23" s="1"/>
  <c r="L19" i="23"/>
  <c r="O19" i="23"/>
  <c r="R19" i="23"/>
  <c r="S19" i="23" s="1"/>
  <c r="AA19" i="23"/>
  <c r="AF19" i="23"/>
  <c r="H20" i="23"/>
  <c r="I20" i="23"/>
  <c r="P20" i="23" s="1"/>
  <c r="L20" i="23"/>
  <c r="AH20" i="23" s="1"/>
  <c r="M20" i="23"/>
  <c r="O20" i="23"/>
  <c r="R20" i="23"/>
  <c r="S20" i="23" s="1"/>
  <c r="U20" i="23"/>
  <c r="AA20" i="23"/>
  <c r="AB20" i="23" s="1"/>
  <c r="AD20" i="23"/>
  <c r="AF20" i="23"/>
  <c r="H21" i="23"/>
  <c r="I21" i="23"/>
  <c r="P21" i="23" s="1"/>
  <c r="L21" i="23"/>
  <c r="M21" i="23"/>
  <c r="O21" i="23"/>
  <c r="R21" i="23"/>
  <c r="AF21" i="23"/>
  <c r="AZ21" i="23"/>
  <c r="H22" i="23"/>
  <c r="I22" i="23"/>
  <c r="L22" i="23"/>
  <c r="M22" i="23" s="1"/>
  <c r="O22" i="23"/>
  <c r="P22" i="23"/>
  <c r="R22" i="23"/>
  <c r="AA22" i="23" s="1"/>
  <c r="S22" i="23"/>
  <c r="U22" i="23"/>
  <c r="AF22" i="23"/>
  <c r="AZ22" i="23"/>
  <c r="N23" i="23"/>
  <c r="AZ23" i="23"/>
  <c r="H24" i="23"/>
  <c r="I24" i="23"/>
  <c r="L24" i="23"/>
  <c r="M24" i="23"/>
  <c r="O24" i="23"/>
  <c r="R24" i="23"/>
  <c r="S24" i="23" s="1"/>
  <c r="AF24" i="23"/>
  <c r="AZ24" i="23"/>
  <c r="H25" i="23"/>
  <c r="I25" i="23"/>
  <c r="P25" i="23" s="1"/>
  <c r="L25" i="23"/>
  <c r="M25" i="23"/>
  <c r="O25" i="23"/>
  <c r="R25" i="23"/>
  <c r="AF25" i="23"/>
  <c r="AZ25" i="23"/>
  <c r="H26" i="23"/>
  <c r="I26" i="23"/>
  <c r="L26" i="23"/>
  <c r="M26" i="23" s="1"/>
  <c r="O26" i="23"/>
  <c r="P26" i="23"/>
  <c r="R26" i="23"/>
  <c r="AA26" i="23" s="1"/>
  <c r="S26" i="23"/>
  <c r="U26" i="23"/>
  <c r="AF26" i="23"/>
  <c r="AZ26" i="23"/>
  <c r="H27" i="23"/>
  <c r="I27" i="23"/>
  <c r="L27" i="23"/>
  <c r="M27" i="23"/>
  <c r="O27" i="23"/>
  <c r="P27" i="23" s="1"/>
  <c r="R27" i="23"/>
  <c r="AA27" i="23" s="1"/>
  <c r="S27" i="23"/>
  <c r="AF27" i="23"/>
  <c r="AZ27" i="23"/>
  <c r="H28" i="23"/>
  <c r="I28" i="23"/>
  <c r="P28" i="23" s="1"/>
  <c r="L28" i="23"/>
  <c r="M28" i="23" s="1"/>
  <c r="O28" i="23"/>
  <c r="R28" i="23"/>
  <c r="S28" i="23" s="1"/>
  <c r="AA28" i="23"/>
  <c r="AF28" i="23"/>
  <c r="AZ28" i="23"/>
  <c r="D29" i="23"/>
  <c r="D23" i="23" s="1"/>
  <c r="D43" i="23" s="1"/>
  <c r="E29" i="23"/>
  <c r="E23" i="23" s="1"/>
  <c r="F29" i="23"/>
  <c r="H29" i="23" s="1"/>
  <c r="G29" i="23"/>
  <c r="K29" i="23"/>
  <c r="K23" i="23" s="1"/>
  <c r="K43" i="23" s="1"/>
  <c r="N29" i="23"/>
  <c r="Q29" i="23"/>
  <c r="Q23" i="23" s="1"/>
  <c r="R29" i="23"/>
  <c r="Z29" i="23"/>
  <c r="Z23" i="23" s="1"/>
  <c r="H30" i="23"/>
  <c r="I30" i="23"/>
  <c r="L30" i="23"/>
  <c r="L29" i="23" s="1"/>
  <c r="O30" i="23"/>
  <c r="P30" i="23"/>
  <c r="R30" i="23"/>
  <c r="AA30" i="23" s="1"/>
  <c r="AF30" i="23"/>
  <c r="H31" i="23"/>
  <c r="I31" i="23"/>
  <c r="L31" i="23"/>
  <c r="O31" i="23"/>
  <c r="R31" i="23"/>
  <c r="AA31" i="23"/>
  <c r="AF31" i="23"/>
  <c r="H32" i="23"/>
  <c r="I32" i="23"/>
  <c r="P32" i="23" s="1"/>
  <c r="L32" i="23"/>
  <c r="AH32" i="23" s="1"/>
  <c r="M32" i="23"/>
  <c r="O32" i="23"/>
  <c r="R32" i="23"/>
  <c r="S32" i="23" s="1"/>
  <c r="U32" i="23"/>
  <c r="AA32" i="23"/>
  <c r="AB32" i="23" s="1"/>
  <c r="AD32" i="23"/>
  <c r="AF32" i="23"/>
  <c r="H33" i="23"/>
  <c r="I33" i="23"/>
  <c r="L33" i="23"/>
  <c r="M33" i="23"/>
  <c r="O33" i="23"/>
  <c r="P33" i="23"/>
  <c r="R33" i="23"/>
  <c r="AF33" i="23"/>
  <c r="H34" i="23"/>
  <c r="I34" i="23"/>
  <c r="L34" i="23"/>
  <c r="M34" i="23" s="1"/>
  <c r="O34" i="23"/>
  <c r="P34" i="23"/>
  <c r="R34" i="23"/>
  <c r="AA34" i="23" s="1"/>
  <c r="AF34" i="23"/>
  <c r="H35" i="23"/>
  <c r="I35" i="23"/>
  <c r="P35" i="23" s="1"/>
  <c r="L35" i="23"/>
  <c r="M35" i="23" s="1"/>
  <c r="O35" i="23"/>
  <c r="R35" i="23"/>
  <c r="S35" i="23" s="1"/>
  <c r="AA35" i="23"/>
  <c r="AF35" i="23"/>
  <c r="D36" i="23"/>
  <c r="E36" i="23"/>
  <c r="F36" i="23"/>
  <c r="G36" i="23"/>
  <c r="I36" i="23" s="1"/>
  <c r="H36" i="23"/>
  <c r="K36" i="23"/>
  <c r="N36" i="23"/>
  <c r="Q36" i="23"/>
  <c r="Z36" i="23"/>
  <c r="H37" i="23"/>
  <c r="I37" i="23"/>
  <c r="L37" i="23"/>
  <c r="L36" i="23" s="1"/>
  <c r="M36" i="23" s="1"/>
  <c r="M37" i="23"/>
  <c r="O37" i="23"/>
  <c r="R37" i="23"/>
  <c r="AA37" i="23" s="1"/>
  <c r="S37" i="23"/>
  <c r="AF37" i="23"/>
  <c r="H38" i="23"/>
  <c r="I38" i="23"/>
  <c r="M38" i="23" s="1"/>
  <c r="L38" i="23"/>
  <c r="O38" i="23"/>
  <c r="R38" i="23"/>
  <c r="S38" i="23" s="1"/>
  <c r="AF38" i="23"/>
  <c r="H39" i="23"/>
  <c r="I39" i="23"/>
  <c r="L39" i="23"/>
  <c r="M39" i="23"/>
  <c r="O39" i="23"/>
  <c r="R39" i="23"/>
  <c r="S39" i="23" s="1"/>
  <c r="AF39" i="23"/>
  <c r="H40" i="23"/>
  <c r="I40" i="23"/>
  <c r="M40" i="23" s="1"/>
  <c r="L40" i="23"/>
  <c r="U40" i="23" s="1"/>
  <c r="O40" i="23"/>
  <c r="P40" i="23" s="1"/>
  <c r="R40" i="23"/>
  <c r="S40" i="23"/>
  <c r="AA40" i="23"/>
  <c r="AB40" i="23" s="1"/>
  <c r="AF40" i="23"/>
  <c r="AH40" i="23"/>
  <c r="H41" i="23"/>
  <c r="I41" i="23"/>
  <c r="L41" i="23"/>
  <c r="M41" i="23"/>
  <c r="O41" i="23"/>
  <c r="P41" i="23" s="1"/>
  <c r="R41" i="23"/>
  <c r="AA41" i="23" s="1"/>
  <c r="S41" i="23"/>
  <c r="AF41" i="23"/>
  <c r="H42" i="23"/>
  <c r="I42" i="23"/>
  <c r="P42" i="23" s="1"/>
  <c r="L42" i="23"/>
  <c r="M42" i="23" s="1"/>
  <c r="O42" i="23"/>
  <c r="R42" i="23"/>
  <c r="AF42" i="23"/>
  <c r="N43" i="23"/>
  <c r="D47" i="23"/>
  <c r="E47" i="23"/>
  <c r="F47" i="23"/>
  <c r="G47" i="23"/>
  <c r="K47" i="23"/>
  <c r="L47" i="23"/>
  <c r="N47" i="23"/>
  <c r="O47" i="23"/>
  <c r="Q47" i="23"/>
  <c r="R47" i="23" s="1"/>
  <c r="Z47" i="23"/>
  <c r="AF47" i="23"/>
  <c r="D48" i="23"/>
  <c r="H48" i="23" s="1"/>
  <c r="I48" i="23"/>
  <c r="L48" i="23"/>
  <c r="O48" i="23"/>
  <c r="P48" i="23"/>
  <c r="R48" i="23"/>
  <c r="S48" i="23" s="1"/>
  <c r="AF48" i="23"/>
  <c r="D49" i="23"/>
  <c r="H49" i="23"/>
  <c r="I49" i="23"/>
  <c r="M49" i="23" s="1"/>
  <c r="L49" i="23"/>
  <c r="O49" i="23"/>
  <c r="P49" i="23" s="1"/>
  <c r="R49" i="23"/>
  <c r="S49" i="23"/>
  <c r="AF49" i="23"/>
  <c r="D50" i="23"/>
  <c r="H50" i="23"/>
  <c r="I50" i="23"/>
  <c r="L50" i="23"/>
  <c r="O50" i="23"/>
  <c r="P50" i="23"/>
  <c r="R50" i="23"/>
  <c r="AF50" i="23"/>
  <c r="D51" i="23"/>
  <c r="H51" i="23"/>
  <c r="I51" i="23"/>
  <c r="L51" i="23"/>
  <c r="M51" i="23"/>
  <c r="O51" i="23"/>
  <c r="U51" i="23" s="1"/>
  <c r="R51" i="23"/>
  <c r="S51" i="23"/>
  <c r="AF51" i="23"/>
  <c r="D52" i="23"/>
  <c r="H52" i="23" s="1"/>
  <c r="I52" i="23"/>
  <c r="M52" i="23" s="1"/>
  <c r="L52" i="23"/>
  <c r="O52" i="23"/>
  <c r="R52" i="23"/>
  <c r="AF52" i="23"/>
  <c r="E53" i="23"/>
  <c r="F53" i="23"/>
  <c r="G53" i="23"/>
  <c r="I53" i="23"/>
  <c r="K53" i="23"/>
  <c r="L53" i="23" s="1"/>
  <c r="N53" i="23"/>
  <c r="O53" i="23" s="1"/>
  <c r="Q53" i="23"/>
  <c r="R53" i="23"/>
  <c r="Z53" i="23"/>
  <c r="AF53" i="23"/>
  <c r="D54" i="23"/>
  <c r="I54" i="23"/>
  <c r="L54" i="23"/>
  <c r="M54" i="23"/>
  <c r="O54" i="23"/>
  <c r="P54" i="23" s="1"/>
  <c r="R54" i="23"/>
  <c r="AA54" i="23" s="1"/>
  <c r="AH54" i="23" s="1"/>
  <c r="S54" i="23"/>
  <c r="AF54" i="23"/>
  <c r="D55" i="23"/>
  <c r="H55" i="23"/>
  <c r="I55" i="23"/>
  <c r="M55" i="23" s="1"/>
  <c r="L55" i="23"/>
  <c r="O55" i="23"/>
  <c r="P55" i="23"/>
  <c r="R55" i="23"/>
  <c r="AA55" i="23"/>
  <c r="AF55" i="23"/>
  <c r="D56" i="23"/>
  <c r="H56" i="23"/>
  <c r="I56" i="23"/>
  <c r="L56" i="23"/>
  <c r="O56" i="23"/>
  <c r="P56" i="23" s="1"/>
  <c r="R56" i="23"/>
  <c r="S56" i="23"/>
  <c r="AF56" i="23"/>
  <c r="D57" i="23"/>
  <c r="H57" i="23" s="1"/>
  <c r="I57" i="23"/>
  <c r="S57" i="23" s="1"/>
  <c r="L57" i="23"/>
  <c r="M57" i="23"/>
  <c r="O57" i="23"/>
  <c r="R57" i="23"/>
  <c r="AF57" i="23"/>
  <c r="D58" i="23"/>
  <c r="H58" i="23"/>
  <c r="I58" i="23"/>
  <c r="L58" i="23"/>
  <c r="M58" i="23"/>
  <c r="O58" i="23"/>
  <c r="P58" i="23"/>
  <c r="R58" i="23"/>
  <c r="AF58" i="23"/>
  <c r="G59" i="23"/>
  <c r="K59" i="23"/>
  <c r="N59" i="23"/>
  <c r="Z59" i="23"/>
  <c r="D60" i="23"/>
  <c r="I60" i="23"/>
  <c r="L60" i="23"/>
  <c r="M60" i="23"/>
  <c r="O60" i="23"/>
  <c r="R60" i="23"/>
  <c r="S60" i="23"/>
  <c r="AF60" i="23"/>
  <c r="D61" i="23"/>
  <c r="H61" i="23"/>
  <c r="I61" i="23"/>
  <c r="L61" i="23"/>
  <c r="M61" i="23"/>
  <c r="O61" i="23"/>
  <c r="P61" i="23"/>
  <c r="R61" i="23"/>
  <c r="AF61" i="23"/>
  <c r="D62" i="23"/>
  <c r="H62" i="23"/>
  <c r="I62" i="23"/>
  <c r="L62" i="23"/>
  <c r="AA62" i="23" s="1"/>
  <c r="O62" i="23"/>
  <c r="P62" i="23"/>
  <c r="R62" i="23"/>
  <c r="S62" i="23"/>
  <c r="U62" i="23"/>
  <c r="AB62" i="23"/>
  <c r="AF62" i="23"/>
  <c r="D63" i="23"/>
  <c r="H63" i="23" s="1"/>
  <c r="I63" i="23"/>
  <c r="L63" i="23"/>
  <c r="U63" i="23" s="1"/>
  <c r="M63" i="23"/>
  <c r="O63" i="23"/>
  <c r="AA63" i="23" s="1"/>
  <c r="R63" i="23"/>
  <c r="S63" i="23"/>
  <c r="AF63" i="23"/>
  <c r="AH63" i="23"/>
  <c r="D64" i="23"/>
  <c r="H64" i="23"/>
  <c r="I64" i="23"/>
  <c r="L64" i="23"/>
  <c r="O64" i="23"/>
  <c r="U64" i="23" s="1"/>
  <c r="R64" i="23"/>
  <c r="AA64" i="23"/>
  <c r="AF64" i="23"/>
  <c r="E65" i="23"/>
  <c r="F65" i="23"/>
  <c r="F59" i="23" s="1"/>
  <c r="G65" i="23"/>
  <c r="AF65" i="23" s="1"/>
  <c r="K65" i="23"/>
  <c r="L65" i="23" s="1"/>
  <c r="M65" i="23"/>
  <c r="N65" i="23"/>
  <c r="Q65" i="23"/>
  <c r="Z65" i="23"/>
  <c r="D66" i="23"/>
  <c r="H66" i="23" s="1"/>
  <c r="I66" i="23"/>
  <c r="I65" i="23" s="1"/>
  <c r="L66" i="23"/>
  <c r="O66" i="23"/>
  <c r="P66" i="23" s="1"/>
  <c r="R66" i="23"/>
  <c r="AF66" i="23"/>
  <c r="D67" i="23"/>
  <c r="H67" i="23" s="1"/>
  <c r="I67" i="23"/>
  <c r="L67" i="23"/>
  <c r="M67" i="23" s="1"/>
  <c r="O67" i="23"/>
  <c r="R67" i="23"/>
  <c r="S67" i="23"/>
  <c r="U67" i="23"/>
  <c r="AF67" i="23"/>
  <c r="D68" i="23"/>
  <c r="H68" i="23" s="1"/>
  <c r="I68" i="23"/>
  <c r="L68" i="23"/>
  <c r="M68" i="23" s="1"/>
  <c r="O68" i="23"/>
  <c r="P68" i="23" s="1"/>
  <c r="R68" i="23"/>
  <c r="AA68" i="23"/>
  <c r="AF68" i="23"/>
  <c r="D69" i="23"/>
  <c r="H69" i="23"/>
  <c r="I69" i="23"/>
  <c r="L69" i="23"/>
  <c r="M69" i="23"/>
  <c r="O69" i="23"/>
  <c r="P69" i="23" s="1"/>
  <c r="R69" i="23"/>
  <c r="U69" i="23"/>
  <c r="AF69" i="23"/>
  <c r="D70" i="23"/>
  <c r="H70" i="23"/>
  <c r="I70" i="23"/>
  <c r="L70" i="23"/>
  <c r="M70" i="23" s="1"/>
  <c r="O70" i="23"/>
  <c r="P70" i="23"/>
  <c r="R70" i="23"/>
  <c r="AF70" i="23"/>
  <c r="D71" i="23"/>
  <c r="H71" i="23" s="1"/>
  <c r="I71" i="23"/>
  <c r="L71" i="23"/>
  <c r="U71" i="23" s="1"/>
  <c r="X71" i="23" s="1"/>
  <c r="M71" i="23"/>
  <c r="O71" i="23"/>
  <c r="P71" i="23"/>
  <c r="R71" i="23"/>
  <c r="AA71" i="23" s="1"/>
  <c r="S71" i="23"/>
  <c r="W71" i="23"/>
  <c r="AF71" i="23"/>
  <c r="E72" i="23"/>
  <c r="F72" i="23"/>
  <c r="G72" i="23"/>
  <c r="K72" i="23"/>
  <c r="K79" i="23" s="1"/>
  <c r="N72" i="23"/>
  <c r="Q72" i="23"/>
  <c r="R72" i="23"/>
  <c r="Z72" i="23"/>
  <c r="D73" i="23"/>
  <c r="H73" i="23"/>
  <c r="I73" i="23"/>
  <c r="I72" i="23" s="1"/>
  <c r="L73" i="23"/>
  <c r="U73" i="23" s="1"/>
  <c r="O73" i="23"/>
  <c r="O72" i="23" s="1"/>
  <c r="P72" i="23" s="1"/>
  <c r="R73" i="23"/>
  <c r="AA73" i="23" s="1"/>
  <c r="AF73" i="23"/>
  <c r="AH73" i="23"/>
  <c r="D74" i="23"/>
  <c r="H74" i="23" s="1"/>
  <c r="I74" i="23"/>
  <c r="L74" i="23"/>
  <c r="M74" i="23" s="1"/>
  <c r="O74" i="23"/>
  <c r="P74" i="23" s="1"/>
  <c r="R74" i="23"/>
  <c r="AA74" i="23" s="1"/>
  <c r="U74" i="23"/>
  <c r="AF74" i="23"/>
  <c r="D75" i="23"/>
  <c r="H75" i="23"/>
  <c r="I75" i="23"/>
  <c r="L75" i="23"/>
  <c r="M75" i="23"/>
  <c r="O75" i="23"/>
  <c r="P75" i="23" s="1"/>
  <c r="R75" i="23"/>
  <c r="AA75" i="23" s="1"/>
  <c r="AF75" i="23"/>
  <c r="D76" i="23"/>
  <c r="H76" i="23" s="1"/>
  <c r="I76" i="23"/>
  <c r="P76" i="23" s="1"/>
  <c r="L76" i="23"/>
  <c r="M76" i="23" s="1"/>
  <c r="O76" i="23"/>
  <c r="R76" i="23"/>
  <c r="S76" i="23" s="1"/>
  <c r="AA76" i="23"/>
  <c r="AB76" i="23"/>
  <c r="AF76" i="23"/>
  <c r="D77" i="23"/>
  <c r="H77" i="23" s="1"/>
  <c r="I77" i="23"/>
  <c r="S77" i="23" s="1"/>
  <c r="L77" i="23"/>
  <c r="O77" i="23"/>
  <c r="P77" i="23" s="1"/>
  <c r="R77" i="23"/>
  <c r="AF77" i="23"/>
  <c r="D78" i="23"/>
  <c r="H78" i="23" s="1"/>
  <c r="I78" i="23"/>
  <c r="L78" i="23"/>
  <c r="O78" i="23"/>
  <c r="AA78" i="23" s="1"/>
  <c r="R78" i="23"/>
  <c r="S78" i="23" s="1"/>
  <c r="AF78" i="23"/>
  <c r="G79" i="23"/>
  <c r="N79" i="23"/>
  <c r="Z79" i="23"/>
  <c r="AD81" i="23"/>
  <c r="D83" i="23"/>
  <c r="E83" i="23"/>
  <c r="F83" i="23"/>
  <c r="G83" i="23"/>
  <c r="K83" i="23"/>
  <c r="N83" i="23"/>
  <c r="Q83" i="23"/>
  <c r="R83" i="23" s="1"/>
  <c r="Z83" i="23"/>
  <c r="H84" i="23"/>
  <c r="I84" i="23"/>
  <c r="I83" i="23" s="1"/>
  <c r="L84" i="23"/>
  <c r="M84" i="23"/>
  <c r="O84" i="23"/>
  <c r="P84" i="23"/>
  <c r="R84" i="23"/>
  <c r="S84" i="23"/>
  <c r="U84" i="23"/>
  <c r="AA84" i="23"/>
  <c r="AC84" i="23" s="1"/>
  <c r="AB84" i="23"/>
  <c r="AF84" i="23"/>
  <c r="AH84" i="23"/>
  <c r="H85" i="23"/>
  <c r="I85" i="23"/>
  <c r="L85" i="23"/>
  <c r="M85" i="23"/>
  <c r="O85" i="23"/>
  <c r="P85" i="23" s="1"/>
  <c r="R85" i="23"/>
  <c r="AA85" i="23" s="1"/>
  <c r="AF85" i="23"/>
  <c r="H86" i="23"/>
  <c r="I86" i="23"/>
  <c r="L86" i="23"/>
  <c r="O86" i="23"/>
  <c r="P86" i="23" s="1"/>
  <c r="R86" i="23"/>
  <c r="AA86" i="23" s="1"/>
  <c r="S86" i="23"/>
  <c r="AF86" i="23"/>
  <c r="H87" i="23"/>
  <c r="I87" i="23"/>
  <c r="L87" i="23"/>
  <c r="O87" i="23"/>
  <c r="AA87" i="23" s="1"/>
  <c r="R87" i="23"/>
  <c r="S87" i="23" s="1"/>
  <c r="AF87" i="23"/>
  <c r="H88" i="23"/>
  <c r="I88" i="23"/>
  <c r="L88" i="23"/>
  <c r="M88" i="23"/>
  <c r="O88" i="23"/>
  <c r="AA88" i="23" s="1"/>
  <c r="P88" i="23"/>
  <c r="R88" i="23"/>
  <c r="S88" i="23"/>
  <c r="U88" i="23"/>
  <c r="AF88" i="23"/>
  <c r="AH88" i="23"/>
  <c r="D89" i="23"/>
  <c r="D115" i="23" s="1"/>
  <c r="E89" i="23"/>
  <c r="J89" i="23" s="1"/>
  <c r="F89" i="23"/>
  <c r="G89" i="23"/>
  <c r="I89" i="23"/>
  <c r="K89" i="23"/>
  <c r="L89" i="23" s="1"/>
  <c r="N89" i="23"/>
  <c r="O89" i="23"/>
  <c r="P89" i="23"/>
  <c r="Q89" i="23"/>
  <c r="R89" i="23"/>
  <c r="S89" i="23" s="1"/>
  <c r="Z89" i="23"/>
  <c r="AF89" i="23"/>
  <c r="H90" i="23"/>
  <c r="I90" i="23"/>
  <c r="L90" i="23"/>
  <c r="M90" i="23"/>
  <c r="O90" i="23"/>
  <c r="P90" i="23"/>
  <c r="R90" i="23"/>
  <c r="AF90" i="23"/>
  <c r="H91" i="23"/>
  <c r="I91" i="23"/>
  <c r="L91" i="23"/>
  <c r="M91" i="23" s="1"/>
  <c r="O91" i="23"/>
  <c r="P91" i="23" s="1"/>
  <c r="R91" i="23"/>
  <c r="AA91" i="23" s="1"/>
  <c r="U91" i="23"/>
  <c r="AF91" i="23"/>
  <c r="H92" i="23"/>
  <c r="L92" i="23"/>
  <c r="AH92" i="23" s="1"/>
  <c r="M92" i="23"/>
  <c r="O92" i="23"/>
  <c r="P92" i="23" s="1"/>
  <c r="R92" i="23"/>
  <c r="S92" i="23" s="1"/>
  <c r="AA92" i="23"/>
  <c r="AB92" i="23" s="1"/>
  <c r="AF92" i="23"/>
  <c r="H93" i="23"/>
  <c r="I93" i="23"/>
  <c r="L93" i="23"/>
  <c r="M93" i="23"/>
  <c r="O93" i="23"/>
  <c r="R93" i="23"/>
  <c r="S93" i="23" s="1"/>
  <c r="AF93" i="23"/>
  <c r="H94" i="23"/>
  <c r="I94" i="23"/>
  <c r="L94" i="23"/>
  <c r="O94" i="23"/>
  <c r="P94" i="23" s="1"/>
  <c r="R94" i="23"/>
  <c r="AA94" i="23" s="1"/>
  <c r="AF94" i="23"/>
  <c r="AH94" i="23"/>
  <c r="N95" i="23"/>
  <c r="O95" i="23"/>
  <c r="H96" i="23"/>
  <c r="I96" i="23"/>
  <c r="L96" i="23"/>
  <c r="M96" i="23"/>
  <c r="O96" i="23"/>
  <c r="P96" i="23"/>
  <c r="R96" i="23"/>
  <c r="AF96" i="23"/>
  <c r="H97" i="23"/>
  <c r="I97" i="23"/>
  <c r="L97" i="23"/>
  <c r="M97" i="23" s="1"/>
  <c r="O97" i="23"/>
  <c r="P97" i="23" s="1"/>
  <c r="R97" i="23"/>
  <c r="AA97" i="23" s="1"/>
  <c r="U97" i="23"/>
  <c r="AF97" i="23"/>
  <c r="H98" i="23"/>
  <c r="I98" i="23"/>
  <c r="L98" i="23"/>
  <c r="M98" i="23" s="1"/>
  <c r="O98" i="23"/>
  <c r="R98" i="23"/>
  <c r="AA98" i="23"/>
  <c r="AF98" i="23"/>
  <c r="H99" i="23"/>
  <c r="I99" i="23"/>
  <c r="L99" i="23"/>
  <c r="M99" i="23" s="1"/>
  <c r="O99" i="23"/>
  <c r="P99" i="23" s="1"/>
  <c r="R99" i="23"/>
  <c r="S99" i="23" s="1"/>
  <c r="AF99" i="23"/>
  <c r="H100" i="23"/>
  <c r="I100" i="23"/>
  <c r="L100" i="23"/>
  <c r="M100" i="23"/>
  <c r="O100" i="23"/>
  <c r="P100" i="23"/>
  <c r="R100" i="23"/>
  <c r="AF100" i="23"/>
  <c r="D101" i="23"/>
  <c r="D95" i="23" s="1"/>
  <c r="E101" i="23"/>
  <c r="E95" i="23" s="1"/>
  <c r="F101" i="23"/>
  <c r="F95" i="23" s="1"/>
  <c r="H95" i="23" s="1"/>
  <c r="G101" i="23"/>
  <c r="G95" i="23" s="1"/>
  <c r="K101" i="23"/>
  <c r="K95" i="23" s="1"/>
  <c r="N101" i="23"/>
  <c r="O101" i="23" s="1"/>
  <c r="Q101" i="23"/>
  <c r="Q95" i="23" s="1"/>
  <c r="Z101" i="23"/>
  <c r="Z95" i="23" s="1"/>
  <c r="H102" i="23"/>
  <c r="I102" i="23"/>
  <c r="L102" i="23"/>
  <c r="M102" i="23"/>
  <c r="O102" i="23"/>
  <c r="R102" i="23"/>
  <c r="S102" i="23" s="1"/>
  <c r="AF102" i="23"/>
  <c r="H103" i="23"/>
  <c r="I103" i="23"/>
  <c r="L103" i="23"/>
  <c r="M103" i="23" s="1"/>
  <c r="O103" i="23"/>
  <c r="P103" i="23" s="1"/>
  <c r="R103" i="23"/>
  <c r="U103" i="23" s="1"/>
  <c r="AA103" i="23"/>
  <c r="AF103" i="23"/>
  <c r="H104" i="23"/>
  <c r="I104" i="23"/>
  <c r="L104" i="23"/>
  <c r="U104" i="23" s="1"/>
  <c r="X104" i="23" s="1"/>
  <c r="M104" i="23"/>
  <c r="O104" i="23"/>
  <c r="P104" i="23"/>
  <c r="R104" i="23"/>
  <c r="AA104" i="23" s="1"/>
  <c r="S104" i="23"/>
  <c r="W104" i="23"/>
  <c r="AF104" i="23"/>
  <c r="H105" i="23"/>
  <c r="I105" i="23"/>
  <c r="L105" i="23"/>
  <c r="O105" i="23"/>
  <c r="R105" i="23"/>
  <c r="S105" i="23" s="1"/>
  <c r="AF105" i="23"/>
  <c r="H106" i="23"/>
  <c r="I106" i="23"/>
  <c r="L106" i="23"/>
  <c r="M106" i="23"/>
  <c r="O106" i="23"/>
  <c r="P106" i="23" s="1"/>
  <c r="R106" i="23"/>
  <c r="S106" i="23" s="1"/>
  <c r="AF106" i="23"/>
  <c r="H107" i="23"/>
  <c r="I107" i="23"/>
  <c r="L107" i="23"/>
  <c r="O107" i="23"/>
  <c r="P107" i="23" s="1"/>
  <c r="R107" i="23"/>
  <c r="S107" i="23"/>
  <c r="U107" i="23"/>
  <c r="AA107" i="23"/>
  <c r="AF107" i="23"/>
  <c r="AH107" i="23"/>
  <c r="D108" i="23"/>
  <c r="E108" i="23"/>
  <c r="F108" i="23"/>
  <c r="G108" i="23"/>
  <c r="I108" i="23" s="1"/>
  <c r="H108" i="23"/>
  <c r="K108" i="23"/>
  <c r="N108" i="23"/>
  <c r="Q108" i="23"/>
  <c r="Z108" i="23"/>
  <c r="Z115" i="23" s="1"/>
  <c r="AF108" i="23"/>
  <c r="H109" i="23"/>
  <c r="I109" i="23"/>
  <c r="L109" i="23"/>
  <c r="O109" i="23"/>
  <c r="O108" i="23" s="1"/>
  <c r="P108" i="23" s="1"/>
  <c r="R109" i="23"/>
  <c r="AF109" i="23"/>
  <c r="H110" i="23"/>
  <c r="I110" i="23"/>
  <c r="J110" i="23"/>
  <c r="L110" i="23"/>
  <c r="M110" i="23"/>
  <c r="O110" i="23"/>
  <c r="AA110" i="23" s="1"/>
  <c r="AC110" i="23" s="1"/>
  <c r="P110" i="23"/>
  <c r="R110" i="23"/>
  <c r="S110" i="23"/>
  <c r="U110" i="23"/>
  <c r="AF110" i="23"/>
  <c r="AH110" i="23"/>
  <c r="H111" i="23"/>
  <c r="I111" i="23"/>
  <c r="L111" i="23"/>
  <c r="O111" i="23"/>
  <c r="R111" i="23"/>
  <c r="AF111" i="23"/>
  <c r="H112" i="23"/>
  <c r="I112" i="23"/>
  <c r="J112" i="23"/>
  <c r="L112" i="23"/>
  <c r="U112" i="23" s="1"/>
  <c r="M112" i="23"/>
  <c r="O112" i="23"/>
  <c r="P112" i="23"/>
  <c r="R112" i="23"/>
  <c r="S112" i="23"/>
  <c r="AF112" i="23"/>
  <c r="AG112" i="23" s="1"/>
  <c r="H113" i="23"/>
  <c r="I113" i="23"/>
  <c r="L113" i="23"/>
  <c r="O113" i="23"/>
  <c r="P113" i="23" s="1"/>
  <c r="R113" i="23"/>
  <c r="S113" i="23" s="1"/>
  <c r="AA113" i="23"/>
  <c r="AC113" i="23"/>
  <c r="AF113" i="23"/>
  <c r="H114" i="23"/>
  <c r="I114" i="23"/>
  <c r="L114" i="23"/>
  <c r="M114" i="23"/>
  <c r="O114" i="23"/>
  <c r="AA114" i="23" s="1"/>
  <c r="AC114" i="23" s="1"/>
  <c r="P114" i="23"/>
  <c r="R114" i="23"/>
  <c r="S114" i="23"/>
  <c r="U114" i="23"/>
  <c r="X114" i="23" s="1"/>
  <c r="W114" i="23"/>
  <c r="AF114" i="23"/>
  <c r="AH114" i="23"/>
  <c r="E115" i="23"/>
  <c r="K115" i="23"/>
  <c r="Q115" i="23"/>
  <c r="D119" i="23"/>
  <c r="E119" i="23"/>
  <c r="O119" i="23" s="1"/>
  <c r="F119" i="23"/>
  <c r="H119" i="23" s="1"/>
  <c r="G119" i="23"/>
  <c r="K119" i="23"/>
  <c r="N119" i="23"/>
  <c r="Q119" i="23"/>
  <c r="R119" i="23" s="1"/>
  <c r="Z119" i="23"/>
  <c r="H120" i="23"/>
  <c r="L120" i="23"/>
  <c r="O120" i="23"/>
  <c r="AA120" i="23" s="1"/>
  <c r="R120" i="23"/>
  <c r="S120" i="23"/>
  <c r="H121" i="23"/>
  <c r="L121" i="23"/>
  <c r="O121" i="23"/>
  <c r="R121" i="23"/>
  <c r="S121" i="23" s="1"/>
  <c r="U121" i="23"/>
  <c r="W121" i="23" s="1"/>
  <c r="X121" i="23"/>
  <c r="AA121" i="23"/>
  <c r="H122" i="23"/>
  <c r="L122" i="23"/>
  <c r="O122" i="23"/>
  <c r="R122" i="23"/>
  <c r="S122" i="23" s="1"/>
  <c r="H123" i="23"/>
  <c r="L123" i="23"/>
  <c r="O123" i="23"/>
  <c r="R123" i="23"/>
  <c r="AA123" i="23" s="1"/>
  <c r="S123" i="23"/>
  <c r="U123" i="23"/>
  <c r="AH123" i="23"/>
  <c r="H124" i="23"/>
  <c r="L124" i="23"/>
  <c r="M124" i="23" s="1"/>
  <c r="O124" i="23"/>
  <c r="R124" i="23"/>
  <c r="AA124" i="23" s="1"/>
  <c r="U124" i="23"/>
  <c r="I124" i="23" s="1"/>
  <c r="W124" i="23"/>
  <c r="X124" i="23"/>
  <c r="D125" i="23"/>
  <c r="E125" i="23"/>
  <c r="F125" i="23"/>
  <c r="H125" i="23" s="1"/>
  <c r="G125" i="23"/>
  <c r="K125" i="23"/>
  <c r="N125" i="23"/>
  <c r="O125" i="23" s="1"/>
  <c r="Q125" i="23"/>
  <c r="R125" i="23"/>
  <c r="Z125" i="23"/>
  <c r="H126" i="23"/>
  <c r="L126" i="23"/>
  <c r="O126" i="23"/>
  <c r="R126" i="23"/>
  <c r="AA126" i="23" s="1"/>
  <c r="U126" i="23"/>
  <c r="H127" i="23"/>
  <c r="I127" i="23"/>
  <c r="L127" i="23"/>
  <c r="O127" i="23"/>
  <c r="R127" i="23"/>
  <c r="U127" i="23"/>
  <c r="AF127" i="23" s="1"/>
  <c r="W127" i="23"/>
  <c r="X127" i="23"/>
  <c r="AA127" i="23"/>
  <c r="H128" i="23"/>
  <c r="L128" i="23"/>
  <c r="M128" i="23"/>
  <c r="O128" i="23"/>
  <c r="R128" i="23"/>
  <c r="S128" i="23"/>
  <c r="H129" i="23"/>
  <c r="L129" i="23"/>
  <c r="O129" i="23"/>
  <c r="R129" i="23"/>
  <c r="AA129" i="23" s="1"/>
  <c r="AH129" i="23"/>
  <c r="H130" i="23"/>
  <c r="L130" i="23"/>
  <c r="O130" i="23"/>
  <c r="R130" i="23"/>
  <c r="AA130" i="23" s="1"/>
  <c r="U130" i="23"/>
  <c r="X130" i="23" s="1"/>
  <c r="W130" i="23"/>
  <c r="AF130" i="23"/>
  <c r="E131" i="23"/>
  <c r="F131" i="23"/>
  <c r="K131" i="23"/>
  <c r="Q131" i="23"/>
  <c r="Q151" i="23" s="1"/>
  <c r="R131" i="23"/>
  <c r="H132" i="23"/>
  <c r="L132" i="23"/>
  <c r="O132" i="23"/>
  <c r="R132" i="23"/>
  <c r="AA132" i="23" s="1"/>
  <c r="U132" i="23"/>
  <c r="H133" i="23"/>
  <c r="I133" i="23"/>
  <c r="L133" i="23"/>
  <c r="O133" i="23"/>
  <c r="R133" i="23"/>
  <c r="U133" i="23"/>
  <c r="AF133" i="23" s="1"/>
  <c r="W133" i="23"/>
  <c r="X133" i="23"/>
  <c r="AA133" i="23"/>
  <c r="H134" i="23"/>
  <c r="L134" i="23"/>
  <c r="O134" i="23"/>
  <c r="R134" i="23"/>
  <c r="H135" i="23"/>
  <c r="L135" i="23"/>
  <c r="O135" i="23"/>
  <c r="R135" i="23"/>
  <c r="H136" i="23"/>
  <c r="L136" i="23"/>
  <c r="O136" i="23"/>
  <c r="R136" i="23"/>
  <c r="AA136" i="23" s="1"/>
  <c r="U136" i="23"/>
  <c r="D137" i="23"/>
  <c r="E137" i="23"/>
  <c r="F137" i="23"/>
  <c r="G137" i="23"/>
  <c r="G131" i="23" s="1"/>
  <c r="K137" i="23"/>
  <c r="N137" i="23"/>
  <c r="N131" i="23" s="1"/>
  <c r="Q137" i="23"/>
  <c r="R137" i="23" s="1"/>
  <c r="Z137" i="23"/>
  <c r="Z131" i="23" s="1"/>
  <c r="H138" i="23"/>
  <c r="L138" i="23"/>
  <c r="O138" i="23"/>
  <c r="R138" i="23"/>
  <c r="AA138" i="23" s="1"/>
  <c r="AH138" i="23"/>
  <c r="H139" i="23"/>
  <c r="L139" i="23"/>
  <c r="O139" i="23"/>
  <c r="R139" i="23"/>
  <c r="AA139" i="23" s="1"/>
  <c r="U139" i="23"/>
  <c r="X139" i="23" s="1"/>
  <c r="W139" i="23"/>
  <c r="H140" i="23"/>
  <c r="I140" i="23"/>
  <c r="M140" i="23" s="1"/>
  <c r="L140" i="23"/>
  <c r="O140" i="23"/>
  <c r="P140" i="23" s="1"/>
  <c r="R140" i="23"/>
  <c r="S140" i="23" s="1"/>
  <c r="U140" i="23"/>
  <c r="AF140" i="23" s="1"/>
  <c r="W140" i="23"/>
  <c r="X140" i="23"/>
  <c r="AA140" i="23"/>
  <c r="H141" i="23"/>
  <c r="L141" i="23"/>
  <c r="O141" i="23"/>
  <c r="R141" i="23"/>
  <c r="H142" i="23"/>
  <c r="L142" i="23"/>
  <c r="U142" i="23" s="1"/>
  <c r="O142" i="23"/>
  <c r="R142" i="23"/>
  <c r="AA142" i="23" s="1"/>
  <c r="AH142" i="23"/>
  <c r="H143" i="23"/>
  <c r="L143" i="23"/>
  <c r="O143" i="23"/>
  <c r="R143" i="23"/>
  <c r="AA143" i="23" s="1"/>
  <c r="U143" i="23"/>
  <c r="X143" i="23" s="1"/>
  <c r="W143" i="23"/>
  <c r="D144" i="23"/>
  <c r="E144" i="23"/>
  <c r="F144" i="23"/>
  <c r="G144" i="23"/>
  <c r="K144" i="23"/>
  <c r="N144" i="23"/>
  <c r="Q144" i="23"/>
  <c r="Z144" i="23"/>
  <c r="H145" i="23"/>
  <c r="L145" i="23"/>
  <c r="L144" i="23" s="1"/>
  <c r="O145" i="23"/>
  <c r="R145" i="23"/>
  <c r="H146" i="23"/>
  <c r="L146" i="23"/>
  <c r="O146" i="23"/>
  <c r="R146" i="23"/>
  <c r="U146" i="23"/>
  <c r="H147" i="23"/>
  <c r="L147" i="23"/>
  <c r="O147" i="23"/>
  <c r="R147" i="23"/>
  <c r="AA147" i="23"/>
  <c r="H148" i="23"/>
  <c r="L148" i="23"/>
  <c r="O148" i="23"/>
  <c r="O144" i="23" s="1"/>
  <c r="R148" i="23"/>
  <c r="H149" i="23"/>
  <c r="L149" i="23"/>
  <c r="O149" i="23"/>
  <c r="R149" i="23"/>
  <c r="AA149" i="23" s="1"/>
  <c r="H150" i="23"/>
  <c r="L150" i="23"/>
  <c r="O150" i="23"/>
  <c r="R150" i="23"/>
  <c r="U150" i="23"/>
  <c r="X150" i="23" s="1"/>
  <c r="W150" i="23"/>
  <c r="C151" i="23"/>
  <c r="N151" i="23"/>
  <c r="D155" i="23"/>
  <c r="E155" i="23"/>
  <c r="F155" i="23"/>
  <c r="G155" i="23"/>
  <c r="H155" i="23"/>
  <c r="K155" i="23"/>
  <c r="D156" i="23"/>
  <c r="E156" i="23"/>
  <c r="F156" i="23"/>
  <c r="G156" i="23"/>
  <c r="K156" i="23"/>
  <c r="L156" i="23"/>
  <c r="N156" i="23"/>
  <c r="N155" i="23" s="1"/>
  <c r="O156" i="23"/>
  <c r="O155" i="23" s="1"/>
  <c r="Q156" i="23"/>
  <c r="Q155" i="23" s="1"/>
  <c r="R156" i="23"/>
  <c r="S156" i="23" s="1"/>
  <c r="Z156" i="23"/>
  <c r="Z155" i="23" s="1"/>
  <c r="D157" i="23"/>
  <c r="E157" i="23"/>
  <c r="F157" i="23"/>
  <c r="G157" i="23"/>
  <c r="H157" i="23"/>
  <c r="K157" i="23"/>
  <c r="L157" i="23"/>
  <c r="N157" i="23"/>
  <c r="O157" i="23"/>
  <c r="Q157" i="23"/>
  <c r="R157" i="23"/>
  <c r="S157" i="23" s="1"/>
  <c r="Z157" i="23"/>
  <c r="D158" i="23"/>
  <c r="E158" i="23"/>
  <c r="F158" i="23"/>
  <c r="G158" i="23"/>
  <c r="AH158" i="23" s="1"/>
  <c r="H158" i="23"/>
  <c r="K158" i="23"/>
  <c r="L158" i="23"/>
  <c r="N158" i="23"/>
  <c r="O158" i="23"/>
  <c r="Q158" i="23"/>
  <c r="R158" i="23"/>
  <c r="S158" i="23" s="1"/>
  <c r="U158" i="23"/>
  <c r="Z158" i="23"/>
  <c r="AA158" i="23"/>
  <c r="AC158" i="23" s="1"/>
  <c r="AD158" i="23"/>
  <c r="D159" i="23"/>
  <c r="E159" i="23"/>
  <c r="F159" i="23"/>
  <c r="G159" i="23"/>
  <c r="H159" i="23"/>
  <c r="K159" i="23"/>
  <c r="L159" i="23"/>
  <c r="AH159" i="23" s="1"/>
  <c r="N159" i="23"/>
  <c r="O159" i="23"/>
  <c r="Q159" i="23"/>
  <c r="R159" i="23"/>
  <c r="S159" i="23" s="1"/>
  <c r="Z159" i="23"/>
  <c r="AA159" i="23" s="1"/>
  <c r="D160" i="23"/>
  <c r="E160" i="23"/>
  <c r="F160" i="23"/>
  <c r="H160" i="23" s="1"/>
  <c r="G160" i="23"/>
  <c r="AH160" i="23" s="1"/>
  <c r="I160" i="23"/>
  <c r="K160" i="23"/>
  <c r="L160" i="23"/>
  <c r="M160" i="23"/>
  <c r="N160" i="23"/>
  <c r="O160" i="23"/>
  <c r="Q160" i="23"/>
  <c r="R160" i="23"/>
  <c r="S160" i="23"/>
  <c r="U160" i="23"/>
  <c r="W160" i="23"/>
  <c r="Z160" i="23"/>
  <c r="AA160" i="23"/>
  <c r="AC160" i="23" s="1"/>
  <c r="AF160" i="23"/>
  <c r="L161" i="23"/>
  <c r="N161" i="23"/>
  <c r="Q161" i="23"/>
  <c r="D162" i="23"/>
  <c r="E162" i="23"/>
  <c r="E161" i="23" s="1"/>
  <c r="F162" i="23"/>
  <c r="F161" i="23" s="1"/>
  <c r="G162" i="23"/>
  <c r="H162" i="23"/>
  <c r="K162" i="23"/>
  <c r="K161" i="23" s="1"/>
  <c r="L162" i="23"/>
  <c r="N162" i="23"/>
  <c r="O162" i="23"/>
  <c r="Q162" i="23"/>
  <c r="R162" i="23"/>
  <c r="U162" i="23"/>
  <c r="Z162" i="23"/>
  <c r="D163" i="23"/>
  <c r="D161" i="23" s="1"/>
  <c r="E163" i="23"/>
  <c r="F163" i="23"/>
  <c r="H163" i="23" s="1"/>
  <c r="G163" i="23"/>
  <c r="AH163" i="23" s="1"/>
  <c r="K163" i="23"/>
  <c r="L163" i="23"/>
  <c r="N163" i="23"/>
  <c r="O163" i="23"/>
  <c r="Q163" i="23"/>
  <c r="R163" i="23"/>
  <c r="Z163" i="23"/>
  <c r="AA163" i="23" s="1"/>
  <c r="D164" i="23"/>
  <c r="E164" i="23"/>
  <c r="F164" i="23"/>
  <c r="H164" i="23" s="1"/>
  <c r="G164" i="23"/>
  <c r="I164" i="23"/>
  <c r="K164" i="23"/>
  <c r="L164" i="23"/>
  <c r="M164" i="23" s="1"/>
  <c r="N164" i="23"/>
  <c r="Q164" i="23"/>
  <c r="R164" i="23"/>
  <c r="Z164" i="23"/>
  <c r="D165" i="23"/>
  <c r="E165" i="23"/>
  <c r="F165" i="23"/>
  <c r="H165" i="23" s="1"/>
  <c r="G165" i="23"/>
  <c r="K165" i="23"/>
  <c r="L165" i="23"/>
  <c r="N165" i="23"/>
  <c r="O165" i="23"/>
  <c r="Q165" i="23"/>
  <c r="R165" i="23"/>
  <c r="Z165" i="23"/>
  <c r="D166" i="23"/>
  <c r="E166" i="23"/>
  <c r="F166" i="23"/>
  <c r="G166" i="23"/>
  <c r="H166" i="23"/>
  <c r="K166" i="23"/>
  <c r="L166" i="23"/>
  <c r="U166" i="23" s="1"/>
  <c r="N166" i="23"/>
  <c r="O166" i="23"/>
  <c r="Q166" i="23"/>
  <c r="R166" i="23"/>
  <c r="Z166" i="23"/>
  <c r="AA166" i="23"/>
  <c r="D168" i="23"/>
  <c r="E168" i="23"/>
  <c r="F168" i="23"/>
  <c r="G168" i="23"/>
  <c r="H168" i="23"/>
  <c r="K168" i="23"/>
  <c r="L168" i="23"/>
  <c r="N168" i="23"/>
  <c r="O168" i="23"/>
  <c r="Q168" i="23"/>
  <c r="R168" i="23"/>
  <c r="Z168" i="23"/>
  <c r="D169" i="23"/>
  <c r="E169" i="23"/>
  <c r="F169" i="23"/>
  <c r="F167" i="23" s="1"/>
  <c r="G169" i="23"/>
  <c r="AH169" i="23" s="1"/>
  <c r="I169" i="23"/>
  <c r="K169" i="23"/>
  <c r="L169" i="23"/>
  <c r="M169" i="23" s="1"/>
  <c r="N169" i="23"/>
  <c r="O169" i="23"/>
  <c r="P169" i="23" s="1"/>
  <c r="Q169" i="23"/>
  <c r="R169" i="23"/>
  <c r="S169" i="23" s="1"/>
  <c r="Z169" i="23"/>
  <c r="AA169" i="23" s="1"/>
  <c r="D170" i="23"/>
  <c r="H170" i="23" s="1"/>
  <c r="E170" i="23"/>
  <c r="F170" i="23"/>
  <c r="G170" i="23"/>
  <c r="K170" i="23"/>
  <c r="L170" i="23"/>
  <c r="N170" i="23"/>
  <c r="O170" i="23"/>
  <c r="Q170" i="23"/>
  <c r="R170" i="23"/>
  <c r="Z170" i="23"/>
  <c r="D171" i="23"/>
  <c r="E171" i="23"/>
  <c r="F171" i="23"/>
  <c r="G171" i="23"/>
  <c r="H171" i="23"/>
  <c r="K171" i="23"/>
  <c r="L171" i="23"/>
  <c r="N171" i="23"/>
  <c r="O171" i="23"/>
  <c r="Q171" i="23"/>
  <c r="R171" i="23"/>
  <c r="Z171" i="23"/>
  <c r="AA171" i="23" s="1"/>
  <c r="D172" i="23"/>
  <c r="E172" i="23"/>
  <c r="F172" i="23"/>
  <c r="H172" i="23" s="1"/>
  <c r="G172" i="23"/>
  <c r="K172" i="23"/>
  <c r="L172" i="23"/>
  <c r="N172" i="23"/>
  <c r="O172" i="23"/>
  <c r="Q172" i="23"/>
  <c r="R172" i="23"/>
  <c r="Z172" i="23"/>
  <c r="AA172" i="23" s="1"/>
  <c r="N173" i="23"/>
  <c r="D174" i="23"/>
  <c r="E174" i="23"/>
  <c r="F174" i="23"/>
  <c r="F173" i="23" s="1"/>
  <c r="G174" i="23"/>
  <c r="H174" i="23"/>
  <c r="K174" i="23"/>
  <c r="L174" i="23"/>
  <c r="N174" i="23"/>
  <c r="O174" i="23"/>
  <c r="O173" i="23" s="1"/>
  <c r="Q174" i="23"/>
  <c r="Q173" i="23" s="1"/>
  <c r="R174" i="23"/>
  <c r="U174" i="23"/>
  <c r="W174" i="23" s="1"/>
  <c r="Z174" i="23"/>
  <c r="D175" i="23"/>
  <c r="H175" i="23" s="1"/>
  <c r="E175" i="23"/>
  <c r="F175" i="23"/>
  <c r="G175" i="23"/>
  <c r="K175" i="23"/>
  <c r="L175" i="23"/>
  <c r="U175" i="23" s="1"/>
  <c r="N175" i="23"/>
  <c r="O175" i="23"/>
  <c r="Q175" i="23"/>
  <c r="R175" i="23"/>
  <c r="Z175" i="23"/>
  <c r="AA175" i="23" s="1"/>
  <c r="D176" i="23"/>
  <c r="E176" i="23"/>
  <c r="F176" i="23"/>
  <c r="G176" i="23"/>
  <c r="G173" i="23" s="1"/>
  <c r="H176" i="23"/>
  <c r="I176" i="23"/>
  <c r="M176" i="23" s="1"/>
  <c r="K176" i="23"/>
  <c r="K173" i="23" s="1"/>
  <c r="L176" i="23"/>
  <c r="N176" i="23"/>
  <c r="O176" i="23"/>
  <c r="P176" i="23" s="1"/>
  <c r="Q176" i="23"/>
  <c r="R176" i="23"/>
  <c r="AA176" i="23" s="1"/>
  <c r="S176" i="23"/>
  <c r="U176" i="23"/>
  <c r="AF176" i="23" s="1"/>
  <c r="W176" i="23"/>
  <c r="X176" i="23"/>
  <c r="Z176" i="23"/>
  <c r="D177" i="23"/>
  <c r="E177" i="23"/>
  <c r="U177" i="23" s="1"/>
  <c r="AF177" i="23" s="1"/>
  <c r="F177" i="23"/>
  <c r="H177" i="23" s="1"/>
  <c r="G177" i="23"/>
  <c r="K177" i="23"/>
  <c r="L177" i="23"/>
  <c r="N177" i="23"/>
  <c r="O177" i="23"/>
  <c r="Q177" i="23"/>
  <c r="R177" i="23"/>
  <c r="Z177" i="23"/>
  <c r="D178" i="23"/>
  <c r="E178" i="23"/>
  <c r="F178" i="23"/>
  <c r="G178" i="23"/>
  <c r="H178" i="23"/>
  <c r="K178" i="23"/>
  <c r="L178" i="23"/>
  <c r="U178" i="23" s="1"/>
  <c r="N178" i="23"/>
  <c r="O178" i="23"/>
  <c r="Q178" i="23"/>
  <c r="R178" i="23"/>
  <c r="Z178" i="23"/>
  <c r="AA178" i="23"/>
  <c r="D179" i="23"/>
  <c r="E179" i="23"/>
  <c r="F179" i="23"/>
  <c r="G179" i="23"/>
  <c r="H179" i="23"/>
  <c r="K179" i="23"/>
  <c r="L179" i="23"/>
  <c r="N179" i="23"/>
  <c r="O179" i="23"/>
  <c r="Q179" i="23"/>
  <c r="R179" i="23"/>
  <c r="U179" i="23"/>
  <c r="Z179" i="23"/>
  <c r="AA179" i="23" s="1"/>
  <c r="AH179" i="23" s="1"/>
  <c r="O180" i="23"/>
  <c r="D181" i="23"/>
  <c r="D180" i="23" s="1"/>
  <c r="E181" i="23"/>
  <c r="F181" i="23"/>
  <c r="F180" i="23" s="1"/>
  <c r="H180" i="23" s="1"/>
  <c r="G181" i="23"/>
  <c r="K181" i="23"/>
  <c r="L181" i="23"/>
  <c r="N181" i="23"/>
  <c r="O181" i="23"/>
  <c r="Q181" i="23"/>
  <c r="Z181" i="23"/>
  <c r="D182" i="23"/>
  <c r="H182" i="23" s="1"/>
  <c r="E182" i="23"/>
  <c r="F182" i="23"/>
  <c r="G182" i="23"/>
  <c r="K182" i="23"/>
  <c r="L182" i="23"/>
  <c r="N182" i="23"/>
  <c r="O182" i="23"/>
  <c r="Q182" i="23"/>
  <c r="R182" i="23"/>
  <c r="Z182" i="23"/>
  <c r="D183" i="23"/>
  <c r="E183" i="23"/>
  <c r="F183" i="23"/>
  <c r="G183" i="23"/>
  <c r="H183" i="23"/>
  <c r="K183" i="23"/>
  <c r="K180" i="23" s="1"/>
  <c r="L183" i="23"/>
  <c r="N183" i="23"/>
  <c r="O183" i="23"/>
  <c r="Q183" i="23"/>
  <c r="R183" i="23"/>
  <c r="Z183" i="23"/>
  <c r="D184" i="23"/>
  <c r="E184" i="23"/>
  <c r="F184" i="23"/>
  <c r="H184" i="23" s="1"/>
  <c r="G184" i="23"/>
  <c r="AH184" i="23" s="1"/>
  <c r="K184" i="23"/>
  <c r="L184" i="23"/>
  <c r="U184" i="23" s="1"/>
  <c r="N184" i="23"/>
  <c r="O184" i="23"/>
  <c r="Q184" i="23"/>
  <c r="R184" i="23"/>
  <c r="Z184" i="23"/>
  <c r="AA184" i="23" s="1"/>
  <c r="D185" i="23"/>
  <c r="E185" i="23"/>
  <c r="F185" i="23"/>
  <c r="H185" i="23" s="1"/>
  <c r="G185" i="23"/>
  <c r="K185" i="23"/>
  <c r="N185" i="23"/>
  <c r="N180" i="23" s="1"/>
  <c r="O185" i="23"/>
  <c r="Q185" i="23"/>
  <c r="R185" i="23"/>
  <c r="Z185" i="23"/>
  <c r="D186" i="23"/>
  <c r="E186" i="23"/>
  <c r="F186" i="23"/>
  <c r="G186" i="23"/>
  <c r="H186" i="23"/>
  <c r="K186" i="23"/>
  <c r="L186" i="23"/>
  <c r="N186" i="23"/>
  <c r="O186" i="23"/>
  <c r="Q186" i="23"/>
  <c r="R186" i="23"/>
  <c r="U186" i="23"/>
  <c r="W186" i="23" s="1"/>
  <c r="Z186" i="23"/>
  <c r="K2" i="19"/>
  <c r="G11" i="19"/>
  <c r="C11" i="19"/>
  <c r="E11" i="19" s="1"/>
  <c r="K9" i="18"/>
  <c r="J9" i="18"/>
  <c r="I9" i="18"/>
  <c r="G9" i="18"/>
  <c r="L9" i="18" s="1"/>
  <c r="K8" i="18"/>
  <c r="J8" i="18"/>
  <c r="I8" i="18"/>
  <c r="G8" i="18"/>
  <c r="L8" i="18" s="1"/>
  <c r="L7" i="18"/>
  <c r="K7" i="18"/>
  <c r="J7" i="18"/>
  <c r="I7" i="18"/>
  <c r="G7" i="18"/>
  <c r="K6" i="18"/>
  <c r="J6" i="18"/>
  <c r="I6" i="18"/>
  <c r="G6" i="18"/>
  <c r="L6" i="18" s="1"/>
  <c r="K5" i="18"/>
  <c r="J5" i="18"/>
  <c r="I5" i="18"/>
  <c r="E5" i="18"/>
  <c r="D5" i="18"/>
  <c r="C5" i="18"/>
  <c r="G5" i="18" s="1"/>
  <c r="L5" i="18" s="1"/>
  <c r="G25" i="17"/>
  <c r="F25" i="17"/>
  <c r="D25" i="17"/>
  <c r="C25" i="17"/>
  <c r="J24" i="17"/>
  <c r="I24" i="17"/>
  <c r="H24" i="17"/>
  <c r="E24" i="17"/>
  <c r="J23" i="17"/>
  <c r="I23" i="17"/>
  <c r="H23" i="17"/>
  <c r="E23" i="17"/>
  <c r="J22" i="17"/>
  <c r="I22" i="17"/>
  <c r="H22" i="17"/>
  <c r="E22" i="17"/>
  <c r="J21" i="17"/>
  <c r="I21" i="17"/>
  <c r="H21" i="17"/>
  <c r="E21" i="17"/>
  <c r="J20" i="17"/>
  <c r="I20" i="17"/>
  <c r="H20" i="17"/>
  <c r="E20" i="17"/>
  <c r="J19" i="17"/>
  <c r="I19" i="17"/>
  <c r="H19" i="17"/>
  <c r="K19" i="17" s="1"/>
  <c r="E19" i="17"/>
  <c r="G11" i="17"/>
  <c r="F11" i="17"/>
  <c r="D11" i="17"/>
  <c r="C11" i="17"/>
  <c r="J10" i="17"/>
  <c r="I10" i="17"/>
  <c r="H10" i="17"/>
  <c r="E10" i="17"/>
  <c r="J9" i="17"/>
  <c r="I9" i="17"/>
  <c r="H9" i="17"/>
  <c r="E9" i="17"/>
  <c r="J8" i="17"/>
  <c r="I8" i="17"/>
  <c r="H8" i="17"/>
  <c r="K8" i="17" s="1"/>
  <c r="E8" i="17"/>
  <c r="J7" i="17"/>
  <c r="I7" i="17"/>
  <c r="H7" i="17"/>
  <c r="E7" i="17"/>
  <c r="J6" i="17"/>
  <c r="I6" i="17"/>
  <c r="H6" i="17"/>
  <c r="E6" i="17"/>
  <c r="J5" i="17"/>
  <c r="I5" i="17"/>
  <c r="H5" i="17"/>
  <c r="E5" i="17"/>
  <c r="AC172" i="23" l="1"/>
  <c r="AC171" i="23"/>
  <c r="AB169" i="23"/>
  <c r="AC169" i="23"/>
  <c r="U156" i="23"/>
  <c r="W142" i="23"/>
  <c r="X142" i="23"/>
  <c r="I142" i="23"/>
  <c r="I178" i="23" s="1"/>
  <c r="M178" i="23" s="1"/>
  <c r="AF142" i="23"/>
  <c r="AA165" i="23"/>
  <c r="AF166" i="23"/>
  <c r="W166" i="23"/>
  <c r="X166" i="23"/>
  <c r="U183" i="23"/>
  <c r="W184" i="23"/>
  <c r="X184" i="23"/>
  <c r="AF184" i="23"/>
  <c r="G180" i="23"/>
  <c r="R151" i="23"/>
  <c r="AH168" i="23"/>
  <c r="AA145" i="23"/>
  <c r="R144" i="23"/>
  <c r="U145" i="23"/>
  <c r="AH145" i="23"/>
  <c r="R181" i="23"/>
  <c r="AC178" i="23"/>
  <c r="AD178" i="23"/>
  <c r="AA170" i="23"/>
  <c r="AF175" i="23"/>
  <c r="W175" i="23"/>
  <c r="X175" i="23"/>
  <c r="Q167" i="23"/>
  <c r="Q187" i="23" s="1"/>
  <c r="U182" i="23"/>
  <c r="AA182" i="23"/>
  <c r="E180" i="23"/>
  <c r="AC147" i="23"/>
  <c r="W179" i="23"/>
  <c r="X179" i="23"/>
  <c r="AF179" i="23"/>
  <c r="AH171" i="23"/>
  <c r="AC184" i="23"/>
  <c r="AD184" i="23"/>
  <c r="AC175" i="23"/>
  <c r="AC166" i="23"/>
  <c r="AD166" i="23"/>
  <c r="U165" i="23"/>
  <c r="F187" i="23"/>
  <c r="H161" i="23"/>
  <c r="AC140" i="23"/>
  <c r="AD140" i="23"/>
  <c r="AB140" i="23"/>
  <c r="U185" i="23"/>
  <c r="AB176" i="23"/>
  <c r="AC176" i="23"/>
  <c r="AD176" i="23"/>
  <c r="Z180" i="23"/>
  <c r="N167" i="23"/>
  <c r="N187" i="23" s="1"/>
  <c r="N188" i="23" s="1"/>
  <c r="AC159" i="23"/>
  <c r="W177" i="23"/>
  <c r="X177" i="23"/>
  <c r="AF178" i="23"/>
  <c r="W178" i="23"/>
  <c r="X178" i="23"/>
  <c r="AD175" i="23"/>
  <c r="O167" i="23"/>
  <c r="Q180" i="23"/>
  <c r="D173" i="23"/>
  <c r="H173" i="23" s="1"/>
  <c r="AH172" i="23"/>
  <c r="G167" i="23"/>
  <c r="AH170" i="23"/>
  <c r="W136" i="23"/>
  <c r="X136" i="23"/>
  <c r="I136" i="23"/>
  <c r="I172" i="23" s="1"/>
  <c r="S172" i="23" s="1"/>
  <c r="AF136" i="23"/>
  <c r="L180" i="23"/>
  <c r="AA183" i="23"/>
  <c r="AH183" i="23" s="1"/>
  <c r="AC179" i="23"/>
  <c r="AD179" i="23"/>
  <c r="R173" i="23"/>
  <c r="K167" i="23"/>
  <c r="K187" i="23" s="1"/>
  <c r="K188" i="23" s="1"/>
  <c r="AC163" i="23"/>
  <c r="AD163" i="23"/>
  <c r="AF162" i="23"/>
  <c r="W162" i="23"/>
  <c r="X162" i="23"/>
  <c r="P128" i="23"/>
  <c r="AA128" i="23"/>
  <c r="U77" i="23"/>
  <c r="AA77" i="23"/>
  <c r="I146" i="23"/>
  <c r="I182" i="23" s="1"/>
  <c r="AF146" i="23"/>
  <c r="L185" i="23"/>
  <c r="H181" i="23"/>
  <c r="Z173" i="23"/>
  <c r="Z167" i="23" s="1"/>
  <c r="G7" i="24" s="1"/>
  <c r="L173" i="23"/>
  <c r="H169" i="23"/>
  <c r="AA168" i="23"/>
  <c r="M168" i="23"/>
  <c r="R167" i="23"/>
  <c r="U163" i="23"/>
  <c r="R161" i="23"/>
  <c r="U149" i="23"/>
  <c r="AA148" i="23"/>
  <c r="AA146" i="23"/>
  <c r="AH146" i="23"/>
  <c r="AC143" i="23"/>
  <c r="AD143" i="23"/>
  <c r="P136" i="23"/>
  <c r="M133" i="23"/>
  <c r="P133" i="23"/>
  <c r="S133" i="23"/>
  <c r="L131" i="23"/>
  <c r="AH128" i="23"/>
  <c r="W126" i="23"/>
  <c r="X126" i="23"/>
  <c r="I126" i="23"/>
  <c r="I162" i="23" s="1"/>
  <c r="AF126" i="23"/>
  <c r="AH122" i="23"/>
  <c r="AG109" i="23"/>
  <c r="S83" i="23"/>
  <c r="AH176" i="23"/>
  <c r="AF174" i="23"/>
  <c r="S164" i="23"/>
  <c r="AB160" i="23"/>
  <c r="AD160" i="23"/>
  <c r="U157" i="23"/>
  <c r="M136" i="23"/>
  <c r="AC126" i="23"/>
  <c r="AA125" i="23"/>
  <c r="AD126" i="23"/>
  <c r="AH125" i="23"/>
  <c r="G151" i="23"/>
  <c r="W123" i="23"/>
  <c r="X123" i="23"/>
  <c r="I123" i="23"/>
  <c r="AF123" i="23"/>
  <c r="W69" i="23"/>
  <c r="X69" i="23"/>
  <c r="AB86" i="23"/>
  <c r="AC86" i="23"/>
  <c r="AC149" i="23"/>
  <c r="M146" i="23"/>
  <c r="J131" i="23"/>
  <c r="AC129" i="23"/>
  <c r="AD129" i="23"/>
  <c r="AB127" i="23"/>
  <c r="AC127" i="23"/>
  <c r="AD127" i="23"/>
  <c r="AH127" i="23"/>
  <c r="AC121" i="23"/>
  <c r="AD121" i="23"/>
  <c r="AC120" i="23"/>
  <c r="AD120" i="23"/>
  <c r="W112" i="23"/>
  <c r="X112" i="23"/>
  <c r="S109" i="23"/>
  <c r="R108" i="23"/>
  <c r="S108" i="23" s="1"/>
  <c r="AA109" i="23"/>
  <c r="AB136" i="23"/>
  <c r="AC136" i="23"/>
  <c r="AD136" i="23"/>
  <c r="AH178" i="23"/>
  <c r="AA177" i="23"/>
  <c r="AH166" i="23"/>
  <c r="W158" i="23"/>
  <c r="X158" i="23"/>
  <c r="I150" i="23"/>
  <c r="I186" i="23" s="1"/>
  <c r="AF150" i="23"/>
  <c r="AH147" i="23"/>
  <c r="U147" i="23"/>
  <c r="O131" i="23"/>
  <c r="AH134" i="23"/>
  <c r="U134" i="23"/>
  <c r="AA134" i="23"/>
  <c r="W132" i="23"/>
  <c r="X132" i="23"/>
  <c r="I132" i="23"/>
  <c r="I168" i="23" s="1"/>
  <c r="AF132" i="23"/>
  <c r="M126" i="23"/>
  <c r="J125" i="23"/>
  <c r="AB123" i="23"/>
  <c r="AC123" i="23"/>
  <c r="AD123" i="23"/>
  <c r="U120" i="23"/>
  <c r="AF95" i="23"/>
  <c r="I95" i="23"/>
  <c r="I115" i="23" s="1"/>
  <c r="G115" i="23"/>
  <c r="AF115" i="23" s="1"/>
  <c r="AG99" i="23"/>
  <c r="F79" i="23"/>
  <c r="U173" i="23"/>
  <c r="M162" i="23"/>
  <c r="AA150" i="23"/>
  <c r="S150" i="23"/>
  <c r="AH150" i="23"/>
  <c r="H144" i="23"/>
  <c r="AA141" i="23"/>
  <c r="AB132" i="23"/>
  <c r="AC132" i="23"/>
  <c r="AD132" i="23"/>
  <c r="U129" i="23"/>
  <c r="H83" i="23"/>
  <c r="F115" i="23"/>
  <c r="H115" i="23" s="1"/>
  <c r="O164" i="23"/>
  <c r="X160" i="23"/>
  <c r="U159" i="23"/>
  <c r="P150" i="23"/>
  <c r="AH148" i="23"/>
  <c r="U148" i="23"/>
  <c r="J144" i="23"/>
  <c r="AA135" i="23"/>
  <c r="AB133" i="23"/>
  <c r="AC133" i="23"/>
  <c r="AD133" i="23"/>
  <c r="AH133" i="23"/>
  <c r="P132" i="23"/>
  <c r="AA119" i="23"/>
  <c r="U72" i="23"/>
  <c r="W73" i="23"/>
  <c r="X73" i="23"/>
  <c r="AB103" i="23"/>
  <c r="AC103" i="23"/>
  <c r="AD103" i="23"/>
  <c r="AC139" i="23"/>
  <c r="AD139" i="23"/>
  <c r="AH139" i="23"/>
  <c r="AF186" i="23"/>
  <c r="AA186" i="23"/>
  <c r="AH175" i="23"/>
  <c r="AA174" i="23"/>
  <c r="AA162" i="23"/>
  <c r="L155" i="23"/>
  <c r="M150" i="23"/>
  <c r="AH141" i="23"/>
  <c r="AC138" i="23"/>
  <c r="AA137" i="23"/>
  <c r="AH137" i="23" s="1"/>
  <c r="Z151" i="23"/>
  <c r="P102" i="23"/>
  <c r="U102" i="23"/>
  <c r="AA102" i="23"/>
  <c r="E173" i="23"/>
  <c r="M163" i="23"/>
  <c r="Z161" i="23"/>
  <c r="F151" i="23"/>
  <c r="H151" i="23" s="1"/>
  <c r="AH143" i="23"/>
  <c r="J137" i="23"/>
  <c r="L137" i="23"/>
  <c r="AB130" i="23"/>
  <c r="AC130" i="23"/>
  <c r="AD130" i="23"/>
  <c r="AH130" i="23"/>
  <c r="M121" i="23"/>
  <c r="S111" i="23"/>
  <c r="AA111" i="23"/>
  <c r="AG100" i="23"/>
  <c r="W74" i="23"/>
  <c r="X74" i="23"/>
  <c r="X186" i="23"/>
  <c r="X174" i="23"/>
  <c r="AH165" i="23"/>
  <c r="AA157" i="23"/>
  <c r="AH157" i="23" s="1"/>
  <c r="E151" i="23"/>
  <c r="AH149" i="23"/>
  <c r="X146" i="23"/>
  <c r="AC142" i="23"/>
  <c r="AD142" i="23"/>
  <c r="U138" i="23"/>
  <c r="H137" i="23"/>
  <c r="D131" i="23"/>
  <c r="D151" i="23" s="1"/>
  <c r="AH135" i="23"/>
  <c r="AB124" i="23"/>
  <c r="AC124" i="23"/>
  <c r="AD124" i="23"/>
  <c r="P111" i="23"/>
  <c r="U111" i="23"/>
  <c r="G161" i="23"/>
  <c r="P160" i="23"/>
  <c r="AF158" i="23"/>
  <c r="AA156" i="23"/>
  <c r="H156" i="23"/>
  <c r="R155" i="23"/>
  <c r="W146" i="23"/>
  <c r="I163" i="23"/>
  <c r="P163" i="23" s="1"/>
  <c r="M127" i="23"/>
  <c r="P127" i="23"/>
  <c r="S127" i="23"/>
  <c r="P124" i="23"/>
  <c r="AH120" i="23"/>
  <c r="L119" i="23"/>
  <c r="K151" i="23"/>
  <c r="P95" i="23"/>
  <c r="M77" i="23"/>
  <c r="O137" i="23"/>
  <c r="AH136" i="23"/>
  <c r="S136" i="23"/>
  <c r="AH132" i="23"/>
  <c r="S132" i="23"/>
  <c r="AH126" i="23"/>
  <c r="S126" i="23"/>
  <c r="M111" i="23"/>
  <c r="P109" i="23"/>
  <c r="AA105" i="23"/>
  <c r="S103" i="23"/>
  <c r="J95" i="23"/>
  <c r="N115" i="23"/>
  <c r="J83" i="23"/>
  <c r="O83" i="23"/>
  <c r="P78" i="23"/>
  <c r="AB74" i="23"/>
  <c r="AC74" i="23"/>
  <c r="AD74" i="23"/>
  <c r="AA66" i="23"/>
  <c r="S66" i="23"/>
  <c r="M31" i="23"/>
  <c r="P31" i="23"/>
  <c r="AB107" i="23"/>
  <c r="AC107" i="23"/>
  <c r="AD107" i="23"/>
  <c r="AB104" i="23"/>
  <c r="AC104" i="23"/>
  <c r="AH104" i="23"/>
  <c r="W103" i="23"/>
  <c r="X103" i="23"/>
  <c r="M86" i="23"/>
  <c r="AH86" i="23"/>
  <c r="U86" i="23"/>
  <c r="AD86" i="23" s="1"/>
  <c r="AB78" i="23"/>
  <c r="AC78" i="23"/>
  <c r="AD78" i="23"/>
  <c r="H47" i="23"/>
  <c r="M13" i="23"/>
  <c r="U13" i="23"/>
  <c r="AA13" i="23"/>
  <c r="AH124" i="23"/>
  <c r="S124" i="23"/>
  <c r="J98" i="23"/>
  <c r="AG98" i="23" s="1"/>
  <c r="J85" i="23"/>
  <c r="AG85" i="23" s="1"/>
  <c r="J111" i="23"/>
  <c r="AG111" i="23" s="1"/>
  <c r="J104" i="23"/>
  <c r="AG104" i="23" s="1"/>
  <c r="J91" i="23"/>
  <c r="AG91" i="23" s="1"/>
  <c r="J97" i="23"/>
  <c r="AG97" i="23" s="1"/>
  <c r="J84" i="23"/>
  <c r="AG84" i="23" s="1"/>
  <c r="J88" i="23"/>
  <c r="AG88" i="23" s="1"/>
  <c r="J94" i="23"/>
  <c r="AG94" i="23" s="1"/>
  <c r="J103" i="23"/>
  <c r="AG103" i="23" s="1"/>
  <c r="J107" i="23"/>
  <c r="AG107" i="23" s="1"/>
  <c r="J115" i="23"/>
  <c r="J90" i="23"/>
  <c r="AG90" i="23" s="1"/>
  <c r="J96" i="23"/>
  <c r="AG96" i="23" s="1"/>
  <c r="J100" i="23"/>
  <c r="J108" i="23"/>
  <c r="J87" i="23"/>
  <c r="AG87" i="23" s="1"/>
  <c r="J101" i="23"/>
  <c r="J109" i="23"/>
  <c r="J113" i="23"/>
  <c r="AG113" i="23" s="1"/>
  <c r="J93" i="23"/>
  <c r="AG93" i="23" s="1"/>
  <c r="J102" i="23"/>
  <c r="J106" i="23"/>
  <c r="J99" i="23"/>
  <c r="AB113" i="23"/>
  <c r="AH109" i="23"/>
  <c r="U109" i="23"/>
  <c r="L108" i="23"/>
  <c r="M109" i="23"/>
  <c r="W107" i="23"/>
  <c r="X107" i="23"/>
  <c r="P105" i="23"/>
  <c r="P98" i="23"/>
  <c r="S98" i="23"/>
  <c r="S96" i="23"/>
  <c r="U96" i="23"/>
  <c r="AA96" i="23"/>
  <c r="P93" i="23"/>
  <c r="U93" i="23"/>
  <c r="J92" i="23"/>
  <c r="AG92" i="23" s="1"/>
  <c r="S90" i="23"/>
  <c r="U90" i="23"/>
  <c r="AA90" i="23"/>
  <c r="W88" i="23"/>
  <c r="X88" i="23"/>
  <c r="P87" i="23"/>
  <c r="J86" i="23"/>
  <c r="AG86" i="23" s="1"/>
  <c r="AH78" i="23"/>
  <c r="AB75" i="23"/>
  <c r="AC75" i="23"/>
  <c r="AD75" i="23"/>
  <c r="AF143" i="23"/>
  <c r="AF139" i="23"/>
  <c r="AA122" i="23"/>
  <c r="AH106" i="23"/>
  <c r="U106" i="23"/>
  <c r="AA106" i="23"/>
  <c r="M105" i="23"/>
  <c r="AH105" i="23"/>
  <c r="U105" i="23"/>
  <c r="AB87" i="23"/>
  <c r="AC87" i="23"/>
  <c r="AD87" i="23"/>
  <c r="AF83" i="23"/>
  <c r="AF72" i="23"/>
  <c r="X63" i="23"/>
  <c r="W63" i="23"/>
  <c r="AD63" i="23"/>
  <c r="AH140" i="23"/>
  <c r="AF124" i="23"/>
  <c r="AH121" i="23"/>
  <c r="U113" i="23"/>
  <c r="AG110" i="23"/>
  <c r="J105" i="23"/>
  <c r="AG105" i="23" s="1"/>
  <c r="S100" i="23"/>
  <c r="AA100" i="23"/>
  <c r="S94" i="23"/>
  <c r="AH87" i="23"/>
  <c r="AC76" i="23"/>
  <c r="W67" i="23"/>
  <c r="X67" i="23"/>
  <c r="L125" i="23"/>
  <c r="AD110" i="23"/>
  <c r="AH99" i="23"/>
  <c r="U99" i="23"/>
  <c r="AB94" i="23"/>
  <c r="AC94" i="23"/>
  <c r="AB71" i="23"/>
  <c r="AC71" i="23"/>
  <c r="AD71" i="23"/>
  <c r="AH71" i="23"/>
  <c r="P39" i="23"/>
  <c r="AA39" i="23"/>
  <c r="S21" i="23"/>
  <c r="AA21" i="23"/>
  <c r="U141" i="23"/>
  <c r="U128" i="23"/>
  <c r="AF121" i="23"/>
  <c r="AB110" i="23"/>
  <c r="AG108" i="23"/>
  <c r="M107" i="23"/>
  <c r="AG102" i="23"/>
  <c r="R95" i="23"/>
  <c r="S95" i="23" s="1"/>
  <c r="W97" i="23"/>
  <c r="X97" i="23"/>
  <c r="W91" i="23"/>
  <c r="X91" i="23"/>
  <c r="M89" i="23"/>
  <c r="AB88" i="23"/>
  <c r="AC88" i="23"/>
  <c r="AD88" i="23"/>
  <c r="U83" i="23"/>
  <c r="W84" i="23"/>
  <c r="X84" i="23"/>
  <c r="AD84" i="23"/>
  <c r="S72" i="23"/>
  <c r="M64" i="23"/>
  <c r="P64" i="23"/>
  <c r="M53" i="23"/>
  <c r="U122" i="23"/>
  <c r="AD114" i="23"/>
  <c r="J114" i="23"/>
  <c r="AG114" i="23" s="1"/>
  <c r="AA112" i="23"/>
  <c r="AB97" i="23"/>
  <c r="AC97" i="23"/>
  <c r="AD97" i="23"/>
  <c r="U94" i="23"/>
  <c r="AD94" i="23" s="1"/>
  <c r="AB91" i="23"/>
  <c r="AC91" i="23"/>
  <c r="AD91" i="23"/>
  <c r="I143" i="23"/>
  <c r="AB143" i="23" s="1"/>
  <c r="I139" i="23"/>
  <c r="AB139" i="23" s="1"/>
  <c r="U135" i="23"/>
  <c r="I130" i="23"/>
  <c r="I121" i="23"/>
  <c r="I157" i="23" s="1"/>
  <c r="AB114" i="23"/>
  <c r="AH113" i="23"/>
  <c r="M113" i="23"/>
  <c r="W110" i="23"/>
  <c r="X110" i="23"/>
  <c r="AD104" i="23"/>
  <c r="AH103" i="23"/>
  <c r="U100" i="23"/>
  <c r="AB85" i="23"/>
  <c r="AC85" i="23"/>
  <c r="AA83" i="23"/>
  <c r="S73" i="23"/>
  <c r="AC68" i="23"/>
  <c r="AB68" i="23"/>
  <c r="AG106" i="23"/>
  <c r="L95" i="23"/>
  <c r="M95" i="23" s="1"/>
  <c r="AB98" i="23"/>
  <c r="AC98" i="23"/>
  <c r="AH98" i="23"/>
  <c r="AC92" i="23"/>
  <c r="AG89" i="23"/>
  <c r="H89" i="23"/>
  <c r="L83" i="23"/>
  <c r="AB73" i="23"/>
  <c r="AA72" i="23"/>
  <c r="AC73" i="23"/>
  <c r="AD73" i="23"/>
  <c r="I59" i="23"/>
  <c r="W51" i="23"/>
  <c r="X51" i="23"/>
  <c r="AB28" i="23"/>
  <c r="AC28" i="23"/>
  <c r="L101" i="23"/>
  <c r="AH97" i="23"/>
  <c r="S97" i="23"/>
  <c r="AH91" i="23"/>
  <c r="S91" i="23"/>
  <c r="M87" i="23"/>
  <c r="M78" i="23"/>
  <c r="AH74" i="23"/>
  <c r="S74" i="23"/>
  <c r="P73" i="23"/>
  <c r="D72" i="23"/>
  <c r="H72" i="23" s="1"/>
  <c r="S69" i="23"/>
  <c r="S68" i="23"/>
  <c r="AH68" i="23"/>
  <c r="M66" i="23"/>
  <c r="AH66" i="23"/>
  <c r="U66" i="23"/>
  <c r="S58" i="23"/>
  <c r="AA58" i="23"/>
  <c r="W22" i="23"/>
  <c r="X22" i="23"/>
  <c r="AB18" i="23"/>
  <c r="AC18" i="23"/>
  <c r="AA17" i="23"/>
  <c r="AA99" i="23"/>
  <c r="U85" i="23"/>
  <c r="U75" i="23"/>
  <c r="AA67" i="23"/>
  <c r="P67" i="23"/>
  <c r="AH67" i="23"/>
  <c r="P57" i="23"/>
  <c r="AA57" i="23"/>
  <c r="S47" i="23"/>
  <c r="AH39" i="23"/>
  <c r="S33" i="23"/>
  <c r="AA33" i="23"/>
  <c r="R23" i="23"/>
  <c r="Q43" i="23"/>
  <c r="P24" i="23"/>
  <c r="AA24" i="23"/>
  <c r="AH17" i="23"/>
  <c r="I17" i="23"/>
  <c r="S17" i="23" s="1"/>
  <c r="AF17" i="23"/>
  <c r="AH111" i="23"/>
  <c r="U98" i="23"/>
  <c r="M94" i="23"/>
  <c r="AA93" i="23"/>
  <c r="AH93" i="23" s="1"/>
  <c r="AH85" i="23"/>
  <c r="S85" i="23"/>
  <c r="AH75" i="23"/>
  <c r="S75" i="23"/>
  <c r="M73" i="23"/>
  <c r="M56" i="23"/>
  <c r="U56" i="23"/>
  <c r="AA56" i="23"/>
  <c r="H54" i="23"/>
  <c r="D53" i="23"/>
  <c r="H53" i="23" s="1"/>
  <c r="AB22" i="23"/>
  <c r="AC22" i="23"/>
  <c r="AD22" i="23"/>
  <c r="AH21" i="23"/>
  <c r="W15" i="23"/>
  <c r="X15" i="23"/>
  <c r="AB14" i="23"/>
  <c r="AC14" i="23"/>
  <c r="I101" i="23"/>
  <c r="P101" i="23" s="1"/>
  <c r="U92" i="23"/>
  <c r="U76" i="23"/>
  <c r="AH69" i="23"/>
  <c r="E59" i="23"/>
  <c r="W62" i="23"/>
  <c r="X62" i="23"/>
  <c r="AH57" i="23"/>
  <c r="AA49" i="23"/>
  <c r="AB37" i="23"/>
  <c r="AC37" i="23"/>
  <c r="AA36" i="23"/>
  <c r="AD37" i="23"/>
  <c r="AH37" i="23"/>
  <c r="AB30" i="23"/>
  <c r="AC30" i="23"/>
  <c r="S25" i="23"/>
  <c r="AA25" i="23"/>
  <c r="M17" i="23"/>
  <c r="J17" i="23"/>
  <c r="AH14" i="23"/>
  <c r="AA12" i="23"/>
  <c r="Z11" i="23"/>
  <c r="Z43" i="23" s="1"/>
  <c r="H101" i="23"/>
  <c r="AH76" i="23"/>
  <c r="L72" i="23"/>
  <c r="M72" i="23" s="1"/>
  <c r="AH58" i="23"/>
  <c r="AA48" i="23"/>
  <c r="O36" i="23"/>
  <c r="I29" i="23"/>
  <c r="S29" i="23" s="1"/>
  <c r="G23" i="23"/>
  <c r="AF29" i="23"/>
  <c r="W26" i="23"/>
  <c r="X26" i="23"/>
  <c r="AB19" i="23"/>
  <c r="AC19" i="23"/>
  <c r="AD19" i="23"/>
  <c r="AB15" i="23"/>
  <c r="AC15" i="23"/>
  <c r="AD15" i="23"/>
  <c r="AB64" i="23"/>
  <c r="AC64" i="23"/>
  <c r="AD64" i="23"/>
  <c r="S61" i="23"/>
  <c r="AA61" i="23"/>
  <c r="O59" i="23"/>
  <c r="AA50" i="23"/>
  <c r="S50" i="23"/>
  <c r="AH48" i="23"/>
  <c r="U48" i="23"/>
  <c r="M48" i="23"/>
  <c r="AB41" i="23"/>
  <c r="AC41" i="23"/>
  <c r="AH41" i="23"/>
  <c r="W40" i="23"/>
  <c r="X40" i="23"/>
  <c r="AB34" i="23"/>
  <c r="AC34" i="23"/>
  <c r="AD34" i="23"/>
  <c r="AH33" i="23"/>
  <c r="AF101" i="23"/>
  <c r="AG101" i="23" s="1"/>
  <c r="R101" i="23"/>
  <c r="S101" i="23" s="1"/>
  <c r="L59" i="23"/>
  <c r="J36" i="23"/>
  <c r="M29" i="23"/>
  <c r="L23" i="23"/>
  <c r="J23" i="23"/>
  <c r="E43" i="23"/>
  <c r="AB26" i="23"/>
  <c r="AC26" i="23"/>
  <c r="AD26" i="23"/>
  <c r="L11" i="23"/>
  <c r="U87" i="23"/>
  <c r="U78" i="23"/>
  <c r="S64" i="23"/>
  <c r="P60" i="23"/>
  <c r="U60" i="23"/>
  <c r="AA60" i="23"/>
  <c r="AF59" i="23"/>
  <c r="AH56" i="23"/>
  <c r="AB55" i="23"/>
  <c r="AC55" i="23"/>
  <c r="AD55" i="23"/>
  <c r="S53" i="23"/>
  <c r="S52" i="23"/>
  <c r="AH52" i="23"/>
  <c r="U52" i="23"/>
  <c r="AA52" i="23"/>
  <c r="AA51" i="23"/>
  <c r="P51" i="23"/>
  <c r="AH51" i="23"/>
  <c r="U49" i="23"/>
  <c r="I47" i="23"/>
  <c r="S42" i="23"/>
  <c r="AH42" i="23"/>
  <c r="U42" i="23"/>
  <c r="AA42" i="23"/>
  <c r="AB31" i="23"/>
  <c r="AC31" i="23"/>
  <c r="M19" i="23"/>
  <c r="P12" i="23"/>
  <c r="I11" i="23"/>
  <c r="S11" i="23" s="1"/>
  <c r="U70" i="23"/>
  <c r="AA69" i="23"/>
  <c r="Q59" i="23"/>
  <c r="R65" i="23"/>
  <c r="S65" i="23" s="1"/>
  <c r="AB63" i="23"/>
  <c r="AC63" i="23"/>
  <c r="AC62" i="23"/>
  <c r="AD62" i="23"/>
  <c r="AH62" i="23"/>
  <c r="M50" i="23"/>
  <c r="U50" i="23"/>
  <c r="S31" i="23"/>
  <c r="AB27" i="23"/>
  <c r="AC27" i="23"/>
  <c r="AH27" i="23"/>
  <c r="O23" i="23"/>
  <c r="AB16" i="23"/>
  <c r="AC16" i="23"/>
  <c r="P14" i="24"/>
  <c r="P28" i="24" s="1"/>
  <c r="S70" i="23"/>
  <c r="AA70" i="23"/>
  <c r="O65" i="23"/>
  <c r="P65" i="23" s="1"/>
  <c r="W64" i="23"/>
  <c r="X64" i="23"/>
  <c r="U61" i="23"/>
  <c r="S55" i="23"/>
  <c r="AB54" i="23"/>
  <c r="AA53" i="23"/>
  <c r="AH53" i="23" s="1"/>
  <c r="AC54" i="23"/>
  <c r="P53" i="23"/>
  <c r="AB35" i="23"/>
  <c r="AC35" i="23"/>
  <c r="D7" i="24"/>
  <c r="O14" i="24"/>
  <c r="C7" i="24" a="1"/>
  <c r="C7" i="24" s="1"/>
  <c r="AA38" i="23"/>
  <c r="U34" i="23"/>
  <c r="AC32" i="23"/>
  <c r="U30" i="23"/>
  <c r="AH26" i="23"/>
  <c r="AH22" i="23"/>
  <c r="AC20" i="23"/>
  <c r="U18" i="23"/>
  <c r="AD18" i="23" s="1"/>
  <c r="AH15" i="23"/>
  <c r="U54" i="23"/>
  <c r="U41" i="23"/>
  <c r="AD41" i="23" s="1"/>
  <c r="U37" i="23"/>
  <c r="AF36" i="23"/>
  <c r="AG36" i="23" s="1"/>
  <c r="R36" i="23"/>
  <c r="S36" i="23" s="1"/>
  <c r="AH34" i="23"/>
  <c r="S34" i="23"/>
  <c r="AH30" i="23"/>
  <c r="S30" i="23"/>
  <c r="U27" i="23"/>
  <c r="AH18" i="23"/>
  <c r="S18" i="23"/>
  <c r="M14" i="23"/>
  <c r="U16" i="23"/>
  <c r="AD16" i="23" s="1"/>
  <c r="D65" i="23"/>
  <c r="H65" i="23" s="1"/>
  <c r="U55" i="23"/>
  <c r="AD40" i="23"/>
  <c r="U35" i="23"/>
  <c r="AD35" i="23" s="1"/>
  <c r="X32" i="23"/>
  <c r="U31" i="23"/>
  <c r="O29" i="23"/>
  <c r="P29" i="23" s="1"/>
  <c r="U28" i="23"/>
  <c r="AD28" i="23" s="1"/>
  <c r="X20" i="23"/>
  <c r="U19" i="23"/>
  <c r="O17" i="23"/>
  <c r="AH16" i="23"/>
  <c r="AH12" i="23"/>
  <c r="U12" i="23"/>
  <c r="U68" i="23"/>
  <c r="AD68" i="23" s="1"/>
  <c r="AH64" i="23"/>
  <c r="P63" i="23"/>
  <c r="M62" i="23"/>
  <c r="H60" i="23"/>
  <c r="AH55" i="23"/>
  <c r="AC40" i="23"/>
  <c r="U38" i="23"/>
  <c r="P37" i="23"/>
  <c r="AH35" i="23"/>
  <c r="W32" i="23"/>
  <c r="AH31" i="23"/>
  <c r="AH28" i="23"/>
  <c r="W20" i="23"/>
  <c r="AH19" i="23"/>
  <c r="AH38" i="23"/>
  <c r="M30" i="23"/>
  <c r="M18" i="23"/>
  <c r="P20" i="24"/>
  <c r="U57" i="23"/>
  <c r="P52" i="23"/>
  <c r="U39" i="23"/>
  <c r="P38" i="23"/>
  <c r="U24" i="23"/>
  <c r="O20" i="24"/>
  <c r="J29" i="23"/>
  <c r="F23" i="23"/>
  <c r="U14" i="23"/>
  <c r="M12" i="23"/>
  <c r="U58" i="23"/>
  <c r="U33" i="23"/>
  <c r="U25" i="23"/>
  <c r="U21" i="23"/>
  <c r="K7" i="17"/>
  <c r="E11" i="17"/>
  <c r="I25" i="17"/>
  <c r="K21" i="17"/>
  <c r="K24" i="17"/>
  <c r="K10" i="17"/>
  <c r="I11" i="17"/>
  <c r="J11" i="17"/>
  <c r="K9" i="17"/>
  <c r="E25" i="17"/>
  <c r="K22" i="17"/>
  <c r="K6" i="17"/>
  <c r="H25" i="17"/>
  <c r="J25" i="17"/>
  <c r="K5" i="17"/>
  <c r="K23" i="17"/>
  <c r="D11" i="19"/>
  <c r="F11" i="19"/>
  <c r="H11" i="17"/>
  <c r="K20" i="17"/>
  <c r="Z187" i="23" l="1"/>
  <c r="Z188" i="23" s="1"/>
  <c r="W58" i="23"/>
  <c r="X58" i="23"/>
  <c r="W100" i="23"/>
  <c r="X100" i="23"/>
  <c r="AC177" i="23"/>
  <c r="AD177" i="23"/>
  <c r="AH186" i="23"/>
  <c r="AB186" i="23"/>
  <c r="AC186" i="23"/>
  <c r="AD186" i="23"/>
  <c r="W31" i="23"/>
  <c r="X31" i="23"/>
  <c r="AD70" i="23"/>
  <c r="AB70" i="23"/>
  <c r="AC70" i="23"/>
  <c r="AH70" i="23"/>
  <c r="AC42" i="23"/>
  <c r="AD42" i="23"/>
  <c r="AB42" i="23"/>
  <c r="W78" i="23"/>
  <c r="X78" i="23"/>
  <c r="AB48" i="23"/>
  <c r="AD48" i="23"/>
  <c r="AC48" i="23"/>
  <c r="AA47" i="23"/>
  <c r="W76" i="23"/>
  <c r="X76" i="23"/>
  <c r="M101" i="23"/>
  <c r="I122" i="23"/>
  <c r="AB122" i="23" s="1"/>
  <c r="W122" i="23"/>
  <c r="X122" i="23"/>
  <c r="AF122" i="23"/>
  <c r="W93" i="23"/>
  <c r="X93" i="23"/>
  <c r="M142" i="23"/>
  <c r="AA155" i="23"/>
  <c r="AC156" i="23"/>
  <c r="AD156" i="23"/>
  <c r="AC119" i="23"/>
  <c r="W148" i="23"/>
  <c r="X148" i="23"/>
  <c r="AF148" i="23"/>
  <c r="I148" i="23"/>
  <c r="AC125" i="23"/>
  <c r="AB168" i="23"/>
  <c r="AC168" i="23"/>
  <c r="S182" i="23"/>
  <c r="M182" i="23"/>
  <c r="P182" i="23"/>
  <c r="AB178" i="23"/>
  <c r="AF183" i="23"/>
  <c r="X183" i="23"/>
  <c r="W183" i="23"/>
  <c r="U47" i="23"/>
  <c r="X48" i="23"/>
  <c r="W48" i="23"/>
  <c r="AB24" i="23"/>
  <c r="AC24" i="23"/>
  <c r="AD24" i="23"/>
  <c r="AF157" i="23"/>
  <c r="W157" i="23"/>
  <c r="X157" i="23"/>
  <c r="W42" i="23"/>
  <c r="X42" i="23"/>
  <c r="AB50" i="23"/>
  <c r="AD50" i="23"/>
  <c r="AC50" i="23"/>
  <c r="AH24" i="23"/>
  <c r="W92" i="23"/>
  <c r="X92" i="23"/>
  <c r="AD76" i="23"/>
  <c r="W105" i="23"/>
  <c r="X105" i="23"/>
  <c r="AD13" i="23"/>
  <c r="AB13" i="23"/>
  <c r="AC13" i="23"/>
  <c r="W86" i="23"/>
  <c r="X86" i="23"/>
  <c r="L151" i="23"/>
  <c r="AF147" i="23"/>
  <c r="W147" i="23"/>
  <c r="I147" i="23"/>
  <c r="X147" i="23"/>
  <c r="I161" i="23"/>
  <c r="M161" i="23" s="1"/>
  <c r="S162" i="23"/>
  <c r="AB77" i="23"/>
  <c r="AC77" i="23"/>
  <c r="AD77" i="23"/>
  <c r="AD147" i="23"/>
  <c r="R180" i="23"/>
  <c r="X52" i="23"/>
  <c r="W52" i="23"/>
  <c r="AB17" i="23"/>
  <c r="AC17" i="23"/>
  <c r="AA131" i="23"/>
  <c r="M11" i="23"/>
  <c r="L43" i="23"/>
  <c r="P59" i="23"/>
  <c r="O79" i="23"/>
  <c r="AB25" i="23"/>
  <c r="AC25" i="23"/>
  <c r="AD25" i="23"/>
  <c r="AB49" i="23"/>
  <c r="AC49" i="23"/>
  <c r="AD49" i="23"/>
  <c r="AH49" i="23"/>
  <c r="AB93" i="23"/>
  <c r="AC93" i="23"/>
  <c r="AD93" i="23"/>
  <c r="S23" i="23"/>
  <c r="M83" i="23"/>
  <c r="L115" i="23"/>
  <c r="M115" i="23" s="1"/>
  <c r="M108" i="23"/>
  <c r="W13" i="23"/>
  <c r="X13" i="23"/>
  <c r="AH119" i="23"/>
  <c r="AH177" i="23"/>
  <c r="AB102" i="23"/>
  <c r="AC102" i="23"/>
  <c r="AD102" i="23"/>
  <c r="AA101" i="23"/>
  <c r="AC141" i="23"/>
  <c r="AD141" i="23"/>
  <c r="AB126" i="23"/>
  <c r="W77" i="23"/>
  <c r="X77" i="23"/>
  <c r="AB163" i="23"/>
  <c r="W165" i="23"/>
  <c r="X165" i="23"/>
  <c r="AF165" i="23"/>
  <c r="X113" i="23"/>
  <c r="W113" i="23"/>
  <c r="U29" i="23"/>
  <c r="W30" i="23"/>
  <c r="X30" i="23"/>
  <c r="X68" i="23"/>
  <c r="W68" i="23"/>
  <c r="R59" i="23"/>
  <c r="Q79" i="23"/>
  <c r="Q188" i="23" s="1"/>
  <c r="AB61" i="23"/>
  <c r="AC61" i="23"/>
  <c r="AD61" i="23"/>
  <c r="AB33" i="23"/>
  <c r="AC33" i="23"/>
  <c r="AD33" i="23"/>
  <c r="W94" i="23"/>
  <c r="X94" i="23"/>
  <c r="AF128" i="23"/>
  <c r="W128" i="23"/>
  <c r="X128" i="23"/>
  <c r="AB96" i="23"/>
  <c r="AC96" i="23"/>
  <c r="AA95" i="23"/>
  <c r="AD96" i="23"/>
  <c r="X109" i="23"/>
  <c r="U108" i="23"/>
  <c r="W109" i="23"/>
  <c r="AH13" i="23"/>
  <c r="P83" i="23"/>
  <c r="O115" i="23"/>
  <c r="P115" i="23" s="1"/>
  <c r="G187" i="23"/>
  <c r="G188" i="23" s="1"/>
  <c r="U137" i="23"/>
  <c r="W138" i="23"/>
  <c r="X138" i="23"/>
  <c r="I138" i="23"/>
  <c r="AF138" i="23"/>
  <c r="U101" i="23"/>
  <c r="W102" i="23"/>
  <c r="X102" i="23"/>
  <c r="L187" i="23"/>
  <c r="W159" i="23"/>
  <c r="X159" i="23"/>
  <c r="AF159" i="23"/>
  <c r="AH72" i="23"/>
  <c r="AH77" i="23"/>
  <c r="P172" i="23"/>
  <c r="U144" i="23"/>
  <c r="W145" i="23"/>
  <c r="X145" i="23"/>
  <c r="I145" i="23"/>
  <c r="AF145" i="23"/>
  <c r="W83" i="23"/>
  <c r="X83" i="23"/>
  <c r="W14" i="23"/>
  <c r="X14" i="23"/>
  <c r="W35" i="23"/>
  <c r="X35" i="23"/>
  <c r="U23" i="23"/>
  <c r="W24" i="23"/>
  <c r="X24" i="23"/>
  <c r="U168" i="23"/>
  <c r="U11" i="23"/>
  <c r="W12" i="23"/>
  <c r="X12" i="23"/>
  <c r="W55" i="23"/>
  <c r="X55" i="23"/>
  <c r="W34" i="23"/>
  <c r="X34" i="23"/>
  <c r="W50" i="23"/>
  <c r="X50" i="23"/>
  <c r="AB69" i="23"/>
  <c r="AC69" i="23"/>
  <c r="AD69" i="23"/>
  <c r="M47" i="23"/>
  <c r="P47" i="23"/>
  <c r="I79" i="23"/>
  <c r="M59" i="23"/>
  <c r="L79" i="23"/>
  <c r="M79" i="23" s="1"/>
  <c r="AH61" i="23"/>
  <c r="AD14" i="23"/>
  <c r="W98" i="23"/>
  <c r="U170" i="23"/>
  <c r="X98" i="23"/>
  <c r="AB67" i="23"/>
  <c r="AC67" i="23"/>
  <c r="AD67" i="23"/>
  <c r="AF141" i="23"/>
  <c r="W141" i="23"/>
  <c r="X141" i="23"/>
  <c r="I141" i="23"/>
  <c r="AB106" i="23"/>
  <c r="AC106" i="23"/>
  <c r="AD106" i="23"/>
  <c r="W96" i="23"/>
  <c r="U95" i="23"/>
  <c r="X96" i="23"/>
  <c r="AH102" i="23"/>
  <c r="AG150" i="23"/>
  <c r="AB121" i="23"/>
  <c r="H131" i="23"/>
  <c r="U125" i="23"/>
  <c r="S146" i="23"/>
  <c r="AB128" i="23"/>
  <c r="AC128" i="23"/>
  <c r="AD128" i="23"/>
  <c r="S178" i="23"/>
  <c r="P178" i="23"/>
  <c r="AH156" i="23"/>
  <c r="AB36" i="23"/>
  <c r="AC36" i="23"/>
  <c r="H23" i="23"/>
  <c r="F43" i="23"/>
  <c r="H43" i="23" s="1"/>
  <c r="AH50" i="23"/>
  <c r="W70" i="23"/>
  <c r="X70" i="23"/>
  <c r="W49" i="23"/>
  <c r="X49" i="23"/>
  <c r="AH25" i="23"/>
  <c r="AD30" i="23"/>
  <c r="AD56" i="23"/>
  <c r="AB56" i="23"/>
  <c r="AC56" i="23"/>
  <c r="W75" i="23"/>
  <c r="X75" i="23"/>
  <c r="AB58" i="23"/>
  <c r="AC58" i="23"/>
  <c r="AD58" i="23"/>
  <c r="AD92" i="23"/>
  <c r="AB83" i="23"/>
  <c r="AC83" i="23"/>
  <c r="AD83" i="23"/>
  <c r="R43" i="23"/>
  <c r="W99" i="23"/>
  <c r="X99" i="23"/>
  <c r="W106" i="23"/>
  <c r="X106" i="23"/>
  <c r="AH96" i="23"/>
  <c r="AD113" i="23"/>
  <c r="AH83" i="23"/>
  <c r="P164" i="23"/>
  <c r="S168" i="23"/>
  <c r="M186" i="23"/>
  <c r="P186" i="23"/>
  <c r="AB109" i="23"/>
  <c r="AA108" i="23"/>
  <c r="AH108" i="23" s="1"/>
  <c r="AD109" i="23"/>
  <c r="AC109" i="23"/>
  <c r="P126" i="23"/>
  <c r="I159" i="23"/>
  <c r="M123" i="23"/>
  <c r="P123" i="23"/>
  <c r="AB146" i="23"/>
  <c r="AC146" i="23"/>
  <c r="AD146" i="23"/>
  <c r="W156" i="23"/>
  <c r="U155" i="23"/>
  <c r="AF156" i="23"/>
  <c r="X156" i="23"/>
  <c r="R187" i="23"/>
  <c r="W39" i="23"/>
  <c r="X39" i="23"/>
  <c r="W16" i="23"/>
  <c r="X16" i="23"/>
  <c r="AH101" i="23"/>
  <c r="AA29" i="23"/>
  <c r="W56" i="23"/>
  <c r="X56" i="23"/>
  <c r="W85" i="23"/>
  <c r="X85" i="23"/>
  <c r="AD85" i="23"/>
  <c r="P157" i="23"/>
  <c r="M157" i="23"/>
  <c r="AB21" i="23"/>
  <c r="AC21" i="23"/>
  <c r="AD21" i="23"/>
  <c r="AB100" i="23"/>
  <c r="AC100" i="23"/>
  <c r="AD100" i="23"/>
  <c r="D79" i="23"/>
  <c r="H79" i="23" s="1"/>
  <c r="W111" i="23"/>
  <c r="X111" i="23"/>
  <c r="AB142" i="23"/>
  <c r="AB162" i="23"/>
  <c r="AD162" i="23"/>
  <c r="AC162" i="23"/>
  <c r="AH95" i="23"/>
  <c r="P162" i="23"/>
  <c r="AB148" i="23"/>
  <c r="AC148" i="23"/>
  <c r="AD148" i="23"/>
  <c r="S163" i="23"/>
  <c r="P168" i="23"/>
  <c r="AF185" i="23"/>
  <c r="W185" i="23"/>
  <c r="X185" i="23"/>
  <c r="M172" i="23"/>
  <c r="AA164" i="23"/>
  <c r="AD182" i="23"/>
  <c r="AB182" i="23"/>
  <c r="AC182" i="23"/>
  <c r="AB145" i="23"/>
  <c r="AC145" i="23"/>
  <c r="AA144" i="23"/>
  <c r="AD145" i="23"/>
  <c r="AH182" i="23"/>
  <c r="AB172" i="23"/>
  <c r="U17" i="23"/>
  <c r="W18" i="23"/>
  <c r="X18" i="23"/>
  <c r="AC137" i="23"/>
  <c r="AD137" i="23"/>
  <c r="AF134" i="23"/>
  <c r="W134" i="23"/>
  <c r="X134" i="23"/>
  <c r="I134" i="23"/>
  <c r="M23" i="23"/>
  <c r="P36" i="23"/>
  <c r="AH36" i="23"/>
  <c r="W72" i="23"/>
  <c r="X72" i="23"/>
  <c r="AF173" i="23"/>
  <c r="W173" i="23"/>
  <c r="X173" i="23"/>
  <c r="AC53" i="23"/>
  <c r="AB53" i="23"/>
  <c r="X37" i="23"/>
  <c r="W37" i="23"/>
  <c r="U36" i="23"/>
  <c r="O28" i="24"/>
  <c r="AC60" i="23"/>
  <c r="AD60" i="23"/>
  <c r="AB60" i="23"/>
  <c r="AG29" i="23"/>
  <c r="AG17" i="23"/>
  <c r="AB99" i="23"/>
  <c r="AC99" i="23"/>
  <c r="AD99" i="23"/>
  <c r="D59" i="23"/>
  <c r="H59" i="23" s="1"/>
  <c r="M130" i="23"/>
  <c r="P130" i="23"/>
  <c r="S130" i="23"/>
  <c r="I166" i="23"/>
  <c r="AH100" i="23"/>
  <c r="AC122" i="23"/>
  <c r="AD122" i="23"/>
  <c r="AB90" i="23"/>
  <c r="AC90" i="23"/>
  <c r="AA89" i="23"/>
  <c r="AD90" i="23"/>
  <c r="AB111" i="23"/>
  <c r="AC111" i="23"/>
  <c r="AD111" i="23"/>
  <c r="P121" i="23"/>
  <c r="AB135" i="23"/>
  <c r="AC135" i="23"/>
  <c r="AD135" i="23"/>
  <c r="AB150" i="23"/>
  <c r="AC150" i="23"/>
  <c r="AD150" i="23"/>
  <c r="AG95" i="23"/>
  <c r="U131" i="23"/>
  <c r="AH162" i="23"/>
  <c r="R115" i="23"/>
  <c r="W149" i="23"/>
  <c r="X149" i="23"/>
  <c r="I149" i="23"/>
  <c r="AD149" i="23"/>
  <c r="AF149" i="23"/>
  <c r="U181" i="23"/>
  <c r="AA181" i="23"/>
  <c r="AD159" i="23"/>
  <c r="E167" i="23"/>
  <c r="O161" i="23"/>
  <c r="M143" i="23"/>
  <c r="P143" i="23"/>
  <c r="I179" i="23"/>
  <c r="S143" i="23"/>
  <c r="X27" i="23"/>
  <c r="W27" i="23"/>
  <c r="U171" i="23"/>
  <c r="AB72" i="23"/>
  <c r="AC72" i="23"/>
  <c r="AD72" i="23"/>
  <c r="W87" i="23"/>
  <c r="X87" i="23"/>
  <c r="O43" i="23"/>
  <c r="P17" i="23"/>
  <c r="W25" i="23"/>
  <c r="X25" i="23"/>
  <c r="U169" i="23"/>
  <c r="W19" i="23"/>
  <c r="X19" i="23"/>
  <c r="X54" i="23"/>
  <c r="U53" i="23"/>
  <c r="W54" i="23"/>
  <c r="AD54" i="23"/>
  <c r="W61" i="23"/>
  <c r="X61" i="23"/>
  <c r="AB51" i="23"/>
  <c r="AC51" i="23"/>
  <c r="AD51" i="23"/>
  <c r="W60" i="23"/>
  <c r="X60" i="23"/>
  <c r="AF23" i="23"/>
  <c r="AG23" i="23" s="1"/>
  <c r="I23" i="23"/>
  <c r="P23" i="23" s="1"/>
  <c r="AB12" i="23"/>
  <c r="AA11" i="23"/>
  <c r="AC12" i="23"/>
  <c r="AD12" i="23"/>
  <c r="G43" i="23"/>
  <c r="W66" i="23"/>
  <c r="X66" i="23"/>
  <c r="U65" i="23"/>
  <c r="AD98" i="23"/>
  <c r="W135" i="23"/>
  <c r="X135" i="23"/>
  <c r="I135" i="23"/>
  <c r="AF135" i="23"/>
  <c r="AB39" i="23"/>
  <c r="AC39" i="23"/>
  <c r="AD39" i="23"/>
  <c r="AG83" i="23"/>
  <c r="U89" i="23"/>
  <c r="W90" i="23"/>
  <c r="X90" i="23"/>
  <c r="P142" i="23"/>
  <c r="S142" i="23"/>
  <c r="M132" i="23"/>
  <c r="AA173" i="23"/>
  <c r="AH173" i="23" s="1"/>
  <c r="AC174" i="23"/>
  <c r="AD174" i="23"/>
  <c r="AH174" i="23"/>
  <c r="O151" i="23"/>
  <c r="U119" i="23"/>
  <c r="W120" i="23"/>
  <c r="X120" i="23"/>
  <c r="I120" i="23"/>
  <c r="AF120" i="23"/>
  <c r="U164" i="23"/>
  <c r="S161" i="23"/>
  <c r="S186" i="23"/>
  <c r="AF182" i="23"/>
  <c r="W182" i="23"/>
  <c r="X182" i="23"/>
  <c r="AD170" i="23"/>
  <c r="AC170" i="23"/>
  <c r="AC165" i="23"/>
  <c r="AD165" i="23"/>
  <c r="W28" i="23"/>
  <c r="X28" i="23"/>
  <c r="U172" i="23"/>
  <c r="AB157" i="23"/>
  <c r="AC157" i="23"/>
  <c r="AD157" i="23"/>
  <c r="AC183" i="23"/>
  <c r="AD183" i="23"/>
  <c r="AC38" i="23"/>
  <c r="AD38" i="23"/>
  <c r="AB38" i="23"/>
  <c r="W21" i="23"/>
  <c r="X21" i="23"/>
  <c r="X41" i="23"/>
  <c r="W41" i="23"/>
  <c r="W57" i="23"/>
  <c r="X57" i="23"/>
  <c r="W38" i="23"/>
  <c r="X38" i="23"/>
  <c r="W33" i="23"/>
  <c r="X33" i="23"/>
  <c r="AD27" i="23"/>
  <c r="AD31" i="23"/>
  <c r="AC52" i="23"/>
  <c r="AD52" i="23"/>
  <c r="AB52" i="23"/>
  <c r="AH60" i="23"/>
  <c r="J12" i="23"/>
  <c r="AG12" i="23" s="1"/>
  <c r="J19" i="23"/>
  <c r="AG19" i="23" s="1"/>
  <c r="J28" i="23"/>
  <c r="AG28" i="23" s="1"/>
  <c r="J31" i="23"/>
  <c r="AG31" i="23" s="1"/>
  <c r="J35" i="23"/>
  <c r="AG35" i="23" s="1"/>
  <c r="J16" i="23"/>
  <c r="AG16" i="23" s="1"/>
  <c r="J27" i="23"/>
  <c r="AG27" i="23" s="1"/>
  <c r="J37" i="23"/>
  <c r="AG37" i="23" s="1"/>
  <c r="J41" i="23"/>
  <c r="AG41" i="23" s="1"/>
  <c r="J18" i="23"/>
  <c r="AG18" i="23" s="1"/>
  <c r="J30" i="23"/>
  <c r="AG30" i="23" s="1"/>
  <c r="J34" i="23"/>
  <c r="AG34" i="23" s="1"/>
  <c r="J15" i="23"/>
  <c r="AG15" i="23" s="1"/>
  <c r="J22" i="23"/>
  <c r="AG22" i="23" s="1"/>
  <c r="J26" i="23"/>
  <c r="AG26" i="23" s="1"/>
  <c r="J40" i="23"/>
  <c r="AG40" i="23" s="1"/>
  <c r="J21" i="23"/>
  <c r="AG21" i="23" s="1"/>
  <c r="J25" i="23"/>
  <c r="AG25" i="23" s="1"/>
  <c r="J33" i="23"/>
  <c r="AG33" i="23" s="1"/>
  <c r="J14" i="23"/>
  <c r="AG14" i="23" s="1"/>
  <c r="J24" i="23"/>
  <c r="AG24" i="23" s="1"/>
  <c r="J39" i="23"/>
  <c r="AG39" i="23" s="1"/>
  <c r="J20" i="23"/>
  <c r="AG20" i="23" s="1"/>
  <c r="J32" i="23"/>
  <c r="AG32" i="23" s="1"/>
  <c r="J13" i="23"/>
  <c r="AG13" i="23" s="1"/>
  <c r="J38" i="23"/>
  <c r="AG38" i="23" s="1"/>
  <c r="J11" i="23"/>
  <c r="J42" i="23"/>
  <c r="AG42" i="23" s="1"/>
  <c r="E79" i="23"/>
  <c r="AC57" i="23"/>
  <c r="AD57" i="23"/>
  <c r="AB57" i="23"/>
  <c r="P11" i="23"/>
  <c r="M139" i="23"/>
  <c r="P139" i="23"/>
  <c r="S139" i="23"/>
  <c r="I175" i="23"/>
  <c r="AB112" i="23"/>
  <c r="AC112" i="23"/>
  <c r="AD112" i="23"/>
  <c r="AH90" i="23"/>
  <c r="AB66" i="23"/>
  <c r="AD66" i="23"/>
  <c r="AC66" i="23"/>
  <c r="AA65" i="23"/>
  <c r="AH65" i="23" s="1"/>
  <c r="AD105" i="23"/>
  <c r="AB105" i="23"/>
  <c r="AC105" i="23"/>
  <c r="J121" i="23"/>
  <c r="AG121" i="23" s="1"/>
  <c r="J127" i="23"/>
  <c r="AG127" i="23" s="1"/>
  <c r="J133" i="23"/>
  <c r="AG133" i="23" s="1"/>
  <c r="J124" i="23"/>
  <c r="AG124" i="23" s="1"/>
  <c r="J146" i="23"/>
  <c r="AG146" i="23" s="1"/>
  <c r="J150" i="23"/>
  <c r="J130" i="23"/>
  <c r="AG130" i="23" s="1"/>
  <c r="J139" i="23"/>
  <c r="AG139" i="23" s="1"/>
  <c r="J143" i="23"/>
  <c r="AG143" i="23" s="1"/>
  <c r="J126" i="23"/>
  <c r="AG126" i="23" s="1"/>
  <c r="J132" i="23"/>
  <c r="AG132" i="23" s="1"/>
  <c r="J136" i="23"/>
  <c r="AG136" i="23" s="1"/>
  <c r="J151" i="23"/>
  <c r="J123" i="23"/>
  <c r="AG123" i="23" s="1"/>
  <c r="J145" i="23"/>
  <c r="J149" i="23"/>
  <c r="J129" i="23"/>
  <c r="J138" i="23"/>
  <c r="J142" i="23"/>
  <c r="AG142" i="23" s="1"/>
  <c r="J135" i="23"/>
  <c r="J120" i="23"/>
  <c r="J122" i="23"/>
  <c r="J148" i="23"/>
  <c r="J128" i="23"/>
  <c r="J134" i="23"/>
  <c r="J141" i="23"/>
  <c r="J140" i="23"/>
  <c r="AG140" i="23" s="1"/>
  <c r="J147" i="23"/>
  <c r="J119" i="23"/>
  <c r="AH112" i="23"/>
  <c r="AD138" i="23"/>
  <c r="AH131" i="23"/>
  <c r="W129" i="23"/>
  <c r="X129" i="23"/>
  <c r="I129" i="23"/>
  <c r="AF129" i="23"/>
  <c r="AB134" i="23"/>
  <c r="AD134" i="23"/>
  <c r="AC134" i="23"/>
  <c r="D167" i="23"/>
  <c r="P146" i="23"/>
  <c r="X163" i="23"/>
  <c r="W163" i="23"/>
  <c r="AF163" i="23"/>
  <c r="AA185" i="23"/>
  <c r="L167" i="23"/>
  <c r="AH185" i="23"/>
  <c r="K25" i="17"/>
  <c r="K11" i="17"/>
  <c r="U151" i="23" l="1"/>
  <c r="AF119" i="23"/>
  <c r="AG119" i="23" s="1"/>
  <c r="V119" i="23"/>
  <c r="W119" i="23"/>
  <c r="X119" i="23"/>
  <c r="I131" i="23"/>
  <c r="V131" i="23"/>
  <c r="W131" i="23"/>
  <c r="AF131" i="23"/>
  <c r="AG131" i="23" s="1"/>
  <c r="I170" i="23"/>
  <c r="M134" i="23"/>
  <c r="P134" i="23"/>
  <c r="S134" i="23"/>
  <c r="W17" i="23"/>
  <c r="X17" i="23"/>
  <c r="AB164" i="23"/>
  <c r="AC164" i="23"/>
  <c r="AD164" i="23"/>
  <c r="S141" i="23"/>
  <c r="I177" i="23"/>
  <c r="M141" i="23"/>
  <c r="P141" i="23"/>
  <c r="AF168" i="23"/>
  <c r="W168" i="23"/>
  <c r="X168" i="23"/>
  <c r="U167" i="23"/>
  <c r="W47" i="23"/>
  <c r="X47" i="23"/>
  <c r="AG148" i="23"/>
  <c r="AC155" i="23"/>
  <c r="AD155" i="23"/>
  <c r="S148" i="23"/>
  <c r="I184" i="23"/>
  <c r="P148" i="23"/>
  <c r="M148" i="23"/>
  <c r="W89" i="23"/>
  <c r="X89" i="23"/>
  <c r="AC181" i="23"/>
  <c r="AD181" i="23"/>
  <c r="AA180" i="23"/>
  <c r="AB89" i="23"/>
  <c r="AC89" i="23"/>
  <c r="AD89" i="23"/>
  <c r="AH89" i="23"/>
  <c r="AA59" i="23"/>
  <c r="P147" i="23"/>
  <c r="S147" i="23"/>
  <c r="I183" i="23"/>
  <c r="M147" i="23"/>
  <c r="AB147" i="23"/>
  <c r="E187" i="23"/>
  <c r="AF170" i="23"/>
  <c r="W170" i="23"/>
  <c r="X170" i="23"/>
  <c r="W172" i="23"/>
  <c r="X172" i="23"/>
  <c r="AF172" i="23"/>
  <c r="AD172" i="23"/>
  <c r="X181" i="23"/>
  <c r="AF181" i="23"/>
  <c r="U180" i="23"/>
  <c r="W181" i="23"/>
  <c r="W101" i="23"/>
  <c r="X101" i="23"/>
  <c r="R79" i="23"/>
  <c r="S59" i="23"/>
  <c r="AC131" i="23"/>
  <c r="AD131" i="23"/>
  <c r="F188" i="23"/>
  <c r="AA167" i="23"/>
  <c r="AH167" i="23" s="1"/>
  <c r="W65" i="23"/>
  <c r="X65" i="23"/>
  <c r="S179" i="23"/>
  <c r="P179" i="23"/>
  <c r="AB179" i="23"/>
  <c r="M179" i="23"/>
  <c r="AG149" i="23"/>
  <c r="AA161" i="23"/>
  <c r="AA187" i="23" s="1"/>
  <c r="AB29" i="23"/>
  <c r="AC29" i="23"/>
  <c r="AD29" i="23"/>
  <c r="AH29" i="23"/>
  <c r="U115" i="23"/>
  <c r="AG128" i="23"/>
  <c r="AD17" i="23"/>
  <c r="AG147" i="23"/>
  <c r="AD168" i="23"/>
  <c r="AH181" i="23"/>
  <c r="AG115" i="23"/>
  <c r="W53" i="23"/>
  <c r="X53" i="23"/>
  <c r="V36" i="23"/>
  <c r="W36" i="23"/>
  <c r="X36" i="23"/>
  <c r="AG134" i="23"/>
  <c r="AH164" i="23"/>
  <c r="AG141" i="23"/>
  <c r="V23" i="23"/>
  <c r="W23" i="23"/>
  <c r="X23" i="23"/>
  <c r="AG138" i="23"/>
  <c r="W108" i="23"/>
  <c r="X108" i="23"/>
  <c r="AA151" i="23"/>
  <c r="AB11" i="23"/>
  <c r="AA43" i="23"/>
  <c r="AA44" i="23" s="1"/>
  <c r="AC11" i="23"/>
  <c r="AD11" i="23"/>
  <c r="I185" i="23"/>
  <c r="M149" i="23"/>
  <c r="P149" i="23"/>
  <c r="S149" i="23"/>
  <c r="AB149" i="23"/>
  <c r="AB144" i="23"/>
  <c r="AC144" i="23"/>
  <c r="AD144" i="23"/>
  <c r="AE144" i="23" s="1"/>
  <c r="AH144" i="23"/>
  <c r="W155" i="23"/>
  <c r="X155" i="23"/>
  <c r="AF155" i="23"/>
  <c r="AA115" i="23"/>
  <c r="S138" i="23"/>
  <c r="I174" i="23"/>
  <c r="P138" i="23"/>
  <c r="M138" i="23"/>
  <c r="AB138" i="23"/>
  <c r="AB141" i="23"/>
  <c r="AB47" i="23"/>
  <c r="AC47" i="23"/>
  <c r="AD47" i="23"/>
  <c r="AA79" i="23"/>
  <c r="AH47" i="23"/>
  <c r="AH155" i="23"/>
  <c r="D187" i="23"/>
  <c r="H167" i="23"/>
  <c r="U59" i="23"/>
  <c r="M159" i="23"/>
  <c r="P159" i="23"/>
  <c r="AB159" i="23"/>
  <c r="AD36" i="23"/>
  <c r="I125" i="23"/>
  <c r="V125" i="23"/>
  <c r="W125" i="23"/>
  <c r="X125" i="23"/>
  <c r="AF125" i="23"/>
  <c r="AG125" i="23" s="1"/>
  <c r="W95" i="23"/>
  <c r="AA23" i="23"/>
  <c r="AD125" i="23"/>
  <c r="AG122" i="23"/>
  <c r="AB108" i="23"/>
  <c r="AC108" i="23"/>
  <c r="AD108" i="23"/>
  <c r="L188" i="23"/>
  <c r="M166" i="23"/>
  <c r="P166" i="23"/>
  <c r="S166" i="23"/>
  <c r="AB166" i="23"/>
  <c r="I144" i="23"/>
  <c r="V144" i="23"/>
  <c r="W144" i="23"/>
  <c r="X144" i="23"/>
  <c r="AF144" i="23"/>
  <c r="AG144" i="23" s="1"/>
  <c r="AG120" i="23"/>
  <c r="AF43" i="23"/>
  <c r="I43" i="23"/>
  <c r="P43" i="23" s="1"/>
  <c r="O187" i="23"/>
  <c r="P161" i="23"/>
  <c r="AG145" i="23"/>
  <c r="AD119" i="23"/>
  <c r="AE119" i="23" s="1"/>
  <c r="I158" i="23"/>
  <c r="P122" i="23"/>
  <c r="M122" i="23"/>
  <c r="AC185" i="23"/>
  <c r="AD185" i="23"/>
  <c r="AB185" i="23"/>
  <c r="W164" i="23"/>
  <c r="AF164" i="23"/>
  <c r="X164" i="23"/>
  <c r="U161" i="23"/>
  <c r="I156" i="23"/>
  <c r="I119" i="23"/>
  <c r="P120" i="23"/>
  <c r="AB120" i="23"/>
  <c r="M120" i="23"/>
  <c r="AG135" i="23"/>
  <c r="I181" i="23"/>
  <c r="P145" i="23"/>
  <c r="M145" i="23"/>
  <c r="S145" i="23"/>
  <c r="AF137" i="23"/>
  <c r="AG137" i="23" s="1"/>
  <c r="I137" i="23"/>
  <c r="V137" i="23"/>
  <c r="AE137" i="23" s="1"/>
  <c r="W137" i="23"/>
  <c r="X137" i="23"/>
  <c r="AB95" i="23"/>
  <c r="AD95" i="23"/>
  <c r="AC95" i="23"/>
  <c r="AC101" i="23"/>
  <c r="AD101" i="23"/>
  <c r="AB101" i="23"/>
  <c r="J43" i="23"/>
  <c r="AG11" i="23"/>
  <c r="AG43" i="23" s="1"/>
  <c r="X11" i="23"/>
  <c r="U43" i="23"/>
  <c r="W11" i="23"/>
  <c r="AB65" i="23"/>
  <c r="AC65" i="23"/>
  <c r="AD65" i="23"/>
  <c r="AG129" i="23"/>
  <c r="AC173" i="23"/>
  <c r="AD173" i="23"/>
  <c r="I165" i="23"/>
  <c r="M129" i="23"/>
  <c r="S129" i="23"/>
  <c r="P129" i="23"/>
  <c r="AB129" i="23"/>
  <c r="J55" i="23"/>
  <c r="AG55" i="23" s="1"/>
  <c r="J64" i="23"/>
  <c r="AG64" i="23" s="1"/>
  <c r="J51" i="23"/>
  <c r="AG51" i="23" s="1"/>
  <c r="J67" i="23"/>
  <c r="AG67" i="23" s="1"/>
  <c r="J54" i="23"/>
  <c r="AG54" i="23" s="1"/>
  <c r="J63" i="23"/>
  <c r="AG63" i="23" s="1"/>
  <c r="J50" i="23"/>
  <c r="AG50" i="23" s="1"/>
  <c r="J66" i="23"/>
  <c r="AG66" i="23" s="1"/>
  <c r="J47" i="23"/>
  <c r="AG47" i="23" s="1"/>
  <c r="J49" i="23"/>
  <c r="AG49" i="23" s="1"/>
  <c r="J58" i="23"/>
  <c r="AG58" i="23" s="1"/>
  <c r="J61" i="23"/>
  <c r="AG61" i="23" s="1"/>
  <c r="J48" i="23"/>
  <c r="AG48" i="23" s="1"/>
  <c r="J69" i="23"/>
  <c r="AG69" i="23" s="1"/>
  <c r="J56" i="23"/>
  <c r="AG56" i="23" s="1"/>
  <c r="J62" i="23"/>
  <c r="AG62" i="23" s="1"/>
  <c r="J75" i="23"/>
  <c r="AG75" i="23" s="1"/>
  <c r="J71" i="23"/>
  <c r="AG71" i="23" s="1"/>
  <c r="J74" i="23"/>
  <c r="AG74" i="23" s="1"/>
  <c r="AF79" i="23"/>
  <c r="J57" i="23"/>
  <c r="AG57" i="23" s="1"/>
  <c r="J73" i="23"/>
  <c r="AG73" i="23" s="1"/>
  <c r="J68" i="23"/>
  <c r="AG68" i="23" s="1"/>
  <c r="J78" i="23"/>
  <c r="AG78" i="23" s="1"/>
  <c r="J70" i="23"/>
  <c r="AG70" i="23" s="1"/>
  <c r="J79" i="23"/>
  <c r="J77" i="23"/>
  <c r="AG77" i="23" s="1"/>
  <c r="J60" i="23"/>
  <c r="AG60" i="23" s="1"/>
  <c r="J76" i="23"/>
  <c r="AG76" i="23" s="1"/>
  <c r="J52" i="23"/>
  <c r="AG52" i="23" s="1"/>
  <c r="J72" i="23"/>
  <c r="AG72" i="23" s="1"/>
  <c r="J65" i="23"/>
  <c r="AG65" i="23" s="1"/>
  <c r="J53" i="23"/>
  <c r="AG53" i="23" s="1"/>
  <c r="J59" i="23"/>
  <c r="AG59" i="23" s="1"/>
  <c r="AH11" i="23"/>
  <c r="P175" i="23"/>
  <c r="AB175" i="23"/>
  <c r="M175" i="23"/>
  <c r="S175" i="23"/>
  <c r="M135" i="23"/>
  <c r="P135" i="23"/>
  <c r="I171" i="23"/>
  <c r="S135" i="23"/>
  <c r="X169" i="23"/>
  <c r="AF169" i="23"/>
  <c r="W169" i="23"/>
  <c r="AD169" i="23"/>
  <c r="X171" i="23"/>
  <c r="AF171" i="23"/>
  <c r="W171" i="23"/>
  <c r="AD171" i="23"/>
  <c r="S115" i="23"/>
  <c r="AA116" i="23"/>
  <c r="AD116" i="23" s="1"/>
  <c r="AD53" i="23"/>
  <c r="W29" i="23"/>
  <c r="X29" i="23"/>
  <c r="P79" i="23"/>
  <c r="H57" i="11"/>
  <c r="H77" i="11"/>
  <c r="H94" i="11"/>
  <c r="H106" i="11"/>
  <c r="H133" i="11"/>
  <c r="H136" i="11" s="1"/>
  <c r="H138" i="11"/>
  <c r="G57" i="11"/>
  <c r="G77" i="11"/>
  <c r="G94" i="11"/>
  <c r="G106" i="11"/>
  <c r="G133" i="11"/>
  <c r="G136" i="11" s="1"/>
  <c r="G138" i="11"/>
  <c r="F57" i="11"/>
  <c r="F77" i="11"/>
  <c r="F94" i="11"/>
  <c r="F106" i="11"/>
  <c r="F133" i="11"/>
  <c r="F136" i="11" s="1"/>
  <c r="F138" i="11"/>
  <c r="E57" i="11"/>
  <c r="E77" i="11"/>
  <c r="E94" i="11"/>
  <c r="E106" i="11"/>
  <c r="E135" i="11"/>
  <c r="E136" i="11" s="1"/>
  <c r="E133" i="11"/>
  <c r="E138" i="11"/>
  <c r="I135" i="11"/>
  <c r="I137" i="11"/>
  <c r="I5" i="11"/>
  <c r="I6" i="11"/>
  <c r="I7" i="11"/>
  <c r="I8" i="11"/>
  <c r="I9" i="11"/>
  <c r="I10" i="11"/>
  <c r="I11" i="11"/>
  <c r="I12" i="11"/>
  <c r="I13" i="11"/>
  <c r="I14" i="11"/>
  <c r="I15" i="11"/>
  <c r="I16" i="11"/>
  <c r="I17" i="11"/>
  <c r="I18" i="11"/>
  <c r="I19" i="11"/>
  <c r="I20" i="11"/>
  <c r="I21" i="11"/>
  <c r="I22" i="11"/>
  <c r="I23" i="11"/>
  <c r="I24" i="11"/>
  <c r="I25" i="11"/>
  <c r="I26" i="11"/>
  <c r="I27" i="11"/>
  <c r="I28" i="11"/>
  <c r="I29" i="11"/>
  <c r="I30" i="11"/>
  <c r="I31" i="11"/>
  <c r="I32" i="11"/>
  <c r="I33" i="11"/>
  <c r="I34" i="11"/>
  <c r="I35" i="11"/>
  <c r="I36" i="11"/>
  <c r="I37" i="11"/>
  <c r="I38" i="11"/>
  <c r="I39" i="11"/>
  <c r="I40" i="11"/>
  <c r="I41" i="11"/>
  <c r="I42" i="11"/>
  <c r="I43" i="11"/>
  <c r="I44" i="11"/>
  <c r="I45" i="11"/>
  <c r="I46" i="11"/>
  <c r="I47" i="11"/>
  <c r="I48" i="11"/>
  <c r="I49" i="11"/>
  <c r="I50" i="11"/>
  <c r="I51" i="11"/>
  <c r="I52" i="11"/>
  <c r="I53" i="11"/>
  <c r="I54" i="11"/>
  <c r="I55" i="11"/>
  <c r="I56" i="11"/>
  <c r="I58" i="11"/>
  <c r="I59" i="11"/>
  <c r="I60" i="11"/>
  <c r="I61" i="11"/>
  <c r="I62" i="11"/>
  <c r="I63" i="11"/>
  <c r="I64" i="11"/>
  <c r="I65" i="11"/>
  <c r="I66" i="11"/>
  <c r="I67" i="11"/>
  <c r="I68" i="11"/>
  <c r="I69" i="11"/>
  <c r="I70" i="11"/>
  <c r="I71" i="11"/>
  <c r="I72" i="11"/>
  <c r="I73" i="11"/>
  <c r="I74" i="11"/>
  <c r="I75" i="11"/>
  <c r="I76" i="11"/>
  <c r="I78" i="11"/>
  <c r="I79" i="11"/>
  <c r="I80" i="11"/>
  <c r="I81" i="11"/>
  <c r="I82" i="11"/>
  <c r="I83" i="11"/>
  <c r="I84" i="11"/>
  <c r="I85" i="11"/>
  <c r="I86" i="11"/>
  <c r="I87" i="11"/>
  <c r="I88" i="11"/>
  <c r="I89" i="11"/>
  <c r="I90" i="11"/>
  <c r="I91" i="11"/>
  <c r="I92" i="11"/>
  <c r="I93" i="11"/>
  <c r="I95" i="11"/>
  <c r="I96" i="11"/>
  <c r="I97" i="11"/>
  <c r="I98" i="11"/>
  <c r="I99" i="11"/>
  <c r="I100" i="11"/>
  <c r="I101" i="11"/>
  <c r="I102" i="11"/>
  <c r="I103" i="11"/>
  <c r="I104" i="11"/>
  <c r="I105" i="11"/>
  <c r="I107" i="11"/>
  <c r="I108" i="11"/>
  <c r="I109" i="11"/>
  <c r="I110" i="11"/>
  <c r="I111" i="11"/>
  <c r="I112" i="11"/>
  <c r="I114" i="11"/>
  <c r="I116" i="11"/>
  <c r="I117" i="11"/>
  <c r="I118" i="11"/>
  <c r="I119" i="11"/>
  <c r="I120" i="11"/>
  <c r="I121" i="11"/>
  <c r="I122" i="11"/>
  <c r="I123" i="11"/>
  <c r="I124" i="11"/>
  <c r="I125" i="11"/>
  <c r="I126" i="11"/>
  <c r="I127" i="11"/>
  <c r="I128" i="11"/>
  <c r="I129" i="11"/>
  <c r="I130" i="11"/>
  <c r="I131" i="11"/>
  <c r="I132" i="11"/>
  <c r="I134" i="11"/>
  <c r="I4" i="11"/>
  <c r="AA188" i="23" l="1"/>
  <c r="AC187" i="23"/>
  <c r="AG79" i="23"/>
  <c r="I180" i="23"/>
  <c r="P181" i="23"/>
  <c r="M181" i="23"/>
  <c r="S181" i="23"/>
  <c r="M156" i="23"/>
  <c r="P156" i="23"/>
  <c r="I155" i="23"/>
  <c r="AB156" i="23"/>
  <c r="AD151" i="23"/>
  <c r="AC151" i="23"/>
  <c r="AD180" i="23"/>
  <c r="AB180" i="23"/>
  <c r="AC180" i="23"/>
  <c r="AH180" i="23"/>
  <c r="W167" i="23"/>
  <c r="X167" i="23"/>
  <c r="AF167" i="23"/>
  <c r="F7" i="24"/>
  <c r="S131" i="23"/>
  <c r="P131" i="23"/>
  <c r="M131" i="23"/>
  <c r="I151" i="23"/>
  <c r="S119" i="23"/>
  <c r="P119" i="23"/>
  <c r="M119" i="23"/>
  <c r="AB119" i="23"/>
  <c r="M165" i="23"/>
  <c r="P165" i="23"/>
  <c r="S165" i="23"/>
  <c r="AB165" i="23"/>
  <c r="D188" i="23"/>
  <c r="H187" i="23"/>
  <c r="M174" i="23"/>
  <c r="I173" i="23"/>
  <c r="P174" i="23"/>
  <c r="S174" i="23"/>
  <c r="AB174" i="23"/>
  <c r="S43" i="23"/>
  <c r="AE131" i="23"/>
  <c r="AF180" i="23"/>
  <c r="AG180" i="23" s="1"/>
  <c r="W180" i="23"/>
  <c r="X180" i="23"/>
  <c r="M43" i="23"/>
  <c r="S184" i="23"/>
  <c r="P184" i="23"/>
  <c r="AB184" i="23"/>
  <c r="M184" i="23"/>
  <c r="P171" i="23"/>
  <c r="S171" i="23"/>
  <c r="AB171" i="23"/>
  <c r="M171" i="23"/>
  <c r="W43" i="23"/>
  <c r="X43" i="23"/>
  <c r="V15" i="23"/>
  <c r="AE15" i="23" s="1"/>
  <c r="V20" i="23"/>
  <c r="AE20" i="23" s="1"/>
  <c r="V32" i="23"/>
  <c r="AE32" i="23" s="1"/>
  <c r="V26" i="23"/>
  <c r="AE26" i="23" s="1"/>
  <c r="V22" i="23"/>
  <c r="AE22" i="23" s="1"/>
  <c r="V40" i="23"/>
  <c r="AE40" i="23" s="1"/>
  <c r="V31" i="23"/>
  <c r="AE31" i="23" s="1"/>
  <c r="V16" i="23"/>
  <c r="AE16" i="23" s="1"/>
  <c r="V18" i="23"/>
  <c r="AE18" i="23" s="1"/>
  <c r="V41" i="23"/>
  <c r="AE41" i="23" s="1"/>
  <c r="V35" i="23"/>
  <c r="AE35" i="23" s="1"/>
  <c r="V19" i="23"/>
  <c r="AE19" i="23" s="1"/>
  <c r="V42" i="23"/>
  <c r="AE42" i="23" s="1"/>
  <c r="V30" i="23"/>
  <c r="AE30" i="23" s="1"/>
  <c r="V37" i="23"/>
  <c r="AE37" i="23" s="1"/>
  <c r="V13" i="23"/>
  <c r="AE13" i="23" s="1"/>
  <c r="V28" i="23"/>
  <c r="AE28" i="23" s="1"/>
  <c r="V24" i="23"/>
  <c r="AE24" i="23" s="1"/>
  <c r="V14" i="23"/>
  <c r="AE14" i="23" s="1"/>
  <c r="V34" i="23"/>
  <c r="AE34" i="23" s="1"/>
  <c r="V27" i="23"/>
  <c r="AE27" i="23" s="1"/>
  <c r="V33" i="23"/>
  <c r="AE33" i="23" s="1"/>
  <c r="V38" i="23"/>
  <c r="AE38" i="23" s="1"/>
  <c r="V39" i="23"/>
  <c r="AE39" i="23" s="1"/>
  <c r="V25" i="23"/>
  <c r="AE25" i="23" s="1"/>
  <c r="V12" i="23"/>
  <c r="AE12" i="23" s="1"/>
  <c r="V21" i="23"/>
  <c r="AE21" i="23" s="1"/>
  <c r="AF161" i="23"/>
  <c r="X161" i="23"/>
  <c r="W161" i="23"/>
  <c r="O188" i="23"/>
  <c r="P144" i="23"/>
  <c r="M144" i="23"/>
  <c r="S144" i="23"/>
  <c r="S125" i="23"/>
  <c r="P125" i="23"/>
  <c r="AB125" i="23"/>
  <c r="M125" i="23"/>
  <c r="AG181" i="23"/>
  <c r="V11" i="23"/>
  <c r="AE125" i="23"/>
  <c r="AE36" i="23"/>
  <c r="AB115" i="23"/>
  <c r="AD115" i="23"/>
  <c r="AC115" i="23"/>
  <c r="AB131" i="23"/>
  <c r="AB181" i="23"/>
  <c r="V17" i="23"/>
  <c r="AE17" i="23" s="1"/>
  <c r="P183" i="23"/>
  <c r="S183" i="23"/>
  <c r="M183" i="23"/>
  <c r="AB183" i="23"/>
  <c r="M158" i="23"/>
  <c r="P158" i="23"/>
  <c r="AB158" i="23"/>
  <c r="AD23" i="23"/>
  <c r="AE23" i="23" s="1"/>
  <c r="AB23" i="23"/>
  <c r="AC23" i="23"/>
  <c r="AH23" i="23"/>
  <c r="AB79" i="23"/>
  <c r="AC79" i="23"/>
  <c r="W115" i="23"/>
  <c r="V110" i="23"/>
  <c r="AE110" i="23" s="1"/>
  <c r="V91" i="23"/>
  <c r="AE91" i="23" s="1"/>
  <c r="V97" i="23"/>
  <c r="AE97" i="23" s="1"/>
  <c r="X115" i="23"/>
  <c r="V104" i="23"/>
  <c r="AE104" i="23" s="1"/>
  <c r="V114" i="23"/>
  <c r="AE114" i="23" s="1"/>
  <c r="V112" i="23"/>
  <c r="AE112" i="23" s="1"/>
  <c r="V103" i="23"/>
  <c r="AE103" i="23" s="1"/>
  <c r="V88" i="23"/>
  <c r="AE88" i="23" s="1"/>
  <c r="V84" i="23"/>
  <c r="AE84" i="23" s="1"/>
  <c r="V107" i="23"/>
  <c r="AE107" i="23" s="1"/>
  <c r="V92" i="23"/>
  <c r="AE92" i="23" s="1"/>
  <c r="V111" i="23"/>
  <c r="AE111" i="23" s="1"/>
  <c r="V96" i="23"/>
  <c r="AE96" i="23" s="1"/>
  <c r="V100" i="23"/>
  <c r="AE100" i="23" s="1"/>
  <c r="V105" i="23"/>
  <c r="AE105" i="23" s="1"/>
  <c r="V94" i="23"/>
  <c r="AE94" i="23" s="1"/>
  <c r="V109" i="23"/>
  <c r="AE109" i="23" s="1"/>
  <c r="V83" i="23"/>
  <c r="V87" i="23"/>
  <c r="AE87" i="23" s="1"/>
  <c r="V93" i="23"/>
  <c r="AE93" i="23" s="1"/>
  <c r="V102" i="23"/>
  <c r="AE102" i="23" s="1"/>
  <c r="V99" i="23"/>
  <c r="AE99" i="23" s="1"/>
  <c r="V90" i="23"/>
  <c r="AE90" i="23" s="1"/>
  <c r="V113" i="23"/>
  <c r="AE113" i="23" s="1"/>
  <c r="V106" i="23"/>
  <c r="AE106" i="23" s="1"/>
  <c r="V86" i="23"/>
  <c r="AE86" i="23" s="1"/>
  <c r="V98" i="23"/>
  <c r="AE98" i="23" s="1"/>
  <c r="V85" i="23"/>
  <c r="AE85" i="23" s="1"/>
  <c r="S79" i="23"/>
  <c r="AA80" i="23"/>
  <c r="AD80" i="23" s="1"/>
  <c r="J157" i="23"/>
  <c r="AG157" i="23" s="1"/>
  <c r="J184" i="23"/>
  <c r="AG184" i="23" s="1"/>
  <c r="E188" i="23"/>
  <c r="J175" i="23"/>
  <c r="AG175" i="23" s="1"/>
  <c r="J168" i="23"/>
  <c r="AG168" i="23" s="1"/>
  <c r="J160" i="23"/>
  <c r="AG160" i="23" s="1"/>
  <c r="J185" i="23"/>
  <c r="AG185" i="23" s="1"/>
  <c r="J159" i="23"/>
  <c r="AG159" i="23" s="1"/>
  <c r="J166" i="23"/>
  <c r="AG166" i="23" s="1"/>
  <c r="J178" i="23"/>
  <c r="AG178" i="23" s="1"/>
  <c r="J176" i="23"/>
  <c r="AG176" i="23" s="1"/>
  <c r="J155" i="23"/>
  <c r="J169" i="23"/>
  <c r="AG169" i="23" s="1"/>
  <c r="J164" i="23"/>
  <c r="AG164" i="23" s="1"/>
  <c r="J181" i="23"/>
  <c r="J170" i="23"/>
  <c r="AG170" i="23" s="1"/>
  <c r="J183" i="23"/>
  <c r="AG183" i="23" s="1"/>
  <c r="J158" i="23"/>
  <c r="AG158" i="23" s="1"/>
  <c r="J186" i="23"/>
  <c r="AG186" i="23" s="1"/>
  <c r="J177" i="23"/>
  <c r="AG177" i="23" s="1"/>
  <c r="J161" i="23"/>
  <c r="J172" i="23"/>
  <c r="J182" i="23"/>
  <c r="AG182" i="23" s="1"/>
  <c r="J165" i="23"/>
  <c r="AG165" i="23" s="1"/>
  <c r="J162" i="23"/>
  <c r="AG162" i="23" s="1"/>
  <c r="J163" i="23"/>
  <c r="AG163" i="23" s="1"/>
  <c r="J156" i="23"/>
  <c r="AG156" i="23" s="1"/>
  <c r="J179" i="23"/>
  <c r="AG179" i="23" s="1"/>
  <c r="J174" i="23"/>
  <c r="AG174" i="23" s="1"/>
  <c r="J171" i="23"/>
  <c r="AG171" i="23" s="1"/>
  <c r="J173" i="23"/>
  <c r="AG173" i="23" s="1"/>
  <c r="J180" i="23"/>
  <c r="AG151" i="23"/>
  <c r="AG152" i="23" s="1"/>
  <c r="AC43" i="23"/>
  <c r="AD43" i="23"/>
  <c r="AB43" i="23"/>
  <c r="J167" i="23"/>
  <c r="R188" i="23"/>
  <c r="W151" i="23"/>
  <c r="X151" i="23"/>
  <c r="V127" i="23"/>
  <c r="AE127" i="23" s="1"/>
  <c r="V133" i="23"/>
  <c r="AE133" i="23" s="1"/>
  <c r="V139" i="23"/>
  <c r="AE139" i="23" s="1"/>
  <c r="V143" i="23"/>
  <c r="AE143" i="23" s="1"/>
  <c r="AF151" i="23"/>
  <c r="V126" i="23"/>
  <c r="AE126" i="23" s="1"/>
  <c r="V130" i="23"/>
  <c r="AE130" i="23" s="1"/>
  <c r="V132" i="23"/>
  <c r="AE132" i="23" s="1"/>
  <c r="V150" i="23"/>
  <c r="AE150" i="23" s="1"/>
  <c r="V146" i="23"/>
  <c r="AE146" i="23" s="1"/>
  <c r="V123" i="23"/>
  <c r="AE123" i="23" s="1"/>
  <c r="V140" i="23"/>
  <c r="AE140" i="23" s="1"/>
  <c r="V121" i="23"/>
  <c r="AE121" i="23" s="1"/>
  <c r="V142" i="23"/>
  <c r="AE142" i="23" s="1"/>
  <c r="V124" i="23"/>
  <c r="AE124" i="23" s="1"/>
  <c r="V136" i="23"/>
  <c r="AE136" i="23" s="1"/>
  <c r="V122" i="23"/>
  <c r="AE122" i="23" s="1"/>
  <c r="V138" i="23"/>
  <c r="AE138" i="23" s="1"/>
  <c r="V149" i="23"/>
  <c r="AE149" i="23" s="1"/>
  <c r="V129" i="23"/>
  <c r="AE129" i="23" s="1"/>
  <c r="V148" i="23"/>
  <c r="AE148" i="23" s="1"/>
  <c r="V141" i="23"/>
  <c r="AE141" i="23" s="1"/>
  <c r="V134" i="23"/>
  <c r="AE134" i="23" s="1"/>
  <c r="V128" i="23"/>
  <c r="AE128" i="23" s="1"/>
  <c r="V147" i="23"/>
  <c r="AE147" i="23" s="1"/>
  <c r="V120" i="23"/>
  <c r="AE120" i="23" s="1"/>
  <c r="V145" i="23"/>
  <c r="AE145" i="23" s="1"/>
  <c r="V135" i="23"/>
  <c r="AE135" i="23" s="1"/>
  <c r="AE101" i="23"/>
  <c r="V29" i="23"/>
  <c r="AE29" i="23" s="1"/>
  <c r="S137" i="23"/>
  <c r="P137" i="23"/>
  <c r="AB137" i="23"/>
  <c r="M137" i="23"/>
  <c r="U187" i="23"/>
  <c r="V167" i="23" s="1"/>
  <c r="P185" i="23"/>
  <c r="S185" i="23"/>
  <c r="M185" i="23"/>
  <c r="V108" i="23"/>
  <c r="AE108" i="23" s="1"/>
  <c r="AD59" i="23"/>
  <c r="AB59" i="23"/>
  <c r="AC59" i="23"/>
  <c r="AH59" i="23"/>
  <c r="V89" i="23"/>
  <c r="AE89" i="23" s="1"/>
  <c r="M177" i="23"/>
  <c r="P177" i="23"/>
  <c r="S177" i="23"/>
  <c r="AB177" i="23"/>
  <c r="S170" i="23"/>
  <c r="P170" i="23"/>
  <c r="M170" i="23"/>
  <c r="AB170" i="23"/>
  <c r="I167" i="23"/>
  <c r="V59" i="23"/>
  <c r="W59" i="23"/>
  <c r="AB167" i="23"/>
  <c r="AC167" i="23"/>
  <c r="AD167" i="23"/>
  <c r="AE151" i="23"/>
  <c r="AE152" i="23" s="1"/>
  <c r="AE11" i="23"/>
  <c r="V101" i="23"/>
  <c r="U79" i="23"/>
  <c r="AB161" i="23"/>
  <c r="AC161" i="23"/>
  <c r="AD161" i="23"/>
  <c r="AH161" i="23"/>
  <c r="V95" i="23"/>
  <c r="AE95" i="23" s="1"/>
  <c r="AA152" i="23"/>
  <c r="AG172" i="23"/>
  <c r="I138" i="11"/>
  <c r="I77" i="11"/>
  <c r="E139" i="11"/>
  <c r="I136" i="11"/>
  <c r="I106" i="11"/>
  <c r="I133" i="11"/>
  <c r="F139" i="11"/>
  <c r="H139" i="11"/>
  <c r="G139" i="11"/>
  <c r="I57" i="11"/>
  <c r="I94" i="11"/>
  <c r="V161" i="23" l="1"/>
  <c r="AG161" i="23"/>
  <c r="AF187" i="23"/>
  <c r="U188" i="23"/>
  <c r="X187" i="23"/>
  <c r="W187" i="23"/>
  <c r="V174" i="23"/>
  <c r="AE174" i="23" s="1"/>
  <c r="V186" i="23"/>
  <c r="AE186" i="23" s="1"/>
  <c r="V162" i="23"/>
  <c r="AE162" i="23" s="1"/>
  <c r="V158" i="23"/>
  <c r="AE158" i="23" s="1"/>
  <c r="V184" i="23"/>
  <c r="AE184" i="23" s="1"/>
  <c r="V166" i="23"/>
  <c r="AE166" i="23" s="1"/>
  <c r="V175" i="23"/>
  <c r="AE175" i="23" s="1"/>
  <c r="V176" i="23"/>
  <c r="AE176" i="23" s="1"/>
  <c r="V177" i="23"/>
  <c r="AE177" i="23" s="1"/>
  <c r="V160" i="23"/>
  <c r="AE160" i="23" s="1"/>
  <c r="V179" i="23"/>
  <c r="AE179" i="23" s="1"/>
  <c r="V178" i="23"/>
  <c r="AE178" i="23" s="1"/>
  <c r="V159" i="23"/>
  <c r="AE159" i="23" s="1"/>
  <c r="V163" i="23"/>
  <c r="AE163" i="23" s="1"/>
  <c r="V165" i="23"/>
  <c r="AE165" i="23" s="1"/>
  <c r="V156" i="23"/>
  <c r="AE156" i="23" s="1"/>
  <c r="V185" i="23"/>
  <c r="AE185" i="23" s="1"/>
  <c r="V173" i="23"/>
  <c r="AE173" i="23" s="1"/>
  <c r="V183" i="23"/>
  <c r="AE183" i="23" s="1"/>
  <c r="V182" i="23"/>
  <c r="AE182" i="23" s="1"/>
  <c r="V157" i="23"/>
  <c r="AE157" i="23" s="1"/>
  <c r="V155" i="23"/>
  <c r="V169" i="23"/>
  <c r="AE169" i="23" s="1"/>
  <c r="V171" i="23"/>
  <c r="AE171" i="23" s="1"/>
  <c r="V164" i="23"/>
  <c r="AE164" i="23" s="1"/>
  <c r="V168" i="23"/>
  <c r="AE168" i="23" s="1"/>
  <c r="V170" i="23"/>
  <c r="AE170" i="23" s="1"/>
  <c r="V172" i="23"/>
  <c r="AE172" i="23" s="1"/>
  <c r="V181" i="23"/>
  <c r="AE181" i="23" s="1"/>
  <c r="AE43" i="23"/>
  <c r="P180" i="23"/>
  <c r="M180" i="23"/>
  <c r="S180" i="23"/>
  <c r="P173" i="23"/>
  <c r="M173" i="23"/>
  <c r="S173" i="23"/>
  <c r="AB173" i="23"/>
  <c r="S151" i="23"/>
  <c r="M151" i="23"/>
  <c r="P151" i="23"/>
  <c r="AE180" i="23"/>
  <c r="E7" i="24"/>
  <c r="AD189" i="23"/>
  <c r="AE167" i="23"/>
  <c r="H7" i="24"/>
  <c r="V151" i="23"/>
  <c r="AB151" i="23"/>
  <c r="AD187" i="23"/>
  <c r="J187" i="23"/>
  <c r="V115" i="23"/>
  <c r="AE83" i="23"/>
  <c r="AE115" i="23" s="1"/>
  <c r="AE161" i="23"/>
  <c r="V64" i="23"/>
  <c r="AE64" i="23" s="1"/>
  <c r="W79" i="23"/>
  <c r="X79" i="23"/>
  <c r="V71" i="23"/>
  <c r="AE71" i="23" s="1"/>
  <c r="V74" i="23"/>
  <c r="AE74" i="23" s="1"/>
  <c r="V62" i="23"/>
  <c r="AE62" i="23" s="1"/>
  <c r="V51" i="23"/>
  <c r="AE51" i="23" s="1"/>
  <c r="V63" i="23"/>
  <c r="AE63" i="23" s="1"/>
  <c r="V69" i="23"/>
  <c r="AE69" i="23" s="1"/>
  <c r="V73" i="23"/>
  <c r="AE73" i="23" s="1"/>
  <c r="V67" i="23"/>
  <c r="AE67" i="23" s="1"/>
  <c r="V52" i="23"/>
  <c r="AE52" i="23" s="1"/>
  <c r="V72" i="23"/>
  <c r="AE72" i="23" s="1"/>
  <c r="V50" i="23"/>
  <c r="AE50" i="23" s="1"/>
  <c r="V58" i="23"/>
  <c r="AE58" i="23" s="1"/>
  <c r="V68" i="23"/>
  <c r="AE68" i="23" s="1"/>
  <c r="V55" i="23"/>
  <c r="AE55" i="23" s="1"/>
  <c r="V76" i="23"/>
  <c r="AE76" i="23" s="1"/>
  <c r="V66" i="23"/>
  <c r="AE66" i="23" s="1"/>
  <c r="V48" i="23"/>
  <c r="AE48" i="23" s="1"/>
  <c r="V75" i="23"/>
  <c r="AE75" i="23" s="1"/>
  <c r="V54" i="23"/>
  <c r="AE54" i="23" s="1"/>
  <c r="V60" i="23"/>
  <c r="AE60" i="23" s="1"/>
  <c r="V78" i="23"/>
  <c r="AE78" i="23" s="1"/>
  <c r="V70" i="23"/>
  <c r="AE70" i="23" s="1"/>
  <c r="V56" i="23"/>
  <c r="AE56" i="23" s="1"/>
  <c r="V57" i="23"/>
  <c r="AE57" i="23" s="1"/>
  <c r="V77" i="23"/>
  <c r="AE77" i="23" s="1"/>
  <c r="V61" i="23"/>
  <c r="AE61" i="23" s="1"/>
  <c r="V49" i="23"/>
  <c r="AE49" i="23" s="1"/>
  <c r="V47" i="23"/>
  <c r="V65" i="23"/>
  <c r="AE65" i="23" s="1"/>
  <c r="V53" i="23"/>
  <c r="AE53" i="23" s="1"/>
  <c r="AG155" i="23"/>
  <c r="AG187" i="23" s="1"/>
  <c r="V43" i="23"/>
  <c r="S167" i="23"/>
  <c r="P167" i="23"/>
  <c r="M167" i="23"/>
  <c r="AE59" i="23"/>
  <c r="AD79" i="23"/>
  <c r="V180" i="23"/>
  <c r="AG167" i="23"/>
  <c r="I187" i="23"/>
  <c r="P155" i="23"/>
  <c r="M155" i="23"/>
  <c r="S155" i="23"/>
  <c r="AB155" i="23"/>
  <c r="I139" i="11"/>
  <c r="I188" i="23" l="1"/>
  <c r="M187" i="23"/>
  <c r="S187" i="23"/>
  <c r="P187" i="23"/>
  <c r="AB187" i="23"/>
  <c r="V79" i="23"/>
  <c r="AE47" i="23"/>
  <c r="AE79" i="23" s="1"/>
  <c r="V187" i="23"/>
  <c r="AE155" i="23"/>
  <c r="AE187" i="23"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<sst xmlns="http://schemas.openxmlformats.org/spreadsheetml/2006/main" count="1202" uniqueCount="619">
  <si>
    <t>Referral and Visit Lags</t>
  </si>
  <si>
    <r>
      <rPr>
        <b/>
        <sz val="11"/>
        <color rgb="FF000000"/>
        <rFont val="Calibri"/>
        <family val="2"/>
        <scheme val="minor"/>
      </rPr>
      <t xml:space="preserve">Table One: Referral Lags for Hospital-Owned Services
</t>
    </r>
    <r>
      <rPr>
        <sz val="11"/>
        <color rgb="FF000000"/>
        <rFont val="Calibri"/>
        <family val="2"/>
        <scheme val="minor"/>
      </rPr>
      <t>Please input referral lags for all hospital-owned services.</t>
    </r>
  </si>
  <si>
    <t xml:space="preserve">Type of Service </t>
  </si>
  <si>
    <t>Total number of patients</t>
  </si>
  <si>
    <t>The percentage of appointments scheduled within three business days of referral</t>
  </si>
  <si>
    <t>All Primary Care</t>
  </si>
  <si>
    <t>All Addiction Services</t>
  </si>
  <si>
    <t>All Allergy Care</t>
  </si>
  <si>
    <t>All Cardiology</t>
  </si>
  <si>
    <t>All Dermatology</t>
  </si>
  <si>
    <t>All Ear, Nose, and Throat</t>
  </si>
  <si>
    <t>All Endocrinology</t>
  </si>
  <si>
    <t>All Gastroenterology</t>
  </si>
  <si>
    <t>All General Surgery</t>
  </si>
  <si>
    <t>All Infectious Diseases</t>
  </si>
  <si>
    <t>All Neurology</t>
  </si>
  <si>
    <t>All OB/GYN</t>
  </si>
  <si>
    <t>All Oncology / Hematology</t>
  </si>
  <si>
    <t>All Opthalmology</t>
  </si>
  <si>
    <t>All Orthopedics</t>
  </si>
  <si>
    <t>All Pain Medicine</t>
  </si>
  <si>
    <t>All Podiatry</t>
  </si>
  <si>
    <t>All Psychiatry</t>
  </si>
  <si>
    <t>All Pulmonology</t>
  </si>
  <si>
    <t>All Radiology</t>
  </si>
  <si>
    <t>All Rheumatology</t>
  </si>
  <si>
    <t>All Sleep Medicine</t>
  </si>
  <si>
    <t>All Urology</t>
  </si>
  <si>
    <t xml:space="preserve">[CUSTOM ENTRIES] </t>
  </si>
  <si>
    <r>
      <rPr>
        <b/>
        <sz val="11"/>
        <color rgb="FF000000"/>
        <rFont val="Calibri"/>
        <family val="2"/>
        <scheme val="minor"/>
      </rPr>
      <t xml:space="preserve">Table Two: Referral Lags for Imaging Procedures 
</t>
    </r>
    <r>
      <rPr>
        <sz val="11"/>
        <color rgb="FF000000"/>
        <rFont val="Calibri"/>
        <family val="2"/>
        <scheme val="minor"/>
      </rPr>
      <t>Please input referral lags for the top five most frequent imaging procedures.</t>
    </r>
  </si>
  <si>
    <t>Imaging Procedure</t>
  </si>
  <si>
    <t>1 [CUSTOM ENTRY]</t>
  </si>
  <si>
    <t>2 [CUSTOM ENTRY]</t>
  </si>
  <si>
    <t>3 [CUSTOM ENTRY]</t>
  </si>
  <si>
    <t>4 [CUSTOM ENTRY]</t>
  </si>
  <si>
    <t>5 [CUSTOM ENTRY]</t>
  </si>
  <si>
    <t xml:space="preserve"> [MORE CUSTOM ENTRIES ]</t>
  </si>
  <si>
    <r>
      <rPr>
        <b/>
        <sz val="11"/>
        <color rgb="FF000000"/>
        <rFont val="Calibri"/>
        <family val="2"/>
        <scheme val="minor"/>
      </rPr>
      <t xml:space="preserve">Table Three: Visit Lags for Hospital-Owned Services
</t>
    </r>
    <r>
      <rPr>
        <sz val="11"/>
        <color rgb="FF000000"/>
        <rFont val="Calibri"/>
        <family val="2"/>
        <scheme val="minor"/>
      </rPr>
      <t>Please input visit lags for all hospital-owned services.</t>
    </r>
    <r>
      <rPr>
        <b/>
        <sz val="11"/>
        <color rgb="FF000000"/>
        <rFont val="Calibri"/>
        <family val="2"/>
        <scheme val="minor"/>
      </rPr>
      <t xml:space="preserve"> Please remember to </t>
    </r>
    <r>
      <rPr>
        <b/>
        <i/>
        <sz val="11"/>
        <color rgb="FF000000"/>
        <rFont val="Calibri"/>
        <family val="2"/>
        <scheme val="minor"/>
      </rPr>
      <t>include</t>
    </r>
    <r>
      <rPr>
        <b/>
        <sz val="11"/>
        <color rgb="FF000000"/>
        <rFont val="Calibri"/>
        <family val="2"/>
        <scheme val="minor"/>
      </rPr>
      <t xml:space="preserve"> weekends and holidays in your calculation.</t>
    </r>
  </si>
  <si>
    <t>Total number of new patients</t>
  </si>
  <si>
    <t xml:space="preserve">Percentage of new patients scheduled to be seen within 14 days  </t>
  </si>
  <si>
    <t>Percentage of new patients scheduled to be seen within 30 days</t>
  </si>
  <si>
    <t>Percentage of new patients scheduled to be seen within 90 days</t>
  </si>
  <si>
    <t>Percentage of new patients scheduled to be seen within 180 days</t>
  </si>
  <si>
    <t>[CUSTOM ENTRIES]</t>
  </si>
  <si>
    <r>
      <rPr>
        <b/>
        <sz val="11"/>
        <color rgb="FF000000"/>
        <rFont val="Calibri"/>
        <family val="2"/>
        <scheme val="minor"/>
      </rPr>
      <t xml:space="preserve">Table Four: Visit Lags for Imaging Procedures
</t>
    </r>
    <r>
      <rPr>
        <sz val="11"/>
        <color rgb="FF000000"/>
        <rFont val="Calibri"/>
        <family val="2"/>
        <scheme val="minor"/>
      </rPr>
      <t xml:space="preserve">Please input visit lags for the top five most frequent imaging procedures. </t>
    </r>
    <r>
      <rPr>
        <b/>
        <sz val="11"/>
        <color rgb="FF000000"/>
        <rFont val="Calibri"/>
        <family val="2"/>
        <scheme val="minor"/>
      </rPr>
      <t>Please remember to include weekends and holidays in your calculation.</t>
    </r>
  </si>
  <si>
    <t>Imaging Procedures</t>
  </si>
  <si>
    <t xml:space="preserve">Clinical Productivity </t>
  </si>
  <si>
    <t xml:space="preserve">Note: If you are unable to answer the question in full, please provide GMCB with a written explanation of your limitations and answer the question to the best of your ability. 				</t>
  </si>
  <si>
    <t xml:space="preserve">Table Seven: Clinical Productivity </t>
  </si>
  <si>
    <t>Please report average work RVUs per clinical physician FTE by department – both the level and the associated percentile of national benchmarks, or similar, for the most recent year available. Report the number of clinical and budgeted FTEs (if different) that are included in the denominator.</t>
  </si>
  <si>
    <t>Department</t>
  </si>
  <si>
    <t>work RVUS / Clinical Physician FTEs</t>
  </si>
  <si>
    <t>Associated Percentile of National Benchmark</t>
  </si>
  <si>
    <t>Benchmark Source Details</t>
  </si>
  <si>
    <t>Number of Clinical Physician FTEs</t>
  </si>
  <si>
    <t xml:space="preserve">Number of Budgeted Clinical Physician FTEs (if different) </t>
  </si>
  <si>
    <t>Year of Data</t>
  </si>
  <si>
    <t>Description</t>
  </si>
  <si>
    <t>NPR YOY</t>
  </si>
  <si>
    <t>W</t>
  </si>
  <si>
    <t>*each value is collected or calculated by payer and core service line</t>
  </si>
  <si>
    <t>Hospital to Provide - Currently Filled with Example Data.</t>
  </si>
  <si>
    <t>Calculated</t>
  </si>
  <si>
    <t>Month of Commercial Rate Implementation</t>
  </si>
  <si>
    <t>January</t>
  </si>
  <si>
    <t>Inpatient</t>
  </si>
  <si>
    <t>NPR FY25
Budget</t>
  </si>
  <si>
    <t>NPR YOY 
(Budget to Budget)</t>
  </si>
  <si>
    <t>Medicaid</t>
  </si>
  <si>
    <t>Medicare - Traditional</t>
  </si>
  <si>
    <t>Medicare - Advantage</t>
  </si>
  <si>
    <t>October</t>
  </si>
  <si>
    <t>Commercial</t>
  </si>
  <si>
    <t>November</t>
  </si>
  <si>
    <t>December</t>
  </si>
  <si>
    <t>February</t>
  </si>
  <si>
    <t>March</t>
  </si>
  <si>
    <t>All other Commercial</t>
  </si>
  <si>
    <t>April</t>
  </si>
  <si>
    <t>June</t>
  </si>
  <si>
    <t>FPP - Medicaid</t>
  </si>
  <si>
    <t>July</t>
  </si>
  <si>
    <t>Risk/Reserves</t>
  </si>
  <si>
    <t>August</t>
  </si>
  <si>
    <t>Overall Inpatient</t>
  </si>
  <si>
    <t>September</t>
  </si>
  <si>
    <t>Outpatient</t>
  </si>
  <si>
    <t>Overall Outpatient</t>
  </si>
  <si>
    <t>Professional Services</t>
  </si>
  <si>
    <t>Overall Professional Services</t>
  </si>
  <si>
    <t>Other Services</t>
  </si>
  <si>
    <t>TOTAL</t>
  </si>
  <si>
    <t>Overall Total</t>
  </si>
  <si>
    <t>Notes</t>
  </si>
  <si>
    <t>Please report IP Psych consistently with prior years, and indicate in your narrative whether it is included in "inpatient" or "other services".</t>
  </si>
  <si>
    <t>Financial Impact - Note - investments in regional collaborations should be equal to a negative dollar amount, while income generating/savings are positive dollar amounts</t>
  </si>
  <si>
    <t>Collaboration description</t>
  </si>
  <si>
    <t>Description of organization purpose</t>
  </si>
  <si>
    <t>Name of organization</t>
  </si>
  <si>
    <t>Regional Collaborations</t>
  </si>
  <si>
    <t>Ancillary Services</t>
  </si>
  <si>
    <t>FY 2026</t>
  </si>
  <si>
    <t xml:space="preserve">FY 2025 </t>
  </si>
  <si>
    <t>FY 2025</t>
  </si>
  <si>
    <t>General Services</t>
  </si>
  <si>
    <t>Budget</t>
  </si>
  <si>
    <t>Projected</t>
  </si>
  <si>
    <t>Budget - Given guidance</t>
  </si>
  <si>
    <t>*Required with any +/- 10% change</t>
  </si>
  <si>
    <t>Notes*</t>
  </si>
  <si>
    <t>% Difference</t>
  </si>
  <si>
    <t>FY 26 guidance vs. budget</t>
  </si>
  <si>
    <t>Acupuncture &amp; Pain Management</t>
  </si>
  <si>
    <t>Ambulance Service</t>
  </si>
  <si>
    <t>Ambulatory Care</t>
  </si>
  <si>
    <t>Anesthesiology</t>
  </si>
  <si>
    <t>Blood Bank</t>
  </si>
  <si>
    <t>Cardiac Catheterization</t>
  </si>
  <si>
    <t>Cardiac Rehab</t>
  </si>
  <si>
    <t>Cat Scan</t>
  </si>
  <si>
    <t>Chemotherapy</t>
  </si>
  <si>
    <t>CRNA</t>
  </si>
  <si>
    <t>Day Hospital</t>
  </si>
  <si>
    <t>Diabetic Education</t>
  </si>
  <si>
    <t>Drugs Sold</t>
  </si>
  <si>
    <t>EEG</t>
  </si>
  <si>
    <t>EKG</t>
  </si>
  <si>
    <t>Emergency Room</t>
  </si>
  <si>
    <t>EMG</t>
  </si>
  <si>
    <t>Holter</t>
  </si>
  <si>
    <t>Infectious Disease</t>
  </si>
  <si>
    <t>Infusion Therapy/Anticoagulation</t>
  </si>
  <si>
    <t>Inhalation Therapy</t>
  </si>
  <si>
    <t>IV Therapy</t>
  </si>
  <si>
    <t>Kidney Acquisition</t>
  </si>
  <si>
    <t>Labor &amp; Delivery</t>
  </si>
  <si>
    <t>Laboratory</t>
  </si>
  <si>
    <t>Magnetic Resonance Image</t>
  </si>
  <si>
    <t>Maternity Observation</t>
  </si>
  <si>
    <t>Med/Surg Supplies Sold</t>
  </si>
  <si>
    <t>Mental Health</t>
  </si>
  <si>
    <t>Nuclear Medicine</t>
  </si>
  <si>
    <t>Nursing Outpatient</t>
  </si>
  <si>
    <t>Nutrient Consulting</t>
  </si>
  <si>
    <t>Ocupational Health</t>
  </si>
  <si>
    <t>Operating Room</t>
  </si>
  <si>
    <t>Other - Pet CT</t>
  </si>
  <si>
    <t>Other - Rad Phys</t>
  </si>
  <si>
    <t>Other - Stress/Locum Tenens</t>
  </si>
  <si>
    <t>Other - Telemetry</t>
  </si>
  <si>
    <t>Other Ancillary Services</t>
  </si>
  <si>
    <t>Physical Therapy</t>
  </si>
  <si>
    <t>Positron Emission Tomography (PET)</t>
  </si>
  <si>
    <t>Psychological Testing</t>
  </si>
  <si>
    <t>Pulmonary Function</t>
  </si>
  <si>
    <t>Radiation/Oncology</t>
  </si>
  <si>
    <t>Radiology - Diagnostic</t>
  </si>
  <si>
    <t>Radiology - Therapeutic</t>
  </si>
  <si>
    <t>Recovery Room</t>
  </si>
  <si>
    <t>Rehabilitative Services</t>
  </si>
  <si>
    <t>Renal Dialysis</t>
  </si>
  <si>
    <t>Sleep Lab</t>
  </si>
  <si>
    <t>Speech Therapy</t>
  </si>
  <si>
    <t>Ultrasound</t>
  </si>
  <si>
    <t>Ancillary Services (Uncategorized)</t>
  </si>
  <si>
    <t>Administration</t>
  </si>
  <si>
    <t>Central Services &amp; Supplies</t>
  </si>
  <si>
    <t>Dietary</t>
  </si>
  <si>
    <t>Fiscal Services</t>
  </si>
  <si>
    <t>Housekeeping</t>
  </si>
  <si>
    <t>Interns &amp; Residents</t>
  </si>
  <si>
    <t>Laundry &amp; Linen</t>
  </si>
  <si>
    <t>Maintenance of Personnel</t>
  </si>
  <si>
    <t>Medical Care Evaluation</t>
  </si>
  <si>
    <t>Medical Library</t>
  </si>
  <si>
    <t>Medical Records</t>
  </si>
  <si>
    <t>Medical Staff Education</t>
  </si>
  <si>
    <t>Nursing Administration</t>
  </si>
  <si>
    <t>Nursing Education</t>
  </si>
  <si>
    <t>Operation of Plant &amp; Maintenance</t>
  </si>
  <si>
    <t>Pharmacy</t>
  </si>
  <si>
    <t>Research</t>
  </si>
  <si>
    <t>Social Service</t>
  </si>
  <si>
    <t>General Services (Uncategorized)</t>
  </si>
  <si>
    <t>Inpatient Routine Services</t>
  </si>
  <si>
    <t>Acute Care Services</t>
  </si>
  <si>
    <t>Critical Care</t>
  </si>
  <si>
    <t>Hospitalist</t>
  </si>
  <si>
    <t>Medical/Surgical</t>
  </si>
  <si>
    <t>Neonatal ICU</t>
  </si>
  <si>
    <t>OB/GYN</t>
  </si>
  <si>
    <t>Other Acute Care Services</t>
  </si>
  <si>
    <t>Pediatric</t>
  </si>
  <si>
    <t>Psychiatry</t>
  </si>
  <si>
    <t>Psychiatry - Inpatient</t>
  </si>
  <si>
    <t>Acute Care Services (Uncategorized)</t>
  </si>
  <si>
    <t>Chronic &amp; Rehabilitation</t>
  </si>
  <si>
    <t>Nursery</t>
  </si>
  <si>
    <t>SNF/ECF</t>
  </si>
  <si>
    <t>Swing Beds</t>
  </si>
  <si>
    <t>Inpatient Routine Services (Uncategorized)</t>
  </si>
  <si>
    <t>Outpatient Routine Services</t>
  </si>
  <si>
    <t>Clinics - Outpatient</t>
  </si>
  <si>
    <t>Home Health</t>
  </si>
  <si>
    <t>Observation Care</t>
  </si>
  <si>
    <t>Other - Comm Wellness</t>
  </si>
  <si>
    <t>Other - Endo</t>
  </si>
  <si>
    <t>Other - Oncology, CCC and Occ Health</t>
  </si>
  <si>
    <t>Other Outpatient Services</t>
  </si>
  <si>
    <t>Population Health Model</t>
  </si>
  <si>
    <t>Surgical Day Care</t>
  </si>
  <si>
    <t>Outpatient Routine Services (Uncategorized)</t>
  </si>
  <si>
    <t>Physician Office Practice Services</t>
  </si>
  <si>
    <t>All Other Hospitals</t>
  </si>
  <si>
    <t>Anesthesiologists, radiologists, and other physicians</t>
  </si>
  <si>
    <t>Clinics</t>
  </si>
  <si>
    <t>Hospitalists</t>
  </si>
  <si>
    <t>Other - All Other Hospitals</t>
  </si>
  <si>
    <t>Physician practices</t>
  </si>
  <si>
    <t>All Other Hospitals (Uncategorized)</t>
  </si>
  <si>
    <t>Emergency Room Physicians</t>
  </si>
  <si>
    <t>Physician Departments</t>
  </si>
  <si>
    <t>Anesthesia</t>
  </si>
  <si>
    <t>Cancer Services</t>
  </si>
  <si>
    <t>Childrens</t>
  </si>
  <si>
    <t>Family Medicine</t>
  </si>
  <si>
    <t>Medical Group Administration</t>
  </si>
  <si>
    <t>Medicine</t>
  </si>
  <si>
    <t>MG Radiation Oncology</t>
  </si>
  <si>
    <t>Neurology</t>
  </si>
  <si>
    <t>Ortho Rehab</t>
  </si>
  <si>
    <t>Other - Physician Departments</t>
  </si>
  <si>
    <t>Pathology</t>
  </si>
  <si>
    <t>PCIM</t>
  </si>
  <si>
    <t>Professional Revenue Department</t>
  </si>
  <si>
    <t>Radiology</t>
  </si>
  <si>
    <t>Surgery</t>
  </si>
  <si>
    <t>Womens</t>
  </si>
  <si>
    <t>Physician Departments (Uncategorized)</t>
  </si>
  <si>
    <t>Physician Office Practice Services (Uncategorized)</t>
  </si>
  <si>
    <t>Department (Uncategorized)</t>
  </si>
  <si>
    <t>Department (Uncategorized) - Total</t>
  </si>
  <si>
    <t>Total</t>
  </si>
  <si>
    <t>Physician Office Practice Services - Total</t>
  </si>
  <si>
    <t>Physician Office Practice Services (Uncategorized) - Total</t>
  </si>
  <si>
    <t>Physician Departments - Total</t>
  </si>
  <si>
    <t>Emergency Room Physicians - Total</t>
  </si>
  <si>
    <t>All Other Hospitals - Total</t>
  </si>
  <si>
    <t>Other Services - Total</t>
  </si>
  <si>
    <t>Inpatient Routine Services - Total</t>
  </si>
  <si>
    <t>General Services - Total</t>
  </si>
  <si>
    <t>Ancillary Services - Total</t>
  </si>
  <si>
    <t>Category</t>
  </si>
  <si>
    <t>Sub Category</t>
  </si>
  <si>
    <t>FY19</t>
  </si>
  <si>
    <t>FY20</t>
  </si>
  <si>
    <t>FY21</t>
  </si>
  <si>
    <t>FY22</t>
  </si>
  <si>
    <t>FY24</t>
  </si>
  <si>
    <t>FY25</t>
  </si>
  <si>
    <t>FY26</t>
  </si>
  <si>
    <t>Highest Margin Services</t>
  </si>
  <si>
    <t>Historical Margin</t>
  </si>
  <si>
    <t>Revenue</t>
  </si>
  <si>
    <t>Lowest Margin Services</t>
  </si>
  <si>
    <t>Primary Care</t>
  </si>
  <si>
    <t>Is there a primary care open to new patients?</t>
  </si>
  <si>
    <t>Line Item</t>
  </si>
  <si>
    <t xml:space="preserve">Total Revenues from Patient Cost-Sharing </t>
  </si>
  <si>
    <t xml:space="preserve">Note: If you are unable to calculate 'total revenues from patient cost-sharing', please provide as written explanation as to why in the space below. </t>
  </si>
  <si>
    <t>340B Program Data</t>
  </si>
  <si>
    <t>Value (FY2024)</t>
  </si>
  <si>
    <t>Value (FY2025 Projected)</t>
  </si>
  <si>
    <t>Total Revenues from the 340B Program</t>
  </si>
  <si>
    <t xml:space="preserve">Please list the aggregated payment amount that your hospital received for all prescription drugs obtained through the 340B program and dispensed to patients during the fiscal year. </t>
  </si>
  <si>
    <t xml:space="preserve">Total Expenses associated with the 340B Program </t>
  </si>
  <si>
    <t xml:space="preserve">Estimated Profits from the 340B Program </t>
  </si>
  <si>
    <t xml:space="preserve">Weighted Average - Commercial Price Over Medicare </t>
  </si>
  <si>
    <t xml:space="preserve">Please estimate your hospital's total expenditures for obtaining drugs under the 340B program and dispensing them to patients during the fiscal year.
Total expenditures include operational and administrative spending, payments to contract pharmacies, as well as any payments to outside vendors.   </t>
  </si>
  <si>
    <t xml:space="preserve">Your estimated profits should equal your 'total revenues' (row 5) minus your total expenses (row 9).  </t>
  </si>
  <si>
    <r>
      <rPr>
        <sz val="11"/>
        <color rgb="FF000000"/>
        <rFont val="Calibri"/>
        <family val="2"/>
        <scheme val="minor"/>
      </rPr>
      <t>Please list the aggregated payment amount that your hospital received from patients (including patient deductibles, copaments, coinsurance, and out-of-pocket payments) for</t>
    </r>
    <r>
      <rPr>
        <b/>
        <sz val="11"/>
        <color rgb="FF000000"/>
        <rFont val="Calibri"/>
        <family val="2"/>
        <scheme val="minor"/>
      </rPr>
      <t xml:space="preserve"> </t>
    </r>
    <r>
      <rPr>
        <sz val="11"/>
        <color rgb="FF000000"/>
        <rFont val="Calibri"/>
        <family val="2"/>
        <scheme val="minor"/>
      </rPr>
      <t>all prescription drugs obtained through the 340B program and dispensed to patients during the fiscal year. 
The value should equal your total 340B revenues (row 5) minus any 340B revenues from insurance plans.</t>
    </r>
  </si>
  <si>
    <t>Salaries &amp; Benefits</t>
  </si>
  <si>
    <t>Expense</t>
  </si>
  <si>
    <t>FY2025</t>
  </si>
  <si>
    <t>FY2026</t>
  </si>
  <si>
    <t>YoY Change</t>
  </si>
  <si>
    <t>Labor</t>
  </si>
  <si>
    <t>Clinical</t>
  </si>
  <si>
    <t>Non-Clinical</t>
  </si>
  <si>
    <t>Notes - explain any variances greater than 5%</t>
  </si>
  <si>
    <t>Physicians</t>
  </si>
  <si>
    <t>Locums</t>
  </si>
  <si>
    <t>Nursing</t>
  </si>
  <si>
    <t>Contract Staff (Nursing)</t>
  </si>
  <si>
    <t>Contract Staff (Other)</t>
  </si>
  <si>
    <t>Salaries - Other</t>
  </si>
  <si>
    <t xml:space="preserve">*Please cross-walk numbers above to the income statement in your narrative </t>
  </si>
  <si>
    <t>**Include benefits in line with how you report fringe on the income statements</t>
  </si>
  <si>
    <t>FTE's</t>
  </si>
  <si>
    <t>Supply Category</t>
  </si>
  <si>
    <t>FY2025 Budgeted Expense</t>
  </si>
  <si>
    <t>Utilizaton</t>
  </si>
  <si>
    <t xml:space="preserve">Price </t>
  </si>
  <si>
    <t>Other</t>
  </si>
  <si>
    <t>FY2026 Budget</t>
  </si>
  <si>
    <t>Utilization Factor</t>
  </si>
  <si>
    <t>Inflation Factor</t>
  </si>
  <si>
    <t>Other Factor</t>
  </si>
  <si>
    <t>Year over Year Change</t>
  </si>
  <si>
    <t>Medical Supplies</t>
  </si>
  <si>
    <t>7% increase in cost of blood
Other = small equipment purchases that were deemed necessary by zero-based budgeting</t>
  </si>
  <si>
    <t>Non-Medical Supplies</t>
  </si>
  <si>
    <t>Raw Food</t>
  </si>
  <si>
    <t xml:space="preserve">Insurance </t>
  </si>
  <si>
    <t>Additional providers for General surgery drove need for increased insurance. Switched to a captive insurance program for additional savings</t>
  </si>
  <si>
    <t>Utilities</t>
  </si>
  <si>
    <t>Increase in heating costs</t>
  </si>
  <si>
    <t>Member Months</t>
  </si>
  <si>
    <t>FY23</t>
  </si>
  <si>
    <t>Medicare</t>
  </si>
  <si>
    <t>Medicare Advantage</t>
  </si>
  <si>
    <t>All Payers</t>
  </si>
  <si>
    <t>*Please ensure FY2026 non-contract FTEs ties to the FTE sheet in Adaptive</t>
  </si>
  <si>
    <t>*These should tie to your income &amp; expense report (less labor expense, depreciation &amp; amortization)</t>
  </si>
  <si>
    <t>Funding Sources</t>
  </si>
  <si>
    <t>Amount</t>
  </si>
  <si>
    <t>Associated depreciation</t>
  </si>
  <si>
    <t>FY2026 Capital Expenditure - (Summary level)</t>
  </si>
  <si>
    <t>Commercial Payer 1</t>
  </si>
  <si>
    <t>Commercial Payer 2</t>
  </si>
  <si>
    <t>Commercial Payer 3</t>
  </si>
  <si>
    <t>All Others</t>
  </si>
  <si>
    <t>FY25 YTD</t>
  </si>
  <si>
    <t>FY26 Budg</t>
  </si>
  <si>
    <t>Hospital Name:</t>
  </si>
  <si>
    <t>Historical Case Mix Index</t>
  </si>
  <si>
    <t>Balance Sheet</t>
  </si>
  <si>
    <t>UVMMC</t>
  </si>
  <si>
    <t>CVMC</t>
  </si>
  <si>
    <t>Porter</t>
  </si>
  <si>
    <t>Total
UVMHN</t>
  </si>
  <si>
    <t>Income Statement</t>
  </si>
  <si>
    <t>Change in Net Assets</t>
  </si>
  <si>
    <t>Cash Flows</t>
  </si>
  <si>
    <t>Current assets:</t>
  </si>
  <si>
    <t>Cash and cash equivalents</t>
  </si>
  <si>
    <t>Net patient service revenue before GME</t>
  </si>
  <si>
    <t>Excess of revenue over expense</t>
  </si>
  <si>
    <t>Increase in net assets</t>
  </si>
  <si>
    <t>Short-term investments</t>
  </si>
  <si>
    <t>Graduate Medical Education revenues – Hospital</t>
  </si>
  <si>
    <t>Net change in unrealized gains and losses on fixed-income investments</t>
  </si>
  <si>
    <t>Adjustments to reconcile change in net assets to net cash provided by operating activities:</t>
  </si>
  <si>
    <t>Current portion of assets whose use is limited or restricted</t>
  </si>
  <si>
    <t>Graduate Medical Education revenues – Professional</t>
  </si>
  <si>
    <t>Net assets released from restrictions for capital purchases</t>
  </si>
  <si>
    <t>Depreciation and amortization</t>
  </si>
  <si>
    <t>Patient and other trade accounts receivable, net</t>
  </si>
  <si>
    <t>Net patient service revenue</t>
  </si>
  <si>
    <t>Pension related adjustments</t>
  </si>
  <si>
    <t>Contributions restricted for long-term use</t>
  </si>
  <si>
    <t>Due from related parties</t>
  </si>
  <si>
    <t>Transfers and other</t>
  </si>
  <si>
    <t>Inventories</t>
  </si>
  <si>
    <t>Fixed prospective payment revenue</t>
  </si>
  <si>
    <t>Increase in net assets without donor restrictions</t>
  </si>
  <si>
    <t>Loss on disposal of property and equipment</t>
  </si>
  <si>
    <t>Receivables from third-party payors</t>
  </si>
  <si>
    <t>Premium revenue</t>
  </si>
  <si>
    <t>Change in fair value of interest rate swap agreements</t>
  </si>
  <si>
    <t>Prepaid and other current assets</t>
  </si>
  <si>
    <t>Outpatient and specialty pharmacy revenue</t>
  </si>
  <si>
    <t>Realized and unrealized gains on investments</t>
  </si>
  <si>
    <t>Total current assets</t>
  </si>
  <si>
    <t>Net assets released from restrictions</t>
  </si>
  <si>
    <t>Gifts, grants, and bequests</t>
  </si>
  <si>
    <t>Undistributed gains of affiliated companies</t>
  </si>
  <si>
    <t>Other revenue</t>
  </si>
  <si>
    <t>Investment gain (loss)</t>
  </si>
  <si>
    <t>Change in beneficial interest in perpetual trusts</t>
  </si>
  <si>
    <t>Assets whose use is limited or restricted:</t>
  </si>
  <si>
    <t>Board-designated assets</t>
  </si>
  <si>
    <t>Total revenue and other support without donor restrictions</t>
  </si>
  <si>
    <t>Net change in unrealized gains and losses on investments</t>
  </si>
  <si>
    <t>Amortization of operating right of use assets</t>
  </si>
  <si>
    <t>Assets held by trustee under bond indenture agreements</t>
  </si>
  <si>
    <t>Net assets released from restrictions used in operations</t>
  </si>
  <si>
    <t>Loss on extinguishment of debt</t>
  </si>
  <si>
    <t>Restricted assets</t>
  </si>
  <si>
    <t>Net assets released from restrictions used for capital purchases</t>
  </si>
  <si>
    <t>(Decrease) increase in cash resulting from a change in:</t>
  </si>
  <si>
    <t>Donor-restricted assets for specific purposes</t>
  </si>
  <si>
    <t>Expenses</t>
  </si>
  <si>
    <t>Patient and other accounts receivable</t>
  </si>
  <si>
    <t>Donor-restricted assets for perpetual endowment</t>
  </si>
  <si>
    <t>Salary, payroll taxes and fringe benefits</t>
  </si>
  <si>
    <t>Transfer of net assets</t>
  </si>
  <si>
    <t>Other current and noncurrent assets</t>
  </si>
  <si>
    <t>Total assets whose use is limited or restricted</t>
  </si>
  <si>
    <t>Supplies and other</t>
  </si>
  <si>
    <t>Increase in net assets with donor restrictions</t>
  </si>
  <si>
    <t>Accounts payable and accrued expenses</t>
  </si>
  <si>
    <t>Purchased services</t>
  </si>
  <si>
    <t>Accrued payroll and related expenses</t>
  </si>
  <si>
    <t>Property and equipment, net</t>
  </si>
  <si>
    <t>Provider tax</t>
  </si>
  <si>
    <t>Other current and noncurrent liabilities</t>
  </si>
  <si>
    <t>Operating lease right of use assets, net</t>
  </si>
  <si>
    <t>Net assets -  Beginning of year</t>
  </si>
  <si>
    <t>Estimated settlements with third-party payors</t>
  </si>
  <si>
    <t>Finance lease right of use assets, net</t>
  </si>
  <si>
    <t>Interest expense</t>
  </si>
  <si>
    <t>Net assets -  End of year</t>
  </si>
  <si>
    <t>Pension and other postretirement benefit obligations</t>
  </si>
  <si>
    <t>Total expenses</t>
  </si>
  <si>
    <t>Right-of-use lease liabilities and assets</t>
  </si>
  <si>
    <t>Income (loss) from operations</t>
  </si>
  <si>
    <t>Medicare accelerated and advance payments</t>
  </si>
  <si>
    <t>Total assets</t>
  </si>
  <si>
    <t>Net cash provided by operating activities</t>
  </si>
  <si>
    <t>Purchases of property and equipment</t>
  </si>
  <si>
    <t>Current liabilities:</t>
  </si>
  <si>
    <t>Accounts payable</t>
  </si>
  <si>
    <t>Nonoperating gains (losses)</t>
  </si>
  <si>
    <t>Purchases of investments</t>
  </si>
  <si>
    <t>Accrued expenses and other liabilities</t>
  </si>
  <si>
    <t>Investment income</t>
  </si>
  <si>
    <t>Proceeds from sales of investments</t>
  </si>
  <si>
    <t>Accrued payroll and related benefits</t>
  </si>
  <si>
    <t>Change in interest in investment pool</t>
  </si>
  <si>
    <t>Net cash (used in) provided by investing activities</t>
  </si>
  <si>
    <t>Current installments of long-term debt</t>
  </si>
  <si>
    <t>Current portion of third-party payor settlements</t>
  </si>
  <si>
    <t>Other components of pension income (expense)</t>
  </si>
  <si>
    <t>Due to related parties</t>
  </si>
  <si>
    <t>Incurred but not reported claims</t>
  </si>
  <si>
    <t>Operating lease right of use obligations</t>
  </si>
  <si>
    <t>Total nonoperating gains</t>
  </si>
  <si>
    <t>Finance lease right of use obligations</t>
  </si>
  <si>
    <t>Excess (deficiency) excess of revenue over expenses</t>
  </si>
  <si>
    <t>Current portion of contract liabilities</t>
  </si>
  <si>
    <t>Total current liabilities</t>
  </si>
  <si>
    <t>Long-term liabilities:</t>
  </si>
  <si>
    <t>Long-term debt, net of current installments</t>
  </si>
  <si>
    <t>Malpractice and workers’ compensation claims, net of current portion</t>
  </si>
  <si>
    <t>Increase (decrease) in net assets without donor restrictions</t>
  </si>
  <si>
    <t>Third-party payor settlements, net of current portion</t>
  </si>
  <si>
    <t>Due to related parties, long term</t>
  </si>
  <si>
    <t>Operating lease right of use obligations, net of current portion</t>
  </si>
  <si>
    <t>Finance lease right of use obligations, net of current portion</t>
  </si>
  <si>
    <t>Contract Liabilities, net of current portion</t>
  </si>
  <si>
    <t>Total long-term liabilities</t>
  </si>
  <si>
    <t>Net assets:</t>
  </si>
  <si>
    <t>Without donor restriction</t>
  </si>
  <si>
    <t>With donor restriction</t>
  </si>
  <si>
    <t>Time or purpose</t>
  </si>
  <si>
    <t>Perpetual</t>
  </si>
  <si>
    <t>Total with donor restrictions</t>
  </si>
  <si>
    <t>Total net assets</t>
  </si>
  <si>
    <t>Total liabilities and net assets</t>
  </si>
  <si>
    <t>Value (FY2026 Budget)</t>
  </si>
  <si>
    <t>If your budget is turned in my 6/25 - GMCB will provide this sheet with columns E-G pre-filled - and only column H will need to be completed</t>
  </si>
  <si>
    <t>Otherwise - please complete columns E-G and ensure dollar amounts tie</t>
  </si>
  <si>
    <t>*This table is built off of the Hospital &amp; Physician Revenue by Department Sheet in Adaptive - FY2025 Budget, FY2026 Projected and FY2026 Budget should tie with Adaptive entries</t>
  </si>
  <si>
    <t>*If your commercial reimbursement change does not fall on a quarter (say - in February) - please reach out and let HSF team know</t>
  </si>
  <si>
    <t>As a reminder - this tab is only meant to capture NPR due to reimbursement rate, and is not meant as a utilization/overall NPR model</t>
  </si>
  <si>
    <t xml:space="preserve">This accounts for any additional commercial reimbursement modeling that may fall past the September, 2026 (Q4) timeframe - </t>
  </si>
  <si>
    <t>FY27 Q1 - Q4</t>
  </si>
  <si>
    <t>This breaks out FY26 NPR due to reimbursement broken out by quarter - this allows reimbursement changes by commercial payer to be captured when they go into effect (i.e - January - December)*</t>
  </si>
  <si>
    <t>FY26 Q1 - Q4</t>
  </si>
  <si>
    <t>This rolls up to the budgeted NPR FY26 @ FY25 prices - should align with the rate decomp table</t>
  </si>
  <si>
    <t>FY25 Q1 - Q4</t>
  </si>
  <si>
    <t>The annualized rate increase should align with the rate decomp and captures reimbursement rate from October - September</t>
  </si>
  <si>
    <r>
      <t xml:space="preserve">For example - if an insurer has rate impacts that go into effect in say, January - this tab is meant to capture the reimbursement impact from January - December. 
</t>
    </r>
    <r>
      <rPr>
        <b/>
        <sz val="11"/>
        <color theme="9" tint="-0.249977111117893"/>
        <rFont val="Calibri"/>
        <family val="2"/>
        <scheme val="minor"/>
      </rPr>
      <t>The maximum commercial reimbursement rate here will be viewed against the benchmark if you are a hospital that effectuates rates outside of hte CMS calendar of Oct - September</t>
    </r>
  </si>
  <si>
    <t>The purpose of this tab is to look at reimbursement changes in alignment with when changes in reimbursement go into effect</t>
  </si>
  <si>
    <t>This tab is only required for hospitals that do not negotiate reimbursement changes from October - September, in alignment with the CMS calendar</t>
  </si>
  <si>
    <t>2. Commercial Reimbursement:</t>
  </si>
  <si>
    <t>This is an input equalling the percentage of services (based on dollars) that are impacted by increases in the chargemaster</t>
  </si>
  <si>
    <t>% of NPR impacted by change in chargemaster</t>
  </si>
  <si>
    <t>This is an input - please complete the charge master necessary to effectuate the reimbursement rate requested</t>
  </si>
  <si>
    <t>Chargemaster Increase Required for reimbursement increase requested:</t>
  </si>
  <si>
    <t>This is a data check to ensure that NPR to NPR change equals the sum of changes in utilization, payer mix, other &amp; reimbursement rate</t>
  </si>
  <si>
    <t>Check</t>
  </si>
  <si>
    <t>This is a weighted average of NPR growth by core service line &amp; payer - the weight used is NPR FY25 budget</t>
  </si>
  <si>
    <t>FY26 NPR Growth
(WAvg)</t>
  </si>
  <si>
    <t>NPR Growth against FY25 budget - this will be viewed against the NPR benchmark</t>
  </si>
  <si>
    <t>FY26 NPR Growth</t>
  </si>
  <si>
    <t>Weighted average growth in reimbursement rate by payer and core service line - here the weights used are relative to total NPR FY26 (at FY25 reimbursements)</t>
  </si>
  <si>
    <t>FY26 Rate (WAvg)</t>
  </si>
  <si>
    <r>
      <t xml:space="preserve">Reimbursement rate here is defined as the reimbursement increases applied to the modeled FY26 utilization, payer mix &amp; other. While some hospitals may negotiate using different methodology in negotiations with commercial payers (i.e - NPR change over gross charge)  - the desired rate must be converted to FY26 NPR over FY26 NPR @ FY25 reimbursements for budget review. This increase encompasses changes in discount off of gross charge, increase in reimbursement due to increased chargemaster, as well as services that are fee based and don't necessarily follow chargemaster changes (say - fees that follow Medicare reimbursement schedule), as well as any other additional change in reimbursement impact, excluding cost of care initiatives internal to the hospital. </t>
    </r>
    <r>
      <rPr>
        <b/>
        <sz val="11"/>
        <color theme="1"/>
        <rFont val="Calibri"/>
        <family val="2"/>
        <scheme val="minor"/>
      </rPr>
      <t>The maximum commercial rembursement rate here will be viewed if you are a hospital that effectuates rates October - September</t>
    </r>
  </si>
  <si>
    <t>FY26 Reimbursement Rate</t>
  </si>
  <si>
    <t>This is the rate that reimbursement - accounting for changes in utilization and payer mix - have on FY25 NPR. This impact may be more than or less than the average rate negotiated with insurers - this is due to the fact that changes in utilization may impact the mix of services &amp; their corresponding discounts off of gross revenue</t>
  </si>
  <si>
    <t>FY26 Reimbursement - impact on FY25 NPR</t>
  </si>
  <si>
    <t>The estimated growth in reimbursements, measured in dollars on NPR over prior year NPR.</t>
  </si>
  <si>
    <t xml:space="preserve">Reimbursement contribution to NPR YoY Increase </t>
  </si>
  <si>
    <t>Difference of FY26 NPR and FY25 Budgeted NPR that can be attributed to changes in reimbursement rate - for further explanation - see definition below</t>
  </si>
  <si>
    <t>NPR FY25 due to Reimbursements</t>
  </si>
  <si>
    <t>This applies FY26 reimbursement changes to the NPR FY26 @ FY25 reimbursements - this should equal (and can be set equal) to NPR FY26</t>
  </si>
  <si>
    <t>NPR FY26 @FY26 Reimbursements (NPR FY26)</t>
  </si>
  <si>
    <t>Please explain what is driving the expected variation from projections - helpful information to include would be:
-how drivers relate to the utilization, payer mix &amp; all other column (i.e - medicaid disenrollment may project a drop in payer mix with an offsetting increase in utilization)
-expected timeframe of impact (i.e - surgeon vacancy with mid-year resolution expected)</t>
  </si>
  <si>
    <t>Notes - Explanation Required for any variance beyond +/- 2% (less than 98% or greater than 102%) for FY26 over FY25 projections</t>
  </si>
  <si>
    <t>This shows growth drivers of FY26 budgeted NPR outside of reimbursements - relative to projections. For any growth greater than 2% please provide further explanation (note - sample data provided does not include complete explanations)</t>
  </si>
  <si>
    <t>NPR FY26 @ FY25 Prices / NPR FY26 Proj</t>
  </si>
  <si>
    <t>This shows growth drivers of FY26 budgeted NPR outside of reimbursements - relative to budget</t>
  </si>
  <si>
    <t>NPR FY26 @ FY25 Prices / NPR FY25 Budg</t>
  </si>
  <si>
    <t>Weight of line item relative to total NPR FY26 (at FY25 reimbursements)</t>
  </si>
  <si>
    <t>Rate W</t>
  </si>
  <si>
    <t>This is a build-up of NPR FY26, at FY25 reimbursements (prices) - this number should represent what you'd expect FY26 to look like - with no changes to reimbursements from payers</t>
  </si>
  <si>
    <t>NPR FY26 @FY25 Prices Budget</t>
  </si>
  <si>
    <r>
      <t xml:space="preserve">Please explain what is captured in the "All Other" column. </t>
    </r>
    <r>
      <rPr>
        <b/>
        <sz val="11"/>
        <rFont val="Calibri"/>
        <family val="2"/>
        <scheme val="minor"/>
      </rPr>
      <t>This is required</t>
    </r>
    <r>
      <rPr>
        <sz val="11"/>
        <color theme="1"/>
        <rFont val="Calibri"/>
        <family val="2"/>
        <scheme val="minor"/>
      </rPr>
      <t xml:space="preserve">
Examples include:
-unfavorable collection rate changes (i.e - a service that was estimated to have a certain number of denials is seeing higher denials for this year &amp; that's budgeted moving forward)
-cost of care initiatives</t>
    </r>
  </si>
  <si>
    <t>Notes - Explanation Required for any $ in "all other" column</t>
  </si>
  <si>
    <t>Difference of FY26 NPR and FY25 Budgeted NPR that can be attributed to any other changes not captured elsewhere.</t>
  </si>
  <si>
    <t>NPR FY26 due to all other</t>
  </si>
  <si>
    <r>
      <t xml:space="preserve">FY26 NPR due to any other changes. </t>
    </r>
    <r>
      <rPr>
        <b/>
        <sz val="11"/>
        <color theme="1"/>
        <rFont val="Calibri"/>
        <family val="2"/>
        <scheme val="minor"/>
      </rPr>
      <t xml:space="preserve">Note - Any change from budget to budget in these columns must have an explanation </t>
    </r>
  </si>
  <si>
    <t>NPR FY25 @FY26 All Other</t>
  </si>
  <si>
    <t>Difference of FY26 NPR and FY25 Budgeted NPR that can be attributed to changes in payer mix.</t>
  </si>
  <si>
    <t>NPR FY26 due to Payer Mix</t>
  </si>
  <si>
    <r>
      <t xml:space="preserve">FY26 NPR due to changes in payer mix; estimate FY25 @ FY26 payer mix, holding all else constant. </t>
    </r>
    <r>
      <rPr>
        <b/>
        <sz val="11"/>
        <color theme="1"/>
        <rFont val="Calibri"/>
        <family val="2"/>
        <scheme val="minor"/>
      </rPr>
      <t xml:space="preserve">This is utilization due to changes in payer mix - i.e - Medicaid disenrollment </t>
    </r>
  </si>
  <si>
    <t>NPR FY25 @FY26 Payer Mix</t>
  </si>
  <si>
    <t xml:space="preserve">Difference of FY26 NPR and FY25 Budgeted NPR that can be attributed to changes in utilization from changes in demand. </t>
  </si>
  <si>
    <t>NPR FY26 due to Utiliz.</t>
  </si>
  <si>
    <r>
      <t xml:space="preserve">FY26 NPR due to changes in utilization; estimate FY25 @ FY26 utilization, holding all else constant. </t>
    </r>
    <r>
      <rPr>
        <b/>
        <sz val="11"/>
        <color theme="1"/>
        <rFont val="Calibri"/>
        <family val="2"/>
        <scheme val="minor"/>
      </rPr>
      <t>This is utilization due to changes in demand</t>
    </r>
    <r>
      <rPr>
        <sz val="11"/>
        <color theme="1"/>
        <rFont val="Calibri"/>
        <family val="2"/>
        <scheme val="minor"/>
      </rPr>
      <t xml:space="preserve"> - i.e - increased access, improved efficiency, etc. </t>
    </r>
  </si>
  <si>
    <t>NPR FY25 @FY26 Utiliz.</t>
  </si>
  <si>
    <t>Weight of line item relative to total NPR FY25</t>
  </si>
  <si>
    <r>
      <t xml:space="preserve">FY26 Approved Budget for NPR less FY25 Budgeted NPR. 
</t>
    </r>
    <r>
      <rPr>
        <b/>
        <sz val="11"/>
        <color theme="1"/>
        <rFont val="Calibri"/>
        <family val="2"/>
        <scheme val="minor"/>
      </rPr>
      <t>Note - This column is used for NPR benchmark measurement</t>
    </r>
  </si>
  <si>
    <t>This is a calculated field that provides information on 25 projections compared to 24 actuals - it provides insight on areas of expected NPR growth or shrinkage. Be prepared to speak to any noteable trends (i.e - overall decreasing demand in IP offset by growth in OP)</t>
  </si>
  <si>
    <t>FY25 Proj / FY24 Actuals</t>
  </si>
  <si>
    <t>Provide a breakout of FY26 requested Budget for NPR &amp; FPP by core service lines</t>
  </si>
  <si>
    <t>NPR FY26</t>
  </si>
  <si>
    <t>Provide a breakout of FY25 Annual Projected NPR &amp; FPP by core service lines</t>
  </si>
  <si>
    <t>NPR FY25 Projected</t>
  </si>
  <si>
    <t xml:space="preserve">Provide a breakout of FY25 Approved Budget for Net Patient Revenue and Fixed Prospective Payments (NPR &amp; FPP) by core service line. </t>
  </si>
  <si>
    <t>NPR FY25 Budget</t>
  </si>
  <si>
    <t>Provide a breakout of NPR FY24 actuals by core service line &amp; payer - this should align with NPR submitted in adaptive</t>
  </si>
  <si>
    <t>NPR FY24 Actuals</t>
  </si>
  <si>
    <t>Input</t>
  </si>
  <si>
    <r>
      <rPr>
        <b/>
        <sz val="11"/>
        <color theme="1"/>
        <rFont val="Calibri"/>
        <family val="2"/>
        <scheme val="minor"/>
      </rPr>
      <t>For each table - inpatient, outpatient, professional - fill out green shaded cells with required data by payer</t>
    </r>
    <r>
      <rPr>
        <sz val="11"/>
        <color theme="1"/>
        <rFont val="Calibri"/>
        <family val="2"/>
        <scheme val="minor"/>
      </rPr>
      <t xml:space="preserve">
There is 1 blank table that allows for additional break outs of service line. 
Note - Please report IP Psych consistently with prior years, and indicate in your narrative whether it is included in "inpatient" or "other services".</t>
    </r>
  </si>
  <si>
    <r>
      <t xml:space="preserve">Month that commercial reimbursement changes go into effect - </t>
    </r>
    <r>
      <rPr>
        <b/>
        <sz val="11"/>
        <color theme="1"/>
        <rFont val="Calibri"/>
        <family val="2"/>
        <scheme val="minor"/>
      </rPr>
      <t>if your hospital is not on the October - September Calendar - you will need to complete the Commercial Rate Modeling tab (see below)</t>
    </r>
  </si>
  <si>
    <t>This tab applies to every hospital - please follow the instructions below</t>
  </si>
  <si>
    <t>1. Rate Decomposition</t>
  </si>
  <si>
    <t>Checks with Red Fonts indicate errors and require follow up</t>
  </si>
  <si>
    <t>Key Numbers - Commercial Reimbursement Rate Increase above the benchmark, Annual NPR Increase</t>
  </si>
  <si>
    <t>Color Coding Guide:</t>
  </si>
  <si>
    <t>Instructions:</t>
  </si>
  <si>
    <t>FY26 Reimbursement - from FY25 NPR</t>
  </si>
  <si>
    <t>NPR FY26 due to Reimbursement</t>
  </si>
  <si>
    <t>Reimbursement increase here is defined as NPR to NPR - it is important to note that (commercial) reimbursement rate in this context is equivalent to "bottom line net patient revenue impact due to reimbursement changes implemented with payers." While some hospitals may negotiate using different methodology than NPR to NPR (i.e - NPR change over gross charge) with commercial payers - the desired rate must be converted to NPR to NPR for budget review.​ This increase encompasses changes in discount off of gross charge, increase in reimbursement due to increased chargemaster, as well as services that are fee based and don't necessarily follow chargemaster changes (say - fees that follow Medicare reimbursement schedule), as well as any other additional change in reimbursement impact.</t>
  </si>
  <si>
    <t>(Commercial) Reimbursement Rate:</t>
  </si>
  <si>
    <t>Key definitions:</t>
  </si>
  <si>
    <t>The purpose of this model is to model year over year NPR growth by core service line, incorporating drivers such as commercial reimbursement rate (see definition below), utilization and payer mix shifts, as well as other factors such as favorable collection rates and cost of care initiatives.</t>
  </si>
  <si>
    <t>Purpose:</t>
  </si>
  <si>
    <t>Comm Rate Decomp - v2026</t>
  </si>
  <si>
    <t>Instructions START HERE:</t>
  </si>
  <si>
    <t>% of NPR impacted by change in chargemaster:</t>
  </si>
  <si>
    <t>Maximum Commercial Negotiated Rate Requested:</t>
  </si>
  <si>
    <t>Check:</t>
  </si>
  <si>
    <r>
      <t xml:space="preserve">Other (Bad Debt, Free Care, DSH) - </t>
    </r>
    <r>
      <rPr>
        <b/>
        <sz val="11"/>
        <color rgb="FFFF0000"/>
        <rFont val="Calibri"/>
        <family val="2"/>
        <scheme val="minor"/>
      </rPr>
      <t>Non-Public Payer</t>
    </r>
  </si>
  <si>
    <t>Additional Non-Public, Non-commercial Payers</t>
  </si>
  <si>
    <t>Veterans</t>
  </si>
  <si>
    <t>Prison Population</t>
  </si>
  <si>
    <t>Self Pay</t>
  </si>
  <si>
    <t>Additional Commercial Payers</t>
  </si>
  <si>
    <t>Workman's Comp</t>
  </si>
  <si>
    <t>Self funded plan(s)</t>
  </si>
  <si>
    <t>Commercial Payer #5</t>
  </si>
  <si>
    <t>Commercial Payer #4</t>
  </si>
  <si>
    <t>Cream of the Maple Crop Co-op</t>
  </si>
  <si>
    <t>Memphre Mutual</t>
  </si>
  <si>
    <t>Champ Choice Care</t>
  </si>
  <si>
    <t>Commercial &amp; Non-Public Payer</t>
  </si>
  <si>
    <r>
      <t xml:space="preserve">Other (Bad Debt, Free Care, DSH) - </t>
    </r>
    <r>
      <rPr>
        <b/>
        <sz val="11"/>
        <color rgb="FFFF0000"/>
        <rFont val="Calibri"/>
        <family val="2"/>
        <scheme val="minor"/>
      </rPr>
      <t>Public Payer</t>
    </r>
  </si>
  <si>
    <t>Medicare-FPP</t>
  </si>
  <si>
    <t>Medicare (Uncategorized)</t>
  </si>
  <si>
    <t>Medicaid (Uncategorized)</t>
  </si>
  <si>
    <t>Out of State Medicaid</t>
  </si>
  <si>
    <t>In-State Medicaid</t>
  </si>
  <si>
    <t>Public Payer</t>
  </si>
  <si>
    <t>All Other contribution to NPR YoY Increase</t>
  </si>
  <si>
    <t>Payer Mix contribution to NPR Growth</t>
  </si>
  <si>
    <t>Utilization contribution to NPR Growth</t>
  </si>
  <si>
    <t>NPR FY25
Proj.</t>
  </si>
  <si>
    <t>Utilization - due to demand &amp; Payer Mix</t>
  </si>
  <si>
    <t>Medicaid In-State-FPP</t>
  </si>
  <si>
    <t>Medicaid Out-of-State</t>
  </si>
  <si>
    <t>Medicaid In-State</t>
  </si>
  <si>
    <t>IP Psych</t>
  </si>
  <si>
    <t>Other Services - If used - please indicate what is included in Other Services below:</t>
  </si>
  <si>
    <t>Expect large payer shift from Medicaid disenrollment</t>
  </si>
  <si>
    <t>Reworked Workmna's Comp billing - fav. Collection</t>
  </si>
  <si>
    <t>Reworked Workman's Comp billing - favorable collection</t>
  </si>
  <si>
    <t>Favorable collection - less denials</t>
  </si>
  <si>
    <t>Workman's comp</t>
  </si>
  <si>
    <t>Expecting shift from Medicare to MA</t>
  </si>
  <si>
    <t xml:space="preserve">May </t>
  </si>
  <si>
    <t>Hospital Bonus Payment Program for being amazing!!!!</t>
  </si>
  <si>
    <t>Expected uptick due to Medicaid disenrollment &amp; legislative changes</t>
  </si>
  <si>
    <t>Medicaid continues to have steep utilization after disenrollment in 24</t>
  </si>
  <si>
    <t>Rate Decomposition Sheet - Impacts to NPR driving FY26 Budget Request</t>
  </si>
  <si>
    <t>*This is not part of the NPR budget review - this is for modeling commercial reimbursement rate only</t>
  </si>
  <si>
    <t>Commercial Reimbursement Rate</t>
  </si>
  <si>
    <t>Annualized Rate Increase</t>
  </si>
  <si>
    <t>Q4</t>
  </si>
  <si>
    <t>Q3</t>
  </si>
  <si>
    <t>Q2</t>
  </si>
  <si>
    <t>Q1</t>
  </si>
  <si>
    <t>CMS calendar:</t>
  </si>
  <si>
    <t>FY27 @ FY26 Utilization, Payer Mix &amp; Other</t>
  </si>
  <si>
    <t>FY26 NPR</t>
  </si>
  <si>
    <t>FY25 @ FY26 Utilization, Payer Mix &amp; Other</t>
  </si>
  <si>
    <t>Rate Increase</t>
  </si>
  <si>
    <t>FY25 Rate Increase due to Reimbursement</t>
  </si>
  <si>
    <t>FY25 NPR Due to Reimbursement vs Rate Decomp</t>
  </si>
  <si>
    <t>FY26 @ FY25 Prices - NPR vs Rate Decomp</t>
  </si>
  <si>
    <t>From Rate Decomp</t>
  </si>
  <si>
    <t xml:space="preserve">Annualized Reimbursement increase </t>
  </si>
  <si>
    <t>Reimbursement Increase</t>
  </si>
  <si>
    <t>Data Checks</t>
  </si>
  <si>
    <t>Commercial Reimbursement</t>
  </si>
  <si>
    <t>Month of Commercial Rate Implementation: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</si>
</sst>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quot;$&quot;#,##0"/>
    <numFmt numFmtId="167" formatCode="&quot;$&quot;#,##0.00"/>
    <numFmt numFmtId="168" formatCode="_(&quot;$&quot;* #,##0_);_(&quot;$&quot;* \(#,##0\);_(&quot;$&quot;* &quot;-&quot;??_);_(@_)"/>
    <numFmt numFmtId="169" formatCode="0.0000%"/>
    <numFmt numFmtId="170" formatCode="0.000%"/>
  </numFmts>
  <fonts count="28" x14ac:knownFonts="1">
    <font>
      <sz val="11"/>
      <color theme="1"/>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9"/>
      <color theme="1"/>
      <name val="Calibri"/>
      <family val="2"/>
      <scheme val="minor"/>
    </font>
    <font>
      <b/>
      <i/>
      <sz val="11"/>
      <color rgb="FF000000"/>
      <name val="Calibri"/>
      <family val="2"/>
      <scheme val="minor"/>
    </font>
    <font>
      <sz val="11"/>
      <color theme="1"/>
      <name val="Calibri"/>
      <family val="2"/>
      <scheme val="minor"/>
    </font>
    <font>
      <b/>
      <sz val="18"/>
      <color theme="1"/>
      <name val="Calibri"/>
      <family val="2"/>
      <scheme val="minor"/>
    </font>
    <font>
      <u/>
      <sz val="11"/>
      <color theme="1"/>
      <name val="Calibri"/>
      <family val="2"/>
      <scheme val="minor"/>
    </font>
    <font>
      <sz val="11"/>
      <color rgb="FF000000"/>
      <name val="Calibri"/>
      <family val="2"/>
      <scheme val="minor"/>
    </font>
    <font>
      <sz val="11"/>
      <color indexed="8"/>
      <name val="Calibri"/>
      <family val="2"/>
      <scheme val="minor"/>
    </font>
    <font>
      <i/>
      <sz val="11"/>
      <color theme="1"/>
      <name val="Calibri"/>
      <family val="2"/>
      <scheme val="minor"/>
    </font>
    <font>
      <b/>
      <sz val="14"/>
      <color theme="1"/>
      <name val="Calibri"/>
      <family val="2"/>
      <scheme val="minor"/>
    </font>
    <font>
      <b/>
      <sz val="36"/>
      <color theme="1"/>
      <name val="Calibri"/>
      <family val="2"/>
      <scheme val="minor"/>
    </font>
    <font>
      <sz val="11"/>
      <color theme="9" tint="-0.249977111117893"/>
      <name val="Calibri"/>
      <family val="2"/>
      <scheme val="minor"/>
    </font>
    <font>
      <b/>
      <sz val="16"/>
      <color theme="1"/>
      <name val="Calibri"/>
      <family val="2"/>
      <scheme val="minor"/>
    </font>
    <font>
      <b/>
      <sz val="11"/>
      <name val="Calibri"/>
      <family val="2"/>
      <scheme val="minor"/>
    </font>
    <font>
      <sz val="11"/>
      <name val="Calibri"/>
      <family val="2"/>
      <scheme val="minor"/>
    </font>
    <font>
      <sz val="11"/>
      <color rgb="FFFF0000"/>
      <name val="Calibri"/>
      <family val="2"/>
      <scheme val="minor"/>
    </font>
    <font>
      <b/>
      <sz val="11"/>
      <color theme="9" tint="-0.249977111117893"/>
      <name val="Calibri"/>
      <family val="2"/>
      <scheme val="minor"/>
    </font>
    <font>
      <b/>
      <sz val="13"/>
      <color theme="9" tint="-0.249977111117893"/>
      <name val="Calibri"/>
      <family val="2"/>
      <scheme val="minor"/>
    </font>
    <font>
      <b/>
      <sz val="13"/>
      <name val="Calibri"/>
      <family val="2"/>
      <scheme val="minor"/>
    </font>
    <font>
      <b/>
      <sz val="11"/>
      <color rgb="FFFF0000"/>
      <name val="Calibri"/>
      <family val="2"/>
      <scheme val="minor"/>
    </font>
    <font>
      <b/>
      <sz val="11"/>
      <color theme="5" tint="-0.499984740745262"/>
      <name val="Calibri"/>
      <family val="2"/>
      <scheme val="minor"/>
    </font>
    <font>
      <b/>
      <i/>
      <sz val="11"/>
      <color theme="1"/>
      <name val="Calibri"/>
      <family val="2"/>
      <scheme val="minor"/>
    </font>
    <font>
      <b/>
      <i/>
      <sz val="11"/>
      <name val="Calibri"/>
      <family val="2"/>
      <scheme val="minor"/>
    </font>
    <font>
      <sz val="11"/>
      <color theme="0" tint="-4.9989318521683403E-2"/>
      <name val="Calibri"/>
      <family val="2"/>
      <scheme val="minor"/>
    </font>
    <font>
      <b/>
      <i/>
      <sz val="11"/>
      <color theme="9" tint="-0.499984740745262"/>
      <name val="Calibri"/>
      <family val="2"/>
      <scheme val="minor"/>
    </font>
  </fonts>
  <fills count="17">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rgb="FFFFFF00"/>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0"/>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1"/>
        <bgColor indexed="64"/>
      </patternFill>
    </fill>
    <fill>
      <patternFill patternType="solid">
        <fgColor theme="7" tint="0.59999389629810485"/>
        <bgColor indexed="64"/>
      </patternFill>
    </fill>
    <fill>
      <patternFill patternType="solid">
        <fgColor theme="2"/>
        <bgColor indexed="64"/>
      </patternFill>
    </fill>
    <fill>
      <patternFill patternType="solid">
        <fgColor rgb="FFEDF4EC"/>
        <bgColor indexed="64"/>
      </patternFill>
    </fill>
  </fills>
  <borders count="54">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medium">
        <color rgb="FF000000"/>
      </right>
      <top style="medium">
        <color rgb="FF000000"/>
      </top>
      <bottom/>
      <diagonal/>
    </border>
    <border>
      <left style="thin">
        <color indexed="64"/>
      </left>
      <right style="medium">
        <color rgb="FF000000"/>
      </right>
      <top/>
      <bottom/>
      <diagonal/>
    </border>
    <border>
      <left style="thin">
        <color indexed="64"/>
      </left>
      <right style="medium">
        <color rgb="FF000000"/>
      </right>
      <top/>
      <bottom style="medium">
        <color rgb="FF000000"/>
      </bottom>
      <diagonal/>
    </border>
    <border>
      <left style="thin">
        <color indexed="64"/>
      </left>
      <right style="thin">
        <color indexed="64"/>
      </right>
      <top style="medium">
        <color rgb="FF000000"/>
      </top>
      <bottom/>
      <diagonal/>
    </border>
    <border>
      <left style="thin">
        <color indexed="64"/>
      </left>
      <right style="thin">
        <color indexed="64"/>
      </right>
      <top/>
      <bottom style="medium">
        <color rgb="FF000000"/>
      </bottom>
      <diagonal/>
    </border>
    <border>
      <left style="thin">
        <color indexed="64"/>
      </left>
      <right/>
      <top style="medium">
        <color rgb="FF000000"/>
      </top>
      <bottom/>
      <diagonal/>
    </border>
    <border>
      <left style="thin">
        <color indexed="64"/>
      </left>
      <right/>
      <top/>
      <bottom style="medium">
        <color rgb="FF000000"/>
      </bottom>
      <diagonal/>
    </border>
    <border>
      <left/>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s>
  <cellStyleXfs count="9">
    <xf numFmtId="0" fontId="0" fillId="0" borderId="0"/>
    <xf numFmtId="0" fontId="6" fillId="0" borderId="0"/>
    <xf numFmtId="9" fontId="6" fillId="0" borderId="0" applyFont="0" applyFill="0" applyBorder="0" applyAlignment="0" applyProtection="0"/>
    <xf numFmtId="44"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0" fontId="10" fillId="0" borderId="0"/>
    <xf numFmtId="44" fontId="6" fillId="0" borderId="0" applyFont="0" applyFill="0" applyBorder="0" applyAlignment="0" applyProtection="0"/>
  </cellStyleXfs>
  <cellXfs count="479">
    <xf numFmtId="0" fontId="0" fillId="0" borderId="0" xfId="0"/>
    <xf numFmtId="0" fontId="4" fillId="0" borderId="0" xfId="0" applyFont="1"/>
    <xf numFmtId="0" fontId="0" fillId="0" borderId="6" xfId="0" applyBorder="1"/>
    <xf numFmtId="0" fontId="0" fillId="0" borderId="7" xfId="0" applyBorder="1"/>
    <xf numFmtId="0" fontId="1" fillId="0" borderId="4" xfId="0" applyFont="1" applyBorder="1" applyAlignment="1">
      <alignment horizontal="center" wrapText="1"/>
    </xf>
    <xf numFmtId="0" fontId="1" fillId="0" borderId="0" xfId="0" applyFont="1" applyAlignment="1">
      <alignment horizontal="center" wrapText="1"/>
    </xf>
    <xf numFmtId="0" fontId="0" fillId="0" borderId="4" xfId="0" applyBorder="1" applyAlignment="1">
      <alignment horizontal="center"/>
    </xf>
    <xf numFmtId="0" fontId="0" fillId="4" borderId="5" xfId="0" applyFill="1" applyBorder="1" applyAlignment="1">
      <alignment horizontal="center"/>
    </xf>
    <xf numFmtId="0" fontId="0" fillId="4" borderId="4" xfId="0" applyFill="1" applyBorder="1" applyAlignment="1">
      <alignment horizontal="center"/>
    </xf>
    <xf numFmtId="0" fontId="0" fillId="0" borderId="8" xfId="0" applyBorder="1" applyAlignment="1">
      <alignment horizontal="center"/>
    </xf>
    <xf numFmtId="0" fontId="1" fillId="0" borderId="8" xfId="0" applyFont="1" applyBorder="1" applyAlignment="1">
      <alignment horizontal="center" wrapText="1"/>
    </xf>
    <xf numFmtId="0" fontId="1" fillId="0" borderId="9" xfId="0" applyFont="1" applyBorder="1" applyAlignment="1">
      <alignment horizontal="center" wrapText="1"/>
    </xf>
    <xf numFmtId="0" fontId="1" fillId="0" borderId="0" xfId="0" applyFont="1" applyAlignment="1">
      <alignment horizontal="center"/>
    </xf>
    <xf numFmtId="0" fontId="1" fillId="0" borderId="8" xfId="0" applyFont="1" applyBorder="1" applyAlignment="1">
      <alignment horizontal="center"/>
    </xf>
    <xf numFmtId="0" fontId="1" fillId="0" borderId="10" xfId="0" applyFont="1" applyBorder="1" applyAlignment="1">
      <alignment horizontal="center"/>
    </xf>
    <xf numFmtId="0" fontId="0" fillId="4" borderId="8" xfId="0" applyFill="1" applyBorder="1" applyAlignment="1">
      <alignment horizontal="center"/>
    </xf>
    <xf numFmtId="0" fontId="6" fillId="0" borderId="0" xfId="1"/>
    <xf numFmtId="0" fontId="6" fillId="0" borderId="0" xfId="1" applyAlignment="1">
      <alignment horizontal="center"/>
    </xf>
    <xf numFmtId="164" fontId="6" fillId="0" borderId="0" xfId="1" applyNumberFormat="1" applyAlignment="1">
      <alignment horizontal="center"/>
    </xf>
    <xf numFmtId="164" fontId="6" fillId="0" borderId="0" xfId="2" applyNumberFormat="1" applyFont="1" applyFill="1" applyBorder="1" applyAlignment="1">
      <alignment horizontal="center"/>
    </xf>
    <xf numFmtId="44" fontId="6" fillId="0" borderId="0" xfId="3" applyFont="1" applyBorder="1" applyAlignment="1">
      <alignment horizontal="center"/>
    </xf>
    <xf numFmtId="0" fontId="1" fillId="0" borderId="0" xfId="1" applyFont="1"/>
    <xf numFmtId="2" fontId="1" fillId="6" borderId="11" xfId="4" applyNumberFormat="1" applyFont="1" applyFill="1" applyBorder="1" applyAlignment="1">
      <alignment horizontal="center"/>
    </xf>
    <xf numFmtId="0" fontId="1" fillId="0" borderId="14" xfId="1" applyFont="1" applyBorder="1" applyAlignment="1">
      <alignment horizontal="left"/>
    </xf>
    <xf numFmtId="44" fontId="6" fillId="0" borderId="0" xfId="1" applyNumberFormat="1"/>
    <xf numFmtId="0" fontId="1" fillId="0" borderId="16" xfId="0" applyFont="1" applyBorder="1" applyAlignment="1">
      <alignment horizontal="center" wrapText="1"/>
    </xf>
    <xf numFmtId="0" fontId="0" fillId="0" borderId="17" xfId="0" applyBorder="1"/>
    <xf numFmtId="0" fontId="0" fillId="0" borderId="18" xfId="0" applyBorder="1"/>
    <xf numFmtId="0" fontId="1" fillId="0" borderId="19" xfId="0" applyFont="1" applyBorder="1" applyAlignment="1">
      <alignment horizontal="center" wrapText="1"/>
    </xf>
    <xf numFmtId="0" fontId="0" fillId="0" borderId="15" xfId="0" applyBorder="1"/>
    <xf numFmtId="0" fontId="0" fillId="0" borderId="20" xfId="0" applyBorder="1"/>
    <xf numFmtId="0" fontId="1" fillId="0" borderId="21" xfId="0" applyFont="1" applyBorder="1" applyAlignment="1">
      <alignment horizontal="center" wrapText="1"/>
    </xf>
    <xf numFmtId="0" fontId="0" fillId="0" borderId="11" xfId="0" applyBorder="1"/>
    <xf numFmtId="0" fontId="0" fillId="0" borderId="22" xfId="0" applyBorder="1"/>
    <xf numFmtId="0" fontId="0" fillId="0" borderId="21" xfId="0" applyBorder="1"/>
    <xf numFmtId="0" fontId="0" fillId="0" borderId="21" xfId="0" applyBorder="1" applyAlignment="1">
      <alignment wrapText="1"/>
    </xf>
    <xf numFmtId="0" fontId="0" fillId="0" borderId="11" xfId="0" applyBorder="1" applyAlignment="1">
      <alignment wrapText="1"/>
    </xf>
    <xf numFmtId="0" fontId="0" fillId="0" borderId="22" xfId="0" applyBorder="1" applyAlignment="1">
      <alignment wrapText="1"/>
    </xf>
    <xf numFmtId="0" fontId="4" fillId="0" borderId="21" xfId="0" applyFont="1" applyBorder="1"/>
    <xf numFmtId="0" fontId="4" fillId="0" borderId="11" xfId="0" applyFont="1" applyBorder="1"/>
    <xf numFmtId="0" fontId="4" fillId="0" borderId="22" xfId="0" applyFont="1" applyBorder="1"/>
    <xf numFmtId="0" fontId="0" fillId="0" borderId="16" xfId="0" applyBorder="1"/>
    <xf numFmtId="0" fontId="1" fillId="0" borderId="0" xfId="1" applyFont="1" applyAlignment="1">
      <alignment horizontal="left"/>
    </xf>
    <xf numFmtId="0" fontId="6" fillId="0" borderId="0" xfId="1" applyAlignment="1">
      <alignment horizontal="left" indent="1"/>
    </xf>
    <xf numFmtId="165" fontId="6" fillId="0" borderId="0" xfId="5" applyNumberFormat="1" applyAlignment="1">
      <alignment horizontal="center"/>
    </xf>
    <xf numFmtId="165" fontId="1" fillId="2" borderId="11" xfId="5" applyNumberFormat="1" applyFont="1" applyFill="1" applyBorder="1" applyAlignment="1">
      <alignment horizontal="center" wrapText="1"/>
    </xf>
    <xf numFmtId="0" fontId="1" fillId="2" borderId="0" xfId="1" applyFont="1" applyFill="1" applyAlignment="1">
      <alignment horizontal="center"/>
    </xf>
    <xf numFmtId="0" fontId="1" fillId="0" borderId="0" xfId="1" applyFont="1" applyAlignment="1">
      <alignment wrapText="1"/>
    </xf>
    <xf numFmtId="44" fontId="0" fillId="0" borderId="0" xfId="3" applyFont="1" applyBorder="1" applyAlignment="1">
      <alignment horizontal="center"/>
    </xf>
    <xf numFmtId="2" fontId="0" fillId="0" borderId="0" xfId="3" applyNumberFormat="1" applyFont="1" applyBorder="1" applyAlignment="1">
      <alignment horizontal="center"/>
    </xf>
    <xf numFmtId="0" fontId="1" fillId="0" borderId="0" xfId="1" applyFont="1" applyAlignment="1">
      <alignment horizontal="center"/>
    </xf>
    <xf numFmtId="164" fontId="6" fillId="0" borderId="0" xfId="2" applyNumberFormat="1" applyFont="1" applyFill="1" applyBorder="1" applyAlignment="1">
      <alignment horizontal="center" wrapText="1"/>
    </xf>
    <xf numFmtId="2" fontId="6" fillId="6" borderId="11" xfId="4" applyNumberFormat="1" applyFont="1" applyFill="1" applyBorder="1" applyAlignment="1">
      <alignment horizontal="center"/>
    </xf>
    <xf numFmtId="165" fontId="6" fillId="0" borderId="0" xfId="1" applyNumberFormat="1" applyAlignment="1">
      <alignment horizontal="center"/>
    </xf>
    <xf numFmtId="0" fontId="8" fillId="0" borderId="0" xfId="1" applyFont="1"/>
    <xf numFmtId="165" fontId="6" fillId="2" borderId="11" xfId="5" applyNumberFormat="1" applyFont="1" applyFill="1" applyBorder="1" applyAlignment="1">
      <alignment horizontal="center" wrapText="1"/>
    </xf>
    <xf numFmtId="0" fontId="6" fillId="0" borderId="0" xfId="1" applyAlignment="1">
      <alignment wrapText="1"/>
    </xf>
    <xf numFmtId="166" fontId="0" fillId="0" borderId="24" xfId="0" applyNumberFormat="1" applyBorder="1"/>
    <xf numFmtId="0" fontId="0" fillId="0" borderId="24" xfId="0" applyBorder="1" applyAlignment="1">
      <alignment wrapText="1"/>
    </xf>
    <xf numFmtId="0" fontId="0" fillId="0" borderId="24" xfId="0" applyBorder="1"/>
    <xf numFmtId="0" fontId="1" fillId="0" borderId="0" xfId="0" applyFont="1"/>
    <xf numFmtId="0" fontId="1" fillId="0" borderId="24" xfId="0" applyFont="1" applyBorder="1" applyAlignment="1">
      <alignment wrapText="1"/>
    </xf>
    <xf numFmtId="0" fontId="1" fillId="0" borderId="24" xfId="0" applyFont="1" applyBorder="1"/>
    <xf numFmtId="166" fontId="0" fillId="0" borderId="0" xfId="0" applyNumberFormat="1"/>
    <xf numFmtId="166" fontId="1" fillId="0" borderId="0" xfId="0" applyNumberFormat="1" applyFont="1"/>
    <xf numFmtId="0" fontId="11" fillId="0" borderId="0" xfId="0" applyFont="1"/>
    <xf numFmtId="0" fontId="0" fillId="8" borderId="0" xfId="0" applyFill="1"/>
    <xf numFmtId="0" fontId="1" fillId="8" borderId="0" xfId="0" applyFont="1" applyFill="1"/>
    <xf numFmtId="167" fontId="0" fillId="8" borderId="24" xfId="0" applyNumberFormat="1" applyFill="1" applyBorder="1"/>
    <xf numFmtId="0" fontId="0" fillId="8" borderId="25" xfId="0" applyFill="1" applyBorder="1"/>
    <xf numFmtId="0" fontId="0" fillId="8" borderId="26" xfId="0" applyFill="1" applyBorder="1"/>
    <xf numFmtId="0" fontId="0" fillId="8" borderId="27" xfId="0" applyFill="1" applyBorder="1"/>
    <xf numFmtId="0" fontId="0" fillId="8" borderId="28" xfId="0" applyFill="1" applyBorder="1"/>
    <xf numFmtId="167" fontId="0" fillId="8" borderId="29" xfId="0" applyNumberFormat="1" applyFill="1" applyBorder="1"/>
    <xf numFmtId="167" fontId="0" fillId="8" borderId="30" xfId="0" applyNumberFormat="1" applyFill="1" applyBorder="1"/>
    <xf numFmtId="167" fontId="0" fillId="8" borderId="31" xfId="0" applyNumberFormat="1" applyFill="1" applyBorder="1"/>
    <xf numFmtId="167" fontId="0" fillId="8" borderId="32" xfId="0" applyNumberFormat="1" applyFill="1" applyBorder="1"/>
    <xf numFmtId="167" fontId="0" fillId="8" borderId="33" xfId="0" applyNumberFormat="1" applyFill="1" applyBorder="1"/>
    <xf numFmtId="9" fontId="0" fillId="8" borderId="29" xfId="6" applyFont="1" applyFill="1" applyBorder="1"/>
    <xf numFmtId="9" fontId="0" fillId="8" borderId="24" xfId="6" applyFont="1" applyFill="1" applyBorder="1"/>
    <xf numFmtId="9" fontId="0" fillId="8" borderId="30" xfId="6" applyFont="1" applyFill="1" applyBorder="1"/>
    <xf numFmtId="9" fontId="0" fillId="8" borderId="31" xfId="6" applyFont="1" applyFill="1" applyBorder="1"/>
    <xf numFmtId="9" fontId="0" fillId="8" borderId="32" xfId="6" applyFont="1" applyFill="1" applyBorder="1"/>
    <xf numFmtId="9" fontId="0" fillId="8" borderId="33" xfId="6" applyFont="1" applyFill="1" applyBorder="1"/>
    <xf numFmtId="0" fontId="0" fillId="8" borderId="29" xfId="0" applyFill="1" applyBorder="1"/>
    <xf numFmtId="0" fontId="0" fillId="8" borderId="24" xfId="0" applyFill="1" applyBorder="1"/>
    <xf numFmtId="0" fontId="0" fillId="8" borderId="30" xfId="0" applyFill="1" applyBorder="1"/>
    <xf numFmtId="0" fontId="0" fillId="8" borderId="31" xfId="0" applyFill="1" applyBorder="1"/>
    <xf numFmtId="0" fontId="0" fillId="8" borderId="32" xfId="0" applyFill="1" applyBorder="1"/>
    <xf numFmtId="0" fontId="0" fillId="8" borderId="33" xfId="0" applyFill="1" applyBorder="1"/>
    <xf numFmtId="0" fontId="13" fillId="0" borderId="0" xfId="0" applyFont="1"/>
    <xf numFmtId="0" fontId="1" fillId="0" borderId="0" xfId="0" applyFont="1" applyAlignment="1">
      <alignment horizontal="right"/>
    </xf>
    <xf numFmtId="0" fontId="0" fillId="0" borderId="0" xfId="0" applyAlignment="1">
      <alignment horizontal="right"/>
    </xf>
    <xf numFmtId="165" fontId="0" fillId="0" borderId="0" xfId="5" applyNumberFormat="1" applyFont="1"/>
    <xf numFmtId="0" fontId="1" fillId="0" borderId="0" xfId="0" applyFont="1" applyAlignment="1">
      <alignment wrapText="1"/>
    </xf>
    <xf numFmtId="168" fontId="14" fillId="2" borderId="0" xfId="8" applyNumberFormat="1" applyFont="1" applyFill="1"/>
    <xf numFmtId="164" fontId="14" fillId="2" borderId="0" xfId="6" applyNumberFormat="1" applyFont="1" applyFill="1"/>
    <xf numFmtId="165" fontId="0" fillId="0" borderId="34" xfId="5" applyNumberFormat="1" applyFont="1" applyBorder="1"/>
    <xf numFmtId="43" fontId="0" fillId="0" borderId="34" xfId="0" applyNumberFormat="1" applyBorder="1"/>
    <xf numFmtId="0" fontId="1" fillId="12" borderId="24" xfId="0" applyFont="1" applyFill="1" applyBorder="1" applyAlignment="1">
      <alignment horizontal="center" vertical="center"/>
    </xf>
    <xf numFmtId="0" fontId="1" fillId="12" borderId="24" xfId="0" applyFont="1" applyFill="1" applyBorder="1" applyAlignment="1">
      <alignment horizontal="center" vertical="center" wrapText="1"/>
    </xf>
    <xf numFmtId="9" fontId="0" fillId="8" borderId="0" xfId="6" applyFont="1" applyFill="1"/>
    <xf numFmtId="0" fontId="0" fillId="0" borderId="0" xfId="0" applyAlignment="1">
      <alignment horizontal="right" indent="1"/>
    </xf>
    <xf numFmtId="0" fontId="15" fillId="0" borderId="0" xfId="0" applyFont="1" applyAlignment="1">
      <alignment horizontal="right" indent="1"/>
    </xf>
    <xf numFmtId="0" fontId="11" fillId="0" borderId="0" xfId="0" applyFont="1" applyAlignment="1">
      <alignment horizontal="right"/>
    </xf>
    <xf numFmtId="0" fontId="0" fillId="0" borderId="0" xfId="0" applyAlignment="1">
      <alignment horizontal="right" indent="2"/>
    </xf>
    <xf numFmtId="0" fontId="1" fillId="0" borderId="0" xfId="0" applyFont="1" applyAlignment="1">
      <alignment horizontal="right" indent="1"/>
    </xf>
    <xf numFmtId="0" fontId="11" fillId="0" borderId="0" xfId="0" applyFont="1" applyAlignment="1">
      <alignment horizontal="right" indent="2"/>
    </xf>
    <xf numFmtId="0" fontId="0" fillId="0" borderId="0" xfId="0" applyAlignment="1">
      <alignment horizontal="right" indent="4"/>
    </xf>
    <xf numFmtId="0" fontId="1" fillId="2" borderId="24" xfId="0" applyFont="1" applyFill="1" applyBorder="1"/>
    <xf numFmtId="0" fontId="7" fillId="0" borderId="0" xfId="0" applyFont="1" applyAlignment="1">
      <alignment horizontal="center"/>
    </xf>
    <xf numFmtId="0" fontId="12" fillId="0" borderId="35" xfId="0" applyFont="1" applyBorder="1" applyAlignment="1">
      <alignment horizontal="center"/>
    </xf>
    <xf numFmtId="0" fontId="12" fillId="0" borderId="36" xfId="0" applyFont="1" applyBorder="1" applyAlignment="1">
      <alignment horizontal="center"/>
    </xf>
    <xf numFmtId="0" fontId="12" fillId="0" borderId="37" xfId="0" applyFont="1" applyBorder="1" applyAlignment="1">
      <alignment horizontal="center"/>
    </xf>
    <xf numFmtId="0" fontId="1" fillId="11" borderId="40" xfId="0" applyFont="1" applyFill="1" applyBorder="1"/>
    <xf numFmtId="0" fontId="0" fillId="11" borderId="41" xfId="0" applyFill="1" applyBorder="1" applyAlignment="1">
      <alignment wrapText="1"/>
    </xf>
    <xf numFmtId="0" fontId="0" fillId="11" borderId="41" xfId="0" applyFill="1" applyBorder="1"/>
    <xf numFmtId="0" fontId="0" fillId="11" borderId="42" xfId="0" applyFill="1" applyBorder="1"/>
    <xf numFmtId="0" fontId="1" fillId="10" borderId="43" xfId="0" applyFont="1" applyFill="1" applyBorder="1" applyAlignment="1">
      <alignment wrapText="1"/>
    </xf>
    <xf numFmtId="0" fontId="0" fillId="10" borderId="44" xfId="0" applyFill="1" applyBorder="1" applyAlignment="1">
      <alignment wrapText="1"/>
    </xf>
    <xf numFmtId="0" fontId="0" fillId="10" borderId="44" xfId="0" applyFill="1" applyBorder="1"/>
    <xf numFmtId="0" fontId="0" fillId="10" borderId="45" xfId="0" applyFill="1" applyBorder="1"/>
    <xf numFmtId="0" fontId="2" fillId="9" borderId="43" xfId="0" applyFont="1" applyFill="1" applyBorder="1" applyAlignment="1">
      <alignment wrapText="1"/>
    </xf>
    <xf numFmtId="0" fontId="0" fillId="9" borderId="44" xfId="0" applyFill="1" applyBorder="1" applyAlignment="1">
      <alignment wrapText="1"/>
    </xf>
    <xf numFmtId="0" fontId="0" fillId="9" borderId="44" xfId="0" applyFill="1" applyBorder="1"/>
    <xf numFmtId="0" fontId="0" fillId="9" borderId="45" xfId="0" applyFill="1" applyBorder="1"/>
    <xf numFmtId="0" fontId="2" fillId="2" borderId="43" xfId="0" applyFont="1" applyFill="1" applyBorder="1" applyAlignment="1">
      <alignment wrapText="1"/>
    </xf>
    <xf numFmtId="0" fontId="3" fillId="2" borderId="44" xfId="0" applyFont="1" applyFill="1" applyBorder="1" applyAlignment="1">
      <alignment wrapText="1"/>
    </xf>
    <xf numFmtId="0" fontId="0" fillId="2" borderId="44" xfId="0" applyFill="1" applyBorder="1" applyAlignment="1">
      <alignment wrapText="1"/>
    </xf>
    <xf numFmtId="0" fontId="0" fillId="2" borderId="44" xfId="0" applyFill="1" applyBorder="1"/>
    <xf numFmtId="0" fontId="0" fillId="2" borderId="45" xfId="0" applyFill="1" applyBorder="1"/>
    <xf numFmtId="0" fontId="1" fillId="8" borderId="25" xfId="0" applyFont="1" applyFill="1" applyBorder="1"/>
    <xf numFmtId="0" fontId="1" fillId="8" borderId="44" xfId="0" applyFont="1" applyFill="1" applyBorder="1"/>
    <xf numFmtId="0" fontId="1" fillId="8" borderId="47" xfId="0" applyFont="1" applyFill="1" applyBorder="1" applyAlignment="1">
      <alignment horizontal="left"/>
    </xf>
    <xf numFmtId="0" fontId="0" fillId="8" borderId="12" xfId="0" applyFill="1" applyBorder="1" applyAlignment="1">
      <alignment wrapText="1"/>
    </xf>
    <xf numFmtId="0" fontId="0" fillId="8" borderId="14" xfId="0" applyFill="1" applyBorder="1"/>
    <xf numFmtId="0" fontId="0" fillId="8" borderId="46" xfId="0" applyFill="1" applyBorder="1" applyAlignment="1">
      <alignment horizontal="left"/>
    </xf>
    <xf numFmtId="0" fontId="0" fillId="8" borderId="38" xfId="0" applyFill="1" applyBorder="1"/>
    <xf numFmtId="0" fontId="0" fillId="8" borderId="39" xfId="0" applyFill="1" applyBorder="1"/>
    <xf numFmtId="0" fontId="2" fillId="8" borderId="38" xfId="0" applyFont="1" applyFill="1" applyBorder="1" applyAlignment="1">
      <alignment wrapText="1"/>
    </xf>
    <xf numFmtId="0" fontId="0" fillId="8" borderId="0" xfId="0" applyFill="1" applyAlignment="1">
      <alignment wrapText="1"/>
    </xf>
    <xf numFmtId="0" fontId="7" fillId="0" borderId="44" xfId="0" applyFont="1" applyBorder="1" applyAlignment="1">
      <alignment horizontal="centerContinuous"/>
    </xf>
    <xf numFmtId="0" fontId="1" fillId="5" borderId="0" xfId="0" applyFont="1" applyFill="1" applyAlignment="1">
      <alignment horizontal="center"/>
    </xf>
    <xf numFmtId="0" fontId="1" fillId="8" borderId="0" xfId="0" applyFont="1" applyFill="1" applyAlignment="1">
      <alignment horizontal="centerContinuous"/>
    </xf>
    <xf numFmtId="0" fontId="1" fillId="8" borderId="0" xfId="0" applyFont="1" applyFill="1" applyAlignment="1">
      <alignment horizontal="right"/>
    </xf>
    <xf numFmtId="0" fontId="0" fillId="8" borderId="0" xfId="0" applyFill="1" applyAlignment="1">
      <alignment horizontal="right"/>
    </xf>
    <xf numFmtId="0" fontId="0" fillId="8" borderId="0" xfId="0" applyFill="1" applyAlignment="1">
      <alignment horizontal="left"/>
    </xf>
    <xf numFmtId="43" fontId="0" fillId="8" borderId="0" xfId="0" applyNumberFormat="1" applyFill="1"/>
    <xf numFmtId="168" fontId="0" fillId="2" borderId="24" xfId="8" applyNumberFormat="1" applyFont="1" applyFill="1" applyBorder="1"/>
    <xf numFmtId="168" fontId="17" fillId="7" borderId="24" xfId="8" applyNumberFormat="1" applyFont="1" applyFill="1" applyBorder="1"/>
    <xf numFmtId="168" fontId="16" fillId="7" borderId="24" xfId="0" applyNumberFormat="1" applyFont="1" applyFill="1" applyBorder="1"/>
    <xf numFmtId="0" fontId="15" fillId="8" borderId="0" xfId="0" applyFont="1" applyFill="1"/>
    <xf numFmtId="168" fontId="17" fillId="7" borderId="25" xfId="8" applyNumberFormat="1" applyFont="1" applyFill="1" applyBorder="1"/>
    <xf numFmtId="9" fontId="16" fillId="7" borderId="24" xfId="6" applyFont="1" applyFill="1" applyBorder="1"/>
    <xf numFmtId="0" fontId="0" fillId="2" borderId="24" xfId="0" applyFill="1" applyBorder="1" applyAlignment="1">
      <alignment wrapText="1"/>
    </xf>
    <xf numFmtId="0" fontId="0" fillId="2" borderId="24" xfId="0" applyFill="1" applyBorder="1"/>
    <xf numFmtId="165" fontId="0" fillId="2" borderId="24" xfId="5" applyNumberFormat="1" applyFont="1" applyFill="1" applyBorder="1"/>
    <xf numFmtId="165" fontId="16" fillId="7" borderId="24" xfId="5" applyNumberFormat="1" applyFont="1" applyFill="1" applyBorder="1"/>
    <xf numFmtId="165" fontId="17" fillId="7" borderId="24" xfId="5" applyNumberFormat="1" applyFont="1" applyFill="1" applyBorder="1"/>
    <xf numFmtId="9" fontId="17" fillId="7" borderId="24" xfId="6" applyFont="1" applyFill="1" applyBorder="1"/>
    <xf numFmtId="9" fontId="0" fillId="7" borderId="24" xfId="6" applyFont="1" applyFill="1" applyBorder="1"/>
    <xf numFmtId="0" fontId="15" fillId="8" borderId="0" xfId="0" applyFont="1" applyFill="1" applyAlignment="1">
      <alignment horizontal="centerContinuous"/>
    </xf>
    <xf numFmtId="0" fontId="7" fillId="0" borderId="23" xfId="0" applyFont="1" applyBorder="1" applyAlignment="1">
      <alignment horizontal="center"/>
    </xf>
    <xf numFmtId="0" fontId="9" fillId="3" borderId="8" xfId="0" applyFont="1" applyFill="1" applyBorder="1" applyAlignment="1">
      <alignment horizontal="center" wrapText="1"/>
    </xf>
    <xf numFmtId="0" fontId="3" fillId="3" borderId="9" xfId="0" applyFont="1" applyFill="1" applyBorder="1" applyAlignment="1">
      <alignment horizontal="center" wrapText="1"/>
    </xf>
    <xf numFmtId="0" fontId="3" fillId="3" borderId="10" xfId="0" applyFont="1" applyFill="1" applyBorder="1" applyAlignment="1">
      <alignment horizontal="center" wrapText="1"/>
    </xf>
    <xf numFmtId="0" fontId="3" fillId="2" borderId="8" xfId="0" applyFont="1" applyFill="1" applyBorder="1" applyAlignment="1">
      <alignment horizontal="center" wrapText="1"/>
    </xf>
    <xf numFmtId="0" fontId="0" fillId="2" borderId="9" xfId="0" applyFill="1" applyBorder="1" applyAlignment="1">
      <alignment horizontal="center" wrapText="1"/>
    </xf>
    <xf numFmtId="0" fontId="0" fillId="2" borderId="10" xfId="0" applyFill="1" applyBorder="1" applyAlignment="1">
      <alignment horizontal="center" wrapText="1"/>
    </xf>
    <xf numFmtId="0" fontId="3" fillId="2" borderId="1" xfId="0" applyFont="1" applyFill="1" applyBorder="1" applyAlignment="1">
      <alignment horizontal="center" wrapText="1"/>
    </xf>
    <xf numFmtId="0" fontId="0" fillId="2" borderId="2" xfId="0" applyFill="1" applyBorder="1" applyAlignment="1">
      <alignment horizontal="center" wrapText="1"/>
    </xf>
    <xf numFmtId="0" fontId="0" fillId="2" borderId="3" xfId="0" applyFill="1" applyBorder="1" applyAlignment="1">
      <alignment horizontal="center" wrapText="1"/>
    </xf>
    <xf numFmtId="0" fontId="3" fillId="3" borderId="8" xfId="0" applyFont="1" applyFill="1" applyBorder="1" applyAlignment="1">
      <alignment horizontal="center" wrapText="1"/>
    </xf>
    <xf numFmtId="0" fontId="0" fillId="5" borderId="8" xfId="0" applyFill="1" applyBorder="1" applyAlignment="1">
      <alignment horizontal="center" wrapText="1"/>
    </xf>
    <xf numFmtId="0" fontId="0" fillId="5" borderId="9" xfId="0" applyFill="1" applyBorder="1" applyAlignment="1">
      <alignment horizontal="center" wrapText="1"/>
    </xf>
    <xf numFmtId="0" fontId="0" fillId="5" borderId="10" xfId="0" applyFill="1" applyBorder="1" applyAlignment="1">
      <alignment horizontal="center" wrapText="1"/>
    </xf>
    <xf numFmtId="0" fontId="1" fillId="5" borderId="8" xfId="0" applyFont="1" applyFill="1" applyBorder="1" applyAlignment="1">
      <alignment horizontal="center"/>
    </xf>
    <xf numFmtId="0" fontId="1" fillId="5" borderId="9" xfId="0" applyFont="1" applyFill="1" applyBorder="1" applyAlignment="1">
      <alignment horizontal="center"/>
    </xf>
    <xf numFmtId="0" fontId="1" fillId="5" borderId="10" xfId="0" applyFont="1" applyFill="1" applyBorder="1" applyAlignment="1">
      <alignment horizontal="center"/>
    </xf>
    <xf numFmtId="0" fontId="6" fillId="8" borderId="0" xfId="1" applyFill="1"/>
    <xf numFmtId="0" fontId="6" fillId="8" borderId="0" xfId="1" applyFill="1" applyAlignment="1">
      <alignment horizontal="center" wrapText="1"/>
    </xf>
    <xf numFmtId="0" fontId="18" fillId="8" borderId="0" xfId="1" applyFont="1" applyFill="1"/>
    <xf numFmtId="0" fontId="6" fillId="8" borderId="0" xfId="1" applyFill="1" applyAlignment="1">
      <alignment wrapText="1"/>
    </xf>
    <xf numFmtId="0" fontId="0" fillId="2" borderId="47" xfId="0" applyFill="1" applyBorder="1"/>
    <xf numFmtId="0" fontId="6" fillId="2" borderId="44" xfId="1" applyFill="1" applyBorder="1"/>
    <xf numFmtId="0" fontId="6" fillId="2" borderId="44" xfId="1" applyFill="1" applyBorder="1" applyAlignment="1">
      <alignment wrapText="1"/>
    </xf>
    <xf numFmtId="0" fontId="6" fillId="2" borderId="25" xfId="1" applyFill="1" applyBorder="1"/>
    <xf numFmtId="0" fontId="6" fillId="2" borderId="24" xfId="1" applyFill="1" applyBorder="1"/>
    <xf numFmtId="0" fontId="0" fillId="2" borderId="46" xfId="0" applyFill="1" applyBorder="1"/>
    <xf numFmtId="0" fontId="6" fillId="2" borderId="14" xfId="1" applyFill="1" applyBorder="1"/>
    <xf numFmtId="0" fontId="6" fillId="2" borderId="14" xfId="1" applyFill="1" applyBorder="1" applyAlignment="1">
      <alignment wrapText="1"/>
    </xf>
    <xf numFmtId="0" fontId="6" fillId="2" borderId="12" xfId="1" applyFill="1" applyBorder="1"/>
    <xf numFmtId="0" fontId="14" fillId="8" borderId="0" xfId="1" applyFont="1" applyFill="1"/>
    <xf numFmtId="0" fontId="14" fillId="8" borderId="0" xfId="0" applyFont="1" applyFill="1"/>
    <xf numFmtId="0" fontId="14" fillId="8" borderId="24" xfId="1" applyFont="1" applyFill="1" applyBorder="1" applyAlignment="1">
      <alignment wrapText="1"/>
    </xf>
    <xf numFmtId="0" fontId="14" fillId="8" borderId="0" xfId="1" applyFont="1" applyFill="1" applyAlignment="1">
      <alignment wrapText="1"/>
    </xf>
    <xf numFmtId="0" fontId="19" fillId="8" borderId="0" xfId="1" applyFont="1" applyFill="1" applyAlignment="1">
      <alignment wrapText="1"/>
    </xf>
    <xf numFmtId="0" fontId="20" fillId="8" borderId="0" xfId="1" applyFont="1" applyFill="1" applyAlignment="1">
      <alignment wrapText="1"/>
    </xf>
    <xf numFmtId="0" fontId="6" fillId="2" borderId="24" xfId="1" applyFill="1" applyBorder="1" applyAlignment="1">
      <alignment wrapText="1"/>
    </xf>
    <xf numFmtId="0" fontId="6" fillId="2" borderId="24" xfId="1" applyFill="1" applyBorder="1" applyAlignment="1">
      <alignment horizontal="left"/>
    </xf>
    <xf numFmtId="0" fontId="6" fillId="7" borderId="24" xfId="1" applyFill="1" applyBorder="1" applyAlignment="1">
      <alignment wrapText="1"/>
    </xf>
    <xf numFmtId="0" fontId="0" fillId="7" borderId="24" xfId="0" applyFill="1" applyBorder="1"/>
    <xf numFmtId="0" fontId="1" fillId="7" borderId="24" xfId="1" applyFont="1" applyFill="1" applyBorder="1" applyAlignment="1">
      <alignment wrapText="1"/>
    </xf>
    <xf numFmtId="0" fontId="0" fillId="7" borderId="24" xfId="1" applyFont="1" applyFill="1" applyBorder="1" applyAlignment="1">
      <alignment wrapText="1"/>
    </xf>
    <xf numFmtId="0" fontId="6" fillId="8" borderId="0" xfId="1" applyFill="1" applyAlignment="1">
      <alignment horizontal="left"/>
    </xf>
    <xf numFmtId="0" fontId="6" fillId="7" borderId="24" xfId="1" applyFill="1" applyBorder="1" applyAlignment="1">
      <alignment horizontal="left" wrapText="1"/>
    </xf>
    <xf numFmtId="0" fontId="6" fillId="7" borderId="24" xfId="1" applyFill="1" applyBorder="1"/>
    <xf numFmtId="0" fontId="0" fillId="2" borderId="24" xfId="1" applyFont="1" applyFill="1" applyBorder="1" applyAlignment="1">
      <alignment wrapText="1"/>
    </xf>
    <xf numFmtId="0" fontId="0" fillId="2" borderId="24" xfId="1" applyFont="1" applyFill="1" applyBorder="1" applyAlignment="1">
      <alignment horizontal="left" wrapText="1"/>
    </xf>
    <xf numFmtId="0" fontId="0" fillId="2" borderId="24" xfId="1" applyFont="1" applyFill="1" applyBorder="1" applyAlignment="1">
      <alignment horizontal="left" vertical="top" wrapText="1"/>
    </xf>
    <xf numFmtId="0" fontId="1" fillId="8" borderId="0" xfId="1" applyFont="1" applyFill="1" applyAlignment="1">
      <alignment wrapText="1"/>
    </xf>
    <xf numFmtId="0" fontId="1" fillId="8" borderId="0" xfId="1" applyFont="1" applyFill="1"/>
    <xf numFmtId="0" fontId="0" fillId="8" borderId="0" xfId="1" applyFont="1" applyFill="1" applyAlignment="1">
      <alignment horizontal="centerContinuous" wrapText="1"/>
    </xf>
    <xf numFmtId="0" fontId="1" fillId="8" borderId="0" xfId="1" applyFont="1" applyFill="1" applyAlignment="1">
      <alignment horizontal="centerContinuous" wrapText="1"/>
    </xf>
    <xf numFmtId="0" fontId="0" fillId="8" borderId="0" xfId="1" applyFont="1" applyFill="1" applyAlignment="1">
      <alignment horizontal="left" wrapText="1"/>
    </xf>
    <xf numFmtId="0" fontId="0" fillId="8" borderId="0" xfId="1" applyFont="1" applyFill="1" applyAlignment="1">
      <alignment wrapText="1"/>
    </xf>
    <xf numFmtId="0" fontId="19" fillId="8" borderId="0" xfId="1" applyFont="1" applyFill="1"/>
    <xf numFmtId="0" fontId="20" fillId="8" borderId="0" xfId="1" applyFont="1" applyFill="1"/>
    <xf numFmtId="0" fontId="21" fillId="8" borderId="0" xfId="1" applyFont="1" applyFill="1"/>
    <xf numFmtId="166" fontId="22" fillId="8" borderId="48" xfId="5" applyNumberFormat="1" applyFont="1" applyFill="1" applyBorder="1" applyAlignment="1">
      <alignment horizontal="center" wrapText="1"/>
    </xf>
    <xf numFmtId="166" fontId="23" fillId="5" borderId="49" xfId="5" applyNumberFormat="1" applyFont="1" applyFill="1" applyBorder="1" applyAlignment="1">
      <alignment horizontal="center" wrapText="1"/>
    </xf>
    <xf numFmtId="0" fontId="1" fillId="7" borderId="49" xfId="1" applyFont="1" applyFill="1" applyBorder="1" applyAlignment="1">
      <alignment horizontal="center" wrapText="1"/>
    </xf>
    <xf numFmtId="0" fontId="1" fillId="2" borderId="49" xfId="1" applyFont="1" applyFill="1" applyBorder="1" applyAlignment="1">
      <alignment horizontal="center" wrapText="1"/>
    </xf>
    <xf numFmtId="0" fontId="1" fillId="0" borderId="50" xfId="1" applyFont="1" applyBorder="1"/>
    <xf numFmtId="0" fontId="6" fillId="8" borderId="0" xfId="1" applyFill="1" applyAlignment="1">
      <alignment horizontal="centerContinuous" wrapText="1"/>
    </xf>
    <xf numFmtId="0" fontId="14" fillId="8" borderId="0" xfId="1" applyFont="1" applyFill="1" applyAlignment="1">
      <alignment horizontal="centerContinuous" wrapText="1"/>
    </xf>
    <xf numFmtId="0" fontId="19" fillId="8" borderId="0" xfId="1" applyFont="1" applyFill="1" applyAlignment="1">
      <alignment vertical="center" wrapText="1"/>
    </xf>
    <xf numFmtId="0" fontId="6" fillId="13" borderId="0" xfId="1" applyFill="1"/>
    <xf numFmtId="0" fontId="6" fillId="13" borderId="0" xfId="1" applyFill="1" applyAlignment="1">
      <alignment horizontal="centerContinuous" wrapText="1"/>
    </xf>
    <xf numFmtId="0" fontId="14" fillId="13" borderId="0" xfId="1" applyFont="1" applyFill="1" applyAlignment="1">
      <alignment horizontal="centerContinuous" wrapText="1"/>
    </xf>
    <xf numFmtId="0" fontId="19" fillId="13" borderId="0" xfId="1" applyFont="1" applyFill="1" applyAlignment="1">
      <alignment vertical="center" wrapText="1"/>
    </xf>
    <xf numFmtId="0" fontId="1" fillId="0" borderId="25" xfId="1" applyFont="1" applyBorder="1" applyAlignment="1">
      <alignment horizontal="center" wrapText="1"/>
    </xf>
    <xf numFmtId="0" fontId="1" fillId="0" borderId="24" xfId="1" applyFont="1" applyBorder="1" applyAlignment="1">
      <alignment horizontal="center" wrapText="1"/>
    </xf>
    <xf numFmtId="0" fontId="20" fillId="2" borderId="0" xfId="1" applyFont="1" applyFill="1"/>
    <xf numFmtId="0" fontId="20" fillId="14" borderId="0" xfId="1" applyFont="1" applyFill="1"/>
    <xf numFmtId="169" fontId="6" fillId="0" borderId="0" xfId="1" applyNumberFormat="1"/>
    <xf numFmtId="164" fontId="6" fillId="2" borderId="24" xfId="6" applyNumberFormat="1" applyFill="1" applyBorder="1" applyAlignment="1">
      <alignment horizontal="center"/>
    </xf>
    <xf numFmtId="0" fontId="0" fillId="0" borderId="0" xfId="1" applyFont="1" applyAlignment="1">
      <alignment horizontal="right"/>
    </xf>
    <xf numFmtId="170" fontId="6" fillId="0" borderId="0" xfId="1" applyNumberFormat="1"/>
    <xf numFmtId="10" fontId="6" fillId="2" borderId="24" xfId="6" applyNumberFormat="1" applyFill="1" applyBorder="1" applyAlignment="1">
      <alignment horizontal="center"/>
    </xf>
    <xf numFmtId="0" fontId="6" fillId="0" borderId="0" xfId="1" applyAlignment="1">
      <alignment horizontal="right"/>
    </xf>
    <xf numFmtId="10" fontId="6" fillId="6" borderId="24" xfId="2" applyNumberFormat="1" applyFont="1" applyFill="1" applyBorder="1" applyAlignment="1">
      <alignment horizontal="center" wrapText="1"/>
    </xf>
    <xf numFmtId="0" fontId="11" fillId="0" borderId="0" xfId="1" applyFont="1" applyAlignment="1">
      <alignment horizontal="right"/>
    </xf>
    <xf numFmtId="0" fontId="11" fillId="0" borderId="0" xfId="1" applyFont="1"/>
    <xf numFmtId="166" fontId="1" fillId="0" borderId="0" xfId="1" applyNumberFormat="1" applyFont="1"/>
    <xf numFmtId="167" fontId="6" fillId="0" borderId="0" xfId="1" applyNumberFormat="1"/>
    <xf numFmtId="165" fontId="1" fillId="7" borderId="24" xfId="5" applyNumberFormat="1" applyFont="1" applyFill="1" applyBorder="1" applyAlignment="1">
      <alignment horizontal="center"/>
    </xf>
    <xf numFmtId="164" fontId="1" fillId="7" borderId="24" xfId="6" applyNumberFormat="1" applyFont="1" applyFill="1" applyBorder="1" applyAlignment="1">
      <alignment horizontal="center"/>
    </xf>
    <xf numFmtId="164" fontId="1" fillId="6" borderId="24" xfId="2" applyNumberFormat="1" applyFont="1" applyFill="1" applyBorder="1" applyAlignment="1">
      <alignment horizontal="center" wrapText="1"/>
    </xf>
    <xf numFmtId="164" fontId="1" fillId="7" borderId="44" xfId="6" applyNumberFormat="1" applyFont="1" applyFill="1" applyBorder="1" applyAlignment="1">
      <alignment horizontal="center"/>
    </xf>
    <xf numFmtId="164" fontId="1" fillId="7" borderId="25" xfId="2" applyNumberFormat="1" applyFont="1" applyFill="1" applyBorder="1" applyAlignment="1">
      <alignment horizontal="center" wrapText="1"/>
    </xf>
    <xf numFmtId="164" fontId="1" fillId="7" borderId="25" xfId="6" applyNumberFormat="1" applyFont="1" applyFill="1" applyBorder="1" applyAlignment="1">
      <alignment horizontal="center"/>
    </xf>
    <xf numFmtId="166" fontId="1" fillId="7" borderId="12" xfId="5" applyNumberFormat="1" applyFont="1" applyFill="1" applyBorder="1" applyAlignment="1">
      <alignment horizontal="center"/>
    </xf>
    <xf numFmtId="166" fontId="1" fillId="2" borderId="12" xfId="5" applyNumberFormat="1" applyFont="1" applyFill="1" applyBorder="1" applyAlignment="1">
      <alignment horizontal="left" indent="1"/>
    </xf>
    <xf numFmtId="164" fontId="1" fillId="6" borderId="24" xfId="6" applyNumberFormat="1" applyFont="1" applyFill="1" applyBorder="1" applyAlignment="1">
      <alignment horizontal="center"/>
    </xf>
    <xf numFmtId="164" fontId="1" fillId="6" borderId="25" xfId="6" applyNumberFormat="1" applyFont="1" applyFill="1" applyBorder="1" applyAlignment="1">
      <alignment horizontal="center"/>
    </xf>
    <xf numFmtId="2" fontId="1" fillId="7" borderId="24" xfId="5" applyNumberFormat="1" applyFont="1" applyFill="1" applyBorder="1" applyAlignment="1">
      <alignment horizontal="center"/>
    </xf>
    <xf numFmtId="166" fontId="1" fillId="7" borderId="24" xfId="5" applyNumberFormat="1" applyFont="1" applyFill="1" applyBorder="1" applyAlignment="1">
      <alignment horizontal="center"/>
    </xf>
    <xf numFmtId="165" fontId="1" fillId="2" borderId="25" xfId="5" applyNumberFormat="1" applyFont="1" applyFill="1" applyBorder="1" applyAlignment="1">
      <alignment horizontal="center"/>
    </xf>
    <xf numFmtId="2" fontId="1" fillId="7" borderId="25" xfId="4" applyNumberFormat="1" applyFont="1" applyFill="1" applyBorder="1" applyAlignment="1">
      <alignment horizontal="center"/>
    </xf>
    <xf numFmtId="164" fontId="1" fillId="7" borderId="12" xfId="6" applyNumberFormat="1" applyFont="1" applyFill="1" applyBorder="1" applyAlignment="1">
      <alignment horizontal="center"/>
    </xf>
    <xf numFmtId="0" fontId="1" fillId="0" borderId="0" xfId="1" applyFont="1" applyAlignment="1">
      <alignment vertical="center" textRotation="90"/>
    </xf>
    <xf numFmtId="165" fontId="1" fillId="15" borderId="13" xfId="5" applyNumberFormat="1" applyFont="1" applyFill="1" applyBorder="1" applyAlignment="1">
      <alignment horizontal="center"/>
    </xf>
    <xf numFmtId="164" fontId="1" fillId="15" borderId="0" xfId="2" applyNumberFormat="1" applyFont="1" applyFill="1" applyBorder="1" applyAlignment="1">
      <alignment horizontal="center" wrapText="1"/>
    </xf>
    <xf numFmtId="164" fontId="1" fillId="15" borderId="11" xfId="2" applyNumberFormat="1" applyFont="1" applyFill="1" applyBorder="1" applyAlignment="1">
      <alignment horizontal="center" wrapText="1"/>
    </xf>
    <xf numFmtId="164" fontId="1" fillId="15" borderId="0" xfId="1" applyNumberFormat="1" applyFont="1" applyFill="1" applyAlignment="1">
      <alignment horizontal="center"/>
    </xf>
    <xf numFmtId="164" fontId="1" fillId="15" borderId="11" xfId="6" applyNumberFormat="1" applyFont="1" applyFill="1" applyBorder="1" applyAlignment="1">
      <alignment horizontal="center" wrapText="1"/>
    </xf>
    <xf numFmtId="166" fontId="1" fillId="15" borderId="13" xfId="5" applyNumberFormat="1" applyFont="1" applyFill="1" applyBorder="1" applyAlignment="1">
      <alignment horizontal="center"/>
    </xf>
    <xf numFmtId="166" fontId="1" fillId="15" borderId="46" xfId="5" applyNumberFormat="1" applyFont="1" applyFill="1" applyBorder="1" applyAlignment="1">
      <alignment horizontal="center"/>
    </xf>
    <xf numFmtId="166" fontId="1" fillId="2" borderId="13" xfId="5" applyNumberFormat="1" applyFont="1" applyFill="1" applyBorder="1" applyAlignment="1">
      <alignment horizontal="left" indent="1"/>
    </xf>
    <xf numFmtId="164" fontId="1" fillId="6" borderId="11" xfId="6" applyNumberFormat="1" applyFont="1" applyFill="1" applyBorder="1" applyAlignment="1">
      <alignment horizontal="center"/>
    </xf>
    <xf numFmtId="2" fontId="1" fillId="6" borderId="11" xfId="5" applyNumberFormat="1" applyFont="1" applyFill="1" applyBorder="1" applyAlignment="1">
      <alignment horizontal="center"/>
    </xf>
    <xf numFmtId="166" fontId="1" fillId="6" borderId="13" xfId="5" applyNumberFormat="1" applyFont="1" applyFill="1" applyBorder="1" applyAlignment="1">
      <alignment horizontal="center"/>
    </xf>
    <xf numFmtId="2" fontId="1" fillId="15" borderId="15" xfId="4" applyNumberFormat="1" applyFont="1" applyFill="1" applyBorder="1" applyAlignment="1">
      <alignment horizontal="center"/>
    </xf>
    <xf numFmtId="164" fontId="1" fillId="15" borderId="13" xfId="6" applyNumberFormat="1" applyFont="1" applyFill="1" applyBorder="1" applyAlignment="1">
      <alignment horizontal="center"/>
    </xf>
    <xf numFmtId="0" fontId="1" fillId="0" borderId="13" xfId="1" applyFont="1" applyBorder="1" applyAlignment="1">
      <alignment horizontal="center" vertical="center" textRotation="90"/>
    </xf>
    <xf numFmtId="165" fontId="6" fillId="15" borderId="15" xfId="5" applyNumberFormat="1" applyFont="1" applyFill="1" applyBorder="1" applyAlignment="1">
      <alignment horizontal="center"/>
    </xf>
    <xf numFmtId="164" fontId="6" fillId="15" borderId="0" xfId="2" applyNumberFormat="1" applyFont="1" applyFill="1" applyBorder="1" applyAlignment="1">
      <alignment horizontal="center" wrapText="1"/>
    </xf>
    <xf numFmtId="164" fontId="6" fillId="15" borderId="11" xfId="2" applyNumberFormat="1" applyFont="1" applyFill="1" applyBorder="1" applyAlignment="1">
      <alignment horizontal="center" wrapText="1"/>
    </xf>
    <xf numFmtId="164" fontId="6" fillId="15" borderId="0" xfId="1" applyNumberFormat="1" applyFill="1" applyAlignment="1">
      <alignment horizontal="center"/>
    </xf>
    <xf numFmtId="164" fontId="6" fillId="15" borderId="11" xfId="6" applyNumberFormat="1" applyFont="1" applyFill="1" applyBorder="1" applyAlignment="1">
      <alignment horizontal="center" wrapText="1"/>
    </xf>
    <xf numFmtId="166" fontId="6" fillId="15" borderId="11" xfId="5" applyNumberFormat="1" applyFont="1" applyFill="1" applyBorder="1" applyAlignment="1">
      <alignment horizontal="center"/>
    </xf>
    <xf numFmtId="166" fontId="6" fillId="15" borderId="0" xfId="5" applyNumberFormat="1" applyFont="1" applyFill="1" applyBorder="1" applyAlignment="1">
      <alignment horizontal="center"/>
    </xf>
    <xf numFmtId="166" fontId="6" fillId="2" borderId="15" xfId="5" applyNumberFormat="1" applyFont="1" applyFill="1" applyBorder="1" applyAlignment="1">
      <alignment horizontal="left" indent="1"/>
    </xf>
    <xf numFmtId="164" fontId="6" fillId="6" borderId="11" xfId="6" applyNumberFormat="1" applyFont="1" applyFill="1" applyBorder="1" applyAlignment="1">
      <alignment horizontal="center"/>
    </xf>
    <xf numFmtId="2" fontId="6" fillId="6" borderId="11" xfId="5" applyNumberFormat="1" applyFont="1" applyFill="1" applyBorder="1" applyAlignment="1">
      <alignment horizontal="center"/>
    </xf>
    <xf numFmtId="166" fontId="6" fillId="6" borderId="11" xfId="5" applyNumberFormat="1" applyFont="1" applyFill="1" applyBorder="1" applyAlignment="1">
      <alignment horizontal="center"/>
    </xf>
    <xf numFmtId="2" fontId="6" fillId="15" borderId="11" xfId="4" applyNumberFormat="1" applyFont="1" applyFill="1" applyBorder="1" applyAlignment="1">
      <alignment horizontal="center"/>
    </xf>
    <xf numFmtId="164" fontId="6" fillId="15" borderId="11" xfId="6" applyNumberFormat="1" applyFont="1" applyFill="1" applyBorder="1" applyAlignment="1">
      <alignment horizontal="center"/>
    </xf>
    <xf numFmtId="0" fontId="1" fillId="0" borderId="15" xfId="1" applyFont="1" applyBorder="1" applyAlignment="1">
      <alignment horizontal="center" vertical="center" textRotation="90"/>
    </xf>
    <xf numFmtId="164" fontId="6" fillId="7" borderId="44" xfId="2" applyNumberFormat="1" applyFont="1" applyFill="1" applyBorder="1" applyAlignment="1">
      <alignment horizontal="center" wrapText="1"/>
    </xf>
    <xf numFmtId="164" fontId="6" fillId="7" borderId="25" xfId="2" applyNumberFormat="1" applyFont="1" applyFill="1" applyBorder="1" applyAlignment="1">
      <alignment horizontal="center" wrapText="1"/>
    </xf>
    <xf numFmtId="164" fontId="1" fillId="7" borderId="44" xfId="1" applyNumberFormat="1" applyFont="1" applyFill="1" applyBorder="1" applyAlignment="1">
      <alignment horizontal="center"/>
    </xf>
    <xf numFmtId="164" fontId="1" fillId="7" borderId="25" xfId="6" applyNumberFormat="1" applyFont="1" applyFill="1" applyBorder="1" applyAlignment="1">
      <alignment horizontal="center" wrapText="1"/>
    </xf>
    <xf numFmtId="164" fontId="1" fillId="7" borderId="24" xfId="6" applyNumberFormat="1" applyFont="1" applyFill="1" applyBorder="1" applyAlignment="1">
      <alignment horizontal="center" wrapText="1"/>
    </xf>
    <xf numFmtId="166" fontId="1" fillId="7" borderId="25" xfId="5" applyNumberFormat="1" applyFont="1" applyFill="1" applyBorder="1" applyAlignment="1">
      <alignment horizontal="center"/>
    </xf>
    <xf numFmtId="166" fontId="1" fillId="2" borderId="15" xfId="5" applyNumberFormat="1" applyFont="1" applyFill="1" applyBorder="1" applyAlignment="1">
      <alignment horizontal="left" indent="1"/>
    </xf>
    <xf numFmtId="2" fontId="1" fillId="7" borderId="24" xfId="4" applyNumberFormat="1" applyFont="1" applyFill="1" applyBorder="1" applyAlignment="1">
      <alignment horizontal="center"/>
    </xf>
    <xf numFmtId="0" fontId="1" fillId="0" borderId="0" xfId="1" applyFont="1" applyAlignment="1">
      <alignment horizontal="left" indent="1"/>
    </xf>
    <xf numFmtId="165" fontId="1" fillId="15" borderId="15" xfId="5" applyNumberFormat="1" applyFont="1" applyFill="1" applyBorder="1" applyAlignment="1">
      <alignment horizontal="center"/>
    </xf>
    <xf numFmtId="166" fontId="1" fillId="15" borderId="11" xfId="5" applyNumberFormat="1" applyFont="1" applyFill="1" applyBorder="1" applyAlignment="1">
      <alignment horizontal="center"/>
    </xf>
    <xf numFmtId="166" fontId="1" fillId="15" borderId="0" xfId="5" applyNumberFormat="1" applyFont="1" applyFill="1" applyBorder="1" applyAlignment="1">
      <alignment horizontal="center"/>
    </xf>
    <xf numFmtId="166" fontId="1" fillId="6" borderId="15" xfId="5" applyNumberFormat="1" applyFont="1" applyFill="1" applyBorder="1" applyAlignment="1">
      <alignment horizontal="center"/>
    </xf>
    <xf numFmtId="166" fontId="1" fillId="15" borderId="11" xfId="5" applyNumberFormat="1" applyFont="1" applyFill="1" applyBorder="1" applyAlignment="1">
      <alignment horizontal="center" wrapText="1"/>
    </xf>
    <xf numFmtId="2" fontId="1" fillId="15" borderId="11" xfId="4" applyNumberFormat="1" applyFont="1" applyFill="1" applyBorder="1" applyAlignment="1">
      <alignment horizontal="center"/>
    </xf>
    <xf numFmtId="164" fontId="1" fillId="15" borderId="11" xfId="6" applyNumberFormat="1" applyFont="1" applyFill="1" applyBorder="1" applyAlignment="1">
      <alignment horizontal="center"/>
    </xf>
    <xf numFmtId="10" fontId="6" fillId="6" borderId="13" xfId="2" applyNumberFormat="1" applyFont="1" applyFill="1" applyBorder="1" applyAlignment="1">
      <alignment horizontal="center" wrapText="1"/>
    </xf>
    <xf numFmtId="166" fontId="6" fillId="15" borderId="11" xfId="5" applyNumberFormat="1" applyFont="1" applyFill="1" applyBorder="1" applyAlignment="1">
      <alignment horizontal="center" wrapText="1"/>
    </xf>
    <xf numFmtId="0" fontId="6" fillId="2" borderId="24" xfId="1" applyFill="1" applyBorder="1" applyAlignment="1">
      <alignment horizontal="left" indent="1"/>
    </xf>
    <xf numFmtId="10" fontId="6" fillId="6" borderId="15" xfId="2" applyNumberFormat="1" applyFont="1" applyFill="1" applyBorder="1" applyAlignment="1">
      <alignment horizontal="center" wrapText="1"/>
    </xf>
    <xf numFmtId="164" fontId="6" fillId="6" borderId="15" xfId="2" applyNumberFormat="1" applyFont="1" applyFill="1" applyBorder="1" applyAlignment="1">
      <alignment horizontal="center" wrapText="1"/>
    </xf>
    <xf numFmtId="164" fontId="6" fillId="6" borderId="51" xfId="2" applyNumberFormat="1" applyFont="1" applyFill="1" applyBorder="1" applyAlignment="1">
      <alignment horizontal="center" wrapText="1"/>
    </xf>
    <xf numFmtId="165" fontId="24" fillId="7" borderId="24" xfId="5" applyNumberFormat="1" applyFont="1" applyFill="1" applyBorder="1" applyAlignment="1">
      <alignment horizontal="center"/>
    </xf>
    <xf numFmtId="164" fontId="24" fillId="7" borderId="44" xfId="2" applyNumberFormat="1" applyFont="1" applyFill="1" applyBorder="1" applyAlignment="1">
      <alignment horizontal="center" wrapText="1"/>
    </xf>
    <xf numFmtId="164" fontId="24" fillId="7" borderId="25" xfId="2" applyNumberFormat="1" applyFont="1" applyFill="1" applyBorder="1" applyAlignment="1">
      <alignment horizontal="center" wrapText="1"/>
    </xf>
    <xf numFmtId="164" fontId="24" fillId="7" borderId="25" xfId="1" applyNumberFormat="1" applyFont="1" applyFill="1" applyBorder="1" applyAlignment="1">
      <alignment horizontal="center"/>
    </xf>
    <xf numFmtId="164" fontId="1" fillId="6" borderId="15" xfId="2" applyNumberFormat="1" applyFont="1" applyFill="1" applyBorder="1" applyAlignment="1">
      <alignment horizontal="center" wrapText="1"/>
    </xf>
    <xf numFmtId="164" fontId="24" fillId="6" borderId="24" xfId="6" applyNumberFormat="1" applyFont="1" applyFill="1" applyBorder="1" applyAlignment="1">
      <alignment horizontal="center" wrapText="1"/>
    </xf>
    <xf numFmtId="166" fontId="24" fillId="6" borderId="24" xfId="5" applyNumberFormat="1" applyFont="1" applyFill="1" applyBorder="1" applyAlignment="1">
      <alignment horizontal="center" wrapText="1"/>
    </xf>
    <xf numFmtId="166" fontId="25" fillId="7" borderId="47" xfId="5" applyNumberFormat="1" applyFont="1" applyFill="1" applyBorder="1" applyAlignment="1">
      <alignment horizontal="center" wrapText="1"/>
    </xf>
    <xf numFmtId="166" fontId="24" fillId="2" borderId="15" xfId="5" applyNumberFormat="1" applyFont="1" applyFill="1" applyBorder="1" applyAlignment="1">
      <alignment horizontal="left" indent="1"/>
    </xf>
    <xf numFmtId="164" fontId="24" fillId="6" borderId="25" xfId="6" applyNumberFormat="1" applyFont="1" applyFill="1" applyBorder="1" applyAlignment="1">
      <alignment horizontal="center"/>
    </xf>
    <xf numFmtId="164" fontId="24" fillId="6" borderId="24" xfId="6" applyNumberFormat="1" applyFont="1" applyFill="1" applyBorder="1" applyAlignment="1">
      <alignment horizontal="center"/>
    </xf>
    <xf numFmtId="2" fontId="24" fillId="7" borderId="24" xfId="5" applyNumberFormat="1" applyFont="1" applyFill="1" applyBorder="1" applyAlignment="1">
      <alignment horizontal="center"/>
    </xf>
    <xf numFmtId="166" fontId="24" fillId="7" borderId="24" xfId="5" applyNumberFormat="1" applyFont="1" applyFill="1" applyBorder="1" applyAlignment="1">
      <alignment horizontal="center"/>
    </xf>
    <xf numFmtId="165" fontId="24" fillId="2" borderId="11" xfId="5" applyNumberFormat="1" applyFont="1" applyFill="1" applyBorder="1" applyAlignment="1">
      <alignment horizontal="center" wrapText="1"/>
    </xf>
    <xf numFmtId="164" fontId="24" fillId="7" borderId="24" xfId="6" applyNumberFormat="1" applyFont="1" applyFill="1" applyBorder="1" applyAlignment="1">
      <alignment horizontal="center" wrapText="1"/>
    </xf>
    <xf numFmtId="166" fontId="24" fillId="7" borderId="25" xfId="5" applyNumberFormat="1" applyFont="1" applyFill="1" applyBorder="1" applyAlignment="1">
      <alignment horizontal="center"/>
    </xf>
    <xf numFmtId="2" fontId="24" fillId="7" borderId="24" xfId="4" applyNumberFormat="1" applyFont="1" applyFill="1" applyBorder="1" applyAlignment="1">
      <alignment horizontal="center"/>
    </xf>
    <xf numFmtId="164" fontId="24" fillId="7" borderId="25" xfId="6" applyNumberFormat="1" applyFont="1" applyFill="1" applyBorder="1" applyAlignment="1">
      <alignment horizontal="center"/>
    </xf>
    <xf numFmtId="0" fontId="24" fillId="0" borderId="0" xfId="1" applyFont="1" applyAlignment="1">
      <alignment horizontal="left" indent="1"/>
    </xf>
    <xf numFmtId="164" fontId="6" fillId="6" borderId="13" xfId="2" applyNumberFormat="1" applyFont="1" applyFill="1" applyBorder="1" applyAlignment="1">
      <alignment horizontal="center" wrapText="1"/>
    </xf>
    <xf numFmtId="166" fontId="6" fillId="6" borderId="13" xfId="5" applyNumberFormat="1" applyFont="1" applyFill="1" applyBorder="1" applyAlignment="1">
      <alignment horizontal="center"/>
    </xf>
    <xf numFmtId="0" fontId="0" fillId="2" borderId="24" xfId="1" applyFont="1" applyFill="1" applyBorder="1" applyAlignment="1">
      <alignment horizontal="left" indent="1"/>
    </xf>
    <xf numFmtId="166" fontId="6" fillId="6" borderId="15" xfId="5" applyNumberFormat="1" applyFont="1" applyFill="1" applyBorder="1" applyAlignment="1">
      <alignment horizontal="center"/>
    </xf>
    <xf numFmtId="166" fontId="6" fillId="6" borderId="51" xfId="5" applyNumberFormat="1" applyFont="1" applyFill="1" applyBorder="1" applyAlignment="1">
      <alignment horizontal="center"/>
    </xf>
    <xf numFmtId="164" fontId="1" fillId="7" borderId="44" xfId="2" applyNumberFormat="1" applyFont="1" applyFill="1" applyBorder="1" applyAlignment="1">
      <alignment horizontal="center" wrapText="1"/>
    </xf>
    <xf numFmtId="164" fontId="1" fillId="7" borderId="25" xfId="1" applyNumberFormat="1" applyFont="1" applyFill="1" applyBorder="1" applyAlignment="1">
      <alignment horizontal="center"/>
    </xf>
    <xf numFmtId="164" fontId="1" fillId="6" borderId="51" xfId="2" applyNumberFormat="1" applyFont="1" applyFill="1" applyBorder="1" applyAlignment="1">
      <alignment horizontal="center" wrapText="1"/>
    </xf>
    <xf numFmtId="164" fontId="16" fillId="7" borderId="24" xfId="6" applyNumberFormat="1" applyFont="1" applyFill="1" applyBorder="1" applyAlignment="1">
      <alignment horizontal="center" wrapText="1"/>
    </xf>
    <xf numFmtId="165" fontId="1" fillId="2" borderId="52" xfId="5" applyNumberFormat="1" applyFont="1" applyFill="1" applyBorder="1" applyAlignment="1">
      <alignment horizontal="center" wrapText="1"/>
    </xf>
    <xf numFmtId="0" fontId="1" fillId="0" borderId="34" xfId="1" applyFont="1" applyBorder="1" applyAlignment="1">
      <alignment wrapText="1"/>
    </xf>
    <xf numFmtId="0" fontId="1" fillId="0" borderId="51" xfId="1" applyFont="1" applyBorder="1" applyAlignment="1">
      <alignment horizontal="center" vertical="center" textRotation="90"/>
    </xf>
    <xf numFmtId="166" fontId="1" fillId="15" borderId="12" xfId="5" applyNumberFormat="1" applyFont="1" applyFill="1" applyBorder="1" applyAlignment="1">
      <alignment horizontal="center"/>
    </xf>
    <xf numFmtId="166" fontId="1" fillId="15" borderId="14" xfId="5" applyNumberFormat="1" applyFont="1" applyFill="1" applyBorder="1" applyAlignment="1">
      <alignment horizontal="center"/>
    </xf>
    <xf numFmtId="166" fontId="1" fillId="2" borderId="13" xfId="5" applyNumberFormat="1" applyFont="1" applyFill="1" applyBorder="1" applyAlignment="1">
      <alignment horizontal="center"/>
    </xf>
    <xf numFmtId="166" fontId="1" fillId="6" borderId="11" xfId="5" applyNumberFormat="1" applyFont="1" applyFill="1" applyBorder="1" applyAlignment="1">
      <alignment horizontal="center"/>
    </xf>
    <xf numFmtId="164" fontId="1" fillId="15" borderId="12" xfId="6" applyNumberFormat="1" applyFont="1" applyFill="1" applyBorder="1" applyAlignment="1">
      <alignment horizontal="center"/>
    </xf>
    <xf numFmtId="0" fontId="1" fillId="0" borderId="0" xfId="1" applyFont="1" applyAlignment="1">
      <alignment vertical="top"/>
    </xf>
    <xf numFmtId="164" fontId="16" fillId="15" borderId="11" xfId="6" applyNumberFormat="1" applyFont="1" applyFill="1" applyBorder="1" applyAlignment="1">
      <alignment horizontal="center" wrapText="1"/>
    </xf>
    <xf numFmtId="166" fontId="1" fillId="2" borderId="15" xfId="5" applyNumberFormat="1" applyFont="1" applyFill="1" applyBorder="1" applyAlignment="1">
      <alignment horizontal="center"/>
    </xf>
    <xf numFmtId="164" fontId="17" fillId="15" borderId="11" xfId="6" applyNumberFormat="1" applyFont="1" applyFill="1" applyBorder="1" applyAlignment="1">
      <alignment horizontal="center" wrapText="1"/>
    </xf>
    <xf numFmtId="166" fontId="6" fillId="2" borderId="15" xfId="5" applyNumberFormat="1" applyFont="1" applyFill="1" applyBorder="1" applyAlignment="1">
      <alignment horizontal="center"/>
    </xf>
    <xf numFmtId="0" fontId="6" fillId="0" borderId="0" xfId="1" applyAlignment="1">
      <alignment horizontal="left" indent="2"/>
    </xf>
    <xf numFmtId="164" fontId="16" fillId="7" borderId="25" xfId="6" applyNumberFormat="1" applyFont="1" applyFill="1" applyBorder="1" applyAlignment="1">
      <alignment horizontal="center" wrapText="1"/>
    </xf>
    <xf numFmtId="2" fontId="1" fillId="7" borderId="25" xfId="5" applyNumberFormat="1" applyFont="1" applyFill="1" applyBorder="1" applyAlignment="1">
      <alignment horizontal="center"/>
    </xf>
    <xf numFmtId="2" fontId="6" fillId="15" borderId="11" xfId="5" applyNumberFormat="1" applyFont="1" applyFill="1" applyBorder="1" applyAlignment="1">
      <alignment horizontal="center"/>
    </xf>
    <xf numFmtId="0" fontId="0" fillId="0" borderId="0" xfId="1" applyFont="1" applyAlignment="1">
      <alignment horizontal="left" indent="1"/>
    </xf>
    <xf numFmtId="165" fontId="1" fillId="6" borderId="24" xfId="5" applyNumberFormat="1" applyFont="1" applyFill="1" applyBorder="1" applyAlignment="1">
      <alignment horizontal="center"/>
    </xf>
    <xf numFmtId="164" fontId="1" fillId="6" borderId="44" xfId="2" applyNumberFormat="1" applyFont="1" applyFill="1" applyBorder="1" applyAlignment="1">
      <alignment horizontal="center" wrapText="1"/>
    </xf>
    <xf numFmtId="164" fontId="1" fillId="6" borderId="25" xfId="2" applyNumberFormat="1" applyFont="1" applyFill="1" applyBorder="1" applyAlignment="1">
      <alignment horizontal="center" wrapText="1"/>
    </xf>
    <xf numFmtId="164" fontId="1" fillId="6" borderId="44" xfId="1" applyNumberFormat="1" applyFont="1" applyFill="1" applyBorder="1" applyAlignment="1">
      <alignment horizontal="center"/>
    </xf>
    <xf numFmtId="164" fontId="16" fillId="6" borderId="25" xfId="6" applyNumberFormat="1" applyFont="1" applyFill="1" applyBorder="1" applyAlignment="1">
      <alignment horizontal="center" wrapText="1"/>
    </xf>
    <xf numFmtId="164" fontId="16" fillId="6" borderId="24" xfId="6" applyNumberFormat="1" applyFont="1" applyFill="1" applyBorder="1" applyAlignment="1">
      <alignment horizontal="center" wrapText="1"/>
    </xf>
    <xf numFmtId="166" fontId="1" fillId="2" borderId="51" xfId="5" applyNumberFormat="1" applyFont="1" applyFill="1" applyBorder="1" applyAlignment="1">
      <alignment horizontal="center"/>
    </xf>
    <xf numFmtId="0" fontId="1" fillId="0" borderId="44" xfId="1" applyFont="1" applyBorder="1" applyAlignment="1">
      <alignment horizontal="center" wrapText="1"/>
    </xf>
    <xf numFmtId="0" fontId="1" fillId="0" borderId="51" xfId="1" applyFont="1" applyBorder="1" applyAlignment="1">
      <alignment horizontal="center" wrapText="1"/>
    </xf>
    <xf numFmtId="0" fontId="1" fillId="8" borderId="25" xfId="1" applyFont="1" applyFill="1" applyBorder="1" applyAlignment="1">
      <alignment horizontal="center" wrapText="1"/>
    </xf>
    <xf numFmtId="0" fontId="12" fillId="0" borderId="25" xfId="1" applyFont="1" applyBorder="1" applyAlignment="1">
      <alignment wrapText="1"/>
    </xf>
    <xf numFmtId="166" fontId="16" fillId="16" borderId="47" xfId="5" applyNumberFormat="1" applyFont="1" applyFill="1" applyBorder="1" applyAlignment="1">
      <alignment horizontal="centerContinuous" wrapText="1"/>
    </xf>
    <xf numFmtId="166" fontId="16" fillId="16" borderId="24" xfId="5" applyNumberFormat="1" applyFont="1" applyFill="1" applyBorder="1" applyAlignment="1">
      <alignment horizontal="centerContinuous" wrapText="1"/>
    </xf>
    <xf numFmtId="166" fontId="16" fillId="16" borderId="25" xfId="5" applyNumberFormat="1" applyFont="1" applyFill="1" applyBorder="1" applyAlignment="1">
      <alignment horizontal="centerContinuous" wrapText="1"/>
    </xf>
    <xf numFmtId="165" fontId="6" fillId="0" borderId="0" xfId="5" applyNumberFormat="1" applyFont="1" applyBorder="1" applyAlignment="1">
      <alignment horizontal="center"/>
    </xf>
    <xf numFmtId="165" fontId="26" fillId="0" borderId="0" xfId="5" applyNumberFormat="1" applyFont="1" applyBorder="1" applyAlignment="1">
      <alignment horizontal="center"/>
    </xf>
    <xf numFmtId="165" fontId="6" fillId="6" borderId="24" xfId="5" applyNumberFormat="1" applyFont="1" applyFill="1" applyBorder="1" applyAlignment="1">
      <alignment horizontal="center"/>
    </xf>
    <xf numFmtId="2" fontId="1" fillId="0" borderId="0" xfId="4" applyNumberFormat="1" applyFont="1" applyFill="1" applyBorder="1" applyAlignment="1">
      <alignment horizontal="center"/>
    </xf>
    <xf numFmtId="165" fontId="1" fillId="7" borderId="47" xfId="5" applyNumberFormat="1" applyFont="1" applyFill="1" applyBorder="1" applyAlignment="1">
      <alignment horizontal="center"/>
    </xf>
    <xf numFmtId="164" fontId="1" fillId="7" borderId="47" xfId="6" applyNumberFormat="1" applyFont="1" applyFill="1" applyBorder="1" applyAlignment="1">
      <alignment horizontal="center"/>
    </xf>
    <xf numFmtId="166" fontId="1" fillId="7" borderId="47" xfId="5" applyNumberFormat="1" applyFont="1" applyFill="1" applyBorder="1" applyAlignment="1">
      <alignment horizontal="center"/>
    </xf>
    <xf numFmtId="166" fontId="1" fillId="7" borderId="44" xfId="5" applyNumberFormat="1" applyFont="1" applyFill="1" applyBorder="1" applyAlignment="1">
      <alignment horizontal="center"/>
    </xf>
    <xf numFmtId="166" fontId="1" fillId="2" borderId="0" xfId="5" applyNumberFormat="1" applyFont="1" applyFill="1" applyBorder="1" applyAlignment="1">
      <alignment horizontal="center"/>
    </xf>
    <xf numFmtId="164" fontId="1" fillId="15" borderId="15" xfId="6" applyNumberFormat="1" applyFont="1" applyFill="1" applyBorder="1" applyAlignment="1">
      <alignment horizontal="center"/>
    </xf>
    <xf numFmtId="2" fontId="1" fillId="15" borderId="11" xfId="5" applyNumberFormat="1" applyFont="1" applyFill="1" applyBorder="1" applyAlignment="1">
      <alignment horizontal="center"/>
    </xf>
    <xf numFmtId="166" fontId="1" fillId="15" borderId="15" xfId="5" applyNumberFormat="1" applyFont="1" applyFill="1" applyBorder="1" applyAlignment="1">
      <alignment horizontal="center"/>
    </xf>
    <xf numFmtId="166" fontId="1" fillId="2" borderId="11" xfId="5" applyNumberFormat="1" applyFont="1" applyFill="1" applyBorder="1" applyAlignment="1">
      <alignment horizontal="center"/>
    </xf>
    <xf numFmtId="2" fontId="1" fillId="6" borderId="15" xfId="4" applyNumberFormat="1" applyFont="1" applyFill="1" applyBorder="1" applyAlignment="1">
      <alignment horizontal="center"/>
    </xf>
    <xf numFmtId="164" fontId="1" fillId="15" borderId="0" xfId="6" applyNumberFormat="1" applyFont="1" applyFill="1" applyBorder="1" applyAlignment="1">
      <alignment horizontal="center"/>
    </xf>
    <xf numFmtId="166" fontId="1" fillId="2" borderId="46" xfId="5" applyNumberFormat="1" applyFont="1" applyFill="1" applyBorder="1" applyAlignment="1">
      <alignment horizontal="center"/>
    </xf>
    <xf numFmtId="166" fontId="17" fillId="2" borderId="0" xfId="5" applyNumberFormat="1" applyFont="1" applyFill="1" applyBorder="1" applyAlignment="1">
      <alignment horizontal="center" wrapText="1"/>
    </xf>
    <xf numFmtId="164" fontId="6" fillId="15" borderId="15" xfId="6" applyNumberFormat="1" applyFont="1" applyFill="1" applyBorder="1" applyAlignment="1">
      <alignment horizontal="center"/>
    </xf>
    <xf numFmtId="166" fontId="6" fillId="2" borderId="11" xfId="5" applyNumberFormat="1" applyFont="1" applyFill="1" applyBorder="1" applyAlignment="1">
      <alignment horizontal="center" wrapText="1"/>
    </xf>
    <xf numFmtId="166" fontId="6" fillId="2" borderId="11" xfId="5" applyNumberFormat="1" applyFont="1" applyFill="1" applyBorder="1" applyAlignment="1">
      <alignment horizontal="center"/>
    </xf>
    <xf numFmtId="166" fontId="17" fillId="2" borderId="11" xfId="5" applyNumberFormat="1" applyFont="1" applyFill="1" applyBorder="1" applyAlignment="1">
      <alignment horizontal="center" wrapText="1"/>
    </xf>
    <xf numFmtId="166" fontId="6" fillId="15" borderId="15" xfId="5" applyNumberFormat="1" applyFont="1" applyFill="1" applyBorder="1" applyAlignment="1">
      <alignment horizontal="center"/>
    </xf>
    <xf numFmtId="164" fontId="6" fillId="15" borderId="0" xfId="6" applyNumberFormat="1" applyFont="1" applyFill="1" applyBorder="1" applyAlignment="1">
      <alignment horizontal="center"/>
    </xf>
    <xf numFmtId="166" fontId="6" fillId="2" borderId="0" xfId="5" applyNumberFormat="1" applyFont="1" applyFill="1" applyBorder="1" applyAlignment="1">
      <alignment horizontal="center"/>
    </xf>
    <xf numFmtId="166" fontId="1" fillId="7" borderId="24" xfId="5" applyNumberFormat="1" applyFont="1" applyFill="1" applyBorder="1" applyAlignment="1">
      <alignment horizontal="center" wrapText="1"/>
    </xf>
    <xf numFmtId="166" fontId="16" fillId="7" borderId="47" xfId="5" applyNumberFormat="1" applyFont="1" applyFill="1" applyBorder="1" applyAlignment="1">
      <alignment horizontal="center" wrapText="1"/>
    </xf>
    <xf numFmtId="166" fontId="16" fillId="2" borderId="0" xfId="5" applyNumberFormat="1" applyFont="1" applyFill="1" applyBorder="1" applyAlignment="1">
      <alignment horizontal="center" wrapText="1"/>
    </xf>
    <xf numFmtId="166" fontId="1" fillId="2" borderId="11" xfId="5" applyNumberFormat="1" applyFont="1" applyFill="1" applyBorder="1" applyAlignment="1">
      <alignment horizontal="center" wrapText="1"/>
    </xf>
    <xf numFmtId="164" fontId="6" fillId="15" borderId="13" xfId="2" applyNumberFormat="1" applyFont="1" applyFill="1" applyBorder="1" applyAlignment="1">
      <alignment horizontal="center" wrapText="1"/>
    </xf>
    <xf numFmtId="164" fontId="6" fillId="15" borderId="15" xfId="2" applyNumberFormat="1" applyFont="1" applyFill="1" applyBorder="1" applyAlignment="1">
      <alignment horizontal="center" wrapText="1"/>
    </xf>
    <xf numFmtId="164" fontId="24" fillId="7" borderId="44" xfId="1" applyNumberFormat="1" applyFont="1" applyFill="1" applyBorder="1" applyAlignment="1">
      <alignment horizontal="center"/>
    </xf>
    <xf numFmtId="164" fontId="24" fillId="7" borderId="24" xfId="2" applyNumberFormat="1" applyFont="1" applyFill="1" applyBorder="1" applyAlignment="1">
      <alignment horizontal="center" wrapText="1"/>
    </xf>
    <xf numFmtId="166" fontId="24" fillId="7" borderId="24" xfId="5" applyNumberFormat="1" applyFont="1" applyFill="1" applyBorder="1" applyAlignment="1">
      <alignment horizontal="center" wrapText="1"/>
    </xf>
    <xf numFmtId="166" fontId="24" fillId="2" borderId="15" xfId="5" applyNumberFormat="1" applyFont="1" applyFill="1" applyBorder="1" applyAlignment="1">
      <alignment horizontal="center"/>
    </xf>
    <xf numFmtId="166" fontId="24" fillId="7" borderId="25" xfId="5" applyNumberFormat="1" applyFont="1" applyFill="1" applyBorder="1" applyAlignment="1">
      <alignment horizontal="center" wrapText="1"/>
    </xf>
    <xf numFmtId="2" fontId="24" fillId="7" borderId="25" xfId="4" applyNumberFormat="1" applyFont="1" applyFill="1" applyBorder="1" applyAlignment="1">
      <alignment horizontal="center"/>
    </xf>
    <xf numFmtId="166" fontId="6" fillId="2" borderId="15" xfId="5" applyNumberFormat="1" applyFont="1" applyFill="1" applyBorder="1" applyAlignment="1">
      <alignment horizontal="center" wrapText="1"/>
    </xf>
    <xf numFmtId="164" fontId="1" fillId="7" borderId="24" xfId="2" applyNumberFormat="1" applyFont="1" applyFill="1" applyBorder="1" applyAlignment="1">
      <alignment horizontal="center" wrapText="1"/>
    </xf>
    <xf numFmtId="166" fontId="16" fillId="7" borderId="24" xfId="5" applyNumberFormat="1" applyFont="1" applyFill="1" applyBorder="1" applyAlignment="1">
      <alignment horizontal="center" wrapText="1"/>
    </xf>
    <xf numFmtId="166" fontId="16" fillId="7" borderId="25" xfId="5" applyNumberFormat="1" applyFont="1" applyFill="1" applyBorder="1" applyAlignment="1">
      <alignment horizontal="center" wrapText="1"/>
    </xf>
    <xf numFmtId="165" fontId="6" fillId="2" borderId="15" xfId="5" applyNumberFormat="1" applyFont="1" applyFill="1" applyBorder="1" applyAlignment="1">
      <alignment horizontal="center" wrapText="1"/>
    </xf>
    <xf numFmtId="166" fontId="1" fillId="2" borderId="12" xfId="5" applyNumberFormat="1" applyFont="1" applyFill="1" applyBorder="1" applyAlignment="1">
      <alignment horizontal="center"/>
    </xf>
    <xf numFmtId="166" fontId="1" fillId="2" borderId="14" xfId="5" applyNumberFormat="1" applyFont="1" applyFill="1" applyBorder="1" applyAlignment="1">
      <alignment horizontal="center"/>
    </xf>
    <xf numFmtId="166" fontId="16" fillId="15" borderId="11" xfId="5" applyNumberFormat="1" applyFont="1" applyFill="1" applyBorder="1" applyAlignment="1">
      <alignment horizontal="center" wrapText="1"/>
    </xf>
    <xf numFmtId="166" fontId="16" fillId="2" borderId="0" xfId="5" applyNumberFormat="1" applyFont="1" applyFill="1" applyBorder="1" applyAlignment="1">
      <alignment horizontal="center"/>
    </xf>
    <xf numFmtId="165" fontId="1" fillId="2" borderId="15" xfId="5" applyNumberFormat="1" applyFont="1" applyFill="1" applyBorder="1" applyAlignment="1">
      <alignment horizontal="center" wrapText="1"/>
    </xf>
    <xf numFmtId="166" fontId="16" fillId="2" borderId="11" xfId="5" applyNumberFormat="1" applyFont="1" applyFill="1" applyBorder="1" applyAlignment="1">
      <alignment horizontal="center" wrapText="1"/>
    </xf>
    <xf numFmtId="166" fontId="17" fillId="15" borderId="11" xfId="5" applyNumberFormat="1" applyFont="1" applyFill="1" applyBorder="1" applyAlignment="1">
      <alignment horizontal="center" wrapText="1"/>
    </xf>
    <xf numFmtId="166" fontId="17" fillId="2" borderId="0" xfId="5" applyNumberFormat="1" applyFont="1" applyFill="1" applyBorder="1" applyAlignment="1">
      <alignment horizontal="center"/>
    </xf>
    <xf numFmtId="166" fontId="16" fillId="7" borderId="47" xfId="5" applyNumberFormat="1" applyFont="1" applyFill="1" applyBorder="1" applyAlignment="1">
      <alignment horizontal="center"/>
    </xf>
    <xf numFmtId="166" fontId="1" fillId="7" borderId="25" xfId="5" applyNumberFormat="1" applyFont="1" applyFill="1" applyBorder="1" applyAlignment="1">
      <alignment horizontal="center" wrapText="1"/>
    </xf>
    <xf numFmtId="0" fontId="0" fillId="0" borderId="0" xfId="1" applyFont="1" applyAlignment="1">
      <alignment horizontal="left" indent="2"/>
    </xf>
    <xf numFmtId="165" fontId="1" fillId="2" borderId="51" xfId="5" applyNumberFormat="1" applyFont="1" applyFill="1" applyBorder="1" applyAlignment="1">
      <alignment horizontal="center" wrapText="1"/>
    </xf>
    <xf numFmtId="165" fontId="1" fillId="7" borderId="25" xfId="5" applyNumberFormat="1" applyFont="1" applyFill="1" applyBorder="1" applyAlignment="1">
      <alignment horizontal="center" wrapText="1"/>
    </xf>
    <xf numFmtId="0" fontId="12" fillId="2" borderId="24" xfId="1" applyFont="1" applyFill="1" applyBorder="1" applyAlignment="1">
      <alignment wrapText="1"/>
    </xf>
    <xf numFmtId="0" fontId="24" fillId="0" borderId="0" xfId="1" applyFont="1" applyAlignment="1">
      <alignment wrapText="1"/>
    </xf>
    <xf numFmtId="165" fontId="26" fillId="0" borderId="0" xfId="5" applyNumberFormat="1" applyFont="1" applyFill="1" applyBorder="1" applyAlignment="1">
      <alignment horizontal="center"/>
    </xf>
    <xf numFmtId="0" fontId="12" fillId="0" borderId="14" xfId="1" applyFont="1" applyBorder="1" applyAlignment="1">
      <alignment wrapText="1"/>
    </xf>
    <xf numFmtId="166" fontId="16" fillId="16" borderId="53" xfId="5" applyNumberFormat="1" applyFont="1" applyFill="1" applyBorder="1" applyAlignment="1">
      <alignment horizontal="centerContinuous" wrapText="1"/>
    </xf>
    <xf numFmtId="166" fontId="16" fillId="16" borderId="51" xfId="5" applyNumberFormat="1" applyFont="1" applyFill="1" applyBorder="1" applyAlignment="1">
      <alignment horizontal="centerContinuous" wrapText="1"/>
    </xf>
    <xf numFmtId="166" fontId="16" fillId="16" borderId="52" xfId="5" applyNumberFormat="1" applyFont="1" applyFill="1" applyBorder="1" applyAlignment="1">
      <alignment horizontal="centerContinuous" wrapText="1"/>
    </xf>
    <xf numFmtId="44" fontId="0" fillId="0" borderId="0" xfId="3" applyFont="1" applyFill="1" applyBorder="1" applyAlignment="1">
      <alignment horizontal="center"/>
    </xf>
    <xf numFmtId="2" fontId="0" fillId="0" borderId="0" xfId="3" applyNumberFormat="1" applyFont="1" applyFill="1" applyBorder="1" applyAlignment="1">
      <alignment horizontal="center"/>
    </xf>
    <xf numFmtId="0" fontId="1" fillId="0" borderId="24" xfId="1" applyFont="1" applyBorder="1" applyAlignment="1">
      <alignment horizontal="left"/>
    </xf>
    <xf numFmtId="0" fontId="1" fillId="0" borderId="11" xfId="1" applyFont="1" applyBorder="1" applyAlignment="1">
      <alignment horizontal="center" vertical="center" textRotation="90"/>
    </xf>
    <xf numFmtId="167" fontId="26" fillId="0" borderId="0" xfId="5" applyNumberFormat="1" applyFont="1" applyBorder="1" applyAlignment="1">
      <alignment horizontal="center"/>
    </xf>
    <xf numFmtId="0" fontId="1" fillId="0" borderId="13" xfId="1" applyFont="1" applyBorder="1" applyAlignment="1">
      <alignment horizontal="left"/>
    </xf>
    <xf numFmtId="0" fontId="1" fillId="0" borderId="12" xfId="1" applyFont="1" applyBorder="1" applyAlignment="1">
      <alignment horizontal="center" vertical="center" textRotation="90"/>
    </xf>
    <xf numFmtId="0" fontId="1" fillId="0" borderId="15" xfId="1" applyFont="1" applyBorder="1" applyAlignment="1">
      <alignment horizontal="left"/>
    </xf>
    <xf numFmtId="0" fontId="0" fillId="0" borderId="0" xfId="1" applyFont="1"/>
    <xf numFmtId="0" fontId="24" fillId="0" borderId="15" xfId="1" applyFont="1" applyBorder="1" applyAlignment="1">
      <alignment horizontal="left" indent="1"/>
    </xf>
    <xf numFmtId="9" fontId="6" fillId="0" borderId="0" xfId="6" applyFont="1"/>
    <xf numFmtId="0" fontId="1" fillId="0" borderId="51" xfId="1" applyFont="1" applyBorder="1" applyAlignment="1">
      <alignment wrapText="1"/>
    </xf>
    <xf numFmtId="0" fontId="1" fillId="0" borderId="52" xfId="1" applyFont="1" applyBorder="1" applyAlignment="1">
      <alignment horizontal="center" vertical="center" textRotation="90"/>
    </xf>
    <xf numFmtId="0" fontId="1" fillId="0" borderId="24" xfId="1" applyFont="1" applyBorder="1" applyAlignment="1">
      <alignment vertical="center" textRotation="90"/>
    </xf>
    <xf numFmtId="0" fontId="18" fillId="0" borderId="0" xfId="1" applyFont="1" applyAlignment="1">
      <alignment horizontal="center"/>
    </xf>
    <xf numFmtId="166" fontId="16" fillId="16" borderId="52" xfId="5" applyNumberFormat="1" applyFont="1" applyFill="1" applyBorder="1" applyAlignment="1">
      <alignment horizontal="centerContinuous"/>
    </xf>
    <xf numFmtId="166" fontId="6" fillId="0" borderId="0" xfId="1" applyNumberFormat="1" applyAlignment="1">
      <alignment horizontal="center"/>
    </xf>
    <xf numFmtId="9" fontId="27" fillId="0" borderId="0" xfId="6" applyFont="1" applyAlignment="1">
      <alignment horizontal="left"/>
    </xf>
    <xf numFmtId="2" fontId="6" fillId="0" borderId="0" xfId="1" applyNumberFormat="1" applyAlignment="1">
      <alignment horizontal="center"/>
    </xf>
    <xf numFmtId="0" fontId="1" fillId="0" borderId="44" xfId="1" applyFont="1" applyBorder="1"/>
    <xf numFmtId="0" fontId="7" fillId="0" borderId="23" xfId="1" applyFont="1" applyBorder="1" applyAlignment="1">
      <alignment horizontal="centerContinuous"/>
    </xf>
    <xf numFmtId="10" fontId="1" fillId="6" borderId="24" xfId="2" applyNumberFormat="1" applyFont="1" applyFill="1" applyBorder="1" applyAlignment="1">
      <alignment horizontal="center" wrapText="1"/>
    </xf>
    <xf numFmtId="0" fontId="11" fillId="8" borderId="0" xfId="1" applyFont="1" applyFill="1" applyAlignment="1">
      <alignment horizontal="right"/>
    </xf>
    <xf numFmtId="0" fontId="11" fillId="8" borderId="0" xfId="0" applyFont="1" applyFill="1"/>
    <xf numFmtId="166" fontId="0" fillId="2" borderId="24" xfId="0" applyNumberFormat="1" applyFill="1" applyBorder="1"/>
    <xf numFmtId="44" fontId="0" fillId="8" borderId="0" xfId="0" applyNumberFormat="1" applyFill="1"/>
    <xf numFmtId="167" fontId="0" fillId="8" borderId="0" xfId="6" applyNumberFormat="1" applyFont="1" applyFill="1" applyBorder="1"/>
    <xf numFmtId="166" fontId="1" fillId="6" borderId="24" xfId="0" applyNumberFormat="1" applyFont="1" applyFill="1" applyBorder="1"/>
    <xf numFmtId="168" fontId="0" fillId="8" borderId="0" xfId="0" applyNumberFormat="1" applyFill="1"/>
    <xf numFmtId="164" fontId="0" fillId="8" borderId="0" xfId="6" applyNumberFormat="1" applyFont="1" applyFill="1" applyBorder="1"/>
    <xf numFmtId="164" fontId="1" fillId="8" borderId="24" xfId="6" applyNumberFormat="1" applyFont="1" applyFill="1" applyBorder="1" applyAlignment="1">
      <alignment horizontal="center" wrapText="1"/>
    </xf>
    <xf numFmtId="0" fontId="0" fillId="8" borderId="24" xfId="0" applyFill="1" applyBorder="1" applyAlignment="1">
      <alignment horizontal="center"/>
    </xf>
    <xf numFmtId="164" fontId="0" fillId="8" borderId="0" xfId="0" applyNumberFormat="1" applyFill="1"/>
    <xf numFmtId="0" fontId="0" fillId="8" borderId="47" xfId="0" applyFill="1" applyBorder="1" applyAlignment="1">
      <alignment horizontal="centerContinuous"/>
    </xf>
    <xf numFmtId="0" fontId="0" fillId="8" borderId="44" xfId="0" applyFill="1" applyBorder="1" applyAlignment="1">
      <alignment horizontal="centerContinuous"/>
    </xf>
    <xf numFmtId="0" fontId="0" fillId="8" borderId="25" xfId="0" applyFill="1" applyBorder="1" applyAlignment="1">
      <alignment horizontal="centerContinuous"/>
    </xf>
    <xf numFmtId="168" fontId="0" fillId="8" borderId="0" xfId="8" applyNumberFormat="1" applyFont="1" applyFill="1" applyBorder="1"/>
    <xf numFmtId="0" fontId="0" fillId="15" borderId="24" xfId="0" applyFill="1" applyBorder="1"/>
    <xf numFmtId="10" fontId="0" fillId="6" borderId="24" xfId="6" applyNumberFormat="1" applyFont="1" applyFill="1" applyBorder="1"/>
    <xf numFmtId="10" fontId="0" fillId="6" borderId="24" xfId="0" applyNumberFormat="1" applyFill="1" applyBorder="1"/>
    <xf numFmtId="0" fontId="1" fillId="8" borderId="24" xfId="0" applyFont="1" applyFill="1" applyBorder="1" applyAlignment="1">
      <alignment horizontal="center" wrapText="1"/>
    </xf>
    <xf numFmtId="0" fontId="0" fillId="15" borderId="47" xfId="0" applyFill="1" applyBorder="1"/>
    <xf numFmtId="0" fontId="0" fillId="15" borderId="44" xfId="0" applyFill="1" applyBorder="1"/>
    <xf numFmtId="0" fontId="1" fillId="15" borderId="25" xfId="0" applyFont="1" applyFill="1" applyBorder="1"/>
    <xf numFmtId="0" fontId="1" fillId="8" borderId="47" xfId="0" applyFont="1" applyFill="1" applyBorder="1"/>
    <xf numFmtId="0" fontId="0" fillId="6" borderId="24" xfId="0" applyFill="1" applyBorder="1"/>
  </cellXfs>
  <cellStyles count="9">
    <cellStyle name="Comma" xfId="5" builtinId="3"/>
    <cellStyle name="Comma 2" xfId="4" xr:uid="{BCCB4611-88B4-4629-9CCD-28C87A9F96D4}"/>
    <cellStyle name="Currency" xfId="8" builtinId="4"/>
    <cellStyle name="Currency 2" xfId="3" xr:uid="{80ED0DD0-A084-4250-A760-18441829E639}"/>
    <cellStyle name="Normal" xfId="0" builtinId="0"/>
    <cellStyle name="Normal 2" xfId="1" xr:uid="{D881DFC9-184C-452A-9C09-5FE17124989E}"/>
    <cellStyle name="Normal 3" xfId="7" xr:uid="{B119A6AF-BF56-43C0-AD38-3EEE499B7F78}"/>
    <cellStyle name="Percent" xfId="6" builtinId="5"/>
    <cellStyle name="Percent 2" xfId="2" xr:uid="{C26549EF-DB31-4181-B9C7-62F47CBD9132}"/>
  </cellStyles>
  <dxfs count="10">
    <dxf>
      <font>
        <color theme="5" tint="-0.499984740745262"/>
      </font>
      <fill>
        <patternFill>
          <bgColor theme="5" tint="0.79998168889431442"/>
        </patternFill>
      </fill>
    </dxf>
    <dxf>
      <font>
        <color theme="5" tint="-0.499984740745262"/>
      </font>
      <fill>
        <patternFill>
          <bgColor theme="5" tint="0.79998168889431442"/>
        </patternFill>
      </fill>
    </dxf>
    <dxf>
      <font>
        <color rgb="FFFF0000"/>
      </font>
      <fill>
        <patternFill>
          <bgColor theme="7" tint="0.79998168889431442"/>
        </patternFill>
      </fill>
    </dxf>
    <dxf>
      <font>
        <color theme="5" tint="-0.499984740745262"/>
      </font>
      <fill>
        <patternFill>
          <bgColor theme="5" tint="0.79998168889431442"/>
        </patternFill>
      </fill>
    </dxf>
    <dxf>
      <font>
        <color theme="5" tint="-0.499984740745262"/>
      </font>
      <fill>
        <patternFill>
          <bgColor theme="5" tint="0.79998168889431442"/>
        </patternFill>
      </fill>
    </dxf>
    <dxf>
      <font>
        <color theme="5" tint="-0.499984740745262"/>
      </font>
      <fill>
        <patternFill>
          <bgColor theme="5" tint="0.79998168889431442"/>
        </patternFill>
      </fill>
    </dxf>
    <dxf>
      <font>
        <color rgb="FFFF0000"/>
      </font>
      <fill>
        <patternFill>
          <bgColor theme="7" tint="0.79998168889431442"/>
        </patternFill>
      </fill>
    </dxf>
    <dxf>
      <font>
        <color rgb="FFFF0000"/>
      </font>
      <fill>
        <patternFill>
          <bgColor theme="7" tint="0.79998168889431442"/>
        </patternFill>
      </fill>
    </dxf>
    <dxf>
      <font>
        <color rgb="FFFF0000"/>
      </font>
      <fill>
        <patternFill>
          <bgColor theme="7" tint="0.79998168889431442"/>
        </patternFill>
      </fill>
    </dxf>
    <dxf>
      <font>
        <color rgb="FFFF0000"/>
      </font>
      <fill>
        <patternFill>
          <bgColor theme="7" tint="0.79998168889431442"/>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1"/>
          <c:order val="1"/>
          <c:tx>
            <c:strRef>
              <c:f>'Case Mix'!$D$3</c:f>
              <c:strCache>
                <c:ptCount val="1"/>
                <c:pt idx="0">
                  <c:v>FY23</c:v>
                </c:pt>
              </c:strCache>
            </c:strRef>
          </c:tx>
          <c:spPr>
            <a:solidFill>
              <a:schemeClr val="accent2"/>
            </a:solidFill>
            <a:ln>
              <a:noFill/>
            </a:ln>
            <a:effectLst/>
            <a:sp3d/>
          </c:spPr>
          <c:invertIfNegative val="0"/>
          <c:cat>
            <c:strRef>
              <c:f>'Case Mix'!$B$4:$B$11</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Mix'!$D$4:$D$11</c:f>
              <c:numCache>
                <c:formatCode>General</c:formatCode>
                <c:ptCount val="8"/>
                <c:pt idx="0">
                  <c:v>1.43</c:v>
                </c:pt>
                <c:pt idx="1">
                  <c:v>1.23</c:v>
                </c:pt>
                <c:pt idx="2">
                  <c:v>1.53</c:v>
                </c:pt>
                <c:pt idx="3">
                  <c:v>1.25</c:v>
                </c:pt>
                <c:pt idx="4">
                  <c:v>1.2</c:v>
                </c:pt>
                <c:pt idx="5">
                  <c:v>1.37</c:v>
                </c:pt>
                <c:pt idx="6">
                  <c:v>1.32</c:v>
                </c:pt>
                <c:pt idx="7" formatCode="_(* #,##0.00_);_(* \(#,##0.00\);_(* &quot;-&quot;??_);_(@_)">
                  <c:v>1.3745029962514588</c:v>
                </c:pt>
              </c:numCache>
            </c:numRef>
          </c:val>
          <c:extLst>
            <c:ext xmlns:c16="http://schemas.microsoft.com/office/drawing/2014/chart" uri="{C3380CC4-5D6E-409C-BE32-E72D297353CC}">
              <c16:uniqueId val="{00000000-6646-4899-9F5C-5D93668C65CC}"/>
            </c:ext>
          </c:extLst>
        </c:ser>
        <c:ser>
          <c:idx val="2"/>
          <c:order val="2"/>
          <c:tx>
            <c:strRef>
              <c:f>'Case Mix'!$E$3</c:f>
              <c:strCache>
                <c:ptCount val="1"/>
                <c:pt idx="0">
                  <c:v>FY24</c:v>
                </c:pt>
              </c:strCache>
            </c:strRef>
          </c:tx>
          <c:spPr>
            <a:solidFill>
              <a:schemeClr val="accent3"/>
            </a:solidFill>
            <a:ln>
              <a:noFill/>
            </a:ln>
            <a:effectLst/>
            <a:sp3d/>
          </c:spPr>
          <c:invertIfNegative val="0"/>
          <c:cat>
            <c:strRef>
              <c:f>'Case Mix'!$B$4:$B$11</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Mix'!$E$4:$E$11</c:f>
              <c:numCache>
                <c:formatCode>General</c:formatCode>
                <c:ptCount val="8"/>
                <c:pt idx="0">
                  <c:v>1.39</c:v>
                </c:pt>
                <c:pt idx="1">
                  <c:v>1.21</c:v>
                </c:pt>
                <c:pt idx="2">
                  <c:v>1.51</c:v>
                </c:pt>
                <c:pt idx="3">
                  <c:v>1.1499999999999999</c:v>
                </c:pt>
                <c:pt idx="4">
                  <c:v>1.1200000000000001</c:v>
                </c:pt>
                <c:pt idx="5">
                  <c:v>1.23</c:v>
                </c:pt>
                <c:pt idx="6">
                  <c:v>1.36</c:v>
                </c:pt>
                <c:pt idx="7" formatCode="_(* #,##0.00_);_(* \(#,##0.00\);_(* &quot;-&quot;??_);_(@_)">
                  <c:v>1.3287556936244838</c:v>
                </c:pt>
              </c:numCache>
            </c:numRef>
          </c:val>
          <c:extLst>
            <c:ext xmlns:c16="http://schemas.microsoft.com/office/drawing/2014/chart" uri="{C3380CC4-5D6E-409C-BE32-E72D297353CC}">
              <c16:uniqueId val="{00000001-6646-4899-9F5C-5D93668C65CC}"/>
            </c:ext>
          </c:extLst>
        </c:ser>
        <c:ser>
          <c:idx val="3"/>
          <c:order val="3"/>
          <c:tx>
            <c:strRef>
              <c:f>'Case Mix'!$F$3</c:f>
              <c:strCache>
                <c:ptCount val="1"/>
                <c:pt idx="0">
                  <c:v>FY25 YTD</c:v>
                </c:pt>
              </c:strCache>
            </c:strRef>
          </c:tx>
          <c:spPr>
            <a:solidFill>
              <a:schemeClr val="accent4"/>
            </a:solidFill>
            <a:ln>
              <a:noFill/>
            </a:ln>
            <a:effectLst/>
            <a:sp3d/>
          </c:spPr>
          <c:invertIfNegative val="0"/>
          <c:cat>
            <c:strRef>
              <c:f>'Case Mix'!$B$4:$B$11</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Mix'!$F$4:$F$11</c:f>
              <c:numCache>
                <c:formatCode>General</c:formatCode>
                <c:ptCount val="8"/>
                <c:pt idx="0">
                  <c:v>1.42</c:v>
                </c:pt>
                <c:pt idx="1">
                  <c:v>1.18</c:v>
                </c:pt>
                <c:pt idx="2">
                  <c:v>1.54</c:v>
                </c:pt>
                <c:pt idx="3">
                  <c:v>1.2</c:v>
                </c:pt>
                <c:pt idx="4">
                  <c:v>1.3</c:v>
                </c:pt>
                <c:pt idx="5">
                  <c:v>1.45</c:v>
                </c:pt>
                <c:pt idx="6">
                  <c:v>1.33</c:v>
                </c:pt>
                <c:pt idx="7" formatCode="_(* #,##0.00_);_(* \(#,##0.00\);_(* &quot;-&quot;??_);_(@_)">
                  <c:v>1.3531414057305524</c:v>
                </c:pt>
              </c:numCache>
            </c:numRef>
          </c:val>
          <c:extLst>
            <c:ext xmlns:c16="http://schemas.microsoft.com/office/drawing/2014/chart" uri="{C3380CC4-5D6E-409C-BE32-E72D297353CC}">
              <c16:uniqueId val="{00000002-6646-4899-9F5C-5D93668C65CC}"/>
            </c:ext>
          </c:extLst>
        </c:ser>
        <c:ser>
          <c:idx val="4"/>
          <c:order val="4"/>
          <c:tx>
            <c:strRef>
              <c:f>'Case Mix'!$G$3</c:f>
              <c:strCache>
                <c:ptCount val="1"/>
                <c:pt idx="0">
                  <c:v>FY26 Budg</c:v>
                </c:pt>
              </c:strCache>
            </c:strRef>
          </c:tx>
          <c:spPr>
            <a:solidFill>
              <a:schemeClr val="accent5"/>
            </a:solidFill>
            <a:ln>
              <a:noFill/>
            </a:ln>
            <a:effectLst/>
            <a:sp3d/>
          </c:spPr>
          <c:invertIfNegative val="0"/>
          <c:cat>
            <c:strRef>
              <c:f>'Case Mix'!$B$4:$B$11</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Mix'!$G$4:$G$11</c:f>
              <c:numCache>
                <c:formatCode>General</c:formatCode>
                <c:ptCount val="8"/>
                <c:pt idx="0">
                  <c:v>1.45</c:v>
                </c:pt>
                <c:pt idx="1">
                  <c:v>1.25</c:v>
                </c:pt>
                <c:pt idx="2">
                  <c:v>1.6</c:v>
                </c:pt>
                <c:pt idx="3">
                  <c:v>1.18</c:v>
                </c:pt>
                <c:pt idx="4">
                  <c:v>1.25</c:v>
                </c:pt>
                <c:pt idx="5">
                  <c:v>1.22</c:v>
                </c:pt>
                <c:pt idx="6">
                  <c:v>1.35</c:v>
                </c:pt>
                <c:pt idx="7" formatCode="_(* #,##0.00_);_(* \(#,##0.00\);_(* &quot;-&quot;??_);_(@_)">
                  <c:v>1.3816254574808122</c:v>
                </c:pt>
              </c:numCache>
            </c:numRef>
          </c:val>
          <c:extLst>
            <c:ext xmlns:c16="http://schemas.microsoft.com/office/drawing/2014/chart" uri="{C3380CC4-5D6E-409C-BE32-E72D297353CC}">
              <c16:uniqueId val="{00000004-6646-4899-9F5C-5D93668C65CC}"/>
            </c:ext>
          </c:extLst>
        </c:ser>
        <c:dLbls>
          <c:showLegendKey val="0"/>
          <c:showVal val="0"/>
          <c:showCatName val="0"/>
          <c:showSerName val="0"/>
          <c:showPercent val="0"/>
          <c:showBubbleSize val="0"/>
        </c:dLbls>
        <c:gapWidth val="150"/>
        <c:shape val="box"/>
        <c:axId val="1101111840"/>
        <c:axId val="1101114720"/>
        <c:axId val="0"/>
        <c:extLst>
          <c:ext xmlns:c15="http://schemas.microsoft.com/office/drawing/2012/chart" uri="{02D57815-91ED-43cb-92C2-25804820EDAC}">
            <c15:filteredBarSeries>
              <c15:ser>
                <c:idx val="0"/>
                <c:order val="0"/>
                <c:tx>
                  <c:strRef>
                    <c:extLst>
                      <c:ext uri="{02D57815-91ED-43cb-92C2-25804820EDAC}">
                        <c15:formulaRef>
                          <c15:sqref>'Case Mix'!$C$3</c15:sqref>
                        </c15:formulaRef>
                      </c:ext>
                    </c:extLst>
                    <c:strCache>
                      <c:ptCount val="1"/>
                      <c:pt idx="0">
                        <c:v>Member Months</c:v>
                      </c:pt>
                    </c:strCache>
                  </c:strRef>
                </c:tx>
                <c:spPr>
                  <a:solidFill>
                    <a:schemeClr val="accent1"/>
                  </a:solidFill>
                  <a:ln>
                    <a:noFill/>
                  </a:ln>
                  <a:effectLst/>
                  <a:sp3d/>
                </c:spPr>
                <c:invertIfNegative val="0"/>
                <c:cat>
                  <c:strRef>
                    <c:extLst>
                      <c:ext uri="{02D57815-91ED-43cb-92C2-25804820EDAC}">
                        <c15:formulaRef>
                          <c15:sqref>'Case Mix'!$B$4:$B$11</c15:sqref>
                        </c15:formulaRef>
                      </c:ext>
                    </c:extLst>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extLst>
                      <c:ext uri="{02D57815-91ED-43cb-92C2-25804820EDAC}">
                        <c15:formulaRef>
                          <c15:sqref>'Case Mix'!$C$4:$C$11</c15:sqref>
                        </c15:formulaRef>
                      </c:ext>
                    </c:extLst>
                    <c:numCache>
                      <c:formatCode>_(* #,##0_);_(* \(#,##0\);_(* "-"??_);_(@_)</c:formatCode>
                      <c:ptCount val="8"/>
                      <c:pt idx="0">
                        <c:v>30036542</c:v>
                      </c:pt>
                      <c:pt idx="1">
                        <c:v>6535514</c:v>
                      </c:pt>
                      <c:pt idx="2">
                        <c:v>654321</c:v>
                      </c:pt>
                      <c:pt idx="3">
                        <c:v>6543215</c:v>
                      </c:pt>
                      <c:pt idx="4">
                        <c:v>36541</c:v>
                      </c:pt>
                      <c:pt idx="5">
                        <c:v>65432</c:v>
                      </c:pt>
                      <c:pt idx="6">
                        <c:v>54321</c:v>
                      </c:pt>
                      <c:pt idx="7">
                        <c:v>43925886</c:v>
                      </c:pt>
                    </c:numCache>
                  </c:numRef>
                </c:val>
                <c:extLst>
                  <c:ext xmlns:c16="http://schemas.microsoft.com/office/drawing/2014/chart" uri="{C3380CC4-5D6E-409C-BE32-E72D297353CC}">
                    <c16:uniqueId val="{00000003-6646-4899-9F5C-5D93668C65CC}"/>
                  </c:ext>
                </c:extLst>
              </c15:ser>
            </c15:filteredBarSeries>
          </c:ext>
        </c:extLst>
      </c:bar3DChart>
      <c:catAx>
        <c:axId val="11011118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01114720"/>
        <c:crosses val="autoZero"/>
        <c:auto val="1"/>
        <c:lblAlgn val="ctr"/>
        <c:lblOffset val="100"/>
        <c:noMultiLvlLbl val="0"/>
      </c:catAx>
      <c:valAx>
        <c:axId val="110111472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011118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9</xdr:col>
      <xdr:colOff>152400</xdr:colOff>
      <xdr:row>5</xdr:row>
      <xdr:rowOff>19050</xdr:rowOff>
    </xdr:from>
    <xdr:to>
      <xdr:col>16</xdr:col>
      <xdr:colOff>556260</xdr:colOff>
      <xdr:row>23</xdr:row>
      <xdr:rowOff>144780</xdr:rowOff>
    </xdr:to>
    <xdr:graphicFrame macro="">
      <xdr:nvGraphicFramePr>
        <xdr:cNvPr id="3" name="Chart 2">
          <a:extLst>
            <a:ext uri="{FF2B5EF4-FFF2-40B4-BE49-F238E27FC236}">
              <a16:creationId xmlns:a16="http://schemas.microsoft.com/office/drawing/2014/main" id="{4BA78A52-A705-4510-82DA-73159515E2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241512</xdr:colOff>
      <xdr:row>2</xdr:row>
      <xdr:rowOff>70273</xdr:rowOff>
    </xdr:from>
    <xdr:to>
      <xdr:col>10</xdr:col>
      <xdr:colOff>68950</xdr:colOff>
      <xdr:row>5</xdr:row>
      <xdr:rowOff>60272</xdr:rowOff>
    </xdr:to>
    <xdr:sp macro="" textlink="">
      <xdr:nvSpPr>
        <xdr:cNvPr id="2" name="TextBox 1">
          <a:extLst>
            <a:ext uri="{FF2B5EF4-FFF2-40B4-BE49-F238E27FC236}">
              <a16:creationId xmlns:a16="http://schemas.microsoft.com/office/drawing/2014/main" id="{B9052BAE-4593-4DBB-9A60-979ACCE30C10}"/>
            </a:ext>
          </a:extLst>
        </xdr:cNvPr>
        <xdr:cNvSpPr txBox="1"/>
      </xdr:nvSpPr>
      <xdr:spPr>
        <a:xfrm>
          <a:off x="2131272" y="430318"/>
          <a:ext cx="4222273" cy="531019"/>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2000" b="1">
              <a:solidFill>
                <a:sysClr val="windowText" lastClr="000000"/>
              </a:solidFill>
            </a:rPr>
            <a:t>DUMMY FIGURES PROVIDED</a:t>
          </a:r>
          <a:r>
            <a:rPr lang="en-US" sz="2000" b="1" baseline="0">
              <a:solidFill>
                <a:sysClr val="windowText" lastClr="000000"/>
              </a:solidFill>
            </a:rPr>
            <a:t> TO CHECK FORMULAS, PROVIDE EXAMPLE</a:t>
          </a:r>
          <a:endParaRPr lang="en-US" sz="2000" b="1">
            <a:solidFill>
              <a:sysClr val="windowText" lastClr="000000"/>
            </a:solidFill>
          </a:endParaRP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4B9999-6EB2-4E46-9135-49CD9A90EA22}">
  <dimension ref="B2:F19"/>
  <sheetViews>
    <sheetView workbookViewId="0">
      <selection activeCell="J6" sqref="J6"/>
    </sheetView>
  </sheetViews>
  <sheetFormatPr defaultRowHeight="14.4" x14ac:dyDescent="0.3"/>
  <cols>
    <col min="2" max="2" width="49.109375" customWidth="1"/>
    <col min="3" max="3" width="53.6640625" customWidth="1"/>
    <col min="4" max="4" width="26.6640625" customWidth="1"/>
    <col min="5" max="6" width="30.44140625" customWidth="1"/>
  </cols>
  <sheetData>
    <row r="2" spans="2:6" ht="23.4" x14ac:dyDescent="0.45">
      <c r="B2" s="141" t="s">
        <v>270</v>
      </c>
      <c r="C2" s="141"/>
      <c r="D2" s="141"/>
      <c r="E2" s="141"/>
      <c r="F2" s="141"/>
    </row>
    <row r="3" spans="2:6" ht="24" thickBot="1" x14ac:dyDescent="0.5">
      <c r="B3" s="110"/>
      <c r="C3" s="110"/>
      <c r="D3" s="110"/>
      <c r="E3" s="110"/>
      <c r="F3" s="110"/>
    </row>
    <row r="4" spans="2:6" ht="18" x14ac:dyDescent="0.35">
      <c r="B4" s="111" t="s">
        <v>267</v>
      </c>
      <c r="C4" s="112" t="s">
        <v>57</v>
      </c>
      <c r="D4" s="112" t="s">
        <v>271</v>
      </c>
      <c r="E4" s="112" t="s">
        <v>272</v>
      </c>
      <c r="F4" s="113" t="s">
        <v>460</v>
      </c>
    </row>
    <row r="5" spans="2:6" ht="54" customHeight="1" x14ac:dyDescent="0.3">
      <c r="B5" s="122" t="s">
        <v>273</v>
      </c>
      <c r="C5" s="123" t="s">
        <v>274</v>
      </c>
      <c r="D5" s="123"/>
      <c r="E5" s="124"/>
      <c r="F5" s="125"/>
    </row>
    <row r="6" spans="2:6" ht="133.5" customHeight="1" x14ac:dyDescent="0.3">
      <c r="B6" s="126" t="s">
        <v>268</v>
      </c>
      <c r="C6" s="127" t="s">
        <v>280</v>
      </c>
      <c r="D6" s="128"/>
      <c r="E6" s="129"/>
      <c r="F6" s="130"/>
    </row>
    <row r="7" spans="2:6" x14ac:dyDescent="0.3">
      <c r="B7" s="139"/>
      <c r="C7" s="140"/>
      <c r="D7" s="140"/>
      <c r="E7" s="66"/>
      <c r="F7" s="138"/>
    </row>
    <row r="8" spans="2:6" x14ac:dyDescent="0.3">
      <c r="B8" s="139"/>
      <c r="C8" s="140"/>
      <c r="D8" s="140"/>
      <c r="E8" s="66"/>
      <c r="F8" s="138"/>
    </row>
    <row r="9" spans="2:6" ht="104.25" customHeight="1" x14ac:dyDescent="0.3">
      <c r="B9" s="118" t="s">
        <v>275</v>
      </c>
      <c r="C9" s="119" t="s">
        <v>278</v>
      </c>
      <c r="D9" s="119"/>
      <c r="E9" s="120"/>
      <c r="F9" s="121"/>
    </row>
    <row r="10" spans="2:6" x14ac:dyDescent="0.3">
      <c r="B10" s="137"/>
      <c r="C10" s="66"/>
      <c r="D10" s="66"/>
      <c r="E10" s="66"/>
      <c r="F10" s="138"/>
    </row>
    <row r="11" spans="2:6" x14ac:dyDescent="0.3">
      <c r="B11" s="137"/>
      <c r="C11" s="66"/>
      <c r="D11" s="66"/>
      <c r="E11" s="66"/>
      <c r="F11" s="138"/>
    </row>
    <row r="12" spans="2:6" ht="38.25" customHeight="1" thickBot="1" x14ac:dyDescent="0.35">
      <c r="B12" s="114" t="s">
        <v>276</v>
      </c>
      <c r="C12" s="115" t="s">
        <v>279</v>
      </c>
      <c r="D12" s="116"/>
      <c r="E12" s="116"/>
      <c r="F12" s="117"/>
    </row>
    <row r="15" spans="2:6" x14ac:dyDescent="0.3">
      <c r="B15" s="131" t="s">
        <v>269</v>
      </c>
      <c r="C15" s="132"/>
      <c r="D15" s="132"/>
      <c r="E15" s="132"/>
      <c r="F15" s="133"/>
    </row>
    <row r="16" spans="2:6" ht="93.75" customHeight="1" x14ac:dyDescent="0.3">
      <c r="B16" s="134"/>
      <c r="C16" s="135"/>
      <c r="D16" s="135"/>
      <c r="E16" s="135"/>
      <c r="F16" s="136"/>
    </row>
    <row r="19" spans="3:3" ht="46.2" x14ac:dyDescent="0.85">
      <c r="C19" s="90"/>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8BB930-54F1-4654-B361-028E62FFAEF5}">
  <dimension ref="A2:Y57"/>
  <sheetViews>
    <sheetView topLeftCell="B1" workbookViewId="0">
      <selection activeCell="U15" sqref="U15"/>
    </sheetView>
  </sheetViews>
  <sheetFormatPr defaultRowHeight="14.4" x14ac:dyDescent="0.3"/>
  <cols>
    <col min="1" max="1" width="0" hidden="1" customWidth="1"/>
    <col min="2" max="2" width="3.5546875" customWidth="1"/>
    <col min="3" max="3" width="60.33203125" style="102" bestFit="1" customWidth="1"/>
    <col min="4" max="4" width="11.88671875" customWidth="1"/>
    <col min="5" max="5" width="14.5546875" customWidth="1"/>
    <col min="6" max="6" width="13.109375" customWidth="1"/>
    <col min="7" max="7" width="13" customWidth="1"/>
    <col min="8" max="8" width="3.109375" customWidth="1"/>
    <col min="9" max="9" width="65.44140625" style="102" bestFit="1" customWidth="1"/>
    <col min="10" max="10" width="14.44140625" customWidth="1"/>
    <col min="11" max="11" width="13.33203125" customWidth="1"/>
    <col min="12" max="12" width="12.88671875" customWidth="1"/>
    <col min="13" max="13" width="12.44140625" customWidth="1"/>
    <col min="14" max="14" width="3" customWidth="1"/>
    <col min="15" max="15" width="65.44140625" bestFit="1" customWidth="1"/>
    <col min="16" max="20" width="9.109375" bestFit="1" customWidth="1"/>
    <col min="21" max="21" width="81.6640625" bestFit="1" customWidth="1"/>
  </cols>
  <sheetData>
    <row r="2" spans="1:25" ht="30" x14ac:dyDescent="0.4">
      <c r="C2" s="103" t="s">
        <v>336</v>
      </c>
      <c r="D2" s="12" t="s">
        <v>337</v>
      </c>
      <c r="E2" s="12" t="s">
        <v>338</v>
      </c>
      <c r="F2" s="12" t="s">
        <v>339</v>
      </c>
      <c r="G2" s="5" t="s">
        <v>340</v>
      </c>
      <c r="I2" s="103" t="s">
        <v>341</v>
      </c>
      <c r="J2" s="12" t="s">
        <v>337</v>
      </c>
      <c r="K2" s="12" t="s">
        <v>338</v>
      </c>
      <c r="L2" s="12" t="s">
        <v>339</v>
      </c>
      <c r="M2" s="5" t="s">
        <v>340</v>
      </c>
      <c r="O2" s="103" t="s">
        <v>342</v>
      </c>
      <c r="P2" s="12" t="s">
        <v>337</v>
      </c>
      <c r="Q2" s="12" t="s">
        <v>338</v>
      </c>
      <c r="R2" s="12" t="s">
        <v>339</v>
      </c>
      <c r="S2" s="5" t="s">
        <v>340</v>
      </c>
      <c r="U2" s="103" t="s">
        <v>343</v>
      </c>
      <c r="V2" s="12" t="s">
        <v>337</v>
      </c>
      <c r="W2" s="12" t="s">
        <v>338</v>
      </c>
      <c r="X2" s="12" t="s">
        <v>339</v>
      </c>
      <c r="Y2" s="5" t="s">
        <v>340</v>
      </c>
    </row>
    <row r="3" spans="1:25" ht="28.8" x14ac:dyDescent="0.3">
      <c r="A3" s="94" t="s">
        <v>344</v>
      </c>
      <c r="B3" s="94"/>
      <c r="C3" s="102" t="s">
        <v>345</v>
      </c>
      <c r="I3" s="102" t="s">
        <v>346</v>
      </c>
      <c r="O3" s="92" t="s">
        <v>347</v>
      </c>
      <c r="U3" s="92" t="s">
        <v>348</v>
      </c>
    </row>
    <row r="4" spans="1:25" x14ac:dyDescent="0.3">
      <c r="C4" s="102" t="s">
        <v>349</v>
      </c>
      <c r="I4" s="102" t="s">
        <v>350</v>
      </c>
      <c r="O4" s="92" t="s">
        <v>351</v>
      </c>
      <c r="U4" s="104" t="s">
        <v>352</v>
      </c>
    </row>
    <row r="5" spans="1:25" x14ac:dyDescent="0.3">
      <c r="C5" s="102" t="s">
        <v>353</v>
      </c>
      <c r="I5" s="102" t="s">
        <v>354</v>
      </c>
      <c r="O5" s="92" t="s">
        <v>355</v>
      </c>
      <c r="U5" s="105" t="s">
        <v>356</v>
      </c>
    </row>
    <row r="6" spans="1:25" x14ac:dyDescent="0.3">
      <c r="C6" s="102" t="s">
        <v>357</v>
      </c>
      <c r="I6" s="106" t="s">
        <v>358</v>
      </c>
      <c r="O6" s="92" t="s">
        <v>359</v>
      </c>
      <c r="U6" s="105" t="s">
        <v>360</v>
      </c>
    </row>
    <row r="7" spans="1:25" ht="15" x14ac:dyDescent="0.3">
      <c r="C7" s="102" t="s">
        <v>361</v>
      </c>
      <c r="O7" s="92" t="s">
        <v>362</v>
      </c>
      <c r="U7" s="105" t="s">
        <v>359</v>
      </c>
    </row>
    <row r="8" spans="1:25" x14ac:dyDescent="0.3">
      <c r="C8" s="102" t="s">
        <v>363</v>
      </c>
      <c r="I8" s="102" t="s">
        <v>364</v>
      </c>
      <c r="O8" s="91" t="s">
        <v>365</v>
      </c>
      <c r="U8" s="105" t="s">
        <v>366</v>
      </c>
    </row>
    <row r="9" spans="1:25" ht="15" x14ac:dyDescent="0.3">
      <c r="C9" s="102" t="s">
        <v>367</v>
      </c>
      <c r="I9" s="102" t="s">
        <v>368</v>
      </c>
      <c r="O9" s="92"/>
      <c r="U9" s="105" t="s">
        <v>369</v>
      </c>
    </row>
    <row r="10" spans="1:25" ht="15" x14ac:dyDescent="0.3">
      <c r="C10" s="102" t="s">
        <v>370</v>
      </c>
      <c r="I10" s="102" t="s">
        <v>371</v>
      </c>
      <c r="O10" s="92"/>
      <c r="U10" s="105" t="s">
        <v>372</v>
      </c>
    </row>
    <row r="11" spans="1:25" x14ac:dyDescent="0.3">
      <c r="C11" s="106" t="s">
        <v>373</v>
      </c>
      <c r="I11" s="102" t="s">
        <v>374</v>
      </c>
      <c r="O11" s="92" t="s">
        <v>375</v>
      </c>
      <c r="U11" s="105" t="s">
        <v>376</v>
      </c>
    </row>
    <row r="12" spans="1:25" ht="15" x14ac:dyDescent="0.3">
      <c r="I12" s="102" t="s">
        <v>377</v>
      </c>
      <c r="O12" s="92" t="s">
        <v>378</v>
      </c>
      <c r="U12" s="105" t="s">
        <v>379</v>
      </c>
    </row>
    <row r="13" spans="1:25" x14ac:dyDescent="0.3">
      <c r="A13" s="60" t="s">
        <v>380</v>
      </c>
      <c r="B13" s="60"/>
      <c r="C13" s="102" t="s">
        <v>381</v>
      </c>
      <c r="I13" s="106" t="s">
        <v>382</v>
      </c>
      <c r="O13" s="92" t="s">
        <v>383</v>
      </c>
      <c r="U13" s="105" t="s">
        <v>384</v>
      </c>
    </row>
    <row r="14" spans="1:25" ht="15" x14ac:dyDescent="0.3">
      <c r="C14" s="102" t="s">
        <v>385</v>
      </c>
      <c r="O14" s="92" t="s">
        <v>386</v>
      </c>
      <c r="U14" s="105" t="s">
        <v>387</v>
      </c>
    </row>
    <row r="15" spans="1:25" x14ac:dyDescent="0.3">
      <c r="C15" s="102" t="s">
        <v>388</v>
      </c>
      <c r="O15" s="92" t="s">
        <v>389</v>
      </c>
      <c r="U15" s="107" t="s">
        <v>390</v>
      </c>
    </row>
    <row r="16" spans="1:25" ht="15" x14ac:dyDescent="0.3">
      <c r="C16" s="102" t="s">
        <v>391</v>
      </c>
      <c r="I16" s="102" t="s">
        <v>392</v>
      </c>
      <c r="O16" s="92" t="s">
        <v>379</v>
      </c>
      <c r="U16" s="108" t="s">
        <v>393</v>
      </c>
    </row>
    <row r="17" spans="1:21" ht="15" x14ac:dyDescent="0.3">
      <c r="C17" s="102" t="s">
        <v>394</v>
      </c>
      <c r="I17" s="102" t="s">
        <v>395</v>
      </c>
      <c r="O17" s="92" t="s">
        <v>396</v>
      </c>
      <c r="U17" s="108" t="s">
        <v>397</v>
      </c>
    </row>
    <row r="18" spans="1:21" x14ac:dyDescent="0.3">
      <c r="C18" s="106" t="s">
        <v>398</v>
      </c>
      <c r="I18" s="102" t="s">
        <v>399</v>
      </c>
      <c r="O18" s="92" t="s">
        <v>400</v>
      </c>
      <c r="U18" s="108" t="s">
        <v>401</v>
      </c>
    </row>
    <row r="19" spans="1:21" ht="15" x14ac:dyDescent="0.3">
      <c r="I19" s="102" t="s">
        <v>402</v>
      </c>
      <c r="O19" s="92" t="s">
        <v>348</v>
      </c>
      <c r="U19" s="108" t="s">
        <v>403</v>
      </c>
    </row>
    <row r="20" spans="1:21" ht="15" x14ac:dyDescent="0.3">
      <c r="C20" s="102" t="s">
        <v>404</v>
      </c>
      <c r="I20" s="102" t="s">
        <v>405</v>
      </c>
      <c r="O20" s="92"/>
      <c r="U20" s="108" t="s">
        <v>406</v>
      </c>
    </row>
    <row r="21" spans="1:21" x14ac:dyDescent="0.3">
      <c r="C21" s="102" t="s">
        <v>407</v>
      </c>
      <c r="I21" s="102" t="s">
        <v>356</v>
      </c>
      <c r="O21" s="91" t="s">
        <v>408</v>
      </c>
      <c r="U21" s="108" t="s">
        <v>409</v>
      </c>
    </row>
    <row r="22" spans="1:21" x14ac:dyDescent="0.3">
      <c r="C22" s="102" t="s">
        <v>410</v>
      </c>
      <c r="I22" s="102" t="s">
        <v>411</v>
      </c>
      <c r="O22" s="91" t="s">
        <v>412</v>
      </c>
      <c r="U22" s="108" t="s">
        <v>413</v>
      </c>
    </row>
    <row r="23" spans="1:21" x14ac:dyDescent="0.3">
      <c r="C23" s="102" t="s">
        <v>303</v>
      </c>
      <c r="I23" s="106" t="s">
        <v>414</v>
      </c>
      <c r="U23" s="108" t="s">
        <v>415</v>
      </c>
    </row>
    <row r="24" spans="1:21" x14ac:dyDescent="0.3">
      <c r="I24" s="106" t="s">
        <v>416</v>
      </c>
      <c r="U24" s="108" t="s">
        <v>417</v>
      </c>
    </row>
    <row r="25" spans="1:21" x14ac:dyDescent="0.3">
      <c r="C25" s="106" t="s">
        <v>418</v>
      </c>
      <c r="U25" s="91" t="s">
        <v>419</v>
      </c>
    </row>
    <row r="26" spans="1:21" ht="15" x14ac:dyDescent="0.3">
      <c r="U26" s="92" t="s">
        <v>420</v>
      </c>
    </row>
    <row r="27" spans="1:21" x14ac:dyDescent="0.3">
      <c r="A27" s="60" t="s">
        <v>421</v>
      </c>
      <c r="B27" s="60"/>
      <c r="C27" s="102" t="s">
        <v>422</v>
      </c>
      <c r="I27" s="102" t="s">
        <v>423</v>
      </c>
      <c r="U27" s="92" t="s">
        <v>424</v>
      </c>
    </row>
    <row r="28" spans="1:21" ht="15" x14ac:dyDescent="0.3">
      <c r="C28" s="102" t="s">
        <v>425</v>
      </c>
      <c r="I28" s="102" t="s">
        <v>426</v>
      </c>
      <c r="U28" s="92" t="s">
        <v>427</v>
      </c>
    </row>
    <row r="29" spans="1:21" ht="15" x14ac:dyDescent="0.3">
      <c r="C29" s="102" t="s">
        <v>428</v>
      </c>
      <c r="I29" s="102" t="s">
        <v>429</v>
      </c>
      <c r="U29" s="92" t="s">
        <v>430</v>
      </c>
    </row>
    <row r="30" spans="1:21" ht="15" x14ac:dyDescent="0.3">
      <c r="C30" s="102" t="s">
        <v>431</v>
      </c>
      <c r="I30" s="102" t="s">
        <v>369</v>
      </c>
    </row>
    <row r="31" spans="1:21" ht="15" x14ac:dyDescent="0.3">
      <c r="C31" s="102" t="s">
        <v>432</v>
      </c>
      <c r="I31" s="102" t="s">
        <v>433</v>
      </c>
    </row>
    <row r="32" spans="1:21" ht="15" x14ac:dyDescent="0.3">
      <c r="C32" s="102" t="s">
        <v>434</v>
      </c>
      <c r="I32" s="102" t="s">
        <v>383</v>
      </c>
    </row>
    <row r="33" spans="1:9" ht="15" x14ac:dyDescent="0.3">
      <c r="C33" s="102" t="s">
        <v>435</v>
      </c>
      <c r="I33" s="102" t="s">
        <v>303</v>
      </c>
    </row>
    <row r="34" spans="1:9" x14ac:dyDescent="0.3">
      <c r="C34" s="102" t="s">
        <v>436</v>
      </c>
      <c r="I34" s="106" t="s">
        <v>437</v>
      </c>
    </row>
    <row r="35" spans="1:9" x14ac:dyDescent="0.3">
      <c r="C35" s="102" t="s">
        <v>438</v>
      </c>
      <c r="I35" s="106" t="s">
        <v>439</v>
      </c>
    </row>
    <row r="36" spans="1:9" ht="15" x14ac:dyDescent="0.3">
      <c r="C36" s="102" t="s">
        <v>440</v>
      </c>
    </row>
    <row r="37" spans="1:9" x14ac:dyDescent="0.3">
      <c r="C37" s="106" t="s">
        <v>441</v>
      </c>
      <c r="I37" s="102" t="s">
        <v>351</v>
      </c>
    </row>
    <row r="38" spans="1:9" x14ac:dyDescent="0.3">
      <c r="I38" s="102" t="s">
        <v>355</v>
      </c>
    </row>
    <row r="39" spans="1:9" x14ac:dyDescent="0.3">
      <c r="A39" s="60" t="s">
        <v>442</v>
      </c>
      <c r="B39" s="60"/>
      <c r="C39" s="102" t="s">
        <v>443</v>
      </c>
      <c r="I39" s="102" t="s">
        <v>359</v>
      </c>
    </row>
    <row r="40" spans="1:9" x14ac:dyDescent="0.3">
      <c r="C40" s="102" t="s">
        <v>444</v>
      </c>
      <c r="I40" s="102" t="s">
        <v>362</v>
      </c>
    </row>
    <row r="41" spans="1:9" x14ac:dyDescent="0.3">
      <c r="C41" s="102" t="s">
        <v>413</v>
      </c>
      <c r="I41" s="106" t="s">
        <v>445</v>
      </c>
    </row>
    <row r="42" spans="1:9" x14ac:dyDescent="0.3">
      <c r="C42" s="102" t="s">
        <v>446</v>
      </c>
    </row>
    <row r="43" spans="1:9" x14ac:dyDescent="0.3">
      <c r="C43" s="102" t="s">
        <v>447</v>
      </c>
    </row>
    <row r="44" spans="1:9" x14ac:dyDescent="0.3">
      <c r="C44" s="102" t="s">
        <v>448</v>
      </c>
    </row>
    <row r="45" spans="1:9" x14ac:dyDescent="0.3">
      <c r="C45" s="102" t="s">
        <v>449</v>
      </c>
    </row>
    <row r="46" spans="1:9" x14ac:dyDescent="0.3">
      <c r="C46" s="102" t="s">
        <v>450</v>
      </c>
    </row>
    <row r="47" spans="1:9" x14ac:dyDescent="0.3">
      <c r="C47" s="102" t="s">
        <v>303</v>
      </c>
    </row>
    <row r="48" spans="1:9" x14ac:dyDescent="0.3">
      <c r="C48" s="106" t="s">
        <v>451</v>
      </c>
    </row>
    <row r="51" spans="1:3" x14ac:dyDescent="0.3">
      <c r="A51" s="60" t="s">
        <v>452</v>
      </c>
      <c r="B51" s="60"/>
      <c r="C51" s="102" t="s">
        <v>453</v>
      </c>
    </row>
    <row r="52" spans="1:3" x14ac:dyDescent="0.3">
      <c r="C52" s="102" t="s">
        <v>454</v>
      </c>
    </row>
    <row r="53" spans="1:3" x14ac:dyDescent="0.3">
      <c r="C53" s="102" t="s">
        <v>455</v>
      </c>
    </row>
    <row r="54" spans="1:3" x14ac:dyDescent="0.3">
      <c r="C54" s="102" t="s">
        <v>456</v>
      </c>
    </row>
    <row r="55" spans="1:3" x14ac:dyDescent="0.3">
      <c r="C55" s="102" t="s">
        <v>457</v>
      </c>
    </row>
    <row r="56" spans="1:3" x14ac:dyDescent="0.3">
      <c r="C56" s="102" t="s">
        <v>458</v>
      </c>
    </row>
    <row r="57" spans="1:3" x14ac:dyDescent="0.3">
      <c r="C57" s="106" t="s">
        <v>459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K81"/>
  <sheetViews>
    <sheetView topLeftCell="A64" zoomScale="80" zoomScaleNormal="80" workbookViewId="0">
      <selection activeCell="D86" sqref="D86"/>
    </sheetView>
  </sheetViews>
  <sheetFormatPr defaultRowHeight="14.4" x14ac:dyDescent="0.3"/>
  <cols>
    <col min="2" max="4" width="45.109375" customWidth="1"/>
    <col min="5" max="6" width="36" customWidth="1"/>
    <col min="7" max="12" width="40.88671875" customWidth="1"/>
  </cols>
  <sheetData>
    <row r="2" spans="2:4" ht="23.4" x14ac:dyDescent="0.45">
      <c r="B2" s="162" t="s">
        <v>0</v>
      </c>
      <c r="C2" s="162"/>
      <c r="D2" s="162"/>
    </row>
    <row r="4" spans="2:4" ht="44.25" customHeight="1" thickBot="1" x14ac:dyDescent="0.35">
      <c r="B4" s="169" t="s">
        <v>1</v>
      </c>
      <c r="C4" s="170"/>
      <c r="D4" s="171"/>
    </row>
    <row r="5" spans="2:4" ht="40.5" customHeight="1" x14ac:dyDescent="0.3">
      <c r="B5" s="4" t="s">
        <v>2</v>
      </c>
      <c r="C5" s="28" t="s">
        <v>3</v>
      </c>
      <c r="D5" s="25" t="s">
        <v>4</v>
      </c>
    </row>
    <row r="6" spans="2:4" x14ac:dyDescent="0.3">
      <c r="B6" s="6" t="s">
        <v>5</v>
      </c>
      <c r="C6" s="29"/>
      <c r="D6" s="26"/>
    </row>
    <row r="7" spans="2:4" x14ac:dyDescent="0.3">
      <c r="B7" s="6" t="s">
        <v>6</v>
      </c>
      <c r="C7" s="29"/>
      <c r="D7" s="26"/>
    </row>
    <row r="8" spans="2:4" x14ac:dyDescent="0.3">
      <c r="B8" s="6" t="s">
        <v>7</v>
      </c>
      <c r="C8" s="29"/>
      <c r="D8" s="26"/>
    </row>
    <row r="9" spans="2:4" x14ac:dyDescent="0.3">
      <c r="B9" s="6" t="s">
        <v>8</v>
      </c>
      <c r="C9" s="29"/>
      <c r="D9" s="26"/>
    </row>
    <row r="10" spans="2:4" x14ac:dyDescent="0.3">
      <c r="B10" s="6" t="s">
        <v>9</v>
      </c>
      <c r="C10" s="29"/>
      <c r="D10" s="26"/>
    </row>
    <row r="11" spans="2:4" x14ac:dyDescent="0.3">
      <c r="B11" s="6" t="s">
        <v>10</v>
      </c>
      <c r="C11" s="29"/>
      <c r="D11" s="26"/>
    </row>
    <row r="12" spans="2:4" x14ac:dyDescent="0.3">
      <c r="B12" s="6" t="s">
        <v>11</v>
      </c>
      <c r="C12" s="29"/>
      <c r="D12" s="26"/>
    </row>
    <row r="13" spans="2:4" x14ac:dyDescent="0.3">
      <c r="B13" s="6" t="s">
        <v>12</v>
      </c>
      <c r="C13" s="29"/>
      <c r="D13" s="26"/>
    </row>
    <row r="14" spans="2:4" x14ac:dyDescent="0.3">
      <c r="B14" s="6" t="s">
        <v>13</v>
      </c>
      <c r="C14" s="29"/>
      <c r="D14" s="26"/>
    </row>
    <row r="15" spans="2:4" x14ac:dyDescent="0.3">
      <c r="B15" s="6" t="s">
        <v>14</v>
      </c>
      <c r="C15" s="29"/>
      <c r="D15" s="26"/>
    </row>
    <row r="16" spans="2:4" x14ac:dyDescent="0.3">
      <c r="B16" s="6" t="s">
        <v>15</v>
      </c>
      <c r="C16" s="29"/>
      <c r="D16" s="26"/>
    </row>
    <row r="17" spans="2:4" x14ac:dyDescent="0.3">
      <c r="B17" s="6" t="s">
        <v>16</v>
      </c>
      <c r="C17" s="29"/>
      <c r="D17" s="26"/>
    </row>
    <row r="18" spans="2:4" x14ac:dyDescent="0.3">
      <c r="B18" s="6" t="s">
        <v>17</v>
      </c>
      <c r="C18" s="29"/>
      <c r="D18" s="26"/>
    </row>
    <row r="19" spans="2:4" x14ac:dyDescent="0.3">
      <c r="B19" s="6" t="s">
        <v>18</v>
      </c>
      <c r="C19" s="29"/>
      <c r="D19" s="26"/>
    </row>
    <row r="20" spans="2:4" x14ac:dyDescent="0.3">
      <c r="B20" s="6" t="s">
        <v>19</v>
      </c>
      <c r="C20" s="29"/>
      <c r="D20" s="26"/>
    </row>
    <row r="21" spans="2:4" x14ac:dyDescent="0.3">
      <c r="B21" s="6" t="s">
        <v>20</v>
      </c>
      <c r="C21" s="29"/>
      <c r="D21" s="26"/>
    </row>
    <row r="22" spans="2:4" x14ac:dyDescent="0.3">
      <c r="B22" s="6" t="s">
        <v>21</v>
      </c>
      <c r="C22" s="29"/>
      <c r="D22" s="26"/>
    </row>
    <row r="23" spans="2:4" x14ac:dyDescent="0.3">
      <c r="B23" s="6" t="s">
        <v>22</v>
      </c>
      <c r="C23" s="29"/>
      <c r="D23" s="26"/>
    </row>
    <row r="24" spans="2:4" x14ac:dyDescent="0.3">
      <c r="B24" s="6" t="s">
        <v>23</v>
      </c>
      <c r="C24" s="29"/>
      <c r="D24" s="26"/>
    </row>
    <row r="25" spans="2:4" x14ac:dyDescent="0.3">
      <c r="B25" s="6" t="s">
        <v>24</v>
      </c>
      <c r="C25" s="29"/>
      <c r="D25" s="26"/>
    </row>
    <row r="26" spans="2:4" x14ac:dyDescent="0.3">
      <c r="B26" s="6" t="s">
        <v>25</v>
      </c>
      <c r="C26" s="29"/>
      <c r="D26" s="26"/>
    </row>
    <row r="27" spans="2:4" x14ac:dyDescent="0.3">
      <c r="B27" s="6" t="s">
        <v>26</v>
      </c>
      <c r="C27" s="29"/>
      <c r="D27" s="26"/>
    </row>
    <row r="28" spans="2:4" x14ac:dyDescent="0.3">
      <c r="B28" s="6" t="s">
        <v>27</v>
      </c>
      <c r="C28" s="29"/>
      <c r="D28" s="26"/>
    </row>
    <row r="29" spans="2:4" ht="15" thickBot="1" x14ac:dyDescent="0.35">
      <c r="B29" s="7" t="s">
        <v>28</v>
      </c>
      <c r="C29" s="30"/>
      <c r="D29" s="27"/>
    </row>
    <row r="32" spans="2:4" ht="34.5" customHeight="1" x14ac:dyDescent="0.3">
      <c r="B32" s="166" t="s">
        <v>29</v>
      </c>
      <c r="C32" s="167"/>
      <c r="D32" s="168"/>
    </row>
    <row r="33" spans="2:11" ht="28.8" x14ac:dyDescent="0.3">
      <c r="B33" s="10" t="s">
        <v>30</v>
      </c>
      <c r="C33" s="28" t="s">
        <v>3</v>
      </c>
      <c r="D33" s="25" t="s">
        <v>4</v>
      </c>
    </row>
    <row r="34" spans="2:11" x14ac:dyDescent="0.3">
      <c r="B34" s="8" t="s">
        <v>31</v>
      </c>
      <c r="C34" s="29"/>
      <c r="D34" s="26"/>
    </row>
    <row r="35" spans="2:11" x14ac:dyDescent="0.3">
      <c r="B35" s="8" t="s">
        <v>32</v>
      </c>
      <c r="C35" s="29"/>
      <c r="D35" s="26"/>
    </row>
    <row r="36" spans="2:11" x14ac:dyDescent="0.3">
      <c r="B36" s="8" t="s">
        <v>33</v>
      </c>
      <c r="C36" s="29"/>
      <c r="D36" s="26"/>
    </row>
    <row r="37" spans="2:11" x14ac:dyDescent="0.3">
      <c r="B37" s="8" t="s">
        <v>34</v>
      </c>
      <c r="C37" s="29"/>
      <c r="D37" s="26"/>
    </row>
    <row r="38" spans="2:11" x14ac:dyDescent="0.3">
      <c r="B38" s="8" t="s">
        <v>35</v>
      </c>
      <c r="C38" s="29"/>
      <c r="D38" s="26"/>
    </row>
    <row r="39" spans="2:11" x14ac:dyDescent="0.3">
      <c r="B39" s="7" t="s">
        <v>36</v>
      </c>
      <c r="C39" s="30"/>
      <c r="D39" s="27"/>
    </row>
    <row r="42" spans="2:11" ht="37.5" customHeight="1" x14ac:dyDescent="0.3">
      <c r="B42" s="172" t="s">
        <v>37</v>
      </c>
      <c r="C42" s="164"/>
      <c r="D42" s="164"/>
      <c r="E42" s="164"/>
      <c r="F42" s="164"/>
      <c r="G42" s="165"/>
    </row>
    <row r="43" spans="2:11" ht="51.75" customHeight="1" x14ac:dyDescent="0.3">
      <c r="B43" s="10" t="s">
        <v>2</v>
      </c>
      <c r="C43" s="31" t="s">
        <v>38</v>
      </c>
      <c r="D43" s="31" t="s">
        <v>39</v>
      </c>
      <c r="E43" s="31" t="s">
        <v>40</v>
      </c>
      <c r="F43" s="31" t="s">
        <v>41</v>
      </c>
      <c r="G43" s="25" t="s">
        <v>42</v>
      </c>
    </row>
    <row r="44" spans="2:11" x14ac:dyDescent="0.3">
      <c r="B44" s="9" t="s">
        <v>5</v>
      </c>
      <c r="C44" s="34"/>
      <c r="D44" s="35"/>
      <c r="E44" s="38"/>
      <c r="F44" s="38"/>
      <c r="G44" s="41"/>
      <c r="J44" s="1"/>
      <c r="K44" s="1"/>
    </row>
    <row r="45" spans="2:11" ht="14.25" customHeight="1" x14ac:dyDescent="0.3">
      <c r="B45" s="6" t="s">
        <v>6</v>
      </c>
      <c r="C45" s="32"/>
      <c r="D45" s="36"/>
      <c r="E45" s="39"/>
      <c r="F45" s="39"/>
      <c r="G45" s="26"/>
    </row>
    <row r="46" spans="2:11" ht="17.25" customHeight="1" x14ac:dyDescent="0.3">
      <c r="B46" s="6" t="s">
        <v>7</v>
      </c>
      <c r="C46" s="32"/>
      <c r="D46" s="36"/>
      <c r="E46" s="39"/>
      <c r="F46" s="39"/>
      <c r="G46" s="26"/>
    </row>
    <row r="47" spans="2:11" x14ac:dyDescent="0.3">
      <c r="B47" s="6" t="s">
        <v>8</v>
      </c>
      <c r="C47" s="32"/>
      <c r="D47" s="36"/>
      <c r="E47" s="39"/>
      <c r="F47" s="39"/>
      <c r="G47" s="26"/>
    </row>
    <row r="48" spans="2:11" x14ac:dyDescent="0.3">
      <c r="B48" s="6" t="s">
        <v>9</v>
      </c>
      <c r="C48" s="32"/>
      <c r="D48" s="36"/>
      <c r="E48" s="39"/>
      <c r="F48" s="39"/>
      <c r="G48" s="26"/>
    </row>
    <row r="49" spans="2:7" x14ac:dyDescent="0.3">
      <c r="B49" s="6" t="s">
        <v>10</v>
      </c>
      <c r="C49" s="32"/>
      <c r="D49" s="36"/>
      <c r="E49" s="39"/>
      <c r="F49" s="39"/>
      <c r="G49" s="26"/>
    </row>
    <row r="50" spans="2:7" x14ac:dyDescent="0.3">
      <c r="B50" s="6" t="s">
        <v>11</v>
      </c>
      <c r="C50" s="32"/>
      <c r="D50" s="36"/>
      <c r="E50" s="39"/>
      <c r="F50" s="39"/>
      <c r="G50" s="26"/>
    </row>
    <row r="51" spans="2:7" x14ac:dyDescent="0.3">
      <c r="B51" s="6" t="s">
        <v>12</v>
      </c>
      <c r="C51" s="32"/>
      <c r="D51" s="36"/>
      <c r="E51" s="39"/>
      <c r="F51" s="39"/>
      <c r="G51" s="26"/>
    </row>
    <row r="52" spans="2:7" x14ac:dyDescent="0.3">
      <c r="B52" s="6" t="s">
        <v>13</v>
      </c>
      <c r="C52" s="32"/>
      <c r="D52" s="36"/>
      <c r="E52" s="39"/>
      <c r="F52" s="39"/>
      <c r="G52" s="26"/>
    </row>
    <row r="53" spans="2:7" x14ac:dyDescent="0.3">
      <c r="B53" s="6" t="s">
        <v>14</v>
      </c>
      <c r="C53" s="32"/>
      <c r="D53" s="36"/>
      <c r="E53" s="39"/>
      <c r="F53" s="39"/>
      <c r="G53" s="26"/>
    </row>
    <row r="54" spans="2:7" x14ac:dyDescent="0.3">
      <c r="B54" s="6" t="s">
        <v>15</v>
      </c>
      <c r="C54" s="32"/>
      <c r="D54" s="36"/>
      <c r="E54" s="39"/>
      <c r="F54" s="39"/>
      <c r="G54" s="26"/>
    </row>
    <row r="55" spans="2:7" x14ac:dyDescent="0.3">
      <c r="B55" s="6" t="s">
        <v>16</v>
      </c>
      <c r="C55" s="32"/>
      <c r="D55" s="36"/>
      <c r="E55" s="39"/>
      <c r="F55" s="39"/>
      <c r="G55" s="26"/>
    </row>
    <row r="56" spans="2:7" x14ac:dyDescent="0.3">
      <c r="B56" s="6" t="s">
        <v>17</v>
      </c>
      <c r="C56" s="32"/>
      <c r="D56" s="36"/>
      <c r="E56" s="39"/>
      <c r="F56" s="39"/>
      <c r="G56" s="26"/>
    </row>
    <row r="57" spans="2:7" x14ac:dyDescent="0.3">
      <c r="B57" s="6" t="s">
        <v>18</v>
      </c>
      <c r="C57" s="32"/>
      <c r="D57" s="36"/>
      <c r="E57" s="39"/>
      <c r="F57" s="39"/>
      <c r="G57" s="26"/>
    </row>
    <row r="58" spans="2:7" x14ac:dyDescent="0.3">
      <c r="B58" s="6" t="s">
        <v>19</v>
      </c>
      <c r="C58" s="32"/>
      <c r="D58" s="36"/>
      <c r="E58" s="39"/>
      <c r="F58" s="39"/>
      <c r="G58" s="26"/>
    </row>
    <row r="59" spans="2:7" x14ac:dyDescent="0.3">
      <c r="B59" s="6" t="s">
        <v>20</v>
      </c>
      <c r="C59" s="32"/>
      <c r="D59" s="36"/>
      <c r="E59" s="39"/>
      <c r="F59" s="39"/>
      <c r="G59" s="26"/>
    </row>
    <row r="60" spans="2:7" x14ac:dyDescent="0.3">
      <c r="B60" s="6" t="s">
        <v>21</v>
      </c>
      <c r="C60" s="32"/>
      <c r="D60" s="36"/>
      <c r="E60" s="39"/>
      <c r="F60" s="39"/>
      <c r="G60" s="26"/>
    </row>
    <row r="61" spans="2:7" x14ac:dyDescent="0.3">
      <c r="B61" s="6" t="s">
        <v>22</v>
      </c>
      <c r="C61" s="32"/>
      <c r="D61" s="36"/>
      <c r="E61" s="39"/>
      <c r="F61" s="39"/>
      <c r="G61" s="26"/>
    </row>
    <row r="62" spans="2:7" x14ac:dyDescent="0.3">
      <c r="B62" s="6" t="s">
        <v>23</v>
      </c>
      <c r="C62" s="32"/>
      <c r="D62" s="36"/>
      <c r="E62" s="39"/>
      <c r="F62" s="39"/>
      <c r="G62" s="26"/>
    </row>
    <row r="63" spans="2:7" x14ac:dyDescent="0.3">
      <c r="B63" s="6" t="s">
        <v>24</v>
      </c>
      <c r="C63" s="32"/>
      <c r="D63" s="36"/>
      <c r="E63" s="39"/>
      <c r="F63" s="39"/>
      <c r="G63" s="26"/>
    </row>
    <row r="64" spans="2:7" x14ac:dyDescent="0.3">
      <c r="B64" s="6" t="s">
        <v>25</v>
      </c>
      <c r="C64" s="32"/>
      <c r="D64" s="36"/>
      <c r="E64" s="39"/>
      <c r="F64" s="39"/>
      <c r="G64" s="26"/>
    </row>
    <row r="65" spans="2:7" x14ac:dyDescent="0.3">
      <c r="B65" s="6" t="s">
        <v>26</v>
      </c>
      <c r="C65" s="32"/>
      <c r="D65" s="36"/>
      <c r="E65" s="39"/>
      <c r="F65" s="39"/>
      <c r="G65" s="26"/>
    </row>
    <row r="66" spans="2:7" x14ac:dyDescent="0.3">
      <c r="B66" s="6" t="s">
        <v>27</v>
      </c>
      <c r="C66" s="32"/>
      <c r="D66" s="36"/>
      <c r="E66" s="39"/>
      <c r="F66" s="39"/>
      <c r="G66" s="26"/>
    </row>
    <row r="67" spans="2:7" x14ac:dyDescent="0.3">
      <c r="B67" s="7" t="s">
        <v>43</v>
      </c>
      <c r="C67" s="33"/>
      <c r="D67" s="37"/>
      <c r="E67" s="40"/>
      <c r="F67" s="40"/>
      <c r="G67" s="27"/>
    </row>
    <row r="70" spans="2:7" ht="36" customHeight="1" x14ac:dyDescent="0.3">
      <c r="B70" s="163" t="s">
        <v>44</v>
      </c>
      <c r="C70" s="164"/>
      <c r="D70" s="164"/>
      <c r="E70" s="164"/>
      <c r="F70" s="164"/>
      <c r="G70" s="165"/>
    </row>
    <row r="71" spans="2:7" ht="33.75" customHeight="1" x14ac:dyDescent="0.3">
      <c r="B71" s="13" t="s">
        <v>45</v>
      </c>
      <c r="C71" s="31" t="s">
        <v>38</v>
      </c>
      <c r="D71" s="31" t="s">
        <v>39</v>
      </c>
      <c r="E71" s="31" t="s">
        <v>40</v>
      </c>
      <c r="F71" s="31" t="s">
        <v>41</v>
      </c>
      <c r="G71" s="25" t="s">
        <v>42</v>
      </c>
    </row>
    <row r="72" spans="2:7" ht="16.5" customHeight="1" x14ac:dyDescent="0.3">
      <c r="B72" s="15" t="s">
        <v>31</v>
      </c>
      <c r="C72" s="34"/>
      <c r="D72" s="34"/>
      <c r="E72" s="38"/>
      <c r="F72" s="38"/>
      <c r="G72" s="41"/>
    </row>
    <row r="73" spans="2:7" x14ac:dyDescent="0.3">
      <c r="B73" s="8" t="s">
        <v>32</v>
      </c>
      <c r="C73" s="32"/>
      <c r="D73" s="32"/>
      <c r="E73" s="39"/>
      <c r="F73" s="39"/>
      <c r="G73" s="26"/>
    </row>
    <row r="74" spans="2:7" x14ac:dyDescent="0.3">
      <c r="B74" s="8" t="s">
        <v>33</v>
      </c>
      <c r="C74" s="32"/>
      <c r="D74" s="32"/>
      <c r="E74" s="39"/>
      <c r="F74" s="39"/>
      <c r="G74" s="26"/>
    </row>
    <row r="75" spans="2:7" x14ac:dyDescent="0.3">
      <c r="B75" s="8" t="s">
        <v>34</v>
      </c>
      <c r="C75" s="32"/>
      <c r="D75" s="32"/>
      <c r="E75" s="39"/>
      <c r="F75" s="39"/>
      <c r="G75" s="26"/>
    </row>
    <row r="76" spans="2:7" x14ac:dyDescent="0.3">
      <c r="B76" s="8" t="s">
        <v>35</v>
      </c>
      <c r="C76" s="32"/>
      <c r="D76" s="32"/>
      <c r="E76" s="39"/>
      <c r="F76" s="39"/>
      <c r="G76" s="26"/>
    </row>
    <row r="77" spans="2:7" x14ac:dyDescent="0.3">
      <c r="B77" s="7" t="s">
        <v>36</v>
      </c>
      <c r="C77" s="33"/>
      <c r="D77" s="33"/>
      <c r="E77" s="40"/>
      <c r="F77" s="40"/>
      <c r="G77" s="27"/>
    </row>
    <row r="80" spans="2:7" ht="18" customHeight="1" x14ac:dyDescent="0.3"/>
    <row r="81" ht="30" customHeight="1" x14ac:dyDescent="0.3"/>
  </sheetData>
  <mergeCells count="5">
    <mergeCell ref="B2:D2"/>
    <mergeCell ref="B70:G70"/>
    <mergeCell ref="B32:D32"/>
    <mergeCell ref="B4:D4"/>
    <mergeCell ref="B42:G4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EB3EE-C2E1-49E0-B3DB-5F348B19244C}">
  <dimension ref="B2:W17"/>
  <sheetViews>
    <sheetView zoomScale="90" zoomScaleNormal="90" workbookViewId="0">
      <selection activeCell="J4" sqref="J4"/>
    </sheetView>
  </sheetViews>
  <sheetFormatPr defaultRowHeight="14.4" x14ac:dyDescent="0.3"/>
  <cols>
    <col min="1" max="1" width="8.88671875" style="66"/>
    <col min="2" max="2" width="49.21875" style="66" customWidth="1"/>
    <col min="3" max="9" width="15.88671875" style="66" customWidth="1"/>
    <col min="10" max="10" width="9.6640625" style="66" customWidth="1"/>
    <col min="11" max="16384" width="8.88671875" style="66"/>
  </cols>
  <sheetData>
    <row r="2" spans="2:23" ht="15" thickBot="1" x14ac:dyDescent="0.35">
      <c r="C2" s="67" t="s">
        <v>263</v>
      </c>
      <c r="J2" s="67" t="s">
        <v>262</v>
      </c>
      <c r="K2" s="67"/>
      <c r="L2" s="67"/>
      <c r="M2" s="67"/>
      <c r="N2" s="67"/>
      <c r="O2" s="67"/>
      <c r="P2" s="67"/>
      <c r="Q2" s="67" t="s">
        <v>277</v>
      </c>
      <c r="R2" s="67"/>
      <c r="S2" s="67"/>
      <c r="T2" s="67"/>
      <c r="U2" s="67"/>
      <c r="V2" s="67"/>
      <c r="W2" s="67"/>
    </row>
    <row r="3" spans="2:23" x14ac:dyDescent="0.3">
      <c r="B3" s="67" t="s">
        <v>261</v>
      </c>
      <c r="C3" s="70" t="s">
        <v>254</v>
      </c>
      <c r="D3" s="71" t="s">
        <v>255</v>
      </c>
      <c r="E3" s="71" t="s">
        <v>256</v>
      </c>
      <c r="F3" s="71" t="s">
        <v>257</v>
      </c>
      <c r="G3" s="71" t="s">
        <v>258</v>
      </c>
      <c r="H3" s="71" t="s">
        <v>259</v>
      </c>
      <c r="I3" s="72" t="s">
        <v>260</v>
      </c>
      <c r="J3" s="70" t="s">
        <v>254</v>
      </c>
      <c r="K3" s="71" t="s">
        <v>255</v>
      </c>
      <c r="L3" s="71" t="s">
        <v>256</v>
      </c>
      <c r="M3" s="71" t="s">
        <v>257</v>
      </c>
      <c r="N3" s="71" t="s">
        <v>258</v>
      </c>
      <c r="O3" s="71" t="s">
        <v>259</v>
      </c>
      <c r="P3" s="72" t="s">
        <v>260</v>
      </c>
      <c r="Q3" s="70" t="s">
        <v>254</v>
      </c>
      <c r="R3" s="71" t="s">
        <v>255</v>
      </c>
      <c r="S3" s="71" t="s">
        <v>256</v>
      </c>
      <c r="T3" s="71" t="s">
        <v>257</v>
      </c>
      <c r="U3" s="71" t="s">
        <v>258</v>
      </c>
      <c r="V3" s="71" t="s">
        <v>259</v>
      </c>
      <c r="W3" s="72" t="s">
        <v>260</v>
      </c>
    </row>
    <row r="4" spans="2:23" x14ac:dyDescent="0.3">
      <c r="B4" s="69"/>
      <c r="C4" s="73"/>
      <c r="D4" s="68"/>
      <c r="E4" s="68"/>
      <c r="F4" s="68"/>
      <c r="G4" s="68"/>
      <c r="H4" s="68"/>
      <c r="I4" s="74"/>
      <c r="J4" s="78"/>
      <c r="K4" s="79"/>
      <c r="L4" s="79"/>
      <c r="M4" s="79"/>
      <c r="N4" s="79"/>
      <c r="O4" s="79"/>
      <c r="P4" s="80"/>
      <c r="Q4" s="84"/>
      <c r="R4" s="85"/>
      <c r="S4" s="85"/>
      <c r="T4" s="85"/>
      <c r="U4" s="85"/>
      <c r="V4" s="85"/>
      <c r="W4" s="86"/>
    </row>
    <row r="5" spans="2:23" x14ac:dyDescent="0.3">
      <c r="B5" s="69"/>
      <c r="C5" s="73"/>
      <c r="D5" s="68"/>
      <c r="E5" s="68"/>
      <c r="F5" s="68"/>
      <c r="G5" s="68"/>
      <c r="H5" s="68"/>
      <c r="I5" s="74"/>
      <c r="J5" s="78"/>
      <c r="K5" s="79"/>
      <c r="L5" s="79"/>
      <c r="M5" s="79"/>
      <c r="N5" s="79"/>
      <c r="O5" s="79"/>
      <c r="P5" s="80"/>
      <c r="Q5" s="84"/>
      <c r="R5" s="85"/>
      <c r="S5" s="85"/>
      <c r="T5" s="85"/>
      <c r="U5" s="85"/>
      <c r="V5" s="85"/>
      <c r="W5" s="86"/>
    </row>
    <row r="6" spans="2:23" x14ac:dyDescent="0.3">
      <c r="B6" s="69"/>
      <c r="C6" s="73"/>
      <c r="D6" s="68"/>
      <c r="E6" s="68"/>
      <c r="F6" s="68"/>
      <c r="G6" s="68"/>
      <c r="H6" s="68"/>
      <c r="I6" s="74"/>
      <c r="J6" s="78"/>
      <c r="K6" s="79"/>
      <c r="L6" s="79"/>
      <c r="M6" s="79"/>
      <c r="N6" s="79"/>
      <c r="O6" s="79"/>
      <c r="P6" s="80"/>
      <c r="Q6" s="84"/>
      <c r="R6" s="85"/>
      <c r="S6" s="85"/>
      <c r="T6" s="85"/>
      <c r="U6" s="85"/>
      <c r="V6" s="85"/>
      <c r="W6" s="86"/>
    </row>
    <row r="7" spans="2:23" x14ac:dyDescent="0.3">
      <c r="B7" s="69"/>
      <c r="C7" s="73"/>
      <c r="D7" s="68"/>
      <c r="E7" s="68"/>
      <c r="F7" s="68"/>
      <c r="G7" s="68"/>
      <c r="H7" s="68"/>
      <c r="I7" s="74"/>
      <c r="J7" s="78"/>
      <c r="K7" s="79"/>
      <c r="L7" s="79"/>
      <c r="M7" s="79"/>
      <c r="N7" s="79"/>
      <c r="O7" s="79"/>
      <c r="P7" s="80"/>
      <c r="Q7" s="84"/>
      <c r="R7" s="85"/>
      <c r="S7" s="85"/>
      <c r="T7" s="85"/>
      <c r="U7" s="85"/>
      <c r="V7" s="85"/>
      <c r="W7" s="86"/>
    </row>
    <row r="8" spans="2:23" ht="15" thickBot="1" x14ac:dyDescent="0.35">
      <c r="B8" s="69"/>
      <c r="C8" s="75"/>
      <c r="D8" s="76"/>
      <c r="E8" s="76"/>
      <c r="F8" s="76"/>
      <c r="G8" s="76"/>
      <c r="H8" s="76"/>
      <c r="I8" s="77"/>
      <c r="J8" s="81"/>
      <c r="K8" s="82"/>
      <c r="L8" s="82"/>
      <c r="M8" s="82"/>
      <c r="N8" s="82"/>
      <c r="O8" s="82"/>
      <c r="P8" s="83"/>
      <c r="Q8" s="87"/>
      <c r="R8" s="88"/>
      <c r="S8" s="88"/>
      <c r="T8" s="88"/>
      <c r="U8" s="88"/>
      <c r="V8" s="88"/>
      <c r="W8" s="89"/>
    </row>
    <row r="11" spans="2:23" ht="15" thickBot="1" x14ac:dyDescent="0.35">
      <c r="C11" s="67" t="s">
        <v>263</v>
      </c>
      <c r="J11" s="67" t="s">
        <v>262</v>
      </c>
      <c r="K11" s="67"/>
      <c r="L11" s="67"/>
      <c r="M11" s="67"/>
      <c r="N11" s="67"/>
      <c r="O11" s="67"/>
      <c r="P11" s="67"/>
      <c r="Q11" s="67" t="s">
        <v>277</v>
      </c>
      <c r="R11" s="67"/>
      <c r="S11" s="67"/>
      <c r="T11" s="67"/>
      <c r="U11" s="67"/>
      <c r="V11" s="67"/>
      <c r="W11" s="67"/>
    </row>
    <row r="12" spans="2:23" x14ac:dyDescent="0.3">
      <c r="B12" s="67" t="s">
        <v>264</v>
      </c>
      <c r="C12" s="70" t="s">
        <v>254</v>
      </c>
      <c r="D12" s="71" t="s">
        <v>255</v>
      </c>
      <c r="E12" s="71" t="s">
        <v>256</v>
      </c>
      <c r="F12" s="71" t="s">
        <v>257</v>
      </c>
      <c r="G12" s="71" t="s">
        <v>258</v>
      </c>
      <c r="H12" s="71" t="s">
        <v>259</v>
      </c>
      <c r="I12" s="72" t="s">
        <v>260</v>
      </c>
      <c r="J12" s="70" t="s">
        <v>254</v>
      </c>
      <c r="K12" s="71" t="s">
        <v>255</v>
      </c>
      <c r="L12" s="71" t="s">
        <v>256</v>
      </c>
      <c r="M12" s="71" t="s">
        <v>257</v>
      </c>
      <c r="N12" s="71" t="s">
        <v>258</v>
      </c>
      <c r="O12" s="71" t="s">
        <v>259</v>
      </c>
      <c r="P12" s="72" t="s">
        <v>260</v>
      </c>
      <c r="Q12" s="70" t="s">
        <v>254</v>
      </c>
      <c r="R12" s="71" t="s">
        <v>255</v>
      </c>
      <c r="S12" s="71" t="s">
        <v>256</v>
      </c>
      <c r="T12" s="71" t="s">
        <v>257</v>
      </c>
      <c r="U12" s="71" t="s">
        <v>258</v>
      </c>
      <c r="V12" s="71" t="s">
        <v>259</v>
      </c>
      <c r="W12" s="72" t="s">
        <v>260</v>
      </c>
    </row>
    <row r="13" spans="2:23" x14ac:dyDescent="0.3">
      <c r="B13" s="69"/>
      <c r="C13" s="73"/>
      <c r="D13" s="68"/>
      <c r="E13" s="68"/>
      <c r="F13" s="68"/>
      <c r="G13" s="68"/>
      <c r="H13" s="68"/>
      <c r="I13" s="74"/>
      <c r="J13" s="78"/>
      <c r="K13" s="79"/>
      <c r="L13" s="79"/>
      <c r="M13" s="79"/>
      <c r="N13" s="79"/>
      <c r="O13" s="79"/>
      <c r="P13" s="80"/>
      <c r="Q13" s="84"/>
      <c r="R13" s="85"/>
      <c r="S13" s="85"/>
      <c r="T13" s="85"/>
      <c r="U13" s="85"/>
      <c r="V13" s="85"/>
      <c r="W13" s="86"/>
    </row>
    <row r="14" spans="2:23" x14ac:dyDescent="0.3">
      <c r="B14" s="69"/>
      <c r="C14" s="73"/>
      <c r="D14" s="68"/>
      <c r="E14" s="68"/>
      <c r="F14" s="68"/>
      <c r="G14" s="68"/>
      <c r="H14" s="68"/>
      <c r="I14" s="74"/>
      <c r="J14" s="78"/>
      <c r="K14" s="79"/>
      <c r="L14" s="79"/>
      <c r="M14" s="79"/>
      <c r="N14" s="79"/>
      <c r="O14" s="79"/>
      <c r="P14" s="80"/>
      <c r="Q14" s="84"/>
      <c r="R14" s="85"/>
      <c r="S14" s="85"/>
      <c r="T14" s="85"/>
      <c r="U14" s="85"/>
      <c r="V14" s="85"/>
      <c r="W14" s="86"/>
    </row>
    <row r="15" spans="2:23" x14ac:dyDescent="0.3">
      <c r="B15" s="69"/>
      <c r="C15" s="73"/>
      <c r="D15" s="68"/>
      <c r="E15" s="68"/>
      <c r="F15" s="68"/>
      <c r="G15" s="68"/>
      <c r="H15" s="68"/>
      <c r="I15" s="74"/>
      <c r="J15" s="78"/>
      <c r="K15" s="79"/>
      <c r="L15" s="79"/>
      <c r="M15" s="79"/>
      <c r="N15" s="79"/>
      <c r="O15" s="79"/>
      <c r="P15" s="80"/>
      <c r="Q15" s="84"/>
      <c r="R15" s="85"/>
      <c r="S15" s="85"/>
      <c r="T15" s="85"/>
      <c r="U15" s="85"/>
      <c r="V15" s="85"/>
      <c r="W15" s="86"/>
    </row>
    <row r="16" spans="2:23" x14ac:dyDescent="0.3">
      <c r="B16" s="69"/>
      <c r="C16" s="73"/>
      <c r="D16" s="68"/>
      <c r="E16" s="68"/>
      <c r="F16" s="68"/>
      <c r="G16" s="68"/>
      <c r="H16" s="68"/>
      <c r="I16" s="74"/>
      <c r="J16" s="78"/>
      <c r="K16" s="79"/>
      <c r="L16" s="79"/>
      <c r="M16" s="79"/>
      <c r="N16" s="79"/>
      <c r="O16" s="79"/>
      <c r="P16" s="80"/>
      <c r="Q16" s="84"/>
      <c r="R16" s="85"/>
      <c r="S16" s="85"/>
      <c r="T16" s="85"/>
      <c r="U16" s="85"/>
      <c r="V16" s="85"/>
      <c r="W16" s="86"/>
    </row>
    <row r="17" spans="2:23" ht="15" thickBot="1" x14ac:dyDescent="0.35">
      <c r="B17" s="69"/>
      <c r="C17" s="75"/>
      <c r="D17" s="76"/>
      <c r="E17" s="76"/>
      <c r="F17" s="76"/>
      <c r="G17" s="76"/>
      <c r="H17" s="76"/>
      <c r="I17" s="77"/>
      <c r="J17" s="81"/>
      <c r="K17" s="82"/>
      <c r="L17" s="82"/>
      <c r="M17" s="82"/>
      <c r="N17" s="82"/>
      <c r="O17" s="82"/>
      <c r="P17" s="83"/>
      <c r="Q17" s="87"/>
      <c r="R17" s="88"/>
      <c r="S17" s="88"/>
      <c r="T17" s="88"/>
      <c r="U17" s="88"/>
      <c r="V17" s="88"/>
      <c r="W17" s="89"/>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2DC0C-C0BB-44B0-9C14-7ED47EC030FB}">
  <dimension ref="B2:J143"/>
  <sheetViews>
    <sheetView topLeftCell="C1" workbookViewId="0">
      <pane ySplit="3" topLeftCell="A107" activePane="bottomLeft" state="frozen"/>
      <selection pane="bottomLeft" activeCell="D116" sqref="D116"/>
    </sheetView>
  </sheetViews>
  <sheetFormatPr defaultRowHeight="14.4" outlineLevelRow="1" x14ac:dyDescent="0.3"/>
  <cols>
    <col min="1" max="1" width="2.88671875" customWidth="1"/>
    <col min="2" max="2" width="35.109375" bestFit="1" customWidth="1"/>
    <col min="3" max="3" width="49.33203125" bestFit="1" customWidth="1"/>
    <col min="4" max="4" width="43.5546875" bestFit="1" customWidth="1"/>
    <col min="5" max="6" width="13.109375" customWidth="1"/>
    <col min="7" max="7" width="12.88671875" customWidth="1"/>
    <col min="8" max="8" width="13.109375" customWidth="1"/>
    <col min="9" max="9" width="45" customWidth="1"/>
  </cols>
  <sheetData>
    <row r="2" spans="2:10" ht="43.2" x14ac:dyDescent="0.3">
      <c r="B2" s="60"/>
      <c r="C2" s="60"/>
      <c r="D2" s="60"/>
      <c r="E2" s="142" t="s">
        <v>105</v>
      </c>
      <c r="F2" s="142" t="s">
        <v>106</v>
      </c>
      <c r="G2" s="142" t="s">
        <v>105</v>
      </c>
      <c r="H2" s="5" t="s">
        <v>107</v>
      </c>
      <c r="I2" s="60" t="s">
        <v>110</v>
      </c>
      <c r="J2" s="60" t="s">
        <v>109</v>
      </c>
    </row>
    <row r="3" spans="2:10" x14ac:dyDescent="0.3">
      <c r="B3" s="60" t="s">
        <v>50</v>
      </c>
      <c r="C3" s="60" t="s">
        <v>252</v>
      </c>
      <c r="D3" s="60" t="s">
        <v>253</v>
      </c>
      <c r="E3" s="142" t="s">
        <v>103</v>
      </c>
      <c r="F3" s="142" t="s">
        <v>102</v>
      </c>
      <c r="G3" s="142" t="s">
        <v>101</v>
      </c>
      <c r="H3" s="12" t="s">
        <v>101</v>
      </c>
      <c r="I3" s="60" t="s">
        <v>111</v>
      </c>
      <c r="J3" s="60" t="s">
        <v>108</v>
      </c>
    </row>
    <row r="4" spans="2:10" outlineLevel="1" x14ac:dyDescent="0.3">
      <c r="B4" t="s">
        <v>100</v>
      </c>
      <c r="C4" t="s">
        <v>112</v>
      </c>
      <c r="I4" t="str">
        <f t="shared" ref="I4:I35" si="0">IFERROR(G4/F4-1,"")</f>
        <v/>
      </c>
    </row>
    <row r="5" spans="2:10" outlineLevel="1" x14ac:dyDescent="0.3">
      <c r="B5" t="s">
        <v>100</v>
      </c>
      <c r="C5" t="s">
        <v>113</v>
      </c>
      <c r="I5" t="str">
        <f t="shared" si="0"/>
        <v/>
      </c>
    </row>
    <row r="6" spans="2:10" outlineLevel="1" x14ac:dyDescent="0.3">
      <c r="B6" t="s">
        <v>100</v>
      </c>
      <c r="C6" t="s">
        <v>114</v>
      </c>
      <c r="I6" t="str">
        <f t="shared" si="0"/>
        <v/>
      </c>
    </row>
    <row r="7" spans="2:10" outlineLevel="1" x14ac:dyDescent="0.3">
      <c r="B7" t="s">
        <v>100</v>
      </c>
      <c r="C7" t="s">
        <v>115</v>
      </c>
      <c r="I7" t="str">
        <f t="shared" si="0"/>
        <v/>
      </c>
    </row>
    <row r="8" spans="2:10" outlineLevel="1" x14ac:dyDescent="0.3">
      <c r="B8" t="s">
        <v>100</v>
      </c>
      <c r="C8" t="s">
        <v>116</v>
      </c>
      <c r="I8" t="str">
        <f t="shared" si="0"/>
        <v/>
      </c>
    </row>
    <row r="9" spans="2:10" outlineLevel="1" x14ac:dyDescent="0.3">
      <c r="B9" t="s">
        <v>100</v>
      </c>
      <c r="C9" t="s">
        <v>117</v>
      </c>
      <c r="I9" t="str">
        <f t="shared" si="0"/>
        <v/>
      </c>
    </row>
    <row r="10" spans="2:10" outlineLevel="1" x14ac:dyDescent="0.3">
      <c r="B10" t="s">
        <v>100</v>
      </c>
      <c r="C10" t="s">
        <v>118</v>
      </c>
      <c r="I10" t="str">
        <f t="shared" si="0"/>
        <v/>
      </c>
    </row>
    <row r="11" spans="2:10" outlineLevel="1" x14ac:dyDescent="0.3">
      <c r="B11" t="s">
        <v>100</v>
      </c>
      <c r="C11" t="s">
        <v>119</v>
      </c>
      <c r="I11" t="str">
        <f t="shared" si="0"/>
        <v/>
      </c>
    </row>
    <row r="12" spans="2:10" outlineLevel="1" x14ac:dyDescent="0.3">
      <c r="B12" t="s">
        <v>100</v>
      </c>
      <c r="C12" t="s">
        <v>120</v>
      </c>
      <c r="I12" t="str">
        <f t="shared" si="0"/>
        <v/>
      </c>
    </row>
    <row r="13" spans="2:10" outlineLevel="1" x14ac:dyDescent="0.3">
      <c r="B13" t="s">
        <v>100</v>
      </c>
      <c r="C13" t="s">
        <v>121</v>
      </c>
      <c r="I13" t="str">
        <f t="shared" si="0"/>
        <v/>
      </c>
    </row>
    <row r="14" spans="2:10" outlineLevel="1" x14ac:dyDescent="0.3">
      <c r="B14" t="s">
        <v>100</v>
      </c>
      <c r="C14" t="s">
        <v>122</v>
      </c>
      <c r="I14" t="str">
        <f t="shared" si="0"/>
        <v/>
      </c>
    </row>
    <row r="15" spans="2:10" outlineLevel="1" x14ac:dyDescent="0.3">
      <c r="B15" t="s">
        <v>100</v>
      </c>
      <c r="C15" t="s">
        <v>123</v>
      </c>
      <c r="I15" t="str">
        <f t="shared" si="0"/>
        <v/>
      </c>
    </row>
    <row r="16" spans="2:10" outlineLevel="1" x14ac:dyDescent="0.3">
      <c r="B16" t="s">
        <v>100</v>
      </c>
      <c r="C16" t="s">
        <v>124</v>
      </c>
      <c r="I16" t="str">
        <f t="shared" si="0"/>
        <v/>
      </c>
    </row>
    <row r="17" spans="2:9" outlineLevel="1" x14ac:dyDescent="0.3">
      <c r="B17" t="s">
        <v>100</v>
      </c>
      <c r="C17" t="s">
        <v>125</v>
      </c>
      <c r="I17" t="str">
        <f t="shared" si="0"/>
        <v/>
      </c>
    </row>
    <row r="18" spans="2:9" outlineLevel="1" x14ac:dyDescent="0.3">
      <c r="B18" t="s">
        <v>100</v>
      </c>
      <c r="C18" t="s">
        <v>126</v>
      </c>
      <c r="I18" t="str">
        <f t="shared" si="0"/>
        <v/>
      </c>
    </row>
    <row r="19" spans="2:9" outlineLevel="1" x14ac:dyDescent="0.3">
      <c r="B19" t="s">
        <v>100</v>
      </c>
      <c r="C19" t="s">
        <v>127</v>
      </c>
      <c r="I19" t="str">
        <f t="shared" si="0"/>
        <v/>
      </c>
    </row>
    <row r="20" spans="2:9" outlineLevel="1" x14ac:dyDescent="0.3">
      <c r="B20" t="s">
        <v>100</v>
      </c>
      <c r="C20" t="s">
        <v>128</v>
      </c>
      <c r="I20" t="str">
        <f t="shared" si="0"/>
        <v/>
      </c>
    </row>
    <row r="21" spans="2:9" outlineLevel="1" x14ac:dyDescent="0.3">
      <c r="B21" t="s">
        <v>100</v>
      </c>
      <c r="C21" t="s">
        <v>129</v>
      </c>
      <c r="I21" t="str">
        <f t="shared" si="0"/>
        <v/>
      </c>
    </row>
    <row r="22" spans="2:9" outlineLevel="1" x14ac:dyDescent="0.3">
      <c r="B22" t="s">
        <v>100</v>
      </c>
      <c r="C22" t="s">
        <v>130</v>
      </c>
      <c r="I22" t="str">
        <f t="shared" si="0"/>
        <v/>
      </c>
    </row>
    <row r="23" spans="2:9" outlineLevel="1" x14ac:dyDescent="0.3">
      <c r="B23" t="s">
        <v>100</v>
      </c>
      <c r="C23" t="s">
        <v>131</v>
      </c>
      <c r="I23" t="str">
        <f t="shared" si="0"/>
        <v/>
      </c>
    </row>
    <row r="24" spans="2:9" outlineLevel="1" x14ac:dyDescent="0.3">
      <c r="B24" t="s">
        <v>100</v>
      </c>
      <c r="C24" t="s">
        <v>132</v>
      </c>
      <c r="I24" t="str">
        <f t="shared" si="0"/>
        <v/>
      </c>
    </row>
    <row r="25" spans="2:9" outlineLevel="1" x14ac:dyDescent="0.3">
      <c r="B25" t="s">
        <v>100</v>
      </c>
      <c r="C25" t="s">
        <v>133</v>
      </c>
      <c r="I25" t="str">
        <f t="shared" si="0"/>
        <v/>
      </c>
    </row>
    <row r="26" spans="2:9" outlineLevel="1" x14ac:dyDescent="0.3">
      <c r="B26" t="s">
        <v>100</v>
      </c>
      <c r="C26" t="s">
        <v>134</v>
      </c>
      <c r="I26" t="str">
        <f t="shared" si="0"/>
        <v/>
      </c>
    </row>
    <row r="27" spans="2:9" outlineLevel="1" x14ac:dyDescent="0.3">
      <c r="B27" t="s">
        <v>100</v>
      </c>
      <c r="C27" t="s">
        <v>135</v>
      </c>
      <c r="I27" t="str">
        <f t="shared" si="0"/>
        <v/>
      </c>
    </row>
    <row r="28" spans="2:9" outlineLevel="1" x14ac:dyDescent="0.3">
      <c r="B28" t="s">
        <v>100</v>
      </c>
      <c r="C28" t="s">
        <v>136</v>
      </c>
      <c r="I28" t="str">
        <f t="shared" si="0"/>
        <v/>
      </c>
    </row>
    <row r="29" spans="2:9" outlineLevel="1" x14ac:dyDescent="0.3">
      <c r="B29" t="s">
        <v>100</v>
      </c>
      <c r="C29" t="s">
        <v>137</v>
      </c>
      <c r="I29" t="str">
        <f t="shared" si="0"/>
        <v/>
      </c>
    </row>
    <row r="30" spans="2:9" outlineLevel="1" x14ac:dyDescent="0.3">
      <c r="B30" t="s">
        <v>100</v>
      </c>
      <c r="C30" t="s">
        <v>138</v>
      </c>
      <c r="I30" t="str">
        <f t="shared" si="0"/>
        <v/>
      </c>
    </row>
    <row r="31" spans="2:9" outlineLevel="1" x14ac:dyDescent="0.3">
      <c r="B31" t="s">
        <v>100</v>
      </c>
      <c r="C31" t="s">
        <v>139</v>
      </c>
      <c r="I31" t="str">
        <f t="shared" si="0"/>
        <v/>
      </c>
    </row>
    <row r="32" spans="2:9" outlineLevel="1" x14ac:dyDescent="0.3">
      <c r="B32" t="s">
        <v>100</v>
      </c>
      <c r="C32" t="s">
        <v>140</v>
      </c>
      <c r="I32" t="str">
        <f t="shared" si="0"/>
        <v/>
      </c>
    </row>
    <row r="33" spans="2:9" outlineLevel="1" x14ac:dyDescent="0.3">
      <c r="B33" t="s">
        <v>100</v>
      </c>
      <c r="C33" t="s">
        <v>141</v>
      </c>
      <c r="I33" t="str">
        <f t="shared" si="0"/>
        <v/>
      </c>
    </row>
    <row r="34" spans="2:9" outlineLevel="1" x14ac:dyDescent="0.3">
      <c r="B34" t="s">
        <v>100</v>
      </c>
      <c r="C34" t="s">
        <v>142</v>
      </c>
      <c r="I34" t="str">
        <f t="shared" si="0"/>
        <v/>
      </c>
    </row>
    <row r="35" spans="2:9" outlineLevel="1" x14ac:dyDescent="0.3">
      <c r="B35" t="s">
        <v>100</v>
      </c>
      <c r="C35" t="s">
        <v>143</v>
      </c>
      <c r="I35" t="str">
        <f t="shared" si="0"/>
        <v/>
      </c>
    </row>
    <row r="36" spans="2:9" outlineLevel="1" x14ac:dyDescent="0.3">
      <c r="B36" t="s">
        <v>100</v>
      </c>
      <c r="C36" t="s">
        <v>144</v>
      </c>
      <c r="I36" t="str">
        <f t="shared" ref="I36:I67" si="1">IFERROR(G36/F36-1,"")</f>
        <v/>
      </c>
    </row>
    <row r="37" spans="2:9" outlineLevel="1" x14ac:dyDescent="0.3">
      <c r="B37" t="s">
        <v>100</v>
      </c>
      <c r="C37" t="s">
        <v>145</v>
      </c>
      <c r="I37" t="str">
        <f t="shared" si="1"/>
        <v/>
      </c>
    </row>
    <row r="38" spans="2:9" outlineLevel="1" x14ac:dyDescent="0.3">
      <c r="B38" t="s">
        <v>100</v>
      </c>
      <c r="C38" t="s">
        <v>146</v>
      </c>
      <c r="I38" t="str">
        <f t="shared" si="1"/>
        <v/>
      </c>
    </row>
    <row r="39" spans="2:9" outlineLevel="1" x14ac:dyDescent="0.3">
      <c r="B39" t="s">
        <v>100</v>
      </c>
      <c r="C39" t="s">
        <v>147</v>
      </c>
      <c r="I39" t="str">
        <f t="shared" si="1"/>
        <v/>
      </c>
    </row>
    <row r="40" spans="2:9" outlineLevel="1" x14ac:dyDescent="0.3">
      <c r="B40" t="s">
        <v>100</v>
      </c>
      <c r="C40" t="s">
        <v>148</v>
      </c>
      <c r="I40" t="str">
        <f t="shared" si="1"/>
        <v/>
      </c>
    </row>
    <row r="41" spans="2:9" outlineLevel="1" x14ac:dyDescent="0.3">
      <c r="B41" t="s">
        <v>100</v>
      </c>
      <c r="C41" t="s">
        <v>149</v>
      </c>
      <c r="I41" t="str">
        <f t="shared" si="1"/>
        <v/>
      </c>
    </row>
    <row r="42" spans="2:9" outlineLevel="1" x14ac:dyDescent="0.3">
      <c r="B42" t="s">
        <v>100</v>
      </c>
      <c r="C42" t="s">
        <v>150</v>
      </c>
      <c r="I42" t="str">
        <f t="shared" si="1"/>
        <v/>
      </c>
    </row>
    <row r="43" spans="2:9" outlineLevel="1" x14ac:dyDescent="0.3">
      <c r="B43" t="s">
        <v>100</v>
      </c>
      <c r="C43" t="s">
        <v>151</v>
      </c>
      <c r="I43" t="str">
        <f t="shared" si="1"/>
        <v/>
      </c>
    </row>
    <row r="44" spans="2:9" outlineLevel="1" x14ac:dyDescent="0.3">
      <c r="B44" t="s">
        <v>100</v>
      </c>
      <c r="C44" t="s">
        <v>152</v>
      </c>
      <c r="I44" t="str">
        <f t="shared" si="1"/>
        <v/>
      </c>
    </row>
    <row r="45" spans="2:9" outlineLevel="1" x14ac:dyDescent="0.3">
      <c r="B45" t="s">
        <v>100</v>
      </c>
      <c r="C45" t="s">
        <v>153</v>
      </c>
      <c r="I45" t="str">
        <f t="shared" si="1"/>
        <v/>
      </c>
    </row>
    <row r="46" spans="2:9" outlineLevel="1" x14ac:dyDescent="0.3">
      <c r="B46" t="s">
        <v>100</v>
      </c>
      <c r="C46" t="s">
        <v>154</v>
      </c>
      <c r="I46" t="str">
        <f t="shared" si="1"/>
        <v/>
      </c>
    </row>
    <row r="47" spans="2:9" outlineLevel="1" x14ac:dyDescent="0.3">
      <c r="B47" t="s">
        <v>100</v>
      </c>
      <c r="C47" t="s">
        <v>155</v>
      </c>
      <c r="I47" t="str">
        <f t="shared" si="1"/>
        <v/>
      </c>
    </row>
    <row r="48" spans="2:9" outlineLevel="1" x14ac:dyDescent="0.3">
      <c r="B48" t="s">
        <v>100</v>
      </c>
      <c r="C48" t="s">
        <v>156</v>
      </c>
      <c r="I48" t="str">
        <f t="shared" si="1"/>
        <v/>
      </c>
    </row>
    <row r="49" spans="2:9" outlineLevel="1" x14ac:dyDescent="0.3">
      <c r="B49" t="s">
        <v>100</v>
      </c>
      <c r="C49" t="s">
        <v>157</v>
      </c>
      <c r="I49" t="str">
        <f t="shared" si="1"/>
        <v/>
      </c>
    </row>
    <row r="50" spans="2:9" outlineLevel="1" x14ac:dyDescent="0.3">
      <c r="B50" t="s">
        <v>100</v>
      </c>
      <c r="C50" t="s">
        <v>158</v>
      </c>
      <c r="I50" t="str">
        <f t="shared" si="1"/>
        <v/>
      </c>
    </row>
    <row r="51" spans="2:9" outlineLevel="1" x14ac:dyDescent="0.3">
      <c r="B51" t="s">
        <v>100</v>
      </c>
      <c r="C51" t="s">
        <v>159</v>
      </c>
      <c r="I51" t="str">
        <f t="shared" si="1"/>
        <v/>
      </c>
    </row>
    <row r="52" spans="2:9" outlineLevel="1" x14ac:dyDescent="0.3">
      <c r="B52" t="s">
        <v>100</v>
      </c>
      <c r="C52" t="s">
        <v>160</v>
      </c>
      <c r="I52" t="str">
        <f t="shared" si="1"/>
        <v/>
      </c>
    </row>
    <row r="53" spans="2:9" outlineLevel="1" x14ac:dyDescent="0.3">
      <c r="B53" t="s">
        <v>100</v>
      </c>
      <c r="C53" t="s">
        <v>161</v>
      </c>
      <c r="I53" t="str">
        <f t="shared" si="1"/>
        <v/>
      </c>
    </row>
    <row r="54" spans="2:9" outlineLevel="1" x14ac:dyDescent="0.3">
      <c r="B54" t="s">
        <v>100</v>
      </c>
      <c r="C54" t="s">
        <v>162</v>
      </c>
      <c r="I54" t="str">
        <f t="shared" si="1"/>
        <v/>
      </c>
    </row>
    <row r="55" spans="2:9" outlineLevel="1" x14ac:dyDescent="0.3">
      <c r="B55" t="s">
        <v>100</v>
      </c>
      <c r="C55" t="s">
        <v>163</v>
      </c>
      <c r="I55" t="str">
        <f t="shared" si="1"/>
        <v/>
      </c>
    </row>
    <row r="56" spans="2:9" outlineLevel="1" x14ac:dyDescent="0.3">
      <c r="B56" t="s">
        <v>100</v>
      </c>
      <c r="C56" t="s">
        <v>164</v>
      </c>
      <c r="I56" t="str">
        <f t="shared" si="1"/>
        <v/>
      </c>
    </row>
    <row r="57" spans="2:9" x14ac:dyDescent="0.3">
      <c r="B57" s="60" t="s">
        <v>251</v>
      </c>
      <c r="C57" s="60"/>
      <c r="D57" s="60"/>
      <c r="E57" s="64">
        <f>SUM(E4:E56)</f>
        <v>0</v>
      </c>
      <c r="F57" s="64">
        <f>SUM(F4:F56)</f>
        <v>0</v>
      </c>
      <c r="G57" s="64">
        <f>SUM(G4:G56)</f>
        <v>0</v>
      </c>
      <c r="H57" s="64">
        <f>SUM(H4:H56)</f>
        <v>0</v>
      </c>
      <c r="I57" t="str">
        <f t="shared" si="1"/>
        <v/>
      </c>
    </row>
    <row r="58" spans="2:9" ht="15" outlineLevel="1" x14ac:dyDescent="0.3">
      <c r="B58" t="s">
        <v>104</v>
      </c>
      <c r="C58" t="s">
        <v>165</v>
      </c>
      <c r="E58" s="63"/>
      <c r="F58" s="63"/>
      <c r="G58" s="63"/>
      <c r="H58" s="63"/>
      <c r="I58" t="str">
        <f t="shared" si="1"/>
        <v/>
      </c>
    </row>
    <row r="59" spans="2:9" ht="15" outlineLevel="1" x14ac:dyDescent="0.3">
      <c r="B59" t="s">
        <v>104</v>
      </c>
      <c r="C59" t="s">
        <v>166</v>
      </c>
      <c r="E59" s="63"/>
      <c r="F59" s="63"/>
      <c r="G59" s="63"/>
      <c r="H59" s="63"/>
      <c r="I59" t="str">
        <f t="shared" si="1"/>
        <v/>
      </c>
    </row>
    <row r="60" spans="2:9" ht="15" outlineLevel="1" x14ac:dyDescent="0.3">
      <c r="B60" t="s">
        <v>104</v>
      </c>
      <c r="C60" t="s">
        <v>167</v>
      </c>
      <c r="E60" s="63"/>
      <c r="F60" s="63"/>
      <c r="G60" s="63"/>
      <c r="H60" s="63"/>
      <c r="I60" t="str">
        <f t="shared" si="1"/>
        <v/>
      </c>
    </row>
    <row r="61" spans="2:9" ht="15" outlineLevel="1" x14ac:dyDescent="0.3">
      <c r="B61" t="s">
        <v>104</v>
      </c>
      <c r="C61" t="s">
        <v>168</v>
      </c>
      <c r="E61" s="63"/>
      <c r="F61" s="63"/>
      <c r="G61" s="63"/>
      <c r="H61" s="63"/>
      <c r="I61" t="str">
        <f t="shared" si="1"/>
        <v/>
      </c>
    </row>
    <row r="62" spans="2:9" ht="15" outlineLevel="1" x14ac:dyDescent="0.3">
      <c r="B62" t="s">
        <v>104</v>
      </c>
      <c r="C62" t="s">
        <v>169</v>
      </c>
      <c r="E62" s="63"/>
      <c r="F62" s="63"/>
      <c r="G62" s="63"/>
      <c r="H62" s="63"/>
      <c r="I62" t="str">
        <f t="shared" si="1"/>
        <v/>
      </c>
    </row>
    <row r="63" spans="2:9" ht="15" outlineLevel="1" x14ac:dyDescent="0.3">
      <c r="B63" t="s">
        <v>104</v>
      </c>
      <c r="C63" t="s">
        <v>170</v>
      </c>
      <c r="E63" s="63"/>
      <c r="F63" s="63"/>
      <c r="G63" s="63"/>
      <c r="H63" s="63"/>
      <c r="I63" t="str">
        <f t="shared" si="1"/>
        <v/>
      </c>
    </row>
    <row r="64" spans="2:9" ht="15" outlineLevel="1" x14ac:dyDescent="0.3">
      <c r="B64" t="s">
        <v>104</v>
      </c>
      <c r="C64" t="s">
        <v>171</v>
      </c>
      <c r="E64" s="63"/>
      <c r="F64" s="63"/>
      <c r="G64" s="63"/>
      <c r="H64" s="63"/>
      <c r="I64" t="str">
        <f t="shared" si="1"/>
        <v/>
      </c>
    </row>
    <row r="65" spans="2:9" ht="15" outlineLevel="1" x14ac:dyDescent="0.3">
      <c r="B65" t="s">
        <v>104</v>
      </c>
      <c r="C65" t="s">
        <v>172</v>
      </c>
      <c r="E65" s="63"/>
      <c r="F65" s="63"/>
      <c r="G65" s="63"/>
      <c r="H65" s="63"/>
      <c r="I65" t="str">
        <f t="shared" si="1"/>
        <v/>
      </c>
    </row>
    <row r="66" spans="2:9" ht="15" outlineLevel="1" x14ac:dyDescent="0.3">
      <c r="B66" t="s">
        <v>104</v>
      </c>
      <c r="C66" t="s">
        <v>173</v>
      </c>
      <c r="E66" s="63"/>
      <c r="F66" s="63"/>
      <c r="G66" s="63"/>
      <c r="H66" s="63"/>
      <c r="I66" t="str">
        <f t="shared" si="1"/>
        <v/>
      </c>
    </row>
    <row r="67" spans="2:9" ht="15" outlineLevel="1" x14ac:dyDescent="0.3">
      <c r="B67" t="s">
        <v>104</v>
      </c>
      <c r="C67" t="s">
        <v>174</v>
      </c>
      <c r="E67" s="63"/>
      <c r="F67" s="63"/>
      <c r="G67" s="63"/>
      <c r="H67" s="63"/>
      <c r="I67" t="str">
        <f t="shared" si="1"/>
        <v/>
      </c>
    </row>
    <row r="68" spans="2:9" ht="15" outlineLevel="1" x14ac:dyDescent="0.3">
      <c r="B68" t="s">
        <v>104</v>
      </c>
      <c r="C68" t="s">
        <v>175</v>
      </c>
      <c r="E68" s="63"/>
      <c r="F68" s="63"/>
      <c r="G68" s="63"/>
      <c r="H68" s="63"/>
      <c r="I68" t="str">
        <f t="shared" ref="I68:I99" si="2">IFERROR(G68/F68-1,"")</f>
        <v/>
      </c>
    </row>
    <row r="69" spans="2:9" ht="15" outlineLevel="1" x14ac:dyDescent="0.3">
      <c r="B69" t="s">
        <v>104</v>
      </c>
      <c r="C69" t="s">
        <v>176</v>
      </c>
      <c r="E69" s="63"/>
      <c r="F69" s="63"/>
      <c r="G69" s="63"/>
      <c r="H69" s="63"/>
      <c r="I69" t="str">
        <f t="shared" si="2"/>
        <v/>
      </c>
    </row>
    <row r="70" spans="2:9" ht="15" outlineLevel="1" x14ac:dyDescent="0.3">
      <c r="B70" t="s">
        <v>104</v>
      </c>
      <c r="C70" t="s">
        <v>177</v>
      </c>
      <c r="E70" s="63"/>
      <c r="F70" s="63"/>
      <c r="G70" s="63"/>
      <c r="H70" s="63"/>
      <c r="I70" t="str">
        <f t="shared" si="2"/>
        <v/>
      </c>
    </row>
    <row r="71" spans="2:9" ht="15" outlineLevel="1" x14ac:dyDescent="0.3">
      <c r="B71" t="s">
        <v>104</v>
      </c>
      <c r="C71" t="s">
        <v>178</v>
      </c>
      <c r="E71" s="63"/>
      <c r="F71" s="63"/>
      <c r="G71" s="63"/>
      <c r="H71" s="63"/>
      <c r="I71" t="str">
        <f t="shared" si="2"/>
        <v/>
      </c>
    </row>
    <row r="72" spans="2:9" ht="15" outlineLevel="1" x14ac:dyDescent="0.3">
      <c r="B72" t="s">
        <v>104</v>
      </c>
      <c r="C72" t="s">
        <v>179</v>
      </c>
      <c r="E72" s="63"/>
      <c r="F72" s="63"/>
      <c r="G72" s="63"/>
      <c r="H72" s="63"/>
      <c r="I72" t="str">
        <f t="shared" si="2"/>
        <v/>
      </c>
    </row>
    <row r="73" spans="2:9" ht="15" outlineLevel="1" x14ac:dyDescent="0.3">
      <c r="B73" t="s">
        <v>104</v>
      </c>
      <c r="C73" t="s">
        <v>180</v>
      </c>
      <c r="E73" s="63"/>
      <c r="F73" s="63"/>
      <c r="G73" s="63"/>
      <c r="H73" s="63"/>
      <c r="I73" t="str">
        <f t="shared" si="2"/>
        <v/>
      </c>
    </row>
    <row r="74" spans="2:9" ht="15" outlineLevel="1" x14ac:dyDescent="0.3">
      <c r="B74" t="s">
        <v>104</v>
      </c>
      <c r="C74" t="s">
        <v>181</v>
      </c>
      <c r="E74" s="63"/>
      <c r="F74" s="63"/>
      <c r="G74" s="63"/>
      <c r="H74" s="63"/>
      <c r="I74" t="str">
        <f t="shared" si="2"/>
        <v/>
      </c>
    </row>
    <row r="75" spans="2:9" ht="15" outlineLevel="1" x14ac:dyDescent="0.3">
      <c r="B75" t="s">
        <v>104</v>
      </c>
      <c r="C75" t="s">
        <v>182</v>
      </c>
      <c r="E75" s="63"/>
      <c r="F75" s="63"/>
      <c r="G75" s="63"/>
      <c r="H75" s="63"/>
      <c r="I75" t="str">
        <f t="shared" si="2"/>
        <v/>
      </c>
    </row>
    <row r="76" spans="2:9" ht="15" outlineLevel="1" x14ac:dyDescent="0.3">
      <c r="B76" t="s">
        <v>104</v>
      </c>
      <c r="C76" t="s">
        <v>183</v>
      </c>
      <c r="E76" s="63"/>
      <c r="F76" s="63"/>
      <c r="G76" s="63"/>
      <c r="H76" s="63"/>
      <c r="I76" t="str">
        <f t="shared" si="2"/>
        <v/>
      </c>
    </row>
    <row r="77" spans="2:9" x14ac:dyDescent="0.3">
      <c r="B77" s="60" t="s">
        <v>250</v>
      </c>
      <c r="C77" s="60"/>
      <c r="D77" s="60"/>
      <c r="E77" s="64">
        <f>SUM(E58:E76)</f>
        <v>0</v>
      </c>
      <c r="F77" s="64">
        <f>SUM(F58:F76)</f>
        <v>0</v>
      </c>
      <c r="G77" s="64">
        <f>SUM(G58:G76)</f>
        <v>0</v>
      </c>
      <c r="H77" s="64">
        <f>SUM(H58:H76)</f>
        <v>0</v>
      </c>
      <c r="I77" t="str">
        <f t="shared" si="2"/>
        <v/>
      </c>
    </row>
    <row r="78" spans="2:9" ht="15" outlineLevel="1" x14ac:dyDescent="0.3">
      <c r="B78" t="s">
        <v>184</v>
      </c>
      <c r="C78" t="s">
        <v>185</v>
      </c>
      <c r="E78" s="63"/>
      <c r="F78" s="63"/>
      <c r="G78" s="63"/>
      <c r="H78" s="63"/>
      <c r="I78" t="str">
        <f t="shared" si="2"/>
        <v/>
      </c>
    </row>
    <row r="79" spans="2:9" ht="15" outlineLevel="1" x14ac:dyDescent="0.3">
      <c r="B79" t="s">
        <v>184</v>
      </c>
      <c r="C79" t="s">
        <v>186</v>
      </c>
      <c r="E79" s="63"/>
      <c r="F79" s="63"/>
      <c r="G79" s="63"/>
      <c r="H79" s="63"/>
      <c r="I79" t="str">
        <f t="shared" si="2"/>
        <v/>
      </c>
    </row>
    <row r="80" spans="2:9" ht="15" outlineLevel="1" x14ac:dyDescent="0.3">
      <c r="B80" t="s">
        <v>184</v>
      </c>
      <c r="C80" t="s">
        <v>187</v>
      </c>
      <c r="E80" s="63"/>
      <c r="F80" s="63"/>
      <c r="G80" s="63"/>
      <c r="H80" s="63"/>
      <c r="I80" t="str">
        <f t="shared" si="2"/>
        <v/>
      </c>
    </row>
    <row r="81" spans="2:9" ht="15" outlineLevel="1" x14ac:dyDescent="0.3">
      <c r="B81" t="s">
        <v>184</v>
      </c>
      <c r="C81" t="s">
        <v>188</v>
      </c>
      <c r="E81" s="63"/>
      <c r="F81" s="63"/>
      <c r="G81" s="63"/>
      <c r="H81" s="63"/>
      <c r="I81" t="str">
        <f t="shared" si="2"/>
        <v/>
      </c>
    </row>
    <row r="82" spans="2:9" ht="15" outlineLevel="1" x14ac:dyDescent="0.3">
      <c r="B82" t="s">
        <v>184</v>
      </c>
      <c r="C82" t="s">
        <v>189</v>
      </c>
      <c r="E82" s="63"/>
      <c r="F82" s="63"/>
      <c r="G82" s="63"/>
      <c r="H82" s="63"/>
      <c r="I82" t="str">
        <f t="shared" si="2"/>
        <v/>
      </c>
    </row>
    <row r="83" spans="2:9" ht="15" outlineLevel="1" x14ac:dyDescent="0.3">
      <c r="B83" t="s">
        <v>184</v>
      </c>
      <c r="C83" t="s">
        <v>190</v>
      </c>
      <c r="E83" s="63"/>
      <c r="F83" s="63"/>
      <c r="G83" s="63"/>
      <c r="H83" s="63"/>
      <c r="I83" t="str">
        <f t="shared" si="2"/>
        <v/>
      </c>
    </row>
    <row r="84" spans="2:9" ht="15" outlineLevel="1" x14ac:dyDescent="0.3">
      <c r="B84" t="s">
        <v>184</v>
      </c>
      <c r="C84" t="s">
        <v>191</v>
      </c>
      <c r="E84" s="63"/>
      <c r="F84" s="63"/>
      <c r="G84" s="63"/>
      <c r="H84" s="63"/>
      <c r="I84" t="str">
        <f t="shared" si="2"/>
        <v/>
      </c>
    </row>
    <row r="85" spans="2:9" ht="15" outlineLevel="1" x14ac:dyDescent="0.3">
      <c r="B85" t="s">
        <v>184</v>
      </c>
      <c r="C85" t="s">
        <v>192</v>
      </c>
      <c r="E85" s="63"/>
      <c r="F85" s="63"/>
      <c r="G85" s="63"/>
      <c r="H85" s="63"/>
      <c r="I85" t="str">
        <f t="shared" si="2"/>
        <v/>
      </c>
    </row>
    <row r="86" spans="2:9" ht="15" outlineLevel="1" x14ac:dyDescent="0.3">
      <c r="B86" t="s">
        <v>184</v>
      </c>
      <c r="C86" t="s">
        <v>193</v>
      </c>
      <c r="E86" s="63"/>
      <c r="F86" s="63"/>
      <c r="G86" s="63"/>
      <c r="H86" s="63"/>
      <c r="I86" t="str">
        <f t="shared" si="2"/>
        <v/>
      </c>
    </row>
    <row r="87" spans="2:9" ht="15" outlineLevel="1" x14ac:dyDescent="0.3">
      <c r="B87" t="s">
        <v>184</v>
      </c>
      <c r="C87" t="s">
        <v>194</v>
      </c>
      <c r="E87" s="63"/>
      <c r="F87" s="63"/>
      <c r="G87" s="63"/>
      <c r="H87" s="63"/>
      <c r="I87" t="str">
        <f t="shared" si="2"/>
        <v/>
      </c>
    </row>
    <row r="88" spans="2:9" ht="15" outlineLevel="1" x14ac:dyDescent="0.3">
      <c r="B88" t="s">
        <v>184</v>
      </c>
      <c r="C88" t="s">
        <v>195</v>
      </c>
      <c r="E88" s="63"/>
      <c r="F88" s="63"/>
      <c r="G88" s="63"/>
      <c r="H88" s="63"/>
      <c r="I88" t="str">
        <f t="shared" si="2"/>
        <v/>
      </c>
    </row>
    <row r="89" spans="2:9" ht="15" outlineLevel="1" x14ac:dyDescent="0.3">
      <c r="B89" t="s">
        <v>184</v>
      </c>
      <c r="C89" t="s">
        <v>196</v>
      </c>
      <c r="E89" s="63"/>
      <c r="F89" s="63"/>
      <c r="G89" s="63"/>
      <c r="H89" s="63"/>
      <c r="I89" t="str">
        <f t="shared" si="2"/>
        <v/>
      </c>
    </row>
    <row r="90" spans="2:9" ht="15" outlineLevel="1" x14ac:dyDescent="0.3">
      <c r="B90" t="s">
        <v>184</v>
      </c>
      <c r="C90" t="s">
        <v>197</v>
      </c>
      <c r="E90" s="63"/>
      <c r="F90" s="63"/>
      <c r="G90" s="63"/>
      <c r="H90" s="63"/>
      <c r="I90" t="str">
        <f t="shared" si="2"/>
        <v/>
      </c>
    </row>
    <row r="91" spans="2:9" ht="15" outlineLevel="1" x14ac:dyDescent="0.3">
      <c r="B91" t="s">
        <v>184</v>
      </c>
      <c r="C91" t="s">
        <v>198</v>
      </c>
      <c r="E91" s="63"/>
      <c r="F91" s="63"/>
      <c r="G91" s="63"/>
      <c r="H91" s="63"/>
      <c r="I91" t="str">
        <f t="shared" si="2"/>
        <v/>
      </c>
    </row>
    <row r="92" spans="2:9" ht="15" outlineLevel="1" x14ac:dyDescent="0.3">
      <c r="B92" t="s">
        <v>184</v>
      </c>
      <c r="C92" t="s">
        <v>199</v>
      </c>
      <c r="E92" s="63"/>
      <c r="F92" s="63"/>
      <c r="G92" s="63"/>
      <c r="H92" s="63"/>
      <c r="I92" t="str">
        <f t="shared" si="2"/>
        <v/>
      </c>
    </row>
    <row r="93" spans="2:9" ht="15" outlineLevel="1" x14ac:dyDescent="0.3">
      <c r="B93" t="s">
        <v>184</v>
      </c>
      <c r="C93" t="s">
        <v>200</v>
      </c>
      <c r="E93" s="63"/>
      <c r="F93" s="63"/>
      <c r="G93" s="63"/>
      <c r="H93" s="63"/>
      <c r="I93" t="str">
        <f t="shared" si="2"/>
        <v/>
      </c>
    </row>
    <row r="94" spans="2:9" x14ac:dyDescent="0.3">
      <c r="B94" s="60" t="s">
        <v>249</v>
      </c>
      <c r="C94" s="60"/>
      <c r="D94" s="60"/>
      <c r="E94" s="64">
        <f>SUM(E78:E93)</f>
        <v>0</v>
      </c>
      <c r="F94" s="64">
        <f>SUM(F78:F93)</f>
        <v>0</v>
      </c>
      <c r="G94" s="64">
        <f>SUM(G78:G93)</f>
        <v>0</v>
      </c>
      <c r="H94" s="64">
        <f>SUM(H78:H93)</f>
        <v>0</v>
      </c>
      <c r="I94" t="str">
        <f t="shared" si="2"/>
        <v/>
      </c>
    </row>
    <row r="95" spans="2:9" outlineLevel="1" x14ac:dyDescent="0.3">
      <c r="B95" t="s">
        <v>90</v>
      </c>
      <c r="C95" t="s">
        <v>201</v>
      </c>
      <c r="E95" s="63"/>
      <c r="F95" s="63"/>
      <c r="G95" s="63"/>
      <c r="H95" s="63"/>
      <c r="I95" t="str">
        <f t="shared" si="2"/>
        <v/>
      </c>
    </row>
    <row r="96" spans="2:9" ht="15" outlineLevel="1" x14ac:dyDescent="0.3">
      <c r="B96" t="s">
        <v>90</v>
      </c>
      <c r="C96" t="s">
        <v>202</v>
      </c>
      <c r="E96" s="63"/>
      <c r="F96" s="63"/>
      <c r="G96" s="63"/>
      <c r="H96" s="63"/>
      <c r="I96" t="str">
        <f t="shared" si="2"/>
        <v/>
      </c>
    </row>
    <row r="97" spans="2:9" ht="15" outlineLevel="1" x14ac:dyDescent="0.3">
      <c r="B97" t="s">
        <v>90</v>
      </c>
      <c r="C97" t="s">
        <v>203</v>
      </c>
      <c r="E97" s="63"/>
      <c r="F97" s="63"/>
      <c r="G97" s="63"/>
      <c r="H97" s="63"/>
      <c r="I97" t="str">
        <f t="shared" si="2"/>
        <v/>
      </c>
    </row>
    <row r="98" spans="2:9" ht="15" outlineLevel="1" x14ac:dyDescent="0.3">
      <c r="B98" t="s">
        <v>90</v>
      </c>
      <c r="C98" t="s">
        <v>204</v>
      </c>
      <c r="E98" s="63"/>
      <c r="F98" s="63"/>
      <c r="G98" s="63"/>
      <c r="H98" s="63"/>
      <c r="I98" t="str">
        <f t="shared" si="2"/>
        <v/>
      </c>
    </row>
    <row r="99" spans="2:9" ht="15" outlineLevel="1" x14ac:dyDescent="0.3">
      <c r="B99" t="s">
        <v>90</v>
      </c>
      <c r="C99" t="s">
        <v>205</v>
      </c>
      <c r="E99" s="63"/>
      <c r="F99" s="63"/>
      <c r="G99" s="63"/>
      <c r="H99" s="63"/>
      <c r="I99" t="str">
        <f t="shared" si="2"/>
        <v/>
      </c>
    </row>
    <row r="100" spans="2:9" ht="15" outlineLevel="1" x14ac:dyDescent="0.3">
      <c r="B100" t="s">
        <v>90</v>
      </c>
      <c r="C100" t="s">
        <v>206</v>
      </c>
      <c r="E100" s="63"/>
      <c r="F100" s="63"/>
      <c r="G100" s="63"/>
      <c r="H100" s="63"/>
      <c r="I100" t="str">
        <f t="shared" ref="I100:I112" si="3">IFERROR(G100/F100-1,"")</f>
        <v/>
      </c>
    </row>
    <row r="101" spans="2:9" ht="15" outlineLevel="1" x14ac:dyDescent="0.3">
      <c r="B101" t="s">
        <v>90</v>
      </c>
      <c r="C101" t="s">
        <v>207</v>
      </c>
      <c r="E101" s="63"/>
      <c r="F101" s="63"/>
      <c r="G101" s="63"/>
      <c r="H101" s="63"/>
      <c r="I101" t="str">
        <f t="shared" si="3"/>
        <v/>
      </c>
    </row>
    <row r="102" spans="2:9" ht="15" outlineLevel="1" x14ac:dyDescent="0.3">
      <c r="B102" t="s">
        <v>90</v>
      </c>
      <c r="C102" t="s">
        <v>208</v>
      </c>
      <c r="E102" s="63"/>
      <c r="F102" s="63"/>
      <c r="G102" s="63"/>
      <c r="H102" s="63"/>
      <c r="I102" t="str">
        <f t="shared" si="3"/>
        <v/>
      </c>
    </row>
    <row r="103" spans="2:9" ht="15" outlineLevel="1" x14ac:dyDescent="0.3">
      <c r="B103" t="s">
        <v>90</v>
      </c>
      <c r="C103" t="s">
        <v>209</v>
      </c>
      <c r="E103" s="63"/>
      <c r="F103" s="63"/>
      <c r="G103" s="63"/>
      <c r="H103" s="63"/>
      <c r="I103" t="str">
        <f t="shared" si="3"/>
        <v/>
      </c>
    </row>
    <row r="104" spans="2:9" ht="15" outlineLevel="1" x14ac:dyDescent="0.3">
      <c r="B104" t="s">
        <v>90</v>
      </c>
      <c r="C104" t="s">
        <v>210</v>
      </c>
      <c r="E104" s="63"/>
      <c r="F104" s="63"/>
      <c r="G104" s="63"/>
      <c r="H104" s="63"/>
      <c r="I104" t="str">
        <f t="shared" si="3"/>
        <v/>
      </c>
    </row>
    <row r="105" spans="2:9" ht="15" outlineLevel="1" x14ac:dyDescent="0.3">
      <c r="B105" t="s">
        <v>90</v>
      </c>
      <c r="C105" t="s">
        <v>211</v>
      </c>
      <c r="E105" s="63"/>
      <c r="F105" s="63"/>
      <c r="G105" s="63"/>
      <c r="H105" s="63"/>
      <c r="I105" t="str">
        <f t="shared" si="3"/>
        <v/>
      </c>
    </row>
    <row r="106" spans="2:9" x14ac:dyDescent="0.3">
      <c r="B106" s="60" t="s">
        <v>248</v>
      </c>
      <c r="C106" s="60"/>
      <c r="D106" s="60"/>
      <c r="E106" s="64">
        <f>SUM(E95:E105)</f>
        <v>0</v>
      </c>
      <c r="F106" s="64">
        <f>SUM(F95:F105)</f>
        <v>0</v>
      </c>
      <c r="G106" s="64">
        <f>SUM(G95:G105)</f>
        <v>0</v>
      </c>
      <c r="H106" s="64">
        <f>SUM(H95:H105)</f>
        <v>0</v>
      </c>
      <c r="I106" t="str">
        <f t="shared" si="3"/>
        <v/>
      </c>
    </row>
    <row r="107" spans="2:9" ht="15" outlineLevel="1" x14ac:dyDescent="0.3">
      <c r="B107" t="s">
        <v>212</v>
      </c>
      <c r="C107" t="s">
        <v>213</v>
      </c>
      <c r="D107" t="s">
        <v>214</v>
      </c>
      <c r="E107" s="63"/>
      <c r="F107" s="63"/>
      <c r="G107" s="63"/>
      <c r="H107" s="63"/>
      <c r="I107" t="str">
        <f t="shared" si="3"/>
        <v/>
      </c>
    </row>
    <row r="108" spans="2:9" ht="15" outlineLevel="1" x14ac:dyDescent="0.3">
      <c r="B108" t="s">
        <v>212</v>
      </c>
      <c r="C108" t="s">
        <v>213</v>
      </c>
      <c r="D108" t="s">
        <v>215</v>
      </c>
      <c r="E108" s="63"/>
      <c r="F108" s="63"/>
      <c r="G108" s="63"/>
      <c r="H108" s="63"/>
      <c r="I108" t="str">
        <f t="shared" si="3"/>
        <v/>
      </c>
    </row>
    <row r="109" spans="2:9" ht="15" outlineLevel="1" x14ac:dyDescent="0.3">
      <c r="B109" t="s">
        <v>212</v>
      </c>
      <c r="C109" t="s">
        <v>213</v>
      </c>
      <c r="D109" t="s">
        <v>216</v>
      </c>
      <c r="E109" s="63"/>
      <c r="F109" s="63"/>
      <c r="G109" s="63"/>
      <c r="H109" s="63"/>
      <c r="I109" t="str">
        <f t="shared" si="3"/>
        <v/>
      </c>
    </row>
    <row r="110" spans="2:9" ht="15" outlineLevel="1" x14ac:dyDescent="0.3">
      <c r="B110" t="s">
        <v>212</v>
      </c>
      <c r="C110" t="s">
        <v>213</v>
      </c>
      <c r="D110" t="s">
        <v>217</v>
      </c>
      <c r="E110" s="63"/>
      <c r="F110" s="63"/>
      <c r="G110" s="63"/>
      <c r="H110" s="63"/>
      <c r="I110" t="str">
        <f t="shared" si="3"/>
        <v/>
      </c>
    </row>
    <row r="111" spans="2:9" ht="15" outlineLevel="1" x14ac:dyDescent="0.3">
      <c r="B111" t="s">
        <v>212</v>
      </c>
      <c r="C111" t="s">
        <v>213</v>
      </c>
      <c r="D111" t="s">
        <v>218</v>
      </c>
      <c r="E111" s="63"/>
      <c r="F111" s="63"/>
      <c r="G111" s="63"/>
      <c r="H111" s="63"/>
      <c r="I111" t="str">
        <f t="shared" si="3"/>
        <v/>
      </c>
    </row>
    <row r="112" spans="2:9" ht="15" outlineLevel="1" x14ac:dyDescent="0.3">
      <c r="B112" t="s">
        <v>212</v>
      </c>
      <c r="C112" t="s">
        <v>213</v>
      </c>
      <c r="D112" t="s">
        <v>219</v>
      </c>
      <c r="E112" s="63"/>
      <c r="F112" s="63"/>
      <c r="G112" s="63"/>
      <c r="H112" s="63"/>
      <c r="I112" t="str">
        <f t="shared" si="3"/>
        <v/>
      </c>
    </row>
    <row r="113" spans="2:9" ht="15" outlineLevel="1" x14ac:dyDescent="0.3">
      <c r="B113" s="60"/>
      <c r="C113" s="60" t="s">
        <v>247</v>
      </c>
      <c r="D113" s="60"/>
      <c r="E113" s="64"/>
      <c r="F113" s="63"/>
      <c r="G113" s="63"/>
      <c r="H113" s="63"/>
    </row>
    <row r="114" spans="2:9" ht="15" outlineLevel="1" x14ac:dyDescent="0.3">
      <c r="B114" t="s">
        <v>212</v>
      </c>
      <c r="C114" t="s">
        <v>220</v>
      </c>
      <c r="E114" s="63"/>
      <c r="F114" s="63"/>
      <c r="G114" s="63"/>
      <c r="H114" s="63"/>
      <c r="I114" t="str">
        <f>IFERROR(G114/F114-1,"")</f>
        <v/>
      </c>
    </row>
    <row r="115" spans="2:9" ht="15" outlineLevel="1" x14ac:dyDescent="0.3">
      <c r="B115" s="60"/>
      <c r="C115" s="60" t="s">
        <v>246</v>
      </c>
      <c r="D115" s="60"/>
      <c r="E115" s="64"/>
      <c r="F115" s="63"/>
      <c r="G115" s="63"/>
      <c r="H115" s="63"/>
    </row>
    <row r="116" spans="2:9" ht="15" outlineLevel="1" x14ac:dyDescent="0.3">
      <c r="B116" t="s">
        <v>212</v>
      </c>
      <c r="C116" t="s">
        <v>221</v>
      </c>
      <c r="D116" t="s">
        <v>222</v>
      </c>
      <c r="E116" s="63"/>
      <c r="F116" s="63"/>
      <c r="G116" s="63"/>
      <c r="H116" s="63"/>
      <c r="I116" t="str">
        <f t="shared" ref="I116:I136" si="4">IFERROR(G116/F116-1,"")</f>
        <v/>
      </c>
    </row>
    <row r="117" spans="2:9" ht="15" outlineLevel="1" x14ac:dyDescent="0.3">
      <c r="B117" t="s">
        <v>212</v>
      </c>
      <c r="C117" t="s">
        <v>221</v>
      </c>
      <c r="D117" t="s">
        <v>223</v>
      </c>
      <c r="E117" s="63"/>
      <c r="F117" s="63"/>
      <c r="G117" s="63"/>
      <c r="H117" s="63"/>
      <c r="I117" t="str">
        <f t="shared" si="4"/>
        <v/>
      </c>
    </row>
    <row r="118" spans="2:9" ht="15" outlineLevel="1" x14ac:dyDescent="0.3">
      <c r="B118" t="s">
        <v>212</v>
      </c>
      <c r="C118" t="s">
        <v>221</v>
      </c>
      <c r="D118" t="s">
        <v>224</v>
      </c>
      <c r="E118" s="63"/>
      <c r="F118" s="63"/>
      <c r="G118" s="63"/>
      <c r="H118" s="63"/>
      <c r="I118" t="str">
        <f t="shared" si="4"/>
        <v/>
      </c>
    </row>
    <row r="119" spans="2:9" ht="15" outlineLevel="1" x14ac:dyDescent="0.3">
      <c r="B119" t="s">
        <v>212</v>
      </c>
      <c r="C119" t="s">
        <v>221</v>
      </c>
      <c r="D119" t="s">
        <v>225</v>
      </c>
      <c r="E119" s="63"/>
      <c r="F119" s="63"/>
      <c r="G119" s="63"/>
      <c r="H119" s="63"/>
      <c r="I119" t="str">
        <f t="shared" si="4"/>
        <v/>
      </c>
    </row>
    <row r="120" spans="2:9" ht="15" outlineLevel="1" x14ac:dyDescent="0.3">
      <c r="B120" t="s">
        <v>212</v>
      </c>
      <c r="C120" t="s">
        <v>221</v>
      </c>
      <c r="D120" t="s">
        <v>226</v>
      </c>
      <c r="E120" s="63"/>
      <c r="F120" s="63"/>
      <c r="G120" s="63"/>
      <c r="H120" s="63"/>
      <c r="I120" t="str">
        <f t="shared" si="4"/>
        <v/>
      </c>
    </row>
    <row r="121" spans="2:9" ht="15" outlineLevel="1" x14ac:dyDescent="0.3">
      <c r="B121" t="s">
        <v>212</v>
      </c>
      <c r="C121" t="s">
        <v>221</v>
      </c>
      <c r="D121" t="s">
        <v>227</v>
      </c>
      <c r="E121" s="63"/>
      <c r="F121" s="63"/>
      <c r="G121" s="63"/>
      <c r="H121" s="63"/>
      <c r="I121" t="str">
        <f t="shared" si="4"/>
        <v/>
      </c>
    </row>
    <row r="122" spans="2:9" ht="15" outlineLevel="1" x14ac:dyDescent="0.3">
      <c r="B122" t="s">
        <v>212</v>
      </c>
      <c r="C122" t="s">
        <v>221</v>
      </c>
      <c r="D122" t="s">
        <v>228</v>
      </c>
      <c r="E122" s="63"/>
      <c r="F122" s="63"/>
      <c r="G122" s="63"/>
      <c r="H122" s="63"/>
      <c r="I122" t="str">
        <f t="shared" si="4"/>
        <v/>
      </c>
    </row>
    <row r="123" spans="2:9" ht="15" outlineLevel="1" x14ac:dyDescent="0.3">
      <c r="B123" t="s">
        <v>212</v>
      </c>
      <c r="C123" t="s">
        <v>221</v>
      </c>
      <c r="D123" t="s">
        <v>229</v>
      </c>
      <c r="E123" s="63"/>
      <c r="F123" s="63"/>
      <c r="G123" s="63"/>
      <c r="H123" s="63"/>
      <c r="I123" t="str">
        <f t="shared" si="4"/>
        <v/>
      </c>
    </row>
    <row r="124" spans="2:9" ht="15" outlineLevel="1" x14ac:dyDescent="0.3">
      <c r="B124" t="s">
        <v>212</v>
      </c>
      <c r="C124" t="s">
        <v>221</v>
      </c>
      <c r="D124" t="s">
        <v>230</v>
      </c>
      <c r="E124" s="63"/>
      <c r="F124" s="63"/>
      <c r="G124" s="63"/>
      <c r="H124" s="63"/>
      <c r="I124" t="str">
        <f t="shared" si="4"/>
        <v/>
      </c>
    </row>
    <row r="125" spans="2:9" ht="15" outlineLevel="1" x14ac:dyDescent="0.3">
      <c r="B125" t="s">
        <v>212</v>
      </c>
      <c r="C125" t="s">
        <v>221</v>
      </c>
      <c r="D125" t="s">
        <v>231</v>
      </c>
      <c r="E125" s="63"/>
      <c r="F125" s="63"/>
      <c r="G125" s="63"/>
      <c r="H125" s="63"/>
      <c r="I125" t="str">
        <f t="shared" si="4"/>
        <v/>
      </c>
    </row>
    <row r="126" spans="2:9" ht="15" outlineLevel="1" x14ac:dyDescent="0.3">
      <c r="B126" t="s">
        <v>212</v>
      </c>
      <c r="C126" t="s">
        <v>221</v>
      </c>
      <c r="D126" t="s">
        <v>232</v>
      </c>
      <c r="E126" s="63"/>
      <c r="F126" s="63"/>
      <c r="G126" s="63"/>
      <c r="H126" s="63"/>
      <c r="I126" t="str">
        <f t="shared" si="4"/>
        <v/>
      </c>
    </row>
    <row r="127" spans="2:9" ht="15" outlineLevel="1" x14ac:dyDescent="0.3">
      <c r="B127" t="s">
        <v>212</v>
      </c>
      <c r="C127" t="s">
        <v>221</v>
      </c>
      <c r="D127" t="s">
        <v>233</v>
      </c>
      <c r="E127" s="63"/>
      <c r="F127" s="63"/>
      <c r="G127" s="63"/>
      <c r="H127" s="63"/>
      <c r="I127" t="str">
        <f t="shared" si="4"/>
        <v/>
      </c>
    </row>
    <row r="128" spans="2:9" ht="15" outlineLevel="1" x14ac:dyDescent="0.3">
      <c r="B128" t="s">
        <v>212</v>
      </c>
      <c r="C128" t="s">
        <v>221</v>
      </c>
      <c r="D128" t="s">
        <v>234</v>
      </c>
      <c r="E128" s="63"/>
      <c r="F128" s="63"/>
      <c r="G128" s="63"/>
      <c r="H128" s="63"/>
      <c r="I128" t="str">
        <f t="shared" si="4"/>
        <v/>
      </c>
    </row>
    <row r="129" spans="2:9" ht="15" outlineLevel="1" x14ac:dyDescent="0.3">
      <c r="B129" t="s">
        <v>212</v>
      </c>
      <c r="C129" t="s">
        <v>221</v>
      </c>
      <c r="D129" t="s">
        <v>235</v>
      </c>
      <c r="E129" s="63"/>
      <c r="F129" s="63"/>
      <c r="G129" s="63"/>
      <c r="H129" s="63"/>
      <c r="I129" t="str">
        <f t="shared" si="4"/>
        <v/>
      </c>
    </row>
    <row r="130" spans="2:9" ht="15" outlineLevel="1" x14ac:dyDescent="0.3">
      <c r="B130" t="s">
        <v>212</v>
      </c>
      <c r="C130" t="s">
        <v>221</v>
      </c>
      <c r="D130" t="s">
        <v>236</v>
      </c>
      <c r="E130" s="63"/>
      <c r="F130" s="63"/>
      <c r="G130" s="63"/>
      <c r="H130" s="63"/>
      <c r="I130" t="str">
        <f t="shared" si="4"/>
        <v/>
      </c>
    </row>
    <row r="131" spans="2:9" ht="15" outlineLevel="1" x14ac:dyDescent="0.3">
      <c r="B131" t="s">
        <v>212</v>
      </c>
      <c r="C131" t="s">
        <v>221</v>
      </c>
      <c r="D131" t="s">
        <v>237</v>
      </c>
      <c r="E131" s="63"/>
      <c r="F131" s="63"/>
      <c r="G131" s="63"/>
      <c r="H131" s="63"/>
      <c r="I131" t="str">
        <f t="shared" si="4"/>
        <v/>
      </c>
    </row>
    <row r="132" spans="2:9" ht="15" outlineLevel="1" x14ac:dyDescent="0.3">
      <c r="B132" t="s">
        <v>212</v>
      </c>
      <c r="C132" t="s">
        <v>221</v>
      </c>
      <c r="D132" t="s">
        <v>238</v>
      </c>
      <c r="E132" s="63"/>
      <c r="F132" s="63"/>
      <c r="G132" s="63"/>
      <c r="H132" s="63"/>
      <c r="I132" t="str">
        <f t="shared" si="4"/>
        <v/>
      </c>
    </row>
    <row r="133" spans="2:9" ht="15" outlineLevel="1" x14ac:dyDescent="0.3">
      <c r="B133" s="60"/>
      <c r="C133" s="60" t="s">
        <v>245</v>
      </c>
      <c r="D133" s="60"/>
      <c r="E133" s="64">
        <f>SUM(E116:E132)</f>
        <v>0</v>
      </c>
      <c r="F133" s="64">
        <f>SUM(F116:F132)</f>
        <v>0</v>
      </c>
      <c r="G133" s="64">
        <f>SUM(G116:G132)</f>
        <v>0</v>
      </c>
      <c r="H133" s="64">
        <f>SUM(H116:H132)</f>
        <v>0</v>
      </c>
      <c r="I133" t="str">
        <f t="shared" si="4"/>
        <v/>
      </c>
    </row>
    <row r="134" spans="2:9" ht="15" outlineLevel="1" x14ac:dyDescent="0.3">
      <c r="B134" t="s">
        <v>212</v>
      </c>
      <c r="C134" t="s">
        <v>239</v>
      </c>
      <c r="E134" s="63"/>
      <c r="F134" s="63"/>
      <c r="G134" s="63"/>
      <c r="H134" s="63"/>
      <c r="I134" t="str">
        <f t="shared" si="4"/>
        <v/>
      </c>
    </row>
    <row r="135" spans="2:9" ht="15" outlineLevel="1" x14ac:dyDescent="0.3">
      <c r="C135" s="60" t="s">
        <v>244</v>
      </c>
      <c r="D135" s="60"/>
      <c r="E135" s="64">
        <f>SUM(E134)</f>
        <v>0</v>
      </c>
      <c r="F135" s="63"/>
      <c r="G135" s="63"/>
      <c r="H135" s="63"/>
      <c r="I135" t="str">
        <f t="shared" si="4"/>
        <v/>
      </c>
    </row>
    <row r="136" spans="2:9" x14ac:dyDescent="0.3">
      <c r="B136" s="60" t="s">
        <v>243</v>
      </c>
      <c r="E136" s="64">
        <f>SUM(E135,E133,E115,E113)</f>
        <v>0</v>
      </c>
      <c r="F136" s="64">
        <f>SUM(F135,F133,F115,F113)</f>
        <v>0</v>
      </c>
      <c r="G136" s="64">
        <f>SUM(G135,G133,G115,G113)</f>
        <v>0</v>
      </c>
      <c r="H136" s="64">
        <f>SUM(H135,H133,H115,H113)</f>
        <v>0</v>
      </c>
      <c r="I136" t="str">
        <f t="shared" si="4"/>
        <v/>
      </c>
    </row>
    <row r="137" spans="2:9" ht="15" outlineLevel="1" x14ac:dyDescent="0.3">
      <c r="B137" t="s">
        <v>240</v>
      </c>
      <c r="E137" s="63"/>
      <c r="F137" s="63"/>
      <c r="G137" s="63"/>
      <c r="H137" s="63"/>
      <c r="I137" t="str">
        <f t="shared" ref="I137:I139" si="5">IFERROR(G137/F137-1,"")</f>
        <v/>
      </c>
    </row>
    <row r="138" spans="2:9" x14ac:dyDescent="0.3">
      <c r="B138" s="60" t="s">
        <v>241</v>
      </c>
      <c r="E138" s="64">
        <f>SUM(E137)</f>
        <v>0</v>
      </c>
      <c r="F138" s="64">
        <f>SUM(F137)</f>
        <v>0</v>
      </c>
      <c r="G138" s="64">
        <f>SUM(G137)</f>
        <v>0</v>
      </c>
      <c r="H138" s="64">
        <f>SUM(H137)</f>
        <v>0</v>
      </c>
      <c r="I138" t="str">
        <f t="shared" si="5"/>
        <v/>
      </c>
    </row>
    <row r="139" spans="2:9" x14ac:dyDescent="0.3">
      <c r="B139" s="60" t="s">
        <v>242</v>
      </c>
      <c r="E139" s="64">
        <f>SUM(E57,E77,E94,E106,E136,E138)</f>
        <v>0</v>
      </c>
      <c r="F139" s="64">
        <f>SUM(F57,F77,F94,F106,F136,F138)</f>
        <v>0</v>
      </c>
      <c r="G139" s="64">
        <f>SUM(G57,G77,G94,G106,G136,G138)</f>
        <v>0</v>
      </c>
      <c r="H139" s="64">
        <f>SUM(H57,H77,H94,H106,H136,H138)</f>
        <v>0</v>
      </c>
      <c r="I139" t="str">
        <f t="shared" si="5"/>
        <v/>
      </c>
    </row>
    <row r="141" spans="2:9" x14ac:dyDescent="0.3">
      <c r="B141" s="65" t="s">
        <v>463</v>
      </c>
    </row>
    <row r="142" spans="2:9" x14ac:dyDescent="0.3">
      <c r="B142" t="s">
        <v>461</v>
      </c>
    </row>
    <row r="143" spans="2:9" x14ac:dyDescent="0.3">
      <c r="B143" t="s">
        <v>462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C469F-EE70-4481-A50B-08682D8A3BB2}">
  <dimension ref="B2:H11"/>
  <sheetViews>
    <sheetView workbookViewId="0">
      <selection activeCell="B10" sqref="B10:B11"/>
    </sheetView>
  </sheetViews>
  <sheetFormatPr defaultRowHeight="14.4" x14ac:dyDescent="0.3"/>
  <cols>
    <col min="2" max="2" width="22.5546875" customWidth="1"/>
    <col min="3" max="3" width="28.33203125" customWidth="1"/>
    <col min="4" max="4" width="28.5546875" customWidth="1"/>
    <col min="5" max="5" width="21" customWidth="1"/>
    <col min="6" max="7" width="23.88671875" customWidth="1"/>
    <col min="8" max="8" width="27.44140625" customWidth="1"/>
  </cols>
  <sheetData>
    <row r="2" spans="2:8" ht="23.4" x14ac:dyDescent="0.45">
      <c r="B2" s="162" t="s">
        <v>46</v>
      </c>
      <c r="C2" s="162"/>
      <c r="D2" s="162"/>
      <c r="E2" s="162"/>
      <c r="F2" s="162"/>
      <c r="G2" s="162"/>
      <c r="H2" s="162"/>
    </row>
    <row r="3" spans="2:8" x14ac:dyDescent="0.3">
      <c r="B3" t="s">
        <v>47</v>
      </c>
    </row>
    <row r="5" spans="2:8" x14ac:dyDescent="0.3">
      <c r="B5" s="176" t="s">
        <v>48</v>
      </c>
      <c r="C5" s="177"/>
      <c r="D5" s="177"/>
      <c r="E5" s="177"/>
      <c r="F5" s="177"/>
      <c r="G5" s="177"/>
      <c r="H5" s="178"/>
    </row>
    <row r="6" spans="2:8" ht="39" customHeight="1" thickBot="1" x14ac:dyDescent="0.35">
      <c r="B6" s="173" t="s">
        <v>49</v>
      </c>
      <c r="C6" s="174"/>
      <c r="D6" s="174"/>
      <c r="E6" s="174"/>
      <c r="F6" s="174"/>
      <c r="G6" s="174"/>
      <c r="H6" s="175"/>
    </row>
    <row r="7" spans="2:8" ht="43.2" x14ac:dyDescent="0.3">
      <c r="B7" s="13" t="s">
        <v>50</v>
      </c>
      <c r="C7" s="11" t="s">
        <v>51</v>
      </c>
      <c r="D7" s="11" t="s">
        <v>52</v>
      </c>
      <c r="E7" s="11" t="s">
        <v>53</v>
      </c>
      <c r="F7" s="11" t="s">
        <v>54</v>
      </c>
      <c r="G7" s="11" t="s">
        <v>55</v>
      </c>
      <c r="H7" s="14" t="s">
        <v>56</v>
      </c>
    </row>
    <row r="8" spans="2:8" ht="15" thickBot="1" x14ac:dyDescent="0.35">
      <c r="B8" s="7" t="s">
        <v>28</v>
      </c>
      <c r="C8" s="2"/>
      <c r="D8" s="2"/>
      <c r="E8" s="2"/>
      <c r="F8" s="2"/>
      <c r="G8" s="2"/>
      <c r="H8" s="3"/>
    </row>
    <row r="10" spans="2:8" x14ac:dyDescent="0.3">
      <c r="B10" t="s">
        <v>265</v>
      </c>
    </row>
    <row r="11" spans="2:8" x14ac:dyDescent="0.3">
      <c r="B11" t="s">
        <v>266</v>
      </c>
    </row>
  </sheetData>
  <mergeCells count="3">
    <mergeCell ref="B6:H6"/>
    <mergeCell ref="B5:H5"/>
    <mergeCell ref="B2:H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D924E-159C-4322-B321-052EF47BA969}">
  <dimension ref="B2:L27"/>
  <sheetViews>
    <sheetView workbookViewId="0">
      <selection activeCell="H32" sqref="H32"/>
    </sheetView>
  </sheetViews>
  <sheetFormatPr defaultRowHeight="14.4" x14ac:dyDescent="0.3"/>
  <cols>
    <col min="1" max="1" width="8.88671875" style="66"/>
    <col min="2" max="2" width="30" style="66" customWidth="1"/>
    <col min="3" max="3" width="14.44140625" style="66" customWidth="1"/>
    <col min="4" max="4" width="13.6640625" style="66" customWidth="1"/>
    <col min="5" max="5" width="15.109375" style="66" bestFit="1" customWidth="1"/>
    <col min="6" max="6" width="13.88671875" style="66" customWidth="1"/>
    <col min="7" max="7" width="14.109375" style="66" bestFit="1" customWidth="1"/>
    <col min="8" max="8" width="13.21875" style="66" customWidth="1"/>
    <col min="9" max="9" width="10.44140625" style="66" customWidth="1"/>
    <col min="10" max="10" width="11.44140625" style="66" bestFit="1" customWidth="1"/>
    <col min="11" max="11" width="11.88671875" style="66" customWidth="1"/>
    <col min="12" max="12" width="53.77734375" style="66" customWidth="1"/>
    <col min="13" max="16384" width="8.88671875" style="66"/>
  </cols>
  <sheetData>
    <row r="2" spans="2:12" ht="21" x14ac:dyDescent="0.4">
      <c r="C2" s="161" t="s">
        <v>281</v>
      </c>
      <c r="D2" s="143"/>
      <c r="E2" s="143"/>
      <c r="F2" s="143"/>
      <c r="G2" s="143"/>
      <c r="H2" s="143"/>
    </row>
    <row r="3" spans="2:12" ht="21" x14ac:dyDescent="0.4">
      <c r="B3" s="151" t="s">
        <v>282</v>
      </c>
      <c r="C3" s="143" t="s">
        <v>283</v>
      </c>
      <c r="D3" s="143"/>
      <c r="E3" s="143"/>
      <c r="F3" s="143" t="s">
        <v>284</v>
      </c>
      <c r="G3" s="143"/>
      <c r="H3" s="143"/>
      <c r="I3" s="143" t="s">
        <v>285</v>
      </c>
      <c r="J3" s="143"/>
      <c r="K3" s="143"/>
    </row>
    <row r="4" spans="2:12" x14ac:dyDescent="0.3">
      <c r="B4" s="144" t="s">
        <v>286</v>
      </c>
      <c r="C4" s="67" t="s">
        <v>287</v>
      </c>
      <c r="D4" s="67" t="s">
        <v>288</v>
      </c>
      <c r="E4" s="67" t="s">
        <v>242</v>
      </c>
      <c r="F4" s="67" t="s">
        <v>287</v>
      </c>
      <c r="G4" s="67" t="s">
        <v>288</v>
      </c>
      <c r="H4" s="67" t="s">
        <v>242</v>
      </c>
      <c r="I4" s="67" t="s">
        <v>287</v>
      </c>
      <c r="J4" s="67" t="s">
        <v>288</v>
      </c>
      <c r="K4" s="67" t="s">
        <v>242</v>
      </c>
      <c r="L4" s="67" t="s">
        <v>289</v>
      </c>
    </row>
    <row r="5" spans="2:12" x14ac:dyDescent="0.3">
      <c r="B5" s="145" t="s">
        <v>290</v>
      </c>
      <c r="C5" s="148"/>
      <c r="D5" s="148"/>
      <c r="E5" s="149">
        <f t="shared" ref="E5:E10" si="0">SUM(C5:D5)</f>
        <v>0</v>
      </c>
      <c r="F5" s="148"/>
      <c r="G5" s="148"/>
      <c r="H5" s="152">
        <f t="shared" ref="H5:H10" si="1">SUM(F5:G5)</f>
        <v>0</v>
      </c>
      <c r="I5" s="160">
        <f t="shared" ref="I5:K11" si="2">IFERROR(F5/C5-1,0)</f>
        <v>0</v>
      </c>
      <c r="J5" s="160">
        <f t="shared" si="2"/>
        <v>0</v>
      </c>
      <c r="K5" s="160">
        <f t="shared" si="2"/>
        <v>0</v>
      </c>
      <c r="L5" s="154"/>
    </row>
    <row r="6" spans="2:12" x14ac:dyDescent="0.3">
      <c r="B6" s="145" t="s">
        <v>291</v>
      </c>
      <c r="C6" s="148"/>
      <c r="D6" s="148"/>
      <c r="E6" s="149">
        <f t="shared" si="0"/>
        <v>0</v>
      </c>
      <c r="F6" s="148"/>
      <c r="G6" s="148"/>
      <c r="H6" s="152">
        <f t="shared" si="1"/>
        <v>0</v>
      </c>
      <c r="I6" s="160">
        <f t="shared" si="2"/>
        <v>0</v>
      </c>
      <c r="J6" s="160">
        <f t="shared" si="2"/>
        <v>0</v>
      </c>
      <c r="K6" s="160">
        <f t="shared" si="2"/>
        <v>0</v>
      </c>
      <c r="L6" s="155"/>
    </row>
    <row r="7" spans="2:12" x14ac:dyDescent="0.3">
      <c r="B7" s="145" t="s">
        <v>292</v>
      </c>
      <c r="C7" s="148"/>
      <c r="D7" s="148"/>
      <c r="E7" s="149">
        <f t="shared" si="0"/>
        <v>0</v>
      </c>
      <c r="F7" s="148"/>
      <c r="G7" s="148"/>
      <c r="H7" s="152">
        <f t="shared" si="1"/>
        <v>0</v>
      </c>
      <c r="I7" s="160">
        <f t="shared" si="2"/>
        <v>0</v>
      </c>
      <c r="J7" s="160">
        <f t="shared" si="2"/>
        <v>0</v>
      </c>
      <c r="K7" s="160">
        <f t="shared" si="2"/>
        <v>0</v>
      </c>
      <c r="L7" s="155"/>
    </row>
    <row r="8" spans="2:12" x14ac:dyDescent="0.3">
      <c r="B8" s="145" t="s">
        <v>293</v>
      </c>
      <c r="C8" s="148"/>
      <c r="D8" s="148"/>
      <c r="E8" s="149">
        <f t="shared" si="0"/>
        <v>0</v>
      </c>
      <c r="F8" s="148"/>
      <c r="G8" s="148"/>
      <c r="H8" s="152">
        <f t="shared" si="1"/>
        <v>0</v>
      </c>
      <c r="I8" s="160">
        <f t="shared" si="2"/>
        <v>0</v>
      </c>
      <c r="J8" s="160">
        <f t="shared" si="2"/>
        <v>0</v>
      </c>
      <c r="K8" s="160">
        <f t="shared" si="2"/>
        <v>0</v>
      </c>
      <c r="L8" s="154"/>
    </row>
    <row r="9" spans="2:12" x14ac:dyDescent="0.3">
      <c r="B9" s="145" t="s">
        <v>294</v>
      </c>
      <c r="C9" s="148"/>
      <c r="D9" s="148"/>
      <c r="E9" s="149">
        <f t="shared" si="0"/>
        <v>0</v>
      </c>
      <c r="F9" s="148"/>
      <c r="G9" s="148"/>
      <c r="H9" s="152">
        <f t="shared" si="1"/>
        <v>0</v>
      </c>
      <c r="I9" s="160">
        <f t="shared" si="2"/>
        <v>0</v>
      </c>
      <c r="J9" s="160">
        <f t="shared" si="2"/>
        <v>0</v>
      </c>
      <c r="K9" s="160">
        <f t="shared" si="2"/>
        <v>0</v>
      </c>
      <c r="L9" s="154"/>
    </row>
    <row r="10" spans="2:12" x14ac:dyDescent="0.3">
      <c r="B10" s="145" t="s">
        <v>295</v>
      </c>
      <c r="C10" s="148"/>
      <c r="D10" s="148"/>
      <c r="E10" s="149">
        <f t="shared" si="0"/>
        <v>0</v>
      </c>
      <c r="F10" s="148"/>
      <c r="G10" s="148"/>
      <c r="H10" s="152">
        <f t="shared" si="1"/>
        <v>0</v>
      </c>
      <c r="I10" s="160">
        <f t="shared" si="2"/>
        <v>0</v>
      </c>
      <c r="J10" s="160">
        <f t="shared" si="2"/>
        <v>0</v>
      </c>
      <c r="K10" s="160">
        <f t="shared" si="2"/>
        <v>0</v>
      </c>
      <c r="L10" s="155"/>
    </row>
    <row r="11" spans="2:12" x14ac:dyDescent="0.3">
      <c r="B11" s="144" t="s">
        <v>242</v>
      </c>
      <c r="C11" s="150">
        <f t="shared" ref="C11:H11" si="3">SUM(C5:C10)</f>
        <v>0</v>
      </c>
      <c r="D11" s="150">
        <f t="shared" si="3"/>
        <v>0</v>
      </c>
      <c r="E11" s="150">
        <f t="shared" si="3"/>
        <v>0</v>
      </c>
      <c r="F11" s="150">
        <f t="shared" si="3"/>
        <v>0</v>
      </c>
      <c r="G11" s="150">
        <f t="shared" si="3"/>
        <v>0</v>
      </c>
      <c r="H11" s="150">
        <f t="shared" si="3"/>
        <v>0</v>
      </c>
      <c r="I11" s="153">
        <f t="shared" si="2"/>
        <v>0</v>
      </c>
      <c r="J11" s="153">
        <f t="shared" si="2"/>
        <v>0</v>
      </c>
      <c r="K11" s="153">
        <f t="shared" si="2"/>
        <v>0</v>
      </c>
      <c r="L11" s="155"/>
    </row>
    <row r="12" spans="2:12" x14ac:dyDescent="0.3">
      <c r="B12" s="146" t="s">
        <v>296</v>
      </c>
    </row>
    <row r="13" spans="2:12" x14ac:dyDescent="0.3">
      <c r="B13" s="146" t="s">
        <v>297</v>
      </c>
    </row>
    <row r="16" spans="2:12" x14ac:dyDescent="0.3">
      <c r="C16" s="143" t="s">
        <v>298</v>
      </c>
      <c r="D16" s="143"/>
      <c r="E16" s="143"/>
      <c r="F16" s="143"/>
      <c r="G16" s="143"/>
      <c r="H16" s="143"/>
    </row>
    <row r="17" spans="2:12" ht="21" x14ac:dyDescent="0.4">
      <c r="B17" s="151" t="s">
        <v>282</v>
      </c>
      <c r="C17" s="143" t="s">
        <v>283</v>
      </c>
      <c r="D17" s="143"/>
      <c r="E17" s="143"/>
      <c r="F17" s="143" t="s">
        <v>284</v>
      </c>
      <c r="G17" s="143"/>
      <c r="H17" s="143"/>
      <c r="I17" s="143" t="s">
        <v>285</v>
      </c>
      <c r="J17" s="143"/>
      <c r="K17" s="143"/>
    </row>
    <row r="18" spans="2:12" x14ac:dyDescent="0.3">
      <c r="B18" s="144" t="s">
        <v>286</v>
      </c>
      <c r="C18" s="67" t="s">
        <v>287</v>
      </c>
      <c r="D18" s="67" t="s">
        <v>288</v>
      </c>
      <c r="E18" s="67" t="s">
        <v>242</v>
      </c>
      <c r="F18" s="67" t="s">
        <v>287</v>
      </c>
      <c r="G18" s="67" t="s">
        <v>288</v>
      </c>
      <c r="H18" s="67" t="s">
        <v>242</v>
      </c>
      <c r="I18" s="67" t="s">
        <v>287</v>
      </c>
      <c r="J18" s="67" t="s">
        <v>288</v>
      </c>
      <c r="K18" s="67" t="s">
        <v>242</v>
      </c>
      <c r="L18" s="67" t="s">
        <v>289</v>
      </c>
    </row>
    <row r="19" spans="2:12" x14ac:dyDescent="0.3">
      <c r="B19" s="145" t="s">
        <v>290</v>
      </c>
      <c r="C19" s="156"/>
      <c r="D19" s="156"/>
      <c r="E19" s="158">
        <f t="shared" ref="E19:E24" si="4">SUM(C19:D19)</f>
        <v>0</v>
      </c>
      <c r="F19" s="156"/>
      <c r="G19" s="156"/>
      <c r="H19" s="158">
        <f t="shared" ref="H19:H24" si="5">SUM(F19:G19)</f>
        <v>0</v>
      </c>
      <c r="I19" s="159">
        <f>IFERROR(F19/C19-1,0)</f>
        <v>0</v>
      </c>
      <c r="J19" s="159">
        <f t="shared" ref="J19:K25" si="6">IFERROR(G19/D19-1,0)</f>
        <v>0</v>
      </c>
      <c r="K19" s="159">
        <f t="shared" si="6"/>
        <v>0</v>
      </c>
      <c r="L19" s="154"/>
    </row>
    <row r="20" spans="2:12" x14ac:dyDescent="0.3">
      <c r="B20" s="145" t="s">
        <v>291</v>
      </c>
      <c r="C20" s="156"/>
      <c r="D20" s="156"/>
      <c r="E20" s="158">
        <f t="shared" si="4"/>
        <v>0</v>
      </c>
      <c r="F20" s="156"/>
      <c r="G20" s="156"/>
      <c r="H20" s="158">
        <f t="shared" si="5"/>
        <v>0</v>
      </c>
      <c r="I20" s="159">
        <f t="shared" ref="I20:I25" si="7">IFERROR(F20/C20-1,0)</f>
        <v>0</v>
      </c>
      <c r="J20" s="159">
        <f t="shared" si="6"/>
        <v>0</v>
      </c>
      <c r="K20" s="159">
        <f t="shared" si="6"/>
        <v>0</v>
      </c>
      <c r="L20" s="155"/>
    </row>
    <row r="21" spans="2:12" x14ac:dyDescent="0.3">
      <c r="B21" s="145" t="s">
        <v>292</v>
      </c>
      <c r="C21" s="156"/>
      <c r="D21" s="156"/>
      <c r="E21" s="158">
        <f t="shared" si="4"/>
        <v>0</v>
      </c>
      <c r="F21" s="156"/>
      <c r="G21" s="156"/>
      <c r="H21" s="158">
        <f t="shared" si="5"/>
        <v>0</v>
      </c>
      <c r="I21" s="159">
        <f t="shared" si="7"/>
        <v>0</v>
      </c>
      <c r="J21" s="159">
        <f t="shared" si="6"/>
        <v>0</v>
      </c>
      <c r="K21" s="159">
        <f t="shared" si="6"/>
        <v>0</v>
      </c>
      <c r="L21" s="155"/>
    </row>
    <row r="22" spans="2:12" x14ac:dyDescent="0.3">
      <c r="B22" s="145" t="s">
        <v>293</v>
      </c>
      <c r="C22" s="156"/>
      <c r="D22" s="156"/>
      <c r="E22" s="158">
        <f t="shared" si="4"/>
        <v>0</v>
      </c>
      <c r="F22" s="156"/>
      <c r="G22" s="156"/>
      <c r="H22" s="158">
        <f t="shared" si="5"/>
        <v>0</v>
      </c>
      <c r="I22" s="159">
        <f t="shared" si="7"/>
        <v>0</v>
      </c>
      <c r="J22" s="159">
        <f t="shared" si="6"/>
        <v>0</v>
      </c>
      <c r="K22" s="159">
        <f t="shared" si="6"/>
        <v>0</v>
      </c>
      <c r="L22" s="154"/>
    </row>
    <row r="23" spans="2:12" x14ac:dyDescent="0.3">
      <c r="B23" s="145" t="s">
        <v>294</v>
      </c>
      <c r="C23" s="156"/>
      <c r="D23" s="156"/>
      <c r="E23" s="158">
        <f t="shared" si="4"/>
        <v>0</v>
      </c>
      <c r="F23" s="156"/>
      <c r="G23" s="156"/>
      <c r="H23" s="158">
        <f t="shared" si="5"/>
        <v>0</v>
      </c>
      <c r="I23" s="159">
        <f t="shared" si="7"/>
        <v>0</v>
      </c>
      <c r="J23" s="159">
        <f t="shared" si="6"/>
        <v>0</v>
      </c>
      <c r="K23" s="159">
        <f t="shared" si="6"/>
        <v>0</v>
      </c>
      <c r="L23" s="154"/>
    </row>
    <row r="24" spans="2:12" x14ac:dyDescent="0.3">
      <c r="B24" s="145" t="s">
        <v>295</v>
      </c>
      <c r="C24" s="156"/>
      <c r="D24" s="156"/>
      <c r="E24" s="158">
        <f t="shared" si="4"/>
        <v>0</v>
      </c>
      <c r="F24" s="156"/>
      <c r="G24" s="156"/>
      <c r="H24" s="158">
        <f t="shared" si="5"/>
        <v>0</v>
      </c>
      <c r="I24" s="159">
        <f t="shared" si="7"/>
        <v>0</v>
      </c>
      <c r="J24" s="159">
        <f t="shared" si="6"/>
        <v>0</v>
      </c>
      <c r="K24" s="159">
        <f t="shared" si="6"/>
        <v>0</v>
      </c>
      <c r="L24" s="155"/>
    </row>
    <row r="25" spans="2:12" x14ac:dyDescent="0.3">
      <c r="B25" s="144" t="s">
        <v>242</v>
      </c>
      <c r="C25" s="157">
        <f t="shared" ref="C25:H25" si="8">SUM(C19:C24)</f>
        <v>0</v>
      </c>
      <c r="D25" s="157">
        <f t="shared" si="8"/>
        <v>0</v>
      </c>
      <c r="E25" s="157">
        <f t="shared" si="8"/>
        <v>0</v>
      </c>
      <c r="F25" s="157">
        <f t="shared" si="8"/>
        <v>0</v>
      </c>
      <c r="G25" s="157">
        <f t="shared" si="8"/>
        <v>0</v>
      </c>
      <c r="H25" s="157">
        <f t="shared" si="8"/>
        <v>0</v>
      </c>
      <c r="I25" s="153">
        <f t="shared" si="7"/>
        <v>0</v>
      </c>
      <c r="J25" s="153">
        <f t="shared" si="6"/>
        <v>0</v>
      </c>
      <c r="K25" s="153">
        <f t="shared" si="6"/>
        <v>0</v>
      </c>
      <c r="L25" s="155"/>
    </row>
    <row r="26" spans="2:12" x14ac:dyDescent="0.3">
      <c r="C26" s="147"/>
      <c r="D26" s="147"/>
    </row>
    <row r="27" spans="2:12" x14ac:dyDescent="0.3">
      <c r="B27" s="146" t="s">
        <v>322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4209B-6211-4EA0-8844-7C7A40098C66}">
  <dimension ref="B1:K11"/>
  <sheetViews>
    <sheetView workbookViewId="0">
      <selection activeCell="K3" sqref="K3"/>
    </sheetView>
  </sheetViews>
  <sheetFormatPr defaultRowHeight="14.4" x14ac:dyDescent="0.3"/>
  <cols>
    <col min="2" max="2" width="21" customWidth="1"/>
    <col min="3" max="3" width="16" customWidth="1"/>
    <col min="7" max="7" width="10.33203125" customWidth="1"/>
  </cols>
  <sheetData>
    <row r="1" spans="2:11" x14ac:dyDescent="0.3">
      <c r="B1" s="60" t="s">
        <v>334</v>
      </c>
    </row>
    <row r="2" spans="2:11" x14ac:dyDescent="0.3">
      <c r="B2" s="109"/>
      <c r="C2" s="60" t="s">
        <v>335</v>
      </c>
      <c r="K2" t="str">
        <f>B2&amp;" "&amp;C2</f>
        <v xml:space="preserve"> Historical Case Mix Index</v>
      </c>
    </row>
    <row r="3" spans="2:11" x14ac:dyDescent="0.3">
      <c r="C3" s="60" t="s">
        <v>317</v>
      </c>
      <c r="D3" s="60" t="s">
        <v>318</v>
      </c>
      <c r="E3" s="60" t="s">
        <v>258</v>
      </c>
      <c r="F3" s="60" t="s">
        <v>332</v>
      </c>
      <c r="G3" s="60" t="s">
        <v>333</v>
      </c>
    </row>
    <row r="4" spans="2:11" x14ac:dyDescent="0.3">
      <c r="B4" s="60" t="s">
        <v>319</v>
      </c>
      <c r="C4" s="93">
        <v>30036542</v>
      </c>
      <c r="D4">
        <v>1.43</v>
      </c>
      <c r="E4">
        <v>1.39</v>
      </c>
      <c r="F4">
        <v>1.42</v>
      </c>
      <c r="G4">
        <v>1.45</v>
      </c>
    </row>
    <row r="5" spans="2:11" x14ac:dyDescent="0.3">
      <c r="B5" s="60" t="s">
        <v>68</v>
      </c>
      <c r="C5" s="93">
        <v>6535514</v>
      </c>
      <c r="D5">
        <v>1.23</v>
      </c>
      <c r="E5">
        <v>1.21</v>
      </c>
      <c r="F5">
        <v>1.18</v>
      </c>
      <c r="G5">
        <v>1.25</v>
      </c>
    </row>
    <row r="6" spans="2:11" x14ac:dyDescent="0.3">
      <c r="B6" s="60" t="s">
        <v>320</v>
      </c>
      <c r="C6" s="93">
        <v>654321</v>
      </c>
      <c r="D6">
        <v>1.53</v>
      </c>
      <c r="E6">
        <v>1.51</v>
      </c>
      <c r="F6">
        <v>1.54</v>
      </c>
      <c r="G6">
        <v>1.6</v>
      </c>
    </row>
    <row r="7" spans="2:11" x14ac:dyDescent="0.3">
      <c r="B7" s="60" t="s">
        <v>328</v>
      </c>
      <c r="C7" s="93">
        <v>6543215</v>
      </c>
      <c r="D7">
        <v>1.25</v>
      </c>
      <c r="E7">
        <v>1.1499999999999999</v>
      </c>
      <c r="F7">
        <v>1.2</v>
      </c>
      <c r="G7">
        <v>1.18</v>
      </c>
    </row>
    <row r="8" spans="2:11" x14ac:dyDescent="0.3">
      <c r="B8" s="60" t="s">
        <v>329</v>
      </c>
      <c r="C8" s="93">
        <v>36541</v>
      </c>
      <c r="D8">
        <v>1.2</v>
      </c>
      <c r="E8">
        <v>1.1200000000000001</v>
      </c>
      <c r="F8">
        <v>1.3</v>
      </c>
      <c r="G8">
        <v>1.25</v>
      </c>
    </row>
    <row r="9" spans="2:11" x14ac:dyDescent="0.3">
      <c r="B9" s="60" t="s">
        <v>330</v>
      </c>
      <c r="C9" s="93">
        <v>65432</v>
      </c>
      <c r="D9">
        <v>1.37</v>
      </c>
      <c r="E9">
        <v>1.23</v>
      </c>
      <c r="F9">
        <v>1.45</v>
      </c>
      <c r="G9">
        <v>1.22</v>
      </c>
    </row>
    <row r="10" spans="2:11" x14ac:dyDescent="0.3">
      <c r="B10" s="60" t="s">
        <v>331</v>
      </c>
      <c r="C10" s="93">
        <v>54321</v>
      </c>
      <c r="D10">
        <v>1.32</v>
      </c>
      <c r="E10">
        <v>1.36</v>
      </c>
      <c r="F10">
        <v>1.33</v>
      </c>
      <c r="G10">
        <v>1.35</v>
      </c>
    </row>
    <row r="11" spans="2:11" x14ac:dyDescent="0.3">
      <c r="B11" s="60" t="s">
        <v>321</v>
      </c>
      <c r="C11" s="97">
        <f>SUM(C4:C10)</f>
        <v>43925886</v>
      </c>
      <c r="D11" s="98">
        <f>SUMPRODUCT(D4:D10,$C$4:$C$10)/$C$11</f>
        <v>1.3745029962514588</v>
      </c>
      <c r="E11" s="98">
        <f>SUMPRODUCT(E4:E10,$C$4:$C$10)/$C$11</f>
        <v>1.3287556936244838</v>
      </c>
      <c r="F11" s="98">
        <f>SUMPRODUCT(F4:F10,$C$4:$C$10)/$C$11</f>
        <v>1.3531414057305524</v>
      </c>
      <c r="G11" s="98">
        <f>SUMPRODUCT(G4:G10,$C$4:$C$10)/$C$11</f>
        <v>1.3816254574808122</v>
      </c>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3B956-6E09-4374-9F79-70A1A054CA0C}">
  <dimension ref="A1:O23"/>
  <sheetViews>
    <sheetView workbookViewId="0">
      <selection activeCell="G10" sqref="G10"/>
    </sheetView>
  </sheetViews>
  <sheetFormatPr defaultRowHeight="14.4" x14ac:dyDescent="0.3"/>
  <cols>
    <col min="1" max="2" width="8.88671875" style="66"/>
    <col min="3" max="3" width="53.33203125" style="66" customWidth="1"/>
    <col min="4" max="4" width="17" style="66" customWidth="1"/>
    <col min="5" max="5" width="14.77734375" style="66" customWidth="1"/>
    <col min="6" max="6" width="42.5546875" style="66" customWidth="1"/>
    <col min="7" max="7" width="13.109375" style="66" customWidth="1"/>
    <col min="8" max="14" width="8.88671875" style="66"/>
  </cols>
  <sheetData>
    <row r="1" spans="3:10" s="66" customFormat="1" x14ac:dyDescent="0.3"/>
    <row r="2" spans="3:10" s="66" customFormat="1" x14ac:dyDescent="0.3"/>
    <row r="3" spans="3:10" s="66" customFormat="1" x14ac:dyDescent="0.3"/>
    <row r="4" spans="3:10" ht="28.8" x14ac:dyDescent="0.3">
      <c r="C4" s="99" t="s">
        <v>327</v>
      </c>
      <c r="D4" s="99" t="s">
        <v>325</v>
      </c>
      <c r="E4" s="100" t="s">
        <v>326</v>
      </c>
      <c r="F4" s="99" t="s">
        <v>324</v>
      </c>
      <c r="G4" s="99" t="s">
        <v>325</v>
      </c>
    </row>
    <row r="5" spans="3:10" x14ac:dyDescent="0.3">
      <c r="C5" s="59"/>
      <c r="D5" s="59"/>
      <c r="E5" s="59"/>
      <c r="F5" s="59"/>
      <c r="G5" s="59"/>
    </row>
    <row r="6" spans="3:10" x14ac:dyDescent="0.3">
      <c r="C6" s="59"/>
      <c r="D6" s="59"/>
      <c r="E6" s="59"/>
      <c r="F6" s="59"/>
      <c r="G6" s="59"/>
    </row>
    <row r="7" spans="3:10" x14ac:dyDescent="0.3">
      <c r="C7" s="59"/>
      <c r="D7" s="59"/>
      <c r="E7" s="59"/>
      <c r="F7" s="59"/>
      <c r="G7" s="59"/>
    </row>
    <row r="8" spans="3:10" x14ac:dyDescent="0.3">
      <c r="C8" s="59"/>
      <c r="D8" s="59"/>
      <c r="E8" s="59"/>
      <c r="F8" s="59"/>
      <c r="G8" s="59"/>
    </row>
    <row r="9" spans="3:10" x14ac:dyDescent="0.3">
      <c r="C9" s="59"/>
      <c r="D9" s="59"/>
      <c r="E9" s="59"/>
      <c r="F9" s="59"/>
      <c r="G9" s="59"/>
    </row>
    <row r="10" spans="3:10" x14ac:dyDescent="0.3">
      <c r="C10" s="59"/>
      <c r="D10" s="59"/>
      <c r="E10" s="59"/>
      <c r="F10" s="59"/>
      <c r="G10" s="59"/>
    </row>
    <row r="11" spans="3:10" x14ac:dyDescent="0.3">
      <c r="C11" s="59"/>
      <c r="D11" s="59"/>
      <c r="E11" s="59"/>
      <c r="F11" s="59"/>
      <c r="G11" s="59"/>
    </row>
    <row r="12" spans="3:10" x14ac:dyDescent="0.3">
      <c r="C12" s="59"/>
      <c r="D12" s="59"/>
      <c r="E12" s="59"/>
      <c r="F12" s="59"/>
      <c r="G12" s="59"/>
    </row>
    <row r="13" spans="3:10" x14ac:dyDescent="0.3">
      <c r="C13" s="59"/>
      <c r="D13" s="59"/>
      <c r="E13" s="59"/>
      <c r="F13" s="59"/>
      <c r="G13" s="59"/>
    </row>
    <row r="14" spans="3:10" x14ac:dyDescent="0.3">
      <c r="C14" s="59"/>
      <c r="D14" s="59"/>
      <c r="E14" s="59"/>
      <c r="F14" s="59"/>
      <c r="G14" s="59"/>
    </row>
    <row r="15" spans="3:10" x14ac:dyDescent="0.3">
      <c r="C15" s="59"/>
      <c r="D15" s="59"/>
      <c r="E15" s="59"/>
      <c r="F15" s="59"/>
      <c r="G15" s="59"/>
      <c r="J15" s="101"/>
    </row>
    <row r="16" spans="3:10" x14ac:dyDescent="0.3">
      <c r="C16" s="59"/>
      <c r="D16" s="59"/>
      <c r="E16" s="59"/>
      <c r="F16" s="59"/>
      <c r="G16" s="59"/>
    </row>
    <row r="17" spans="3:15" x14ac:dyDescent="0.3">
      <c r="C17" s="59"/>
      <c r="D17" s="59"/>
      <c r="E17" s="59"/>
      <c r="F17" s="59"/>
      <c r="G17" s="59"/>
    </row>
    <row r="18" spans="3:15" x14ac:dyDescent="0.3">
      <c r="C18" s="59"/>
      <c r="D18" s="59"/>
      <c r="E18" s="59"/>
      <c r="F18" s="59"/>
      <c r="G18" s="59"/>
    </row>
    <row r="19" spans="3:15" x14ac:dyDescent="0.3">
      <c r="C19" s="59"/>
      <c r="D19" s="59"/>
      <c r="E19" s="59"/>
      <c r="F19" s="59"/>
      <c r="G19" s="59"/>
    </row>
    <row r="23" spans="3:15" x14ac:dyDescent="0.3">
      <c r="O23" s="60"/>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B503D9-E3D0-47E2-95DE-0316C40CB2A4}">
  <dimension ref="B2:F8"/>
  <sheetViews>
    <sheetView workbookViewId="0">
      <pane xSplit="1" ySplit="4" topLeftCell="B5" activePane="bottomRight" state="frozen"/>
      <selection pane="topRight" activeCell="B1" sqref="B1"/>
      <selection pane="bottomLeft" activeCell="A5" sqref="A5"/>
      <selection pane="bottomRight" activeCell="C16" sqref="C16"/>
    </sheetView>
  </sheetViews>
  <sheetFormatPr defaultRowHeight="14.4" x14ac:dyDescent="0.3"/>
  <cols>
    <col min="1" max="1" width="3.44140625" customWidth="1"/>
    <col min="2" max="2" width="29.6640625" customWidth="1"/>
    <col min="3" max="3" width="58.5546875" customWidth="1"/>
    <col min="4" max="4" width="83.33203125" customWidth="1"/>
    <col min="5" max="5" width="34.33203125" customWidth="1"/>
  </cols>
  <sheetData>
    <row r="2" spans="2:6" x14ac:dyDescent="0.3">
      <c r="B2" s="60" t="s">
        <v>99</v>
      </c>
    </row>
    <row r="4" spans="2:6" ht="81" customHeight="1" x14ac:dyDescent="0.3">
      <c r="B4" s="62" t="s">
        <v>98</v>
      </c>
      <c r="C4" s="62" t="s">
        <v>97</v>
      </c>
      <c r="D4" s="62" t="s">
        <v>96</v>
      </c>
      <c r="E4" s="61" t="s">
        <v>95</v>
      </c>
      <c r="F4" s="60"/>
    </row>
    <row r="5" spans="2:6" x14ac:dyDescent="0.3">
      <c r="B5" s="59"/>
      <c r="C5" s="58"/>
      <c r="D5" s="58"/>
      <c r="E5" s="59"/>
    </row>
    <row r="6" spans="2:6" x14ac:dyDescent="0.3">
      <c r="B6" s="59"/>
      <c r="C6" s="58"/>
      <c r="D6" s="58"/>
      <c r="E6" s="57"/>
    </row>
    <row r="7" spans="2:6" x14ac:dyDescent="0.3">
      <c r="B7" s="59"/>
      <c r="C7" s="59"/>
      <c r="D7" s="58"/>
      <c r="E7" s="59"/>
    </row>
    <row r="8" spans="2:6" x14ac:dyDescent="0.3">
      <c r="B8" s="59"/>
      <c r="C8" s="58"/>
      <c r="D8" s="58"/>
      <c r="E8" s="57"/>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BE9F8-E7FB-4AA4-8F9D-90C3ED6E9696}">
  <dimension ref="B2:L11"/>
  <sheetViews>
    <sheetView workbookViewId="0">
      <selection activeCell="H14" sqref="H14"/>
    </sheetView>
  </sheetViews>
  <sheetFormatPr defaultRowHeight="14.4" x14ac:dyDescent="0.3"/>
  <cols>
    <col min="2" max="2" width="20.33203125" customWidth="1"/>
    <col min="3" max="3" width="16.33203125" customWidth="1"/>
    <col min="4" max="7" width="14.33203125" customWidth="1"/>
    <col min="8" max="8" width="45.21875" customWidth="1"/>
    <col min="9" max="9" width="9.6640625" customWidth="1"/>
  </cols>
  <sheetData>
    <row r="2" spans="2:12" x14ac:dyDescent="0.3">
      <c r="B2" s="60"/>
    </row>
    <row r="4" spans="2:12" ht="43.2" x14ac:dyDescent="0.3">
      <c r="B4" s="60" t="s">
        <v>299</v>
      </c>
      <c r="C4" s="94" t="s">
        <v>300</v>
      </c>
      <c r="D4" s="94" t="s">
        <v>301</v>
      </c>
      <c r="E4" s="94" t="s">
        <v>302</v>
      </c>
      <c r="F4" s="94" t="s">
        <v>303</v>
      </c>
      <c r="G4" s="94" t="s">
        <v>304</v>
      </c>
      <c r="H4" s="94" t="s">
        <v>93</v>
      </c>
      <c r="I4" s="94" t="s">
        <v>305</v>
      </c>
      <c r="J4" s="94" t="s">
        <v>306</v>
      </c>
      <c r="K4" s="94" t="s">
        <v>307</v>
      </c>
      <c r="L4" s="94" t="s">
        <v>308</v>
      </c>
    </row>
    <row r="5" spans="2:12" ht="43.2" x14ac:dyDescent="0.3">
      <c r="B5" s="59" t="s">
        <v>309</v>
      </c>
      <c r="C5" s="57">
        <f>15183013+340547</f>
        <v>15523560</v>
      </c>
      <c r="D5" s="57">
        <f>1317879+0</f>
        <v>1317879</v>
      </c>
      <c r="E5" s="57">
        <f>412876</f>
        <v>412876</v>
      </c>
      <c r="F5" s="57">
        <v>171664</v>
      </c>
      <c r="G5" s="95">
        <f>SUM(C5:F5)</f>
        <v>17425979</v>
      </c>
      <c r="H5" s="58" t="s">
        <v>310</v>
      </c>
      <c r="I5" s="96">
        <f>D5/C5</f>
        <v>8.4895410588808243E-2</v>
      </c>
      <c r="J5" s="96">
        <f>E5/C5</f>
        <v>2.6596734254256113E-2</v>
      </c>
      <c r="K5" s="96">
        <f>F5/C5</f>
        <v>1.1058288176165776E-2</v>
      </c>
      <c r="L5" s="96">
        <f>G5/C5-1</f>
        <v>0.12255043301923019</v>
      </c>
    </row>
    <row r="6" spans="2:12" x14ac:dyDescent="0.3">
      <c r="B6" s="59" t="s">
        <v>311</v>
      </c>
      <c r="C6" s="57">
        <v>195633</v>
      </c>
      <c r="D6" s="57">
        <v>63025</v>
      </c>
      <c r="E6" s="57">
        <v>0</v>
      </c>
      <c r="F6" s="57">
        <v>0</v>
      </c>
      <c r="G6" s="95">
        <f>SUM(C6:F6)</f>
        <v>258658</v>
      </c>
      <c r="H6" s="59"/>
      <c r="I6" s="96">
        <f>D6/C6</f>
        <v>0.32215934939401841</v>
      </c>
      <c r="J6" s="96">
        <f>E6/C6</f>
        <v>0</v>
      </c>
      <c r="K6" s="96">
        <f>F6/C6</f>
        <v>0</v>
      </c>
      <c r="L6" s="96">
        <f>G6/C6-1</f>
        <v>0.32215934939401847</v>
      </c>
    </row>
    <row r="7" spans="2:12" x14ac:dyDescent="0.3">
      <c r="B7" s="59" t="s">
        <v>312</v>
      </c>
      <c r="C7" s="57">
        <v>627900</v>
      </c>
      <c r="D7" s="57">
        <v>11100</v>
      </c>
      <c r="E7" s="57">
        <v>19170</v>
      </c>
      <c r="F7" s="57">
        <v>0</v>
      </c>
      <c r="G7" s="95">
        <f>SUM(C7:F7)</f>
        <v>658170</v>
      </c>
      <c r="H7" s="59"/>
      <c r="I7" s="96">
        <f>D7/C7</f>
        <v>1.7677974199713332E-2</v>
      </c>
      <c r="J7" s="96">
        <f>E7/C7</f>
        <v>3.0530339225991399E-2</v>
      </c>
      <c r="K7" s="96">
        <f>F7/C7</f>
        <v>0</v>
      </c>
      <c r="L7" s="96">
        <f>G7/C7-1</f>
        <v>4.8208313425704752E-2</v>
      </c>
    </row>
    <row r="8" spans="2:12" ht="43.2" x14ac:dyDescent="0.3">
      <c r="B8" s="59" t="s">
        <v>313</v>
      </c>
      <c r="C8" s="57">
        <v>5000000</v>
      </c>
      <c r="D8" s="57">
        <v>500000</v>
      </c>
      <c r="E8" s="57">
        <v>0</v>
      </c>
      <c r="F8" s="57">
        <v>-10000</v>
      </c>
      <c r="G8" s="95">
        <f>SUM(C8:F8)</f>
        <v>5490000</v>
      </c>
      <c r="H8" s="58" t="s">
        <v>314</v>
      </c>
      <c r="I8" s="96">
        <f>D8/C8</f>
        <v>0.1</v>
      </c>
      <c r="J8" s="96">
        <f>E8/C8</f>
        <v>0</v>
      </c>
      <c r="K8" s="96">
        <f>F8/C8</f>
        <v>-2E-3</v>
      </c>
      <c r="L8" s="96">
        <f>G8/C8-1</f>
        <v>9.8000000000000087E-2</v>
      </c>
    </row>
    <row r="9" spans="2:12" x14ac:dyDescent="0.3">
      <c r="B9" s="59" t="s">
        <v>315</v>
      </c>
      <c r="C9" s="57">
        <v>2000000</v>
      </c>
      <c r="D9" s="57">
        <v>25000</v>
      </c>
      <c r="E9" s="57">
        <v>50000</v>
      </c>
      <c r="F9" s="57">
        <v>0</v>
      </c>
      <c r="G9" s="95">
        <f>SUM(C9:F9)</f>
        <v>2075000</v>
      </c>
      <c r="H9" s="59" t="s">
        <v>316</v>
      </c>
      <c r="I9" s="96">
        <f>D9/C9</f>
        <v>1.2500000000000001E-2</v>
      </c>
      <c r="J9" s="96">
        <f>E9/C9</f>
        <v>2.5000000000000001E-2</v>
      </c>
      <c r="K9" s="96">
        <f>F9/C9</f>
        <v>0</v>
      </c>
      <c r="L9" s="96">
        <f>G9/C9-1</f>
        <v>3.7500000000000089E-2</v>
      </c>
    </row>
    <row r="11" spans="2:12" x14ac:dyDescent="0.3">
      <c r="B11" t="s">
        <v>323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1454E5-0C65-43C6-97AC-76FE9967410A}">
  <sheetPr>
    <tabColor theme="9" tint="0.79998168889431442"/>
  </sheetPr>
  <dimension ref="B2:V78"/>
  <sheetViews>
    <sheetView topLeftCell="A48" workbookViewId="0">
      <selection activeCell="D57" sqref="D57"/>
    </sheetView>
  </sheetViews>
  <sheetFormatPr defaultRowHeight="14.4" x14ac:dyDescent="0.3"/>
  <cols>
    <col min="1" max="1" width="8.88671875" style="66"/>
    <col min="2" max="2" width="29.33203125" style="66" customWidth="1"/>
    <col min="3" max="3" width="65.88671875" style="66" customWidth="1"/>
    <col min="4" max="4" width="80.5546875" style="140" customWidth="1"/>
    <col min="5" max="16384" width="8.88671875" style="66"/>
  </cols>
  <sheetData>
    <row r="2" spans="2:10" s="66" customFormat="1" ht="17.399999999999999" x14ac:dyDescent="0.35">
      <c r="B2" s="234" t="s">
        <v>552</v>
      </c>
      <c r="C2" s="192"/>
      <c r="D2" s="180"/>
      <c r="E2" s="179"/>
      <c r="F2" s="179"/>
    </row>
    <row r="3" spans="2:10" s="66" customFormat="1" ht="17.399999999999999" x14ac:dyDescent="0.35">
      <c r="B3" s="233" t="s">
        <v>551</v>
      </c>
      <c r="C3" s="192"/>
      <c r="D3" s="180"/>
      <c r="E3" s="179"/>
      <c r="F3" s="179"/>
    </row>
    <row r="4" spans="2:10" s="66" customFormat="1" ht="17.399999999999999" x14ac:dyDescent="0.35">
      <c r="B4" s="217"/>
      <c r="C4" s="192"/>
      <c r="D4" s="180"/>
      <c r="E4" s="179"/>
      <c r="F4" s="179"/>
    </row>
    <row r="5" spans="2:10" s="66" customFormat="1" ht="58.2" x14ac:dyDescent="0.35">
      <c r="B5" s="218" t="s">
        <v>550</v>
      </c>
      <c r="C5" s="195" t="s">
        <v>549</v>
      </c>
      <c r="D5" s="180"/>
      <c r="E5" s="179"/>
      <c r="F5" s="179"/>
    </row>
    <row r="6" spans="2:10" s="66" customFormat="1" ht="17.399999999999999" x14ac:dyDescent="0.35">
      <c r="B6" s="217"/>
      <c r="C6" s="192"/>
      <c r="D6" s="180"/>
      <c r="E6" s="179"/>
      <c r="F6" s="179"/>
    </row>
    <row r="7" spans="2:10" s="66" customFormat="1" ht="17.399999999999999" x14ac:dyDescent="0.35">
      <c r="B7" s="218" t="s">
        <v>548</v>
      </c>
      <c r="C7" s="192"/>
      <c r="D7" s="180"/>
      <c r="E7" s="179"/>
      <c r="F7" s="179"/>
    </row>
    <row r="8" spans="2:10" s="66" customFormat="1" ht="87.6" customHeight="1" x14ac:dyDescent="0.3">
      <c r="B8" s="230" t="s">
        <v>547</v>
      </c>
      <c r="C8" s="229" t="s">
        <v>546</v>
      </c>
      <c r="D8" s="228"/>
      <c r="E8" s="227"/>
      <c r="F8" s="227"/>
      <c r="G8" s="232" t="s">
        <v>545</v>
      </c>
      <c r="H8" s="232" t="s">
        <v>494</v>
      </c>
      <c r="I8" s="231" t="s">
        <v>544</v>
      </c>
      <c r="J8" s="231" t="s">
        <v>490</v>
      </c>
    </row>
    <row r="9" spans="2:10" s="66" customFormat="1" ht="87.6" customHeight="1" x14ac:dyDescent="0.3">
      <c r="B9" s="230"/>
      <c r="C9" s="229"/>
      <c r="D9" s="228"/>
      <c r="E9" s="227"/>
      <c r="F9" s="227"/>
    </row>
    <row r="10" spans="2:10" s="66" customFormat="1" ht="87.6" customHeight="1" x14ac:dyDescent="0.3">
      <c r="B10" s="230"/>
      <c r="C10" s="229"/>
      <c r="D10" s="228"/>
      <c r="E10" s="227"/>
      <c r="F10" s="227"/>
    </row>
    <row r="11" spans="2:10" s="66" customFormat="1" ht="87.6" customHeight="1" x14ac:dyDescent="0.3">
      <c r="B11" s="230"/>
      <c r="C11" s="229"/>
      <c r="D11" s="228"/>
      <c r="E11" s="227"/>
      <c r="F11" s="227"/>
    </row>
    <row r="12" spans="2:10" s="66" customFormat="1" ht="24" customHeight="1" thickBot="1" x14ac:dyDescent="0.35">
      <c r="B12" s="226"/>
      <c r="C12" s="225"/>
      <c r="D12" s="224"/>
      <c r="E12" s="179"/>
      <c r="F12" s="179"/>
    </row>
    <row r="13" spans="2:10" s="66" customFormat="1" ht="17.399999999999999" x14ac:dyDescent="0.35">
      <c r="B13" s="218" t="s">
        <v>543</v>
      </c>
      <c r="C13" s="223" t="s">
        <v>542</v>
      </c>
      <c r="D13" s="180"/>
      <c r="E13" s="179"/>
      <c r="F13" s="179"/>
    </row>
    <row r="14" spans="2:10" s="66" customFormat="1" ht="17.399999999999999" x14ac:dyDescent="0.35">
      <c r="B14" s="218"/>
      <c r="C14" s="222" t="s">
        <v>61</v>
      </c>
      <c r="D14" s="180"/>
      <c r="E14" s="179"/>
      <c r="F14" s="179"/>
    </row>
    <row r="15" spans="2:10" s="66" customFormat="1" ht="17.399999999999999" x14ac:dyDescent="0.35">
      <c r="B15" s="218"/>
      <c r="C15" s="221" t="s">
        <v>62</v>
      </c>
      <c r="D15" s="180"/>
      <c r="E15" s="179"/>
      <c r="F15" s="179"/>
    </row>
    <row r="16" spans="2:10" s="66" customFormat="1" ht="29.4" x14ac:dyDescent="0.35">
      <c r="B16" s="218"/>
      <c r="C16" s="220" t="s">
        <v>541</v>
      </c>
      <c r="D16" s="180"/>
      <c r="E16" s="179"/>
      <c r="F16" s="179"/>
    </row>
    <row r="17" spans="2:6" s="66" customFormat="1" ht="18" thickBot="1" x14ac:dyDescent="0.4">
      <c r="B17" s="218"/>
      <c r="C17" s="219" t="s">
        <v>540</v>
      </c>
      <c r="D17" s="180"/>
      <c r="E17" s="179"/>
      <c r="F17" s="179"/>
    </row>
    <row r="18" spans="2:6" s="66" customFormat="1" ht="17.399999999999999" x14ac:dyDescent="0.35">
      <c r="B18" s="218"/>
      <c r="C18" s="192"/>
      <c r="D18" s="180"/>
      <c r="E18" s="179"/>
      <c r="F18" s="179"/>
    </row>
    <row r="19" spans="2:6" s="66" customFormat="1" ht="17.399999999999999" x14ac:dyDescent="0.35">
      <c r="B19" s="218"/>
      <c r="C19" s="192"/>
      <c r="D19" s="180"/>
      <c r="E19" s="179"/>
      <c r="F19" s="179"/>
    </row>
    <row r="20" spans="2:6" s="66" customFormat="1" ht="17.399999999999999" x14ac:dyDescent="0.35">
      <c r="B20" s="217" t="s">
        <v>539</v>
      </c>
      <c r="C20" s="216" t="s">
        <v>538</v>
      </c>
      <c r="D20" s="180"/>
      <c r="E20" s="179"/>
      <c r="F20" s="179"/>
    </row>
    <row r="21" spans="2:6" s="66" customFormat="1" ht="43.2" x14ac:dyDescent="0.3">
      <c r="C21" s="179" t="s">
        <v>63</v>
      </c>
      <c r="D21" s="215" t="s">
        <v>537</v>
      </c>
      <c r="E21" s="179"/>
      <c r="F21" s="179"/>
    </row>
    <row r="22" spans="2:6" s="66" customFormat="1" x14ac:dyDescent="0.3">
      <c r="C22" s="179"/>
      <c r="D22" s="215"/>
      <c r="E22" s="179"/>
      <c r="F22" s="179"/>
    </row>
    <row r="23" spans="2:6" s="66" customFormat="1" ht="72" x14ac:dyDescent="0.3">
      <c r="C23" s="214" t="s">
        <v>536</v>
      </c>
      <c r="D23" s="214"/>
      <c r="E23" s="179"/>
      <c r="F23" s="179"/>
    </row>
    <row r="24" spans="2:6" s="66" customFormat="1" x14ac:dyDescent="0.3">
      <c r="C24" s="213"/>
      <c r="D24" s="212"/>
      <c r="E24" s="179"/>
      <c r="F24" s="179"/>
    </row>
    <row r="25" spans="2:6" s="66" customFormat="1" x14ac:dyDescent="0.3">
      <c r="C25" s="211" t="s">
        <v>535</v>
      </c>
      <c r="D25" s="210" t="s">
        <v>57</v>
      </c>
      <c r="E25" s="179"/>
      <c r="F25" s="179"/>
    </row>
    <row r="26" spans="2:6" s="66" customFormat="1" ht="28.8" x14ac:dyDescent="0.3">
      <c r="C26" s="187" t="s">
        <v>534</v>
      </c>
      <c r="D26" s="207" t="s">
        <v>533</v>
      </c>
      <c r="E26" s="179"/>
      <c r="F26" s="179"/>
    </row>
    <row r="27" spans="2:6" s="66" customFormat="1" ht="28.8" x14ac:dyDescent="0.3">
      <c r="C27" s="187" t="s">
        <v>532</v>
      </c>
      <c r="D27" s="207" t="s">
        <v>531</v>
      </c>
      <c r="E27" s="179"/>
      <c r="F27" s="179"/>
    </row>
    <row r="28" spans="2:6" s="66" customFormat="1" x14ac:dyDescent="0.3">
      <c r="C28" s="187" t="s">
        <v>530</v>
      </c>
      <c r="D28" s="207" t="s">
        <v>529</v>
      </c>
      <c r="E28" s="179"/>
      <c r="F28" s="179"/>
    </row>
    <row r="29" spans="2:6" s="66" customFormat="1" x14ac:dyDescent="0.3">
      <c r="C29" s="187" t="s">
        <v>528</v>
      </c>
      <c r="D29" s="207" t="s">
        <v>527</v>
      </c>
      <c r="E29" s="179"/>
      <c r="F29" s="179"/>
    </row>
    <row r="30" spans="2:6" s="66" customFormat="1" ht="43.2" x14ac:dyDescent="0.3">
      <c r="C30" s="206" t="s">
        <v>526</v>
      </c>
      <c r="D30" s="203" t="s">
        <v>525</v>
      </c>
      <c r="E30" s="179"/>
      <c r="F30" s="179"/>
    </row>
    <row r="31" spans="2:6" s="66" customFormat="1" ht="28.8" x14ac:dyDescent="0.3">
      <c r="C31" s="206" t="s">
        <v>58</v>
      </c>
      <c r="D31" s="203" t="s">
        <v>524</v>
      </c>
      <c r="E31" s="179"/>
      <c r="F31" s="179"/>
    </row>
    <row r="32" spans="2:6" s="66" customFormat="1" x14ac:dyDescent="0.3">
      <c r="C32" s="206" t="s">
        <v>59</v>
      </c>
      <c r="D32" s="200" t="s">
        <v>523</v>
      </c>
      <c r="E32" s="179"/>
      <c r="F32" s="179"/>
    </row>
    <row r="33" spans="3:6" s="66" customFormat="1" ht="43.2" customHeight="1" x14ac:dyDescent="0.3">
      <c r="C33" s="187" t="s">
        <v>522</v>
      </c>
      <c r="D33" s="209" t="s">
        <v>521</v>
      </c>
      <c r="E33" s="179"/>
      <c r="F33" s="179"/>
    </row>
    <row r="34" spans="3:6" s="66" customFormat="1" ht="28.8" x14ac:dyDescent="0.3">
      <c r="C34" s="206" t="s">
        <v>520</v>
      </c>
      <c r="D34" s="203" t="s">
        <v>519</v>
      </c>
      <c r="E34" s="179"/>
      <c r="F34" s="179"/>
    </row>
    <row r="35" spans="3:6" s="66" customFormat="1" ht="28.8" x14ac:dyDescent="0.3">
      <c r="C35" s="187" t="s">
        <v>518</v>
      </c>
      <c r="D35" s="208" t="s">
        <v>517</v>
      </c>
      <c r="E35" s="179"/>
      <c r="F35" s="179"/>
    </row>
    <row r="36" spans="3:6" s="66" customFormat="1" x14ac:dyDescent="0.3">
      <c r="C36" s="206" t="s">
        <v>516</v>
      </c>
      <c r="D36" s="200" t="s">
        <v>515</v>
      </c>
      <c r="E36" s="179"/>
      <c r="F36" s="179"/>
    </row>
    <row r="37" spans="3:6" s="66" customFormat="1" ht="28.8" x14ac:dyDescent="0.3">
      <c r="C37" s="187" t="s">
        <v>514</v>
      </c>
      <c r="D37" s="207" t="s">
        <v>513</v>
      </c>
      <c r="E37" s="179"/>
      <c r="F37" s="179"/>
    </row>
    <row r="38" spans="3:6" s="66" customFormat="1" ht="28.8" x14ac:dyDescent="0.3">
      <c r="C38" s="206" t="s">
        <v>512</v>
      </c>
      <c r="D38" s="200" t="s">
        <v>511</v>
      </c>
      <c r="E38" s="179"/>
      <c r="F38" s="179"/>
    </row>
    <row r="39" spans="3:6" s="66" customFormat="1" ht="72" x14ac:dyDescent="0.3">
      <c r="C39" s="187" t="s">
        <v>510</v>
      </c>
      <c r="D39" s="207" t="s">
        <v>509</v>
      </c>
      <c r="E39" s="179"/>
      <c r="F39" s="179"/>
    </row>
    <row r="40" spans="3:6" s="66" customFormat="1" ht="28.8" x14ac:dyDescent="0.3">
      <c r="C40" s="206" t="s">
        <v>508</v>
      </c>
      <c r="D40" s="200" t="s">
        <v>507</v>
      </c>
      <c r="E40" s="179"/>
      <c r="F40" s="179"/>
    </row>
    <row r="41" spans="3:6" s="66" customFormat="1" x14ac:dyDescent="0.3">
      <c r="C41" s="206" t="s">
        <v>506</v>
      </c>
      <c r="D41" s="200" t="s">
        <v>505</v>
      </c>
      <c r="E41" s="179"/>
      <c r="F41" s="179"/>
    </row>
    <row r="42" spans="3:6" s="66" customFormat="1" x14ac:dyDescent="0.3">
      <c r="C42" s="206" t="s">
        <v>504</v>
      </c>
      <c r="D42" s="200" t="s">
        <v>503</v>
      </c>
      <c r="E42" s="179"/>
      <c r="F42" s="179"/>
    </row>
    <row r="43" spans="3:6" s="66" customFormat="1" ht="43.2" x14ac:dyDescent="0.3">
      <c r="C43" s="206" t="s">
        <v>502</v>
      </c>
      <c r="D43" s="200" t="s">
        <v>501</v>
      </c>
      <c r="E43" s="179"/>
      <c r="F43" s="179"/>
    </row>
    <row r="44" spans="3:6" s="66" customFormat="1" ht="72" x14ac:dyDescent="0.3">
      <c r="C44" s="198" t="s">
        <v>500</v>
      </c>
      <c r="D44" s="198" t="s">
        <v>499</v>
      </c>
      <c r="E44" s="179"/>
      <c r="F44" s="179"/>
    </row>
    <row r="45" spans="3:6" s="66" customFormat="1" ht="28.8" x14ac:dyDescent="0.3">
      <c r="C45" s="187" t="s">
        <v>498</v>
      </c>
      <c r="D45" s="207" t="s">
        <v>497</v>
      </c>
      <c r="E45" s="179"/>
      <c r="F45" s="179"/>
    </row>
    <row r="46" spans="3:6" s="66" customFormat="1" ht="28.8" x14ac:dyDescent="0.3">
      <c r="C46" s="206" t="s">
        <v>496</v>
      </c>
      <c r="D46" s="205" t="s">
        <v>495</v>
      </c>
      <c r="E46" s="204"/>
      <c r="F46" s="204"/>
    </row>
    <row r="47" spans="3:6" s="66" customFormat="1" x14ac:dyDescent="0.3">
      <c r="C47" s="201" t="s">
        <v>494</v>
      </c>
      <c r="D47" s="200" t="s">
        <v>493</v>
      </c>
      <c r="E47" s="179"/>
      <c r="F47" s="179"/>
    </row>
    <row r="48" spans="3:6" s="66" customFormat="1" ht="57.6" x14ac:dyDescent="0.3">
      <c r="C48" s="201" t="s">
        <v>492</v>
      </c>
      <c r="D48" s="200" t="s">
        <v>491</v>
      </c>
      <c r="E48" s="179"/>
      <c r="F48" s="179"/>
    </row>
    <row r="49" spans="2:22" s="66" customFormat="1" ht="144" x14ac:dyDescent="0.3">
      <c r="C49" s="201" t="s">
        <v>490</v>
      </c>
      <c r="D49" s="203" t="s">
        <v>489</v>
      </c>
      <c r="E49" s="179"/>
      <c r="F49" s="179"/>
    </row>
    <row r="50" spans="2:22" s="66" customFormat="1" ht="28.8" x14ac:dyDescent="0.3">
      <c r="C50" s="201" t="s">
        <v>488</v>
      </c>
      <c r="D50" s="200" t="s">
        <v>487</v>
      </c>
      <c r="E50" s="179"/>
      <c r="F50" s="179"/>
    </row>
    <row r="51" spans="2:22" s="66" customFormat="1" x14ac:dyDescent="0.3">
      <c r="C51" s="201" t="s">
        <v>486</v>
      </c>
      <c r="D51" s="202" t="s">
        <v>485</v>
      </c>
      <c r="E51" s="179"/>
      <c r="F51" s="179"/>
    </row>
    <row r="52" spans="2:22" s="66" customFormat="1" ht="28.8" x14ac:dyDescent="0.3">
      <c r="C52" s="201" t="s">
        <v>484</v>
      </c>
      <c r="D52" s="200" t="s">
        <v>483</v>
      </c>
      <c r="E52" s="179"/>
      <c r="F52" s="179"/>
    </row>
    <row r="53" spans="2:22" s="66" customFormat="1" ht="28.8" x14ac:dyDescent="0.3">
      <c r="C53" s="201" t="s">
        <v>482</v>
      </c>
      <c r="D53" s="200" t="s">
        <v>481</v>
      </c>
      <c r="E53" s="179"/>
      <c r="F53" s="179"/>
    </row>
    <row r="54" spans="2:22" s="66" customFormat="1" ht="28.8" x14ac:dyDescent="0.3">
      <c r="C54" s="199" t="s">
        <v>480</v>
      </c>
      <c r="D54" s="198" t="s">
        <v>479</v>
      </c>
      <c r="E54" s="179"/>
      <c r="F54" s="179"/>
    </row>
    <row r="55" spans="2:22" s="66" customFormat="1" ht="28.8" x14ac:dyDescent="0.3">
      <c r="C55" s="199" t="s">
        <v>478</v>
      </c>
      <c r="D55" s="198" t="s">
        <v>477</v>
      </c>
      <c r="E55" s="179"/>
      <c r="F55" s="179"/>
    </row>
    <row r="56" spans="2:22" s="66" customFormat="1" x14ac:dyDescent="0.3">
      <c r="C56" s="179"/>
      <c r="D56" s="182"/>
      <c r="E56" s="179"/>
      <c r="F56" s="179"/>
    </row>
    <row r="57" spans="2:22" s="66" customFormat="1" ht="34.799999999999997" x14ac:dyDescent="0.35">
      <c r="B57" s="197" t="s">
        <v>476</v>
      </c>
      <c r="C57" s="196" t="s">
        <v>475</v>
      </c>
      <c r="D57" s="195" t="s">
        <v>474</v>
      </c>
      <c r="E57" s="179"/>
      <c r="F57" s="179"/>
    </row>
    <row r="58" spans="2:22" s="66" customFormat="1" ht="86.4" x14ac:dyDescent="0.3">
      <c r="B58" s="192"/>
      <c r="C58" s="194" t="s">
        <v>473</v>
      </c>
      <c r="E58" s="192"/>
      <c r="F58" s="192"/>
      <c r="G58" s="193"/>
      <c r="H58" s="193"/>
      <c r="I58" s="193"/>
      <c r="J58" s="193"/>
      <c r="K58" s="193"/>
      <c r="L58" s="193"/>
      <c r="M58" s="193"/>
      <c r="N58" s="193"/>
      <c r="O58" s="193"/>
      <c r="P58" s="193"/>
      <c r="Q58" s="193"/>
      <c r="R58" s="193"/>
      <c r="S58" s="193"/>
      <c r="T58" s="193"/>
      <c r="U58" s="193"/>
      <c r="V58" s="193"/>
    </row>
    <row r="59" spans="2:22" s="66" customFormat="1" x14ac:dyDescent="0.3">
      <c r="B59" s="179"/>
      <c r="C59" s="192" t="s">
        <v>472</v>
      </c>
      <c r="D59" s="182"/>
      <c r="E59" s="179"/>
      <c r="F59" s="179"/>
    </row>
    <row r="60" spans="2:22" s="66" customFormat="1" x14ac:dyDescent="0.3">
      <c r="B60" s="186" t="s">
        <v>471</v>
      </c>
      <c r="C60" s="186" t="s">
        <v>470</v>
      </c>
      <c r="D60" s="185"/>
      <c r="E60" s="184"/>
      <c r="F60" s="184"/>
      <c r="G60" s="183"/>
    </row>
    <row r="61" spans="2:22" s="66" customFormat="1" x14ac:dyDescent="0.3">
      <c r="B61" s="187" t="s">
        <v>469</v>
      </c>
      <c r="C61" s="191" t="s">
        <v>468</v>
      </c>
      <c r="D61" s="190"/>
      <c r="E61" s="189"/>
      <c r="F61" s="189"/>
      <c r="G61" s="188"/>
    </row>
    <row r="62" spans="2:22" s="66" customFormat="1" x14ac:dyDescent="0.3">
      <c r="B62" s="187" t="s">
        <v>467</v>
      </c>
      <c r="C62" s="186" t="s">
        <v>466</v>
      </c>
      <c r="D62" s="185"/>
      <c r="E62" s="184"/>
      <c r="F62" s="184"/>
      <c r="G62" s="183"/>
    </row>
    <row r="63" spans="2:22" s="66" customFormat="1" x14ac:dyDescent="0.3">
      <c r="B63" s="179"/>
      <c r="C63" s="179" t="s">
        <v>465</v>
      </c>
      <c r="D63" s="182"/>
      <c r="E63" s="179"/>
      <c r="F63" s="179"/>
    </row>
    <row r="64" spans="2:22" s="66" customFormat="1" x14ac:dyDescent="0.3">
      <c r="B64" s="179"/>
      <c r="C64" s="179" t="s">
        <v>464</v>
      </c>
      <c r="D64" s="56"/>
      <c r="E64" s="179"/>
      <c r="F64" s="179"/>
    </row>
    <row r="65" spans="2:14" s="66" customFormat="1" x14ac:dyDescent="0.3">
      <c r="C65" s="179"/>
      <c r="D65" s="182"/>
      <c r="E65" s="179"/>
      <c r="F65" s="179"/>
    </row>
    <row r="66" spans="2:14" s="66" customFormat="1" x14ac:dyDescent="0.3">
      <c r="C66" s="179"/>
      <c r="D66" s="180"/>
      <c r="E66" s="179"/>
      <c r="F66" s="179"/>
    </row>
    <row r="67" spans="2:14" s="66" customFormat="1" x14ac:dyDescent="0.3">
      <c r="C67" s="179"/>
      <c r="D67" s="180"/>
      <c r="E67" s="179"/>
      <c r="F67" s="179"/>
    </row>
    <row r="68" spans="2:14" s="66" customFormat="1" x14ac:dyDescent="0.3">
      <c r="C68" s="181"/>
      <c r="D68" s="180"/>
      <c r="E68" s="179"/>
      <c r="F68" s="179"/>
    </row>
    <row r="69" spans="2:14" s="66" customFormat="1" x14ac:dyDescent="0.3">
      <c r="C69" s="181"/>
      <c r="D69" s="180"/>
      <c r="F69" s="179"/>
    </row>
    <row r="71" spans="2:14" s="66" customFormat="1" x14ac:dyDescent="0.3">
      <c r="B71" s="67"/>
      <c r="D71" s="140"/>
    </row>
    <row r="72" spans="2:14" s="66" customFormat="1" ht="14.4" customHeight="1" x14ac:dyDescent="0.3">
      <c r="B72" s="179"/>
      <c r="C72" s="140"/>
      <c r="D72" s="140"/>
      <c r="E72" s="140"/>
      <c r="F72" s="140"/>
      <c r="G72" s="140"/>
      <c r="H72" s="140"/>
      <c r="I72" s="140"/>
      <c r="J72" s="140"/>
      <c r="K72" s="140"/>
      <c r="L72" s="140"/>
      <c r="M72" s="140"/>
      <c r="N72" s="140"/>
    </row>
    <row r="73" spans="2:14" s="66" customFormat="1" ht="21" customHeight="1" x14ac:dyDescent="0.3">
      <c r="C73" s="140"/>
      <c r="D73" s="140"/>
      <c r="E73" s="140"/>
      <c r="F73" s="140"/>
      <c r="G73" s="140"/>
      <c r="H73" s="140"/>
      <c r="I73" s="140"/>
      <c r="J73" s="140"/>
      <c r="K73" s="140"/>
      <c r="L73" s="140"/>
      <c r="M73" s="140"/>
      <c r="N73" s="140"/>
    </row>
    <row r="74" spans="2:14" s="66" customFormat="1" x14ac:dyDescent="0.3">
      <c r="C74" s="140"/>
      <c r="D74" s="140"/>
      <c r="E74" s="140"/>
      <c r="F74" s="140"/>
      <c r="G74" s="140"/>
      <c r="H74" s="140"/>
      <c r="I74" s="140"/>
      <c r="J74" s="140"/>
      <c r="K74" s="140"/>
      <c r="L74" s="140"/>
      <c r="M74" s="140"/>
      <c r="N74" s="140"/>
    </row>
    <row r="75" spans="2:14" s="66" customFormat="1" x14ac:dyDescent="0.3">
      <c r="C75" s="140"/>
      <c r="D75" s="140"/>
      <c r="E75" s="140"/>
      <c r="F75" s="140"/>
      <c r="G75" s="140"/>
      <c r="H75" s="140"/>
      <c r="I75" s="140"/>
      <c r="J75" s="140"/>
      <c r="K75" s="140"/>
      <c r="L75" s="140"/>
      <c r="M75" s="140"/>
      <c r="N75" s="140"/>
    </row>
    <row r="76" spans="2:14" s="66" customFormat="1" x14ac:dyDescent="0.3">
      <c r="C76" s="140"/>
      <c r="D76" s="140"/>
      <c r="E76" s="140"/>
      <c r="F76" s="140"/>
      <c r="G76" s="140"/>
      <c r="H76" s="140"/>
      <c r="I76" s="140"/>
      <c r="J76" s="140"/>
      <c r="K76" s="140"/>
      <c r="L76" s="140"/>
      <c r="M76" s="140"/>
      <c r="N76" s="140"/>
    </row>
    <row r="77" spans="2:14" s="66" customFormat="1" x14ac:dyDescent="0.3">
      <c r="C77" s="140"/>
      <c r="D77" s="140"/>
      <c r="E77" s="140"/>
      <c r="F77" s="140"/>
      <c r="G77" s="140"/>
      <c r="H77" s="140"/>
      <c r="I77" s="140"/>
      <c r="J77" s="140"/>
      <c r="K77" s="140"/>
      <c r="L77" s="140"/>
      <c r="M77" s="140"/>
      <c r="N77" s="140"/>
    </row>
    <row r="78" spans="2:14" s="66" customFormat="1" x14ac:dyDescent="0.3">
      <c r="C78" s="140"/>
      <c r="D78" s="140"/>
      <c r="E78" s="140"/>
      <c r="F78" s="140"/>
      <c r="G78" s="140"/>
      <c r="H78" s="140"/>
      <c r="I78" s="140"/>
      <c r="J78" s="140"/>
      <c r="K78" s="140"/>
      <c r="L78" s="140"/>
      <c r="M78" s="140"/>
      <c r="N78" s="140"/>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70FE5-6C31-48E0-ADC5-15EBE11B7ABB}">
  <sheetPr>
    <tabColor theme="9" tint="0.79998168889431442"/>
  </sheetPr>
  <dimension ref="B1:BA191"/>
  <sheetViews>
    <sheetView showGridLines="0" zoomScale="90" zoomScaleNormal="90" workbookViewId="0">
      <pane xSplit="3" ySplit="10" topLeftCell="D11" activePane="bottomRight" state="frozen"/>
      <selection activeCell="D57" sqref="D57"/>
      <selection pane="topRight" activeCell="D57" sqref="D57"/>
      <selection pane="bottomLeft" activeCell="D57" sqref="D57"/>
      <selection pane="bottomRight" activeCell="D57" sqref="D57"/>
    </sheetView>
  </sheetViews>
  <sheetFormatPr defaultColWidth="9.109375" defaultRowHeight="14.4" outlineLevelRow="2" outlineLevelCol="1" x14ac:dyDescent="0.3"/>
  <cols>
    <col min="1" max="1" width="2.6640625" style="16" customWidth="1"/>
    <col min="2" max="2" width="3.88671875" style="16" customWidth="1"/>
    <col min="3" max="3" width="46" style="16" customWidth="1"/>
    <col min="4" max="4" width="14.44140625" style="16" customWidth="1"/>
    <col min="5" max="5" width="17" style="16" customWidth="1"/>
    <col min="6" max="6" width="18" style="17" bestFit="1" customWidth="1"/>
    <col min="7" max="7" width="18" style="17" customWidth="1"/>
    <col min="8" max="8" width="18" style="17" customWidth="1" outlineLevel="1"/>
    <col min="9" max="9" width="17.5546875" style="16" customWidth="1"/>
    <col min="10" max="10" width="7.5546875" style="17" customWidth="1" outlineLevel="1"/>
    <col min="11" max="11" width="18" style="16" customWidth="1"/>
    <col min="12" max="12" width="17.44140625" style="16" customWidth="1"/>
    <col min="13" max="13" width="17.44140625" style="16" customWidth="1" outlineLevel="1"/>
    <col min="14" max="15" width="17.44140625" style="16" customWidth="1"/>
    <col min="16" max="16" width="17.44140625" style="16" customWidth="1" outlineLevel="1"/>
    <col min="17" max="17" width="18" style="16" bestFit="1" customWidth="1"/>
    <col min="18" max="18" width="17.44140625" style="16" bestFit="1" customWidth="1"/>
    <col min="19" max="19" width="17.44140625" style="16" customWidth="1" outlineLevel="1"/>
    <col min="20" max="20" width="48.109375" style="16" customWidth="1" outlineLevel="1"/>
    <col min="21" max="21" width="18" style="16" bestFit="1" customWidth="1"/>
    <col min="22" max="22" width="10.21875" style="16" customWidth="1" outlineLevel="1"/>
    <col min="23" max="24" width="18" style="16" customWidth="1" outlineLevel="1"/>
    <col min="25" max="25" width="48" style="16" customWidth="1" outlineLevel="1"/>
    <col min="26" max="26" width="18" style="16" customWidth="1"/>
    <col min="27" max="27" width="17.109375" style="16" customWidth="1"/>
    <col min="28" max="28" width="17.109375" style="16" customWidth="1" outlineLevel="1"/>
    <col min="29" max="29" width="17.109375" style="16" customWidth="1"/>
    <col min="30" max="30" width="15.109375" style="16" customWidth="1"/>
    <col min="31" max="31" width="12.5546875" style="16" customWidth="1" outlineLevel="1"/>
    <col min="32" max="32" width="12.5546875" style="16" customWidth="1"/>
    <col min="33" max="33" width="12.5546875" style="16" customWidth="1" outlineLevel="1"/>
    <col min="34" max="34" width="17.5546875" style="16" customWidth="1"/>
    <col min="35" max="35" width="17.109375" style="16" customWidth="1"/>
    <col min="36" max="36" width="21" style="16" customWidth="1"/>
    <col min="37" max="37" width="10.44140625" style="16" bestFit="1" customWidth="1"/>
    <col min="38" max="48" width="9.109375" style="16"/>
    <col min="49" max="51" width="9.109375" style="16" customWidth="1"/>
    <col min="52" max="52" width="0.109375" style="16" customWidth="1"/>
    <col min="53" max="54" width="9.109375" style="16" customWidth="1"/>
    <col min="55" max="16384" width="9.109375" style="16"/>
  </cols>
  <sheetData>
    <row r="1" spans="2:37" s="16" customFormat="1" outlineLevel="1" x14ac:dyDescent="0.3">
      <c r="F1" s="17"/>
      <c r="G1" s="17"/>
      <c r="H1" s="17"/>
      <c r="J1" s="17"/>
    </row>
    <row r="2" spans="2:37" s="16" customFormat="1" outlineLevel="2" x14ac:dyDescent="0.3">
      <c r="F2" s="17"/>
      <c r="G2" s="17"/>
      <c r="H2" s="17"/>
      <c r="J2" s="17"/>
    </row>
    <row r="3" spans="2:37" s="16" customFormat="1" ht="31.5" customHeight="1" outlineLevel="2" thickBot="1" x14ac:dyDescent="0.5">
      <c r="C3" s="453" t="s">
        <v>597</v>
      </c>
      <c r="D3" s="453"/>
      <c r="E3" s="453"/>
      <c r="F3" s="453"/>
      <c r="G3" s="453"/>
      <c r="H3" s="453"/>
      <c r="I3" s="453"/>
      <c r="J3" s="453"/>
      <c r="K3" s="453"/>
      <c r="L3" s="453"/>
      <c r="M3" s="453"/>
      <c r="N3" s="453"/>
      <c r="O3" s="453"/>
      <c r="P3" s="453"/>
      <c r="Q3" s="453"/>
      <c r="R3" s="453"/>
      <c r="S3" s="453"/>
      <c r="T3" s="453"/>
      <c r="U3" s="453"/>
      <c r="V3" s="453"/>
      <c r="W3" s="453"/>
      <c r="X3" s="453"/>
      <c r="Y3" s="453"/>
      <c r="Z3" s="453"/>
      <c r="AA3" s="453"/>
      <c r="AB3" s="453"/>
      <c r="AC3" s="453"/>
      <c r="AD3" s="453"/>
      <c r="AE3" s="453"/>
      <c r="AF3" s="453"/>
      <c r="AG3" s="453"/>
      <c r="AH3" s="453"/>
    </row>
    <row r="4" spans="2:37" s="16" customFormat="1" outlineLevel="2" x14ac:dyDescent="0.3">
      <c r="C4" s="21"/>
      <c r="D4" s="21"/>
      <c r="E4" s="21"/>
      <c r="F4" s="17"/>
      <c r="G4" s="17"/>
      <c r="H4" s="17"/>
      <c r="J4" s="17"/>
    </row>
    <row r="5" spans="2:37" s="16" customFormat="1" outlineLevel="2" x14ac:dyDescent="0.3">
      <c r="C5" s="452"/>
      <c r="D5" s="452"/>
      <c r="E5" s="452"/>
      <c r="F5" s="452"/>
      <c r="G5" s="452"/>
      <c r="H5" s="452"/>
      <c r="I5" s="452"/>
      <c r="J5" s="452"/>
      <c r="K5" s="452"/>
      <c r="L5" s="452"/>
      <c r="M5" s="452"/>
      <c r="N5" s="452"/>
      <c r="O5" s="452"/>
      <c r="P5" s="452"/>
      <c r="Q5" s="452"/>
      <c r="R5" s="452"/>
      <c r="S5" s="452"/>
      <c r="T5" s="452"/>
      <c r="U5" s="452"/>
      <c r="V5" s="452"/>
      <c r="W5" s="452"/>
      <c r="X5" s="452"/>
      <c r="Y5" s="452"/>
      <c r="Z5" s="452"/>
      <c r="AA5" s="452"/>
      <c r="AB5" s="452"/>
      <c r="AC5" s="452"/>
      <c r="AD5" s="452"/>
      <c r="AE5" s="452"/>
      <c r="AF5" s="452"/>
      <c r="AG5" s="452"/>
      <c r="AH5" s="452"/>
    </row>
    <row r="6" spans="2:37" s="16" customFormat="1" outlineLevel="2" x14ac:dyDescent="0.3">
      <c r="E6" s="21"/>
      <c r="F6" s="50"/>
      <c r="G6" s="50"/>
      <c r="H6" s="50"/>
      <c r="J6" s="17"/>
    </row>
    <row r="7" spans="2:37" s="16" customFormat="1" outlineLevel="2" x14ac:dyDescent="0.3">
      <c r="E7" s="21"/>
      <c r="F7" s="50"/>
      <c r="G7" s="50"/>
      <c r="H7" s="50"/>
      <c r="J7" s="17"/>
    </row>
    <row r="8" spans="2:37" s="17" customFormat="1" outlineLevel="2" x14ac:dyDescent="0.3">
      <c r="C8" s="42" t="s">
        <v>63</v>
      </c>
      <c r="D8" s="42"/>
      <c r="F8" s="46" t="s">
        <v>64</v>
      </c>
      <c r="G8" s="450" t="str">
        <f>IF(F8="October","","Please refer to the Commercial Rate Modeling Tab")</f>
        <v>Please refer to the Commercial Rate Modeling Tab</v>
      </c>
      <c r="H8" s="450"/>
      <c r="V8" s="451"/>
      <c r="X8" s="450"/>
      <c r="Y8" s="450"/>
      <c r="Z8" s="449"/>
    </row>
    <row r="9" spans="2:37" s="17" customFormat="1" outlineLevel="2" x14ac:dyDescent="0.3">
      <c r="C9" s="16" t="s">
        <v>60</v>
      </c>
      <c r="D9" s="16"/>
      <c r="K9" s="448" t="s">
        <v>581</v>
      </c>
      <c r="L9" s="432"/>
      <c r="M9" s="432"/>
      <c r="N9" s="432"/>
      <c r="O9" s="431"/>
      <c r="P9" s="430"/>
      <c r="Q9" s="447"/>
      <c r="Z9" s="447"/>
      <c r="AA9" s="447"/>
      <c r="AB9" s="447"/>
      <c r="AC9" s="447"/>
    </row>
    <row r="10" spans="2:37" s="16" customFormat="1" ht="43.8" outlineLevel="1" x14ac:dyDescent="0.35">
      <c r="C10" s="429" t="s">
        <v>65</v>
      </c>
      <c r="D10" s="232" t="s">
        <v>534</v>
      </c>
      <c r="E10" s="365" t="s">
        <v>66</v>
      </c>
      <c r="F10" s="231" t="s">
        <v>580</v>
      </c>
      <c r="G10" s="231" t="s">
        <v>528</v>
      </c>
      <c r="H10" s="231" t="s">
        <v>526</v>
      </c>
      <c r="I10" s="231" t="s">
        <v>67</v>
      </c>
      <c r="J10" s="367" t="s">
        <v>59</v>
      </c>
      <c r="K10" s="231" t="s">
        <v>522</v>
      </c>
      <c r="L10" s="231" t="s">
        <v>520</v>
      </c>
      <c r="M10" s="232" t="s">
        <v>579</v>
      </c>
      <c r="N10" s="231" t="s">
        <v>518</v>
      </c>
      <c r="O10" s="231" t="s">
        <v>516</v>
      </c>
      <c r="P10" s="232" t="s">
        <v>578</v>
      </c>
      <c r="Q10" s="231" t="s">
        <v>514</v>
      </c>
      <c r="R10" s="231" t="s">
        <v>512</v>
      </c>
      <c r="S10" s="231" t="s">
        <v>577</v>
      </c>
      <c r="T10" s="231" t="s">
        <v>510</v>
      </c>
      <c r="U10" s="231" t="s">
        <v>508</v>
      </c>
      <c r="V10" s="231" t="s">
        <v>506</v>
      </c>
      <c r="W10" s="231" t="s">
        <v>504</v>
      </c>
      <c r="X10" s="231" t="s">
        <v>502</v>
      </c>
      <c r="Y10" s="366" t="s">
        <v>500</v>
      </c>
      <c r="Z10" s="231" t="s">
        <v>498</v>
      </c>
      <c r="AA10" s="232" t="s">
        <v>545</v>
      </c>
      <c r="AB10" s="232" t="s">
        <v>494</v>
      </c>
      <c r="AC10" s="231" t="s">
        <v>544</v>
      </c>
      <c r="AD10" s="231" t="s">
        <v>490</v>
      </c>
      <c r="AE10" s="365" t="s">
        <v>488</v>
      </c>
      <c r="AF10" s="231" t="s">
        <v>486</v>
      </c>
      <c r="AG10" s="365" t="s">
        <v>484</v>
      </c>
      <c r="AH10" s="232" t="s">
        <v>482</v>
      </c>
      <c r="AK10" s="24"/>
    </row>
    <row r="11" spans="2:37" s="21" customFormat="1" x14ac:dyDescent="0.3">
      <c r="B11" s="446" t="s">
        <v>576</v>
      </c>
      <c r="C11" s="47" t="s">
        <v>68</v>
      </c>
      <c r="D11" s="257">
        <f>SUM(D12:D16)</f>
        <v>1103970</v>
      </c>
      <c r="E11" s="378">
        <f>SUM(E12:E16)</f>
        <v>1126500</v>
      </c>
      <c r="F11" s="257">
        <f>SUM(F12:F16)</f>
        <v>1162150</v>
      </c>
      <c r="G11" s="257">
        <f>SUM(G12:G16)</f>
        <v>1215111.5</v>
      </c>
      <c r="H11" s="247">
        <f>IFERROR(F11/D11-1,"")</f>
        <v>5.2700707446760253E-2</v>
      </c>
      <c r="I11" s="257">
        <f>SUM(I12:I16)</f>
        <v>88611.5</v>
      </c>
      <c r="J11" s="259">
        <f>IFERROR(E11/E$43,"")</f>
        <v>0.19879996470484426</v>
      </c>
      <c r="K11" s="410">
        <f>SUM(K12:K16)</f>
        <v>1151469</v>
      </c>
      <c r="L11" s="410">
        <f>SUM(L12:L16)</f>
        <v>24968.999999999993</v>
      </c>
      <c r="M11" s="339">
        <f>IFERROR(L11/$I11,"")</f>
        <v>0.28178058152722835</v>
      </c>
      <c r="N11" s="410">
        <f>SUM(N12:N16)</f>
        <v>1155831</v>
      </c>
      <c r="O11" s="410">
        <f>N11-E11</f>
        <v>29331</v>
      </c>
      <c r="P11" s="339">
        <f>IFERROR(O11/$I11,"")</f>
        <v>0.33100669777624803</v>
      </c>
      <c r="Q11" s="410">
        <f>SUM(Q12:Q16)</f>
        <v>1126500</v>
      </c>
      <c r="R11" s="422">
        <f>Q11-E11</f>
        <v>0</v>
      </c>
      <c r="S11" s="293">
        <f>IFERROR(R11/$I11,"")</f>
        <v>0</v>
      </c>
      <c r="T11" s="425"/>
      <c r="U11" s="257">
        <f>SUM(U12:U16)</f>
        <v>1180800</v>
      </c>
      <c r="V11" s="256">
        <f>U11/$U$43</f>
        <v>0.1994998986281003</v>
      </c>
      <c r="W11" s="247">
        <f>IFERROR(U11/E11,"")</f>
        <v>1.0482023968042611</v>
      </c>
      <c r="X11" s="251">
        <f>IFERROR(U11/F11,"")</f>
        <v>1.016047842361141</v>
      </c>
      <c r="Y11" s="424"/>
      <c r="Z11" s="421">
        <f>SUM(Z12:Z16)</f>
        <v>1215111.5</v>
      </c>
      <c r="AA11" s="410">
        <f>SUM(AA12:AA16)</f>
        <v>34311.499999999985</v>
      </c>
      <c r="AB11" s="339">
        <f>IFERROR(AA11/I11,"")</f>
        <v>0.3872127206965234</v>
      </c>
      <c r="AC11" s="354">
        <f>IFERROR(AA11/E11,"")</f>
        <v>3.0458499778073668E-2</v>
      </c>
      <c r="AD11" s="250">
        <f>IFERROR(AA11/U11,"")</f>
        <v>2.9057842140921396E-2</v>
      </c>
      <c r="AE11" s="292">
        <f>IFERROR(AD11*V11,0%)</f>
        <v>5.7970365614651593E-3</v>
      </c>
      <c r="AF11" s="250">
        <f>IFERROR((G11-E11)/E11,0%)</f>
        <v>7.8660896582334661E-2</v>
      </c>
      <c r="AG11" s="336">
        <f>IFERROR(AF11*J11,0%)</f>
        <v>1.5637783464219537E-2</v>
      </c>
      <c r="AH11" s="246" t="b">
        <f>ROUND((G11-E11),0)=ROUND(SUM(L11,O11,R11,AA11),0)</f>
        <v>1</v>
      </c>
    </row>
    <row r="12" spans="2:37" s="21" customFormat="1" ht="28.8" outlineLevel="1" x14ac:dyDescent="0.3">
      <c r="B12" s="446"/>
      <c r="C12" s="43" t="s">
        <v>584</v>
      </c>
      <c r="D12" s="352">
        <v>637000</v>
      </c>
      <c r="E12" s="395">
        <v>650000</v>
      </c>
      <c r="F12" s="391">
        <v>665000</v>
      </c>
      <c r="G12" s="391">
        <v>698700</v>
      </c>
      <c r="H12" s="288">
        <f>IFERROR(F12/D12-1,"")</f>
        <v>4.3956043956044022E-2</v>
      </c>
      <c r="I12" s="281">
        <f>G12-E12</f>
        <v>48700</v>
      </c>
      <c r="J12" s="52">
        <f>IFERROR(E12/E$43,"")</f>
        <v>0.11470925615459278</v>
      </c>
      <c r="K12" s="392">
        <v>665000</v>
      </c>
      <c r="L12" s="419">
        <f>K12-E12</f>
        <v>15000</v>
      </c>
      <c r="M12" s="351">
        <f>IFERROR(L12/$I12,"")</f>
        <v>0.30800821355236141</v>
      </c>
      <c r="N12" s="392">
        <v>670000</v>
      </c>
      <c r="O12" s="419">
        <f>N12-E12</f>
        <v>20000</v>
      </c>
      <c r="P12" s="351">
        <f>IFERROR(O12/$I12,"")</f>
        <v>0.41067761806981518</v>
      </c>
      <c r="Q12" s="392">
        <v>650000</v>
      </c>
      <c r="R12" s="307">
        <f>Q12-E12</f>
        <v>0</v>
      </c>
      <c r="S12" s="266">
        <f>IFERROR(R12/N12,"")</f>
        <v>0</v>
      </c>
      <c r="T12" s="45"/>
      <c r="U12" s="281">
        <f>SUM(E12,L12,O12,R12)</f>
        <v>685000</v>
      </c>
      <c r="V12" s="356">
        <f>U12/$U$43</f>
        <v>0.11573291883489896</v>
      </c>
      <c r="W12" s="288">
        <f>IFERROR(U12/E12,"")</f>
        <v>1.0538461538461539</v>
      </c>
      <c r="X12" s="288">
        <f>IFERROR(U12/F12,"")</f>
        <v>1.0300751879699248</v>
      </c>
      <c r="Y12" s="412" t="s">
        <v>596</v>
      </c>
      <c r="Z12" s="420">
        <f>G12</f>
        <v>698700</v>
      </c>
      <c r="AA12" s="419">
        <f>Z12-SUM(R12,O12,L12)-E12</f>
        <v>13700</v>
      </c>
      <c r="AB12" s="351">
        <f>IFERROR(AA12/I12,"")</f>
        <v>0.28131416837782341</v>
      </c>
      <c r="AC12" s="351">
        <f>IFERROR(AA12/E12,"")</f>
        <v>2.1076923076923076E-2</v>
      </c>
      <c r="AD12" s="278">
        <f>IFERROR(AA12/U12,"")</f>
        <v>0.02</v>
      </c>
      <c r="AE12" s="279">
        <f>IFERROR(AD12*V12,0%)</f>
        <v>2.3146583766979791E-3</v>
      </c>
      <c r="AF12" s="278">
        <f>IFERROR((G12-E12)/E12,0%)</f>
        <v>7.4923076923076926E-2</v>
      </c>
      <c r="AG12" s="277">
        <f>IFERROR(AF12*J12,0%)</f>
        <v>8.5943704226594895E-3</v>
      </c>
      <c r="AH12" s="276" t="b">
        <f>ROUND((G12-E12),0)=ROUND(SUM(L12,O12,R12,AA12),0)</f>
        <v>1</v>
      </c>
      <c r="AJ12" s="16"/>
    </row>
    <row r="13" spans="2:37" s="21" customFormat="1" outlineLevel="1" x14ac:dyDescent="0.3">
      <c r="B13" s="446"/>
      <c r="C13" s="357" t="s">
        <v>583</v>
      </c>
      <c r="D13" s="352">
        <v>53900</v>
      </c>
      <c r="E13" s="395">
        <v>55000</v>
      </c>
      <c r="F13" s="391">
        <v>56100</v>
      </c>
      <c r="G13" s="391">
        <v>57499.749999999993</v>
      </c>
      <c r="H13" s="288">
        <f>IFERROR(F13/D13-1,"")</f>
        <v>4.081632653061229E-2</v>
      </c>
      <c r="I13" s="281">
        <f>G13-E13</f>
        <v>2499.7499999999927</v>
      </c>
      <c r="J13" s="52">
        <f>IFERROR(E13/E$43,"")</f>
        <v>9.7061678284655426E-3</v>
      </c>
      <c r="K13" s="392">
        <v>56264.999999999993</v>
      </c>
      <c r="L13" s="419">
        <f>K13-E13</f>
        <v>1264.9999999999927</v>
      </c>
      <c r="M13" s="351">
        <f>IFERROR(L13/$I13,"")</f>
        <v>0.50605060506050459</v>
      </c>
      <c r="N13" s="392">
        <v>55385.000000000007</v>
      </c>
      <c r="O13" s="419">
        <f>N13-E13</f>
        <v>385.00000000000728</v>
      </c>
      <c r="P13" s="351">
        <f>IFERROR(O13/$I13,"")</f>
        <v>0.15401540154015739</v>
      </c>
      <c r="Q13" s="392">
        <v>55000</v>
      </c>
      <c r="R13" s="307">
        <f>Q13-E13</f>
        <v>0</v>
      </c>
      <c r="S13" s="266">
        <f>IFERROR(R13/N13,"")</f>
        <v>0</v>
      </c>
      <c r="T13" s="45"/>
      <c r="U13" s="281">
        <f>SUM(E13,L13,O13,R13)</f>
        <v>56650</v>
      </c>
      <c r="V13" s="356">
        <f>U13/$U$43</f>
        <v>9.5711968642292356E-3</v>
      </c>
      <c r="W13" s="288">
        <f>IFERROR(U13/E13,"")</f>
        <v>1.03</v>
      </c>
      <c r="X13" s="288">
        <f>IFERROR(U13/F13,"")</f>
        <v>1.0098039215686274</v>
      </c>
      <c r="Y13" s="417"/>
      <c r="Z13" s="420">
        <v>57499.749999999993</v>
      </c>
      <c r="AA13" s="419">
        <f>Z13-SUM(R13,O13,L13)-E13</f>
        <v>849.74999999999272</v>
      </c>
      <c r="AB13" s="351">
        <f>IFERROR(AA13/I13,"")</f>
        <v>0.339933993399338</v>
      </c>
      <c r="AC13" s="351">
        <f>IFERROR(AA13/E13,"")</f>
        <v>1.5449999999999868E-2</v>
      </c>
      <c r="AD13" s="278">
        <f>IFERROR(AA13/U13,"")</f>
        <v>1.4999999999999871E-2</v>
      </c>
      <c r="AE13" s="279">
        <f>IFERROR(AD13*V13,0%)</f>
        <v>1.4356795296343729E-4</v>
      </c>
      <c r="AF13" s="278">
        <f>IFERROR((G13-E13)/E13,0%)</f>
        <v>4.5449999999999866E-2</v>
      </c>
      <c r="AG13" s="277">
        <f>IFERROR(AF13*J13,0%)</f>
        <v>4.411453278037576E-4</v>
      </c>
      <c r="AH13" s="276" t="b">
        <f>ROUND((G13-E13),0)=ROUND(SUM(L13,O13,R13,AA13),0)</f>
        <v>1</v>
      </c>
      <c r="AJ13" s="16"/>
    </row>
    <row r="14" spans="2:37" s="21" customFormat="1" outlineLevel="1" x14ac:dyDescent="0.3">
      <c r="B14" s="446"/>
      <c r="C14" s="357" t="s">
        <v>573</v>
      </c>
      <c r="D14" s="352">
        <v>0</v>
      </c>
      <c r="E14" s="395">
        <v>0</v>
      </c>
      <c r="F14" s="391">
        <v>0</v>
      </c>
      <c r="G14" s="391">
        <v>0</v>
      </c>
      <c r="H14" s="288" t="str">
        <f>IFERROR(F14/D14-1,"")</f>
        <v/>
      </c>
      <c r="I14" s="281">
        <f>G14-E14</f>
        <v>0</v>
      </c>
      <c r="J14" s="52">
        <f>IFERROR(E14/E$43,"")</f>
        <v>0</v>
      </c>
      <c r="K14" s="392">
        <v>0</v>
      </c>
      <c r="L14" s="419">
        <f>K14-E14</f>
        <v>0</v>
      </c>
      <c r="M14" s="351" t="str">
        <f>IFERROR(L14/$I14,"")</f>
        <v/>
      </c>
      <c r="N14" s="392">
        <v>0</v>
      </c>
      <c r="O14" s="419">
        <f>N14-E14</f>
        <v>0</v>
      </c>
      <c r="P14" s="351" t="str">
        <f>IFERROR(O14/$I14,"")</f>
        <v/>
      </c>
      <c r="Q14" s="392">
        <v>0</v>
      </c>
      <c r="R14" s="307">
        <f>Q14-E14</f>
        <v>0</v>
      </c>
      <c r="S14" s="266" t="str">
        <f>IFERROR(R14/N14,"")</f>
        <v/>
      </c>
      <c r="T14" s="45"/>
      <c r="U14" s="281">
        <f>SUM(E14,L14,O14,R14)</f>
        <v>0</v>
      </c>
      <c r="V14" s="356">
        <f>U14/$U$43</f>
        <v>0</v>
      </c>
      <c r="W14" s="288" t="str">
        <f>IFERROR(U14/E14,"")</f>
        <v/>
      </c>
      <c r="X14" s="288" t="str">
        <f>IFERROR(U14/F14,"")</f>
        <v/>
      </c>
      <c r="Y14" s="417"/>
      <c r="Z14" s="420">
        <v>0</v>
      </c>
      <c r="AA14" s="419">
        <f>Z14-SUM(R14,O14,L14)-E14</f>
        <v>0</v>
      </c>
      <c r="AB14" s="351" t="str">
        <f>IFERROR(AA14/I14,"")</f>
        <v/>
      </c>
      <c r="AC14" s="351" t="str">
        <f>IFERROR(AA14/E14,"")</f>
        <v/>
      </c>
      <c r="AD14" s="278" t="str">
        <f>IFERROR(AA14/U14,"")</f>
        <v/>
      </c>
      <c r="AE14" s="279">
        <f>IFERROR(AD14*V14,0%)</f>
        <v>0</v>
      </c>
      <c r="AF14" s="278">
        <f>IFERROR((G14-E14)/E14,0%)</f>
        <v>0</v>
      </c>
      <c r="AG14" s="277">
        <f>IFERROR(AF14*J14,0%)</f>
        <v>0</v>
      </c>
      <c r="AH14" s="276" t="b">
        <f>ROUND((G14-E14),0)=ROUND(SUM(L14,O14,R14,AA14),0)</f>
        <v>1</v>
      </c>
    </row>
    <row r="15" spans="2:37" s="21" customFormat="1" outlineLevel="1" x14ac:dyDescent="0.3">
      <c r="B15" s="446"/>
      <c r="C15" s="357" t="s">
        <v>582</v>
      </c>
      <c r="D15" s="352">
        <v>357700</v>
      </c>
      <c r="E15" s="395">
        <v>365000</v>
      </c>
      <c r="F15" s="391">
        <v>381500</v>
      </c>
      <c r="G15" s="391">
        <v>396682</v>
      </c>
      <c r="H15" s="288">
        <f>IFERROR(F15/D15-1,"")</f>
        <v>6.6536203522505E-2</v>
      </c>
      <c r="I15" s="281">
        <f>G15-E15</f>
        <v>31682</v>
      </c>
      <c r="J15" s="52">
        <f>IFERROR(E15/E$43,"")</f>
        <v>6.4413659225271327E-2</v>
      </c>
      <c r="K15" s="392">
        <v>370654</v>
      </c>
      <c r="L15" s="419">
        <f>K15-E15</f>
        <v>5654</v>
      </c>
      <c r="M15" s="351">
        <f>IFERROR(L15/$I15,"")</f>
        <v>0.17846095574774321</v>
      </c>
      <c r="N15" s="392">
        <v>373946</v>
      </c>
      <c r="O15" s="419">
        <f>N15-E15</f>
        <v>8946</v>
      </c>
      <c r="P15" s="351">
        <f>IFERROR(O15/$I15,"")</f>
        <v>0.28236853733981443</v>
      </c>
      <c r="Q15" s="392">
        <v>365000</v>
      </c>
      <c r="R15" s="307">
        <f>Q15-E15</f>
        <v>0</v>
      </c>
      <c r="S15" s="266">
        <f>IFERROR(R15/N15,"")</f>
        <v>0</v>
      </c>
      <c r="T15" s="45"/>
      <c r="U15" s="281">
        <f>SUM(E15,L15,O15,R15)</f>
        <v>379600</v>
      </c>
      <c r="V15" s="356">
        <f>U15/$U$43</f>
        <v>6.4134621882814088E-2</v>
      </c>
      <c r="W15" s="288">
        <f>IFERROR(U15/E15,"")</f>
        <v>1.04</v>
      </c>
      <c r="X15" s="288">
        <f>IFERROR(U15/F15,"")</f>
        <v>0.9950196592398427</v>
      </c>
      <c r="Y15" s="417"/>
      <c r="Z15" s="420">
        <v>396682</v>
      </c>
      <c r="AA15" s="419">
        <f>Z15-SUM(R15,O15,L15)-E15</f>
        <v>17082</v>
      </c>
      <c r="AB15" s="351">
        <f>IFERROR(AA15/I15,"")</f>
        <v>0.53917050691244239</v>
      </c>
      <c r="AC15" s="351">
        <f>IFERROR(AA15/E15,"")</f>
        <v>4.6800000000000001E-2</v>
      </c>
      <c r="AD15" s="278">
        <f>IFERROR(AA15/U15,"")</f>
        <v>4.4999999999999998E-2</v>
      </c>
      <c r="AE15" s="279">
        <f>IFERROR(AD15*V15,0%)</f>
        <v>2.886057984726634E-3</v>
      </c>
      <c r="AF15" s="278">
        <f>IFERROR((G15-E15)/E15,0%)</f>
        <v>8.6800000000000002E-2</v>
      </c>
      <c r="AG15" s="277">
        <f>IFERROR(AF15*J15,0%)</f>
        <v>5.5911056207535517E-3</v>
      </c>
      <c r="AH15" s="276" t="b">
        <f>ROUND((G15-E15),0)=ROUND(SUM(L15,O15,R15,AA15),0)</f>
        <v>1</v>
      </c>
    </row>
    <row r="16" spans="2:37" s="21" customFormat="1" outlineLevel="1" x14ac:dyDescent="0.3">
      <c r="B16" s="446"/>
      <c r="C16" s="423" t="s">
        <v>82</v>
      </c>
      <c r="D16" s="352">
        <v>55370</v>
      </c>
      <c r="E16" s="395">
        <v>56500</v>
      </c>
      <c r="F16" s="391">
        <v>59550</v>
      </c>
      <c r="G16" s="391">
        <v>62229.749999999993</v>
      </c>
      <c r="H16" s="288">
        <f>IFERROR(F16/D16-1,"")</f>
        <v>7.5492143760159003E-2</v>
      </c>
      <c r="I16" s="281">
        <f>G16-E16</f>
        <v>5729.7499999999927</v>
      </c>
      <c r="J16" s="52">
        <f>IFERROR(E16/E$43,"")</f>
        <v>9.9708814965146029E-3</v>
      </c>
      <c r="K16" s="392">
        <v>59550</v>
      </c>
      <c r="L16" s="419">
        <f>K16-E16</f>
        <v>3050</v>
      </c>
      <c r="M16" s="351">
        <f>IFERROR(L16/$I16,"")</f>
        <v>0.53230943758453753</v>
      </c>
      <c r="N16" s="392">
        <v>56500</v>
      </c>
      <c r="O16" s="419">
        <f>N16-E16</f>
        <v>0</v>
      </c>
      <c r="P16" s="351">
        <f>IFERROR(O16/$I16,"")</f>
        <v>0</v>
      </c>
      <c r="Q16" s="392">
        <v>56500</v>
      </c>
      <c r="R16" s="307">
        <f>Q16-E16</f>
        <v>0</v>
      </c>
      <c r="S16" s="266">
        <f>IFERROR(R16/N16,"")</f>
        <v>0</v>
      </c>
      <c r="T16" s="45"/>
      <c r="U16" s="281">
        <f>SUM(E16,L16,O16,R16)</f>
        <v>59550</v>
      </c>
      <c r="V16" s="356">
        <f>U16/$U$43</f>
        <v>1.0061161046158005E-2</v>
      </c>
      <c r="W16" s="288">
        <f>IFERROR(U16/E16,"")</f>
        <v>1.0539823008849558</v>
      </c>
      <c r="X16" s="288">
        <f>IFERROR(U16/F16,"")</f>
        <v>1</v>
      </c>
      <c r="Y16" s="417"/>
      <c r="Z16" s="420">
        <v>62229.749999999993</v>
      </c>
      <c r="AA16" s="419">
        <f>Z16-SUM(R16,O16,L16)-E16</f>
        <v>2679.7499999999927</v>
      </c>
      <c r="AB16" s="351">
        <f>IFERROR(AA16/I16,"")</f>
        <v>0.46769056241546247</v>
      </c>
      <c r="AC16" s="351">
        <f>IFERROR(AA16/E16,"")</f>
        <v>4.7429203539822877E-2</v>
      </c>
      <c r="AD16" s="278">
        <f>IFERROR(AA16/U16,"")</f>
        <v>4.499999999999988E-2</v>
      </c>
      <c r="AE16" s="279">
        <f>IFERROR(AD16*V16,0%)</f>
        <v>4.5275224707710905E-4</v>
      </c>
      <c r="AF16" s="278">
        <f>IFERROR((G16-E16)/E16,0%)</f>
        <v>0.10141150442477863</v>
      </c>
      <c r="AG16" s="277">
        <f>IFERROR(AF16*J16,0%)</f>
        <v>1.0111620930027339E-3</v>
      </c>
      <c r="AH16" s="276" t="b">
        <f>ROUND((G16-E16),0)=ROUND(SUM(L16,O16,R16,AA16),0)</f>
        <v>1</v>
      </c>
    </row>
    <row r="17" spans="2:53" s="21" customFormat="1" x14ac:dyDescent="0.3">
      <c r="B17" s="446"/>
      <c r="C17" s="47" t="s">
        <v>69</v>
      </c>
      <c r="D17" s="257">
        <f>SUM(D18:D20)</f>
        <v>980000</v>
      </c>
      <c r="E17" s="379">
        <f>SUM(E18:E20)</f>
        <v>1000000</v>
      </c>
      <c r="F17" s="295">
        <f>SUM(F18:F20)</f>
        <v>1024999.9999999999</v>
      </c>
      <c r="G17" s="295">
        <f>SUM(G18:G20)</f>
        <v>1049599.9999999995</v>
      </c>
      <c r="H17" s="251">
        <f>IFERROR(F17/D17-1,"")</f>
        <v>4.5918367346938549E-2</v>
      </c>
      <c r="I17" s="257">
        <f>G17-E17</f>
        <v>49599.999999999534</v>
      </c>
      <c r="J17" s="259">
        <f>IFERROR(E17/E$43,"")</f>
        <v>0.1764757786993735</v>
      </c>
      <c r="K17" s="410">
        <f>SUM(K18:K20)</f>
        <v>1022999.9999999999</v>
      </c>
      <c r="L17" s="410">
        <f>SUM(L18:L20)</f>
        <v>22999.999999999854</v>
      </c>
      <c r="M17" s="339">
        <f>IFERROR(L17/$I17,"")</f>
        <v>0.46370967741935626</v>
      </c>
      <c r="N17" s="411">
        <f>SUM(N18:N20)</f>
        <v>1000999.9999999999</v>
      </c>
      <c r="O17" s="411">
        <f>N17-E17</f>
        <v>999.99999999988358</v>
      </c>
      <c r="P17" s="339">
        <f>IFERROR(O17/$I17,"")</f>
        <v>2.0161290322578487E-2</v>
      </c>
      <c r="Q17" s="410">
        <f>SUM(Q18:Q20)</f>
        <v>1000000</v>
      </c>
      <c r="R17" s="422">
        <f>Q17-E17</f>
        <v>0</v>
      </c>
      <c r="S17" s="294">
        <f>IFERROR(R17/$I17,"")</f>
        <v>0</v>
      </c>
      <c r="T17" s="55"/>
      <c r="U17" s="295">
        <f>SUM(U18:U20)</f>
        <v>1023999.9999999998</v>
      </c>
      <c r="V17" s="355">
        <f>U17/$U$43</f>
        <v>0.17300804217071025</v>
      </c>
      <c r="W17" s="251">
        <f>IFERROR(U17/E17,"")</f>
        <v>1.0239999999999998</v>
      </c>
      <c r="X17" s="251">
        <f>IFERROR(U17/F17,"")</f>
        <v>0.99902439024390233</v>
      </c>
      <c r="Y17" s="412"/>
      <c r="Z17" s="421">
        <f>SUM(Z18:Z20)</f>
        <v>1049599.9999999995</v>
      </c>
      <c r="AA17" s="410">
        <f>SUM(AA18:AA20)</f>
        <v>25599.999999999884</v>
      </c>
      <c r="AB17" s="339">
        <f>IFERROR(AA17/I17,"")</f>
        <v>0.51612903225806706</v>
      </c>
      <c r="AC17" s="354">
        <f>IFERROR(AA17/E17,"")</f>
        <v>2.5599999999999883E-2</v>
      </c>
      <c r="AD17" s="250">
        <f>IFERROR(AA17/U17,"")</f>
        <v>2.499999999999989E-2</v>
      </c>
      <c r="AE17" s="292">
        <f>IFERROR(AD17*V17,0%)</f>
        <v>4.3252010542677377E-3</v>
      </c>
      <c r="AF17" s="250">
        <f>IFERROR((G17-E17)/E17,0%)</f>
        <v>4.9599999999999533E-2</v>
      </c>
      <c r="AG17" s="336">
        <f>IFERROR(AF17*J17,0%)</f>
        <v>8.7531986234888441E-3</v>
      </c>
      <c r="AH17" s="246" t="b">
        <f>ROUND((G17-E17),0)=ROUND(SUM(L17,O17,R17,AA17),0)</f>
        <v>1</v>
      </c>
    </row>
    <row r="18" spans="2:53" s="21" customFormat="1" outlineLevel="1" x14ac:dyDescent="0.3">
      <c r="B18" s="446"/>
      <c r="C18" s="43" t="s">
        <v>572</v>
      </c>
      <c r="D18" s="352">
        <v>735000</v>
      </c>
      <c r="E18" s="395">
        <v>750000</v>
      </c>
      <c r="F18" s="391">
        <v>768749.99999999988</v>
      </c>
      <c r="G18" s="352">
        <v>787199.99999999965</v>
      </c>
      <c r="H18" s="394">
        <f>IFERROR(F18/D18-1,"")</f>
        <v>4.5918367346938549E-2</v>
      </c>
      <c r="I18" s="393">
        <f>G18-E18</f>
        <v>37199.999999999651</v>
      </c>
      <c r="J18" s="52">
        <f>IFERROR(E18/E$43,"")</f>
        <v>0.13235683402453013</v>
      </c>
      <c r="K18" s="392">
        <v>767249.99999999988</v>
      </c>
      <c r="L18" s="419">
        <f>K18-E18</f>
        <v>17249.999999999884</v>
      </c>
      <c r="M18" s="351">
        <f>IFERROR(L18/$I18,"")</f>
        <v>0.46370967741935604</v>
      </c>
      <c r="N18" s="392">
        <v>750749.99999999988</v>
      </c>
      <c r="O18" s="419">
        <f>N18-E18</f>
        <v>749.99999999988358</v>
      </c>
      <c r="P18" s="351">
        <f>IFERROR(O18/$I18,"")</f>
        <v>2.0161290322577706E-2</v>
      </c>
      <c r="Q18" s="392">
        <v>750000</v>
      </c>
      <c r="R18" s="307">
        <f>Q18-E18</f>
        <v>0</v>
      </c>
      <c r="S18" s="266">
        <f>IFERROR(R18/$I18,"")</f>
        <v>0</v>
      </c>
      <c r="T18" s="45"/>
      <c r="U18" s="281">
        <f>SUM(E18,L18,O18,R18)</f>
        <v>767999.99999999977</v>
      </c>
      <c r="V18" s="356">
        <f>U18/$U$43</f>
        <v>0.12975603162803268</v>
      </c>
      <c r="W18" s="288">
        <f>IFERROR(U18/E18,"")</f>
        <v>1.0239999999999998</v>
      </c>
      <c r="X18" s="288">
        <f>IFERROR(U18/F18,"")</f>
        <v>0.99902439024390233</v>
      </c>
      <c r="Y18" s="417"/>
      <c r="Z18" s="420">
        <v>787199.99999999965</v>
      </c>
      <c r="AA18" s="419">
        <f>Z18-SUM(R18,O18,L18)-E18</f>
        <v>19199.999999999884</v>
      </c>
      <c r="AB18" s="351">
        <f>IFERROR(AA18/I18,"")</f>
        <v>0.51612903225806628</v>
      </c>
      <c r="AC18" s="351">
        <f>IFERROR(AA18/E18,"")</f>
        <v>2.5599999999999845E-2</v>
      </c>
      <c r="AD18" s="278">
        <f>IFERROR(AA18/U18,"")</f>
        <v>2.4999999999999856E-2</v>
      </c>
      <c r="AE18" s="279">
        <f>IFERROR(AD18*V18,0%)</f>
        <v>3.2439007907007983E-3</v>
      </c>
      <c r="AF18" s="278">
        <f>IFERROR((G18-E18)/E18,0%)</f>
        <v>4.9599999999999533E-2</v>
      </c>
      <c r="AG18" s="277">
        <f>IFERROR(AF18*J18,0%)</f>
        <v>6.5648989676166331E-3</v>
      </c>
      <c r="AH18" s="276" t="b">
        <f>ROUND((G18-E18),0)=ROUND(SUM(L18,O18,R18,AA18),0)</f>
        <v>1</v>
      </c>
    </row>
    <row r="19" spans="2:53" s="21" customFormat="1" outlineLevel="1" x14ac:dyDescent="0.3">
      <c r="B19" s="446"/>
      <c r="C19" s="43" t="s">
        <v>571</v>
      </c>
      <c r="D19" s="352">
        <v>245000</v>
      </c>
      <c r="E19" s="395">
        <v>250000</v>
      </c>
      <c r="F19" s="391">
        <v>256249.99999999997</v>
      </c>
      <c r="G19" s="352">
        <v>262399.99999999994</v>
      </c>
      <c r="H19" s="394">
        <f>IFERROR(F19/D19-1,"")</f>
        <v>4.5918367346938549E-2</v>
      </c>
      <c r="I19" s="393">
        <f>G19-E19</f>
        <v>12399.999999999942</v>
      </c>
      <c r="J19" s="52">
        <f>IFERROR(E19/E$43,"")</f>
        <v>4.4118944674843376E-2</v>
      </c>
      <c r="K19" s="392">
        <v>255749.99999999997</v>
      </c>
      <c r="L19" s="419">
        <f>K19-E19</f>
        <v>5749.9999999999709</v>
      </c>
      <c r="M19" s="351">
        <f>IFERROR(L19/$I19,"")</f>
        <v>0.46370967741935465</v>
      </c>
      <c r="N19" s="392">
        <v>250249.99999999997</v>
      </c>
      <c r="O19" s="419">
        <f>N19-E19</f>
        <v>249.9999999999709</v>
      </c>
      <c r="P19" s="351">
        <f>IFERROR(O19/$I19,"")</f>
        <v>2.0161290322578393E-2</v>
      </c>
      <c r="Q19" s="392">
        <v>250000</v>
      </c>
      <c r="R19" s="307">
        <f>Q19-E19</f>
        <v>0</v>
      </c>
      <c r="S19" s="266">
        <f>IFERROR(R19/$I19,"")</f>
        <v>0</v>
      </c>
      <c r="T19" s="45"/>
      <c r="U19" s="281">
        <f>SUM(E19,L19,O19,R19)</f>
        <v>255999.99999999994</v>
      </c>
      <c r="V19" s="356">
        <f>U19/$U$43</f>
        <v>4.3252010542677563E-2</v>
      </c>
      <c r="W19" s="288">
        <f>IFERROR(U19/E19,"")</f>
        <v>1.0239999999999998</v>
      </c>
      <c r="X19" s="288">
        <f>IFERROR(U19/F19,"")</f>
        <v>0.99902439024390233</v>
      </c>
      <c r="Y19" s="417"/>
      <c r="Z19" s="420">
        <v>262399.99999999994</v>
      </c>
      <c r="AA19" s="419">
        <f>Z19-SUM(R19,O19,L19)-E19</f>
        <v>6400</v>
      </c>
      <c r="AB19" s="351">
        <f>IFERROR(AA19/I19,"")</f>
        <v>0.51612903225806694</v>
      </c>
      <c r="AC19" s="351">
        <f>IFERROR(AA19/E19,"")</f>
        <v>2.5600000000000001E-2</v>
      </c>
      <c r="AD19" s="278">
        <f>IFERROR(AA19/U19,"")</f>
        <v>2.5000000000000005E-2</v>
      </c>
      <c r="AE19" s="279">
        <f>IFERROR(AD19*V19,0%)</f>
        <v>1.0813002635669392E-3</v>
      </c>
      <c r="AF19" s="278">
        <f>IFERROR((G19-E19)/E19,0%)</f>
        <v>4.9599999999999769E-2</v>
      </c>
      <c r="AG19" s="277">
        <f>IFERROR(AF19*J19,0%)</f>
        <v>2.1882996558722214E-3</v>
      </c>
      <c r="AH19" s="276" t="b">
        <f>ROUND((G19-E19),0)=ROUND(SUM(L19,O19,R19,AA19),0)</f>
        <v>1</v>
      </c>
    </row>
    <row r="20" spans="2:53" s="21" customFormat="1" outlineLevel="1" x14ac:dyDescent="0.3">
      <c r="B20" s="446"/>
      <c r="C20" s="353" t="s">
        <v>82</v>
      </c>
      <c r="D20" s="352">
        <v>0</v>
      </c>
      <c r="E20" s="395">
        <v>0</v>
      </c>
      <c r="F20" s="391">
        <v>0</v>
      </c>
      <c r="G20" s="352">
        <v>0</v>
      </c>
      <c r="H20" s="394" t="str">
        <f>IFERROR(F20/D20-1,"")</f>
        <v/>
      </c>
      <c r="I20" s="393">
        <f>G20-E20</f>
        <v>0</v>
      </c>
      <c r="J20" s="52">
        <f>IFERROR(E20/E$43,"")</f>
        <v>0</v>
      </c>
      <c r="K20" s="392">
        <v>0</v>
      </c>
      <c r="L20" s="419">
        <f>K20-E20</f>
        <v>0</v>
      </c>
      <c r="M20" s="351" t="str">
        <f>IFERROR(L20/$I20,"")</f>
        <v/>
      </c>
      <c r="N20" s="392">
        <v>0</v>
      </c>
      <c r="O20" s="419">
        <f>N20-E20</f>
        <v>0</v>
      </c>
      <c r="P20" s="351" t="str">
        <f>IFERROR(O20/$I20,"")</f>
        <v/>
      </c>
      <c r="Q20" s="392">
        <v>0</v>
      </c>
      <c r="R20" s="307">
        <f>Q20-E20</f>
        <v>0</v>
      </c>
      <c r="S20" s="266" t="str">
        <f>IFERROR(R20/$I20,"")</f>
        <v/>
      </c>
      <c r="T20" s="45"/>
      <c r="U20" s="281">
        <f>SUM(E20,L20,O20,R20)</f>
        <v>0</v>
      </c>
      <c r="V20" s="356">
        <f>U20/$U$43</f>
        <v>0</v>
      </c>
      <c r="W20" s="288" t="str">
        <f>IFERROR(U20/E20,"")</f>
        <v/>
      </c>
      <c r="X20" s="288" t="str">
        <f>IFERROR(U20/F20,"")</f>
        <v/>
      </c>
      <c r="Y20" s="417"/>
      <c r="Z20" s="420">
        <v>0</v>
      </c>
      <c r="AA20" s="419">
        <f>Z20-SUM(R20,O20,L20)-E20</f>
        <v>0</v>
      </c>
      <c r="AB20" s="351" t="str">
        <f>IFERROR(AA20/I20,"")</f>
        <v/>
      </c>
      <c r="AC20" s="351" t="str">
        <f>IFERROR(AA20/E20,"")</f>
        <v/>
      </c>
      <c r="AD20" s="278" t="str">
        <f>IFERROR(AA20/U20,"")</f>
        <v/>
      </c>
      <c r="AE20" s="279">
        <f>IFERROR(AD20*V20,0%)</f>
        <v>0</v>
      </c>
      <c r="AF20" s="278">
        <f>IFERROR((G20-E20)/E20,0%)</f>
        <v>0</v>
      </c>
      <c r="AG20" s="277">
        <f>IFERROR(AF20*J20,0%)</f>
        <v>0</v>
      </c>
      <c r="AH20" s="276" t="b">
        <f>ROUND((G20-E20),0)=ROUND(SUM(L20,O20,R20,AA20),0)</f>
        <v>1</v>
      </c>
    </row>
    <row r="21" spans="2:53" s="21" customFormat="1" x14ac:dyDescent="0.3">
      <c r="B21" s="446"/>
      <c r="C21" s="47" t="s">
        <v>70</v>
      </c>
      <c r="D21" s="350">
        <v>980000</v>
      </c>
      <c r="E21" s="380">
        <v>1000000</v>
      </c>
      <c r="F21" s="384">
        <v>1024999.9999999999</v>
      </c>
      <c r="G21" s="350">
        <v>1049600</v>
      </c>
      <c r="H21" s="386">
        <f>IFERROR(F21/D21-1,"")</f>
        <v>4.5918367346938549E-2</v>
      </c>
      <c r="I21" s="383">
        <f>G21-E21</f>
        <v>49600</v>
      </c>
      <c r="J21" s="22">
        <f>IFERROR(E21/E$43,"")</f>
        <v>0.1764757786993735</v>
      </c>
      <c r="K21" s="418">
        <v>1014000</v>
      </c>
      <c r="L21" s="415">
        <f>K21-E21</f>
        <v>14000</v>
      </c>
      <c r="M21" s="349">
        <f>IFERROR(L21/$I21,"")</f>
        <v>0.28225806451612906</v>
      </c>
      <c r="N21" s="418">
        <v>1010000</v>
      </c>
      <c r="O21" s="415">
        <f>N21-E21</f>
        <v>10000</v>
      </c>
      <c r="P21" s="349">
        <f>IFERROR(O21/$I21,"")</f>
        <v>0.20161290322580644</v>
      </c>
      <c r="Q21" s="418">
        <v>1000000</v>
      </c>
      <c r="R21" s="303">
        <f>Q21-E21</f>
        <v>0</v>
      </c>
      <c r="S21" s="266">
        <f>IFERROR(R21/$I21,"")</f>
        <v>0</v>
      </c>
      <c r="T21" s="45"/>
      <c r="U21" s="300">
        <f>SUM(E21,L21,O21,R21)</f>
        <v>1024000</v>
      </c>
      <c r="V21" s="382">
        <f>U21/$U$43</f>
        <v>0.17300804217071028</v>
      </c>
      <c r="W21" s="305">
        <f>IFERROR(U21/E21,"")</f>
        <v>1.024</v>
      </c>
      <c r="X21" s="305">
        <f>IFERROR(U21/F21,"")</f>
        <v>0.99902439024390255</v>
      </c>
      <c r="Y21" s="417"/>
      <c r="Z21" s="416">
        <v>1049600</v>
      </c>
      <c r="AA21" s="415">
        <f>Z21-SUM(R21,O21,L21)-E21</f>
        <v>25600</v>
      </c>
      <c r="AB21" s="349">
        <f>IFERROR(AA21/I21,"")</f>
        <v>0.5161290322580645</v>
      </c>
      <c r="AC21" s="349">
        <f>IFERROR(AA21/E21,"")</f>
        <v>2.5600000000000001E-2</v>
      </c>
      <c r="AD21" s="264">
        <f>IFERROR(AA21/U21,"")</f>
        <v>2.5000000000000001E-2</v>
      </c>
      <c r="AE21" s="265">
        <f>IFERROR(AD21*V21,0%)</f>
        <v>4.3252010542677568E-3</v>
      </c>
      <c r="AF21" s="264">
        <f>IFERROR((G21-E21)/E21,0%)</f>
        <v>4.9599999999999998E-2</v>
      </c>
      <c r="AG21" s="263">
        <f>IFERROR(AF21*J21,0%)</f>
        <v>8.7531986234889256E-3</v>
      </c>
      <c r="AH21" s="299" t="b">
        <f>ROUND((G21-E21),0)=ROUND(SUM(L21,O21,R21,AA21),0)</f>
        <v>1</v>
      </c>
      <c r="AX21" s="16" t="s">
        <v>71</v>
      </c>
      <c r="AY21" s="16">
        <v>1</v>
      </c>
      <c r="AZ21" s="16">
        <f>13-AY21</f>
        <v>12</v>
      </c>
      <c r="BA21" s="443"/>
    </row>
    <row r="22" spans="2:53" s="16" customFormat="1" ht="28.8" x14ac:dyDescent="0.3">
      <c r="B22" s="446"/>
      <c r="C22" s="348" t="s">
        <v>570</v>
      </c>
      <c r="D22" s="345">
        <v>-490000</v>
      </c>
      <c r="E22" s="414">
        <v>-500000</v>
      </c>
      <c r="F22" s="413">
        <v>-512499.99999999994</v>
      </c>
      <c r="G22" s="345">
        <v>-538125</v>
      </c>
      <c r="H22" s="386">
        <f>IFERROR(F22/D22-1,"")</f>
        <v>4.5918367346938549E-2</v>
      </c>
      <c r="I22" s="383">
        <f>G22-E22</f>
        <v>-38125</v>
      </c>
      <c r="J22" s="22">
        <f>IFERROR(E22/E$43,"")</f>
        <v>-8.8237889349686752E-2</v>
      </c>
      <c r="K22" s="384">
        <v>-520000</v>
      </c>
      <c r="L22" s="303">
        <f>K22-E22</f>
        <v>-20000</v>
      </c>
      <c r="M22" s="266">
        <f>IFERROR(L22/$I22,"")</f>
        <v>0.52459016393442626</v>
      </c>
      <c r="N22" s="384">
        <v>-505000</v>
      </c>
      <c r="O22" s="307">
        <f>N22-E22</f>
        <v>-5000</v>
      </c>
      <c r="P22" s="266">
        <f>IFERROR(O22/$I22,"")</f>
        <v>0.13114754098360656</v>
      </c>
      <c r="Q22" s="384">
        <v>-500000</v>
      </c>
      <c r="R22" s="307">
        <f>Q22-E22</f>
        <v>0</v>
      </c>
      <c r="S22" s="280">
        <f>IFERROR(R22/$I22,"")</f>
        <v>0</v>
      </c>
      <c r="T22" s="55"/>
      <c r="U22" s="300">
        <f>SUM(E22,L22,O22,R22)</f>
        <v>-525000</v>
      </c>
      <c r="V22" s="382">
        <f>U22/$U$43</f>
        <v>-8.8700412245725488E-2</v>
      </c>
      <c r="W22" s="305">
        <f>IFERROR(U22/E22,"")</f>
        <v>1.05</v>
      </c>
      <c r="X22" s="305">
        <f>IFERROR(U22/F22,"")</f>
        <v>1.024390243902439</v>
      </c>
      <c r="Y22" s="412" t="s">
        <v>595</v>
      </c>
      <c r="Z22" s="380">
        <v>-538125</v>
      </c>
      <c r="AA22" s="303">
        <f>Z22-SUM(R22,O22,L22)-E22</f>
        <v>-13125</v>
      </c>
      <c r="AB22" s="266">
        <f>IFERROR(AA22/I22,"")</f>
        <v>0.34426229508196721</v>
      </c>
      <c r="AC22" s="266">
        <f>IFERROR(AA22/E22,"")</f>
        <v>2.6249999999999999E-2</v>
      </c>
      <c r="AD22" s="264">
        <f>IFERROR(AA22/U22,"")</f>
        <v>2.5000000000000001E-2</v>
      </c>
      <c r="AE22" s="265">
        <f>IFERROR(AD22*V22,0%)</f>
        <v>-2.2175103061431371E-3</v>
      </c>
      <c r="AF22" s="264">
        <f>IFERROR((G22-E22)/E22,0%)</f>
        <v>7.6249999999999998E-2</v>
      </c>
      <c r="AG22" s="263">
        <f>IFERROR(AF22*J22,0%)</f>
        <v>-6.7281390629136146E-3</v>
      </c>
      <c r="AH22" s="299" t="b">
        <f>ROUND((G22-E22),0)=ROUND(SUM(L22,O22,R22,AA22),0)</f>
        <v>1</v>
      </c>
      <c r="AI22" s="21"/>
      <c r="AX22" s="441" t="s">
        <v>73</v>
      </c>
      <c r="AY22" s="16">
        <v>2</v>
      </c>
      <c r="AZ22" s="16">
        <f>13-AY23</f>
        <v>10</v>
      </c>
      <c r="BA22" s="443"/>
    </row>
    <row r="23" spans="2:53" s="21" customFormat="1" ht="14.4" customHeight="1" x14ac:dyDescent="0.3">
      <c r="B23" s="445" t="s">
        <v>569</v>
      </c>
      <c r="C23" s="444" t="s">
        <v>72</v>
      </c>
      <c r="D23" s="257">
        <f>SUM(D24:D29)</f>
        <v>3283000</v>
      </c>
      <c r="E23" s="379">
        <f>SUM(E24:E29)</f>
        <v>3350000</v>
      </c>
      <c r="F23" s="295">
        <f>SUM(F24:F29)</f>
        <v>3471250</v>
      </c>
      <c r="G23" s="295">
        <f>SUM(G24:G29)</f>
        <v>3703612.5</v>
      </c>
      <c r="H23" s="251">
        <f>IFERROR(F23/D23-1,"")</f>
        <v>5.7340846786475774E-2</v>
      </c>
      <c r="I23" s="257">
        <f>G23-E23</f>
        <v>353612.5</v>
      </c>
      <c r="J23" s="259">
        <f>IFERROR(E23/E$43,"")</f>
        <v>0.5911938586429013</v>
      </c>
      <c r="K23" s="410">
        <f>SUM(K24:K29)</f>
        <v>3514000</v>
      </c>
      <c r="L23" s="410">
        <f>SUM(L24:L29)</f>
        <v>164000</v>
      </c>
      <c r="M23" s="339">
        <f>IFERROR(L23/$I23,"")</f>
        <v>0.46378450988016545</v>
      </c>
      <c r="N23" s="410">
        <f>SUM(N24:N29)</f>
        <v>3377500</v>
      </c>
      <c r="O23" s="411">
        <f>N23-E23</f>
        <v>27500</v>
      </c>
      <c r="P23" s="339">
        <f>IFERROR(O23/$I23,"")</f>
        <v>7.7768744034783843E-2</v>
      </c>
      <c r="Q23" s="410">
        <f>SUM(Q24:Q29)</f>
        <v>3351000</v>
      </c>
      <c r="R23" s="396">
        <f>Q23-E23</f>
        <v>1000</v>
      </c>
      <c r="S23" s="294">
        <f>IFERROR(R23/$I23,"")</f>
        <v>2.827954328537594E-3</v>
      </c>
      <c r="T23" s="340"/>
      <c r="U23" s="257">
        <f>SUM(U24:U29)</f>
        <v>3542500</v>
      </c>
      <c r="V23" s="256">
        <f>U23/$U$43</f>
        <v>0.59851659120091916</v>
      </c>
      <c r="W23" s="247">
        <f>IFERROR(U23/E23,"")</f>
        <v>1.0574626865671641</v>
      </c>
      <c r="X23" s="251">
        <f>IFERROR(U23/F23,"")</f>
        <v>1.0205257472092186</v>
      </c>
      <c r="Y23" s="364"/>
      <c r="Z23" s="397">
        <f>SUM(Z24:Z29)</f>
        <v>3703612.5</v>
      </c>
      <c r="AA23" s="410">
        <f>SUM(AA24:AA29)</f>
        <v>161112.49999999988</v>
      </c>
      <c r="AB23" s="339">
        <f>IFERROR(AA23/I23,"")</f>
        <v>0.45561879175651282</v>
      </c>
      <c r="AC23" s="339">
        <f>IFERROR(AA23/E23,"")</f>
        <v>4.8093283582089516E-2</v>
      </c>
      <c r="AD23" s="409">
        <f>IFERROR(AA23/U23,"")</f>
        <v>4.5479887085391642E-2</v>
      </c>
      <c r="AE23" s="292">
        <f>IFERROR(AD23*V23,0%)</f>
        <v>2.7220466986551312E-2</v>
      </c>
      <c r="AF23" s="250">
        <f>IFERROR((G23-E23)/E23,0%)</f>
        <v>0.10555597014925373</v>
      </c>
      <c r="AG23" s="336">
        <f>IFERROR(AF23*J23,0%)</f>
        <v>6.2404041295332224E-2</v>
      </c>
      <c r="AH23" s="246" t="b">
        <f>ROUND((G23-E23),0)=ROUND(SUM(L23,O23,R23,AA23),0)</f>
        <v>1</v>
      </c>
      <c r="AX23" s="16" t="s">
        <v>74</v>
      </c>
      <c r="AY23" s="16">
        <v>3</v>
      </c>
      <c r="AZ23" s="16">
        <f>13-AY24</f>
        <v>9</v>
      </c>
      <c r="BA23" s="443"/>
    </row>
    <row r="24" spans="2:53" s="16" customFormat="1" outlineLevel="1" x14ac:dyDescent="0.3">
      <c r="B24" s="436"/>
      <c r="C24" s="333" t="s">
        <v>568</v>
      </c>
      <c r="D24" s="352">
        <v>1078000</v>
      </c>
      <c r="E24" s="395">
        <v>1100000</v>
      </c>
      <c r="F24" s="391">
        <v>1127500</v>
      </c>
      <c r="G24" s="391">
        <v>1206975</v>
      </c>
      <c r="H24" s="288">
        <f>IFERROR(F24/D24-1,"")</f>
        <v>4.5918367346938771E-2</v>
      </c>
      <c r="I24" s="393">
        <f>G24-E24</f>
        <v>106975</v>
      </c>
      <c r="J24" s="52">
        <f>IFERROR(E24/E$43,"")</f>
        <v>0.19412335656931087</v>
      </c>
      <c r="K24" s="391">
        <v>1144000</v>
      </c>
      <c r="L24" s="307">
        <f>K24-E24</f>
        <v>44000</v>
      </c>
      <c r="M24" s="280">
        <f>IFERROR(L24/$I24,"")</f>
        <v>0.41131105398457585</v>
      </c>
      <c r="N24" s="391">
        <v>1110000</v>
      </c>
      <c r="O24" s="307">
        <f>N24-E24</f>
        <v>10000</v>
      </c>
      <c r="P24" s="280">
        <f>IFERROR(O24/$I24,"")</f>
        <v>9.3479784996494508E-2</v>
      </c>
      <c r="Q24" s="390">
        <v>1101000</v>
      </c>
      <c r="R24" s="307">
        <f>Q24-E24</f>
        <v>1000</v>
      </c>
      <c r="S24" s="280">
        <f>IFERROR(R24/$I24,"")</f>
        <v>9.3479784996494501E-3</v>
      </c>
      <c r="T24" s="55" t="s">
        <v>594</v>
      </c>
      <c r="U24" s="281">
        <f>SUM(E24,L24,O24,R24)</f>
        <v>1155000</v>
      </c>
      <c r="V24" s="356">
        <f>U24/$U$43</f>
        <v>0.19514090694059608</v>
      </c>
      <c r="W24" s="288">
        <f>IFERROR(U24/E24,"")</f>
        <v>1.05</v>
      </c>
      <c r="X24" s="389">
        <f>IFERROR(U24/F24,"")</f>
        <v>1.024390243902439</v>
      </c>
      <c r="Y24" s="408"/>
      <c r="Z24" s="395">
        <v>1206975</v>
      </c>
      <c r="AA24" s="307">
        <f>Z24-SUM(R24,O24,L24)-E24</f>
        <v>51975</v>
      </c>
      <c r="AB24" s="280">
        <f>IFERROR(AA24/I24,"")</f>
        <v>0.48586118251928023</v>
      </c>
      <c r="AC24" s="280">
        <f>IFERROR(AA24/E24,"")</f>
        <v>4.725E-2</v>
      </c>
      <c r="AD24" s="401">
        <f>IFERROR(AA24/U24,"")</f>
        <v>4.4999999999999998E-2</v>
      </c>
      <c r="AE24" s="279">
        <f>IFERROR(AD24*V24,0%)</f>
        <v>8.7813408123268225E-3</v>
      </c>
      <c r="AF24" s="278">
        <f>IFERROR((G24-E24)/E24,0%)</f>
        <v>9.7250000000000003E-2</v>
      </c>
      <c r="AG24" s="277">
        <f>IFERROR(AF24*J24,0%)</f>
        <v>1.8878496426365483E-2</v>
      </c>
      <c r="AH24" s="276" t="b">
        <f>ROUND((G24-E24),0)=ROUND(SUM(L24,O24,R24,AA24),0)</f>
        <v>1</v>
      </c>
      <c r="AI24" s="21"/>
      <c r="AX24" s="16" t="s">
        <v>64</v>
      </c>
      <c r="AY24" s="16">
        <v>4</v>
      </c>
      <c r="AZ24" s="16">
        <f>13-AY25</f>
        <v>8</v>
      </c>
      <c r="BA24" s="443"/>
    </row>
    <row r="25" spans="2:53" s="16" customFormat="1" outlineLevel="1" x14ac:dyDescent="0.3">
      <c r="B25" s="436"/>
      <c r="C25" s="333" t="s">
        <v>567</v>
      </c>
      <c r="D25" s="352">
        <v>882000</v>
      </c>
      <c r="E25" s="395">
        <v>900000</v>
      </c>
      <c r="F25" s="391">
        <v>922499.99999999988</v>
      </c>
      <c r="G25" s="391">
        <v>987524.99999999988</v>
      </c>
      <c r="H25" s="288">
        <f>IFERROR(F25/D25-1,"")</f>
        <v>4.5918367346938549E-2</v>
      </c>
      <c r="I25" s="393">
        <f>G25-E25</f>
        <v>87524.999999999884</v>
      </c>
      <c r="J25" s="52">
        <f>IFERROR(E25/E$43,"")</f>
        <v>0.15882820082943616</v>
      </c>
      <c r="K25" s="391">
        <v>936000</v>
      </c>
      <c r="L25" s="307">
        <f>K25-E25</f>
        <v>36000</v>
      </c>
      <c r="M25" s="280">
        <f>IFERROR(L25/$I25,"")</f>
        <v>0.4113110539845764</v>
      </c>
      <c r="N25" s="391">
        <v>909000</v>
      </c>
      <c r="O25" s="307">
        <f>N25-E25</f>
        <v>9000</v>
      </c>
      <c r="P25" s="280">
        <f>IFERROR(O25/$I25,"")</f>
        <v>0.1028277634961441</v>
      </c>
      <c r="Q25" s="390">
        <v>900000</v>
      </c>
      <c r="R25" s="307">
        <f>Q25-E25</f>
        <v>0</v>
      </c>
      <c r="S25" s="280">
        <f>IFERROR(R25/$I25,"")</f>
        <v>0</v>
      </c>
      <c r="T25" s="55"/>
      <c r="U25" s="281">
        <f>SUM(E25,L25,O25,R25)</f>
        <v>945000</v>
      </c>
      <c r="V25" s="356">
        <f>U25/$U$43</f>
        <v>0.15966074204230588</v>
      </c>
      <c r="W25" s="288">
        <f>IFERROR(U25/E25,"")</f>
        <v>1.05</v>
      </c>
      <c r="X25" s="389">
        <f>IFERROR(U25/F25,"")</f>
        <v>1.024390243902439</v>
      </c>
      <c r="Y25" s="352"/>
      <c r="Z25" s="395">
        <v>987524.99999999988</v>
      </c>
      <c r="AA25" s="307">
        <f>Z25-SUM(R25,O25,L25)-E25</f>
        <v>42524.999999999884</v>
      </c>
      <c r="AB25" s="280">
        <f>IFERROR(AA25/I25,"")</f>
        <v>0.48586118251927951</v>
      </c>
      <c r="AC25" s="280">
        <f>IFERROR(AA25/E25,"")</f>
        <v>4.7249999999999868E-2</v>
      </c>
      <c r="AD25" s="401">
        <f>IFERROR(AA25/U25,"")</f>
        <v>4.4999999999999873E-2</v>
      </c>
      <c r="AE25" s="279">
        <f>IFERROR(AD25*V25,0%)</f>
        <v>7.1847333919037443E-3</v>
      </c>
      <c r="AF25" s="278">
        <f>IFERROR((G25-E25)/E25,0%)</f>
        <v>9.7249999999999864E-2</v>
      </c>
      <c r="AG25" s="277">
        <f>IFERROR(AF25*J25,0%)</f>
        <v>1.5446042530662646E-2</v>
      </c>
      <c r="AH25" s="276" t="b">
        <f>ROUND((G25-E25),0)=ROUND(SUM(L25,O25,R25,AA25),0)</f>
        <v>1</v>
      </c>
      <c r="AI25" s="21"/>
      <c r="AX25" s="16" t="s">
        <v>75</v>
      </c>
      <c r="AY25" s="16">
        <v>5</v>
      </c>
      <c r="AZ25" s="16">
        <f>13-AY26</f>
        <v>7</v>
      </c>
      <c r="BA25" s="443"/>
    </row>
    <row r="26" spans="2:53" s="16" customFormat="1" outlineLevel="1" x14ac:dyDescent="0.3">
      <c r="B26" s="436"/>
      <c r="C26" s="333" t="s">
        <v>566</v>
      </c>
      <c r="D26" s="352">
        <v>735000</v>
      </c>
      <c r="E26" s="395">
        <v>750000</v>
      </c>
      <c r="F26" s="391">
        <v>768749.99999999988</v>
      </c>
      <c r="G26" s="391">
        <v>822937.5</v>
      </c>
      <c r="H26" s="288">
        <f>IFERROR(F26/D26-1,"")</f>
        <v>4.5918367346938549E-2</v>
      </c>
      <c r="I26" s="393">
        <f>G26-E26</f>
        <v>72937.5</v>
      </c>
      <c r="J26" s="52">
        <f>IFERROR(E26/E$43,"")</f>
        <v>0.13235683402453013</v>
      </c>
      <c r="K26" s="391">
        <v>780000</v>
      </c>
      <c r="L26" s="307">
        <f>K26-E26</f>
        <v>30000</v>
      </c>
      <c r="M26" s="280">
        <f>IFERROR(L26/$I26,"")</f>
        <v>0.41131105398457585</v>
      </c>
      <c r="N26" s="391">
        <v>757500</v>
      </c>
      <c r="O26" s="307">
        <f>N26-E26</f>
        <v>7500</v>
      </c>
      <c r="P26" s="280">
        <f>IFERROR(O26/$I26,"")</f>
        <v>0.10282776349614396</v>
      </c>
      <c r="Q26" s="390">
        <v>750000</v>
      </c>
      <c r="R26" s="307">
        <f>Q26-E26</f>
        <v>0</v>
      </c>
      <c r="S26" s="280">
        <f>IFERROR(R26/$I26,"")</f>
        <v>0</v>
      </c>
      <c r="T26" s="55"/>
      <c r="U26" s="281">
        <f>SUM(E26,L26,O26,R26)</f>
        <v>787500</v>
      </c>
      <c r="V26" s="356">
        <f>U26/$U$43</f>
        <v>0.13305061836858822</v>
      </c>
      <c r="W26" s="288">
        <f>IFERROR(U26/E26,"")</f>
        <v>1.05</v>
      </c>
      <c r="X26" s="389">
        <f>IFERROR(U26/F26,"")</f>
        <v>1.0243902439024393</v>
      </c>
      <c r="Y26" s="352"/>
      <c r="Z26" s="395">
        <v>822937.5</v>
      </c>
      <c r="AA26" s="307">
        <f>Z26-SUM(R26,O26,L26)-E26</f>
        <v>35437.5</v>
      </c>
      <c r="AB26" s="280">
        <f>IFERROR(AA26/I26,"")</f>
        <v>0.48586118251928023</v>
      </c>
      <c r="AC26" s="280">
        <f>IFERROR(AA26/E26,"")</f>
        <v>4.725E-2</v>
      </c>
      <c r="AD26" s="401">
        <f>IFERROR(AA26/U26,"")</f>
        <v>4.4999999999999998E-2</v>
      </c>
      <c r="AE26" s="279">
        <f>IFERROR(AD26*V26,0%)</f>
        <v>5.9872778265864703E-3</v>
      </c>
      <c r="AF26" s="278">
        <f>IFERROR((G26-E26)/E26,0%)</f>
        <v>9.7250000000000003E-2</v>
      </c>
      <c r="AG26" s="277">
        <f>IFERROR(AF26*J26,0%)</f>
        <v>1.2871702108885556E-2</v>
      </c>
      <c r="AH26" s="276" t="b">
        <f>ROUND((G26-E26),0)=ROUND(SUM(L26,O26,R26,AA26),0)</f>
        <v>1</v>
      </c>
      <c r="AI26" s="21"/>
      <c r="AX26" s="16" t="s">
        <v>76</v>
      </c>
      <c r="AY26" s="16">
        <v>6</v>
      </c>
      <c r="AZ26" s="16">
        <f>13-AY27</f>
        <v>6</v>
      </c>
      <c r="BA26" s="443"/>
    </row>
    <row r="27" spans="2:53" s="16" customFormat="1" outlineLevel="1" x14ac:dyDescent="0.3">
      <c r="B27" s="436"/>
      <c r="C27" s="333" t="s">
        <v>565</v>
      </c>
      <c r="D27" s="352">
        <v>0</v>
      </c>
      <c r="E27" s="395">
        <v>0</v>
      </c>
      <c r="F27" s="391">
        <v>0</v>
      </c>
      <c r="G27" s="391">
        <v>0</v>
      </c>
      <c r="H27" s="288" t="str">
        <f>IFERROR(F27/D27-1,"")</f>
        <v/>
      </c>
      <c r="I27" s="393">
        <f>G27-E27</f>
        <v>0</v>
      </c>
      <c r="J27" s="52">
        <f>IFERROR(E27/E$43,"")</f>
        <v>0</v>
      </c>
      <c r="K27" s="391">
        <v>0</v>
      </c>
      <c r="L27" s="307">
        <f>K27-E27</f>
        <v>0</v>
      </c>
      <c r="M27" s="280" t="str">
        <f>IFERROR(L27/$I27,"")</f>
        <v/>
      </c>
      <c r="N27" s="391">
        <v>0</v>
      </c>
      <c r="O27" s="307">
        <f>N27-E27</f>
        <v>0</v>
      </c>
      <c r="P27" s="280" t="str">
        <f>IFERROR(O27/$I27,"")</f>
        <v/>
      </c>
      <c r="Q27" s="390">
        <v>0</v>
      </c>
      <c r="R27" s="307">
        <f>Q27-E27</f>
        <v>0</v>
      </c>
      <c r="S27" s="280" t="str">
        <f>IFERROR(R27/$I27,"")</f>
        <v/>
      </c>
      <c r="T27" s="55"/>
      <c r="U27" s="281">
        <f>SUM(E27,L27,O27,R27)</f>
        <v>0</v>
      </c>
      <c r="V27" s="356">
        <f>U27/$U$43</f>
        <v>0</v>
      </c>
      <c r="W27" s="288" t="str">
        <f>IFERROR(U27/E27,"")</f>
        <v/>
      </c>
      <c r="X27" s="389" t="str">
        <f>IFERROR(U27/F27,"")</f>
        <v/>
      </c>
      <c r="Y27" s="352"/>
      <c r="Z27" s="395">
        <v>0</v>
      </c>
      <c r="AA27" s="307">
        <f>Z27-SUM(R27,O27,L27)-E27</f>
        <v>0</v>
      </c>
      <c r="AB27" s="280" t="str">
        <f>IFERROR(AA27/I27,"")</f>
        <v/>
      </c>
      <c r="AC27" s="280" t="str">
        <f>IFERROR(AA27/E27,"")</f>
        <v/>
      </c>
      <c r="AD27" s="401" t="str">
        <f>IFERROR(AA27/U27,"")</f>
        <v/>
      </c>
      <c r="AE27" s="279">
        <f>IFERROR(AD27*V27,0%)</f>
        <v>0</v>
      </c>
      <c r="AF27" s="278">
        <f>IFERROR((G27-E27)/E27,0%)</f>
        <v>0</v>
      </c>
      <c r="AG27" s="277">
        <f>IFERROR(AF27*J27,0%)</f>
        <v>0</v>
      </c>
      <c r="AH27" s="276" t="b">
        <f>ROUND((G27-E27),0)=ROUND(SUM(L27,O27,R27,AA27),0)</f>
        <v>1</v>
      </c>
      <c r="AI27" s="21"/>
      <c r="AX27" s="16" t="s">
        <v>78</v>
      </c>
      <c r="AY27" s="16">
        <v>7</v>
      </c>
      <c r="AZ27" s="16">
        <f>13-AY31</f>
        <v>2</v>
      </c>
      <c r="BA27" s="443"/>
    </row>
    <row r="28" spans="2:53" s="16" customFormat="1" outlineLevel="1" x14ac:dyDescent="0.3">
      <c r="B28" s="436"/>
      <c r="C28" s="333" t="s">
        <v>564</v>
      </c>
      <c r="D28" s="352">
        <v>0</v>
      </c>
      <c r="E28" s="395">
        <v>0</v>
      </c>
      <c r="F28" s="391">
        <v>0</v>
      </c>
      <c r="G28" s="391">
        <v>0</v>
      </c>
      <c r="H28" s="288" t="str">
        <f>IFERROR(F28/D28-1,"")</f>
        <v/>
      </c>
      <c r="I28" s="393">
        <f>G28-E28</f>
        <v>0</v>
      </c>
      <c r="J28" s="52">
        <f>IFERROR(E28/E$43,"")</f>
        <v>0</v>
      </c>
      <c r="K28" s="391">
        <v>0</v>
      </c>
      <c r="L28" s="307">
        <f>K28-E28</f>
        <v>0</v>
      </c>
      <c r="M28" s="280" t="str">
        <f>IFERROR(L28/$I28,"")</f>
        <v/>
      </c>
      <c r="N28" s="391">
        <v>0</v>
      </c>
      <c r="O28" s="307">
        <f>N28-E28</f>
        <v>0</v>
      </c>
      <c r="P28" s="280" t="str">
        <f>IFERROR(O28/$I28,"")</f>
        <v/>
      </c>
      <c r="Q28" s="390">
        <v>0</v>
      </c>
      <c r="R28" s="307">
        <f>Q28-E28</f>
        <v>0</v>
      </c>
      <c r="S28" s="280" t="str">
        <f>IFERROR(R28/$I28,"")</f>
        <v/>
      </c>
      <c r="T28" s="55"/>
      <c r="U28" s="281">
        <f>SUM(E28,L28,O28,R28)</f>
        <v>0</v>
      </c>
      <c r="V28" s="356">
        <f>U28/$U$43</f>
        <v>0</v>
      </c>
      <c r="W28" s="288" t="str">
        <f>IFERROR(U28/E28,"")</f>
        <v/>
      </c>
      <c r="X28" s="389" t="str">
        <f>IFERROR(U28/F28,"")</f>
        <v/>
      </c>
      <c r="Y28" s="352"/>
      <c r="Z28" s="395">
        <v>0</v>
      </c>
      <c r="AA28" s="307">
        <f>Z28-SUM(R28,O28,L28)-E28</f>
        <v>0</v>
      </c>
      <c r="AB28" s="280" t="str">
        <f>IFERROR(AA28/I28,"")</f>
        <v/>
      </c>
      <c r="AC28" s="280" t="str">
        <f>IFERROR(AA28/E28,"")</f>
        <v/>
      </c>
      <c r="AD28" s="401" t="str">
        <f>IFERROR(AA28/U28,"")</f>
        <v/>
      </c>
      <c r="AE28" s="279">
        <f>IFERROR(AD28*V28,0%)</f>
        <v>0</v>
      </c>
      <c r="AF28" s="278">
        <f>IFERROR((G28-E28)/E28,0%)</f>
        <v>0</v>
      </c>
      <c r="AG28" s="277">
        <f>IFERROR(AF28*J28,0%)</f>
        <v>0</v>
      </c>
      <c r="AH28" s="276" t="b">
        <f>ROUND((G28-E28),0)=ROUND(SUM(L28,O28,R28,AA28),0)</f>
        <v>1</v>
      </c>
      <c r="AI28" s="21"/>
      <c r="AX28" s="441" t="s">
        <v>593</v>
      </c>
      <c r="AY28" s="16">
        <v>8</v>
      </c>
      <c r="AZ28" s="16">
        <f>13-AY32</f>
        <v>1</v>
      </c>
      <c r="BA28" s="443"/>
    </row>
    <row r="29" spans="2:53" s="16" customFormat="1" outlineLevel="1" x14ac:dyDescent="0.3">
      <c r="B29" s="436"/>
      <c r="C29" s="442" t="s">
        <v>77</v>
      </c>
      <c r="D29" s="324">
        <f>SUM(D30:D34)</f>
        <v>588000</v>
      </c>
      <c r="E29" s="327">
        <f>SUM(E30:E34)</f>
        <v>600000</v>
      </c>
      <c r="F29" s="327">
        <f>SUM(F30:F34)</f>
        <v>652500</v>
      </c>
      <c r="G29" s="327">
        <f>SUM(G30:G34)</f>
        <v>686175</v>
      </c>
      <c r="H29" s="329">
        <f>IFERROR(F29/D29-1,"")</f>
        <v>0.10969387755102034</v>
      </c>
      <c r="I29" s="324">
        <f>G29-E29</f>
        <v>86175</v>
      </c>
      <c r="J29" s="407">
        <f>IFERROR(E29/E$43,"")</f>
        <v>0.10588546721962411</v>
      </c>
      <c r="K29" s="324">
        <f>SUM(K30:K34)</f>
        <v>654000</v>
      </c>
      <c r="L29" s="404">
        <f>SUM(L30:L34)</f>
        <v>54000</v>
      </c>
      <c r="M29" s="326">
        <f>IFERROR(L29/$I29,"")</f>
        <v>0.62663185378590081</v>
      </c>
      <c r="N29" s="324">
        <f>SUM(N30:N34)</f>
        <v>601000</v>
      </c>
      <c r="O29" s="404">
        <f>N29-E29</f>
        <v>1000</v>
      </c>
      <c r="P29" s="326">
        <f>IFERROR(O29/$I29,"")</f>
        <v>1.1604293588627792E-2</v>
      </c>
      <c r="Q29" s="404">
        <f>SUM(Q30:Q34)</f>
        <v>600000</v>
      </c>
      <c r="R29" s="406">
        <f>Q29-E29</f>
        <v>0</v>
      </c>
      <c r="S29" s="326">
        <f>IFERROR(R29/$I29,"")</f>
        <v>0</v>
      </c>
      <c r="T29" s="325"/>
      <c r="U29" s="324">
        <f>SUM(U30:U34)</f>
        <v>655000</v>
      </c>
      <c r="V29" s="323">
        <f>U29/$U$43</f>
        <v>0.11066432384942894</v>
      </c>
      <c r="W29" s="322">
        <f>IFERROR(U29/E29,"")</f>
        <v>1.0916666666666666</v>
      </c>
      <c r="X29" s="322">
        <f>IFERROR(U29/F29,"")</f>
        <v>1.0038314176245211</v>
      </c>
      <c r="Y29" s="405"/>
      <c r="Z29" s="319">
        <f>SUM(Z30:Z34)</f>
        <v>686175</v>
      </c>
      <c r="AA29" s="404">
        <f>SUM(AA30:AA34)</f>
        <v>31174.999999999985</v>
      </c>
      <c r="AB29" s="326">
        <f>IFERROR(AA29/I29,"")</f>
        <v>0.36176385262547128</v>
      </c>
      <c r="AC29" s="326">
        <f>IFERROR(AA29/E29,"")</f>
        <v>5.1958333333333308E-2</v>
      </c>
      <c r="AD29" s="403">
        <f>IFERROR(AA29/U29,"")</f>
        <v>4.7595419847328221E-2</v>
      </c>
      <c r="AE29" s="402">
        <f>IFERROR(AD29*V29,0%)</f>
        <v>5.2671149557342676E-3</v>
      </c>
      <c r="AF29" s="314">
        <f>IFERROR((G29-E29)/E29,0%)</f>
        <v>0.143625</v>
      </c>
      <c r="AG29" s="313">
        <f>IFERROR(AF29*J29,0%)</f>
        <v>1.5207800229418512E-2</v>
      </c>
      <c r="AH29" s="312" t="b">
        <f>ROUND((G29-E29),0)=ROUND(SUM(L29,O29,R29,AA29),0)</f>
        <v>1</v>
      </c>
      <c r="AI29" s="21"/>
      <c r="AX29" s="441" t="s">
        <v>79</v>
      </c>
      <c r="AY29" s="16">
        <v>9</v>
      </c>
      <c r="AZ29" s="21"/>
      <c r="BA29" s="21"/>
    </row>
    <row r="30" spans="2:53" s="16" customFormat="1" outlineLevel="1" x14ac:dyDescent="0.3">
      <c r="B30" s="436"/>
      <c r="C30" s="308" t="s">
        <v>563</v>
      </c>
      <c r="D30" s="352">
        <v>490000</v>
      </c>
      <c r="E30" s="395">
        <v>500000</v>
      </c>
      <c r="F30" s="391">
        <v>550000</v>
      </c>
      <c r="G30" s="352">
        <v>577500</v>
      </c>
      <c r="H30" s="394">
        <f>IFERROR(F30/D30-1,"")</f>
        <v>0.12244897959183665</v>
      </c>
      <c r="I30" s="393">
        <f>G30-E30</f>
        <v>77500</v>
      </c>
      <c r="J30" s="52">
        <f>IFERROR(E30/E$43,"")</f>
        <v>8.8237889349686752E-2</v>
      </c>
      <c r="K30" s="391">
        <v>550000</v>
      </c>
      <c r="L30" s="307">
        <f>K30-E30</f>
        <v>50000</v>
      </c>
      <c r="M30" s="280">
        <f>IFERROR(L30/$I30,"")</f>
        <v>0.64516129032258063</v>
      </c>
      <c r="N30" s="391">
        <v>500000</v>
      </c>
      <c r="O30" s="307">
        <f>N30-E30</f>
        <v>0</v>
      </c>
      <c r="P30" s="280">
        <f>IFERROR(O30/$I30,"")</f>
        <v>0</v>
      </c>
      <c r="Q30" s="390">
        <v>500000</v>
      </c>
      <c r="R30" s="307">
        <f>Q30-E30</f>
        <v>0</v>
      </c>
      <c r="S30" s="280">
        <f>IFERROR(R30/$I30,"")</f>
        <v>0</v>
      </c>
      <c r="T30" s="55"/>
      <c r="U30" s="281">
        <f>SUM(E30,L30,O30,R30)</f>
        <v>550000</v>
      </c>
      <c r="V30" s="356">
        <f>U30/$U$43</f>
        <v>9.2924241400283838E-2</v>
      </c>
      <c r="W30" s="288">
        <f>IFERROR(U30/E30,"")</f>
        <v>1.1000000000000001</v>
      </c>
      <c r="X30" s="389">
        <f>IFERROR(U30/F30,"")</f>
        <v>1</v>
      </c>
      <c r="Y30" s="352"/>
      <c r="Z30" s="388">
        <v>577500</v>
      </c>
      <c r="AA30" s="307">
        <f>Z30-SUM(R30,O30,L30)-E30</f>
        <v>27500</v>
      </c>
      <c r="AB30" s="280">
        <f>IFERROR(AA30/I30,"")</f>
        <v>0.35483870967741937</v>
      </c>
      <c r="AC30" s="280">
        <f>IFERROR(AA30/E30,"")</f>
        <v>5.5E-2</v>
      </c>
      <c r="AD30" s="401">
        <f>IFERROR(AA30/U30,"")</f>
        <v>0.05</v>
      </c>
      <c r="AE30" s="279">
        <f>IFERROR(AD30*V30,0%)</f>
        <v>4.6462120700141918E-3</v>
      </c>
      <c r="AF30" s="278">
        <f>IFERROR((G30-E30)/E30,0%)</f>
        <v>0.155</v>
      </c>
      <c r="AG30" s="277">
        <f>IFERROR(AF30*J30,0%)</f>
        <v>1.3676872849201447E-2</v>
      </c>
      <c r="AH30" s="276" t="b">
        <f>ROUND((G30-E30),0)=ROUND(SUM(L30,O30,R30,AA30),0)</f>
        <v>1</v>
      </c>
      <c r="AI30" s="21"/>
      <c r="AX30" s="441" t="s">
        <v>81</v>
      </c>
      <c r="AY30" s="16">
        <v>10</v>
      </c>
      <c r="AZ30" s="21"/>
      <c r="BA30" s="21"/>
    </row>
    <row r="31" spans="2:53" s="16" customFormat="1" outlineLevel="1" x14ac:dyDescent="0.3">
      <c r="B31" s="436"/>
      <c r="C31" s="308" t="s">
        <v>562</v>
      </c>
      <c r="D31" s="352">
        <v>98000</v>
      </c>
      <c r="E31" s="395">
        <v>100000</v>
      </c>
      <c r="F31" s="391">
        <v>102499.99999999999</v>
      </c>
      <c r="G31" s="352">
        <v>108674.99999999999</v>
      </c>
      <c r="H31" s="394">
        <f>IFERROR(F31/D31-1,"")</f>
        <v>4.5918367346938549E-2</v>
      </c>
      <c r="I31" s="393">
        <f>G31-E31</f>
        <v>8674.9999999999854</v>
      </c>
      <c r="J31" s="52">
        <f>IFERROR(E31/E$43,"")</f>
        <v>1.7647577869937352E-2</v>
      </c>
      <c r="K31" s="391">
        <v>104000</v>
      </c>
      <c r="L31" s="307">
        <f>K31-E31</f>
        <v>4000</v>
      </c>
      <c r="M31" s="280">
        <f>IFERROR(L31/$I31,"")</f>
        <v>0.46109510086455407</v>
      </c>
      <c r="N31" s="391">
        <v>101000</v>
      </c>
      <c r="O31" s="307">
        <f>N31-E31</f>
        <v>1000</v>
      </c>
      <c r="P31" s="280">
        <f>IFERROR(O31/$I31,"")</f>
        <v>0.11527377521613852</v>
      </c>
      <c r="Q31" s="390">
        <v>100000</v>
      </c>
      <c r="R31" s="307">
        <f>Q31-E31</f>
        <v>0</v>
      </c>
      <c r="S31" s="280">
        <f>IFERROR(R31/$I31,"")</f>
        <v>0</v>
      </c>
      <c r="T31" s="55"/>
      <c r="U31" s="281">
        <f>SUM(E31,L31,O31,R31)</f>
        <v>105000</v>
      </c>
      <c r="V31" s="356">
        <f>U31/$U$43</f>
        <v>1.7740082449145097E-2</v>
      </c>
      <c r="W31" s="288">
        <f>IFERROR(U31/E31,"")</f>
        <v>1.05</v>
      </c>
      <c r="X31" s="389">
        <f>IFERROR(U31/F31,"")</f>
        <v>1.0243902439024393</v>
      </c>
      <c r="Y31" s="352"/>
      <c r="Z31" s="388">
        <v>108674.99999999999</v>
      </c>
      <c r="AA31" s="307">
        <f>Z31-SUM(R31,O31,L31)-E31</f>
        <v>3674.9999999999854</v>
      </c>
      <c r="AB31" s="280">
        <f>IFERROR(AA31/I31,"")</f>
        <v>0.42363112391930741</v>
      </c>
      <c r="AC31" s="280">
        <f>IFERROR(AA31/E31,"")</f>
        <v>3.6749999999999852E-2</v>
      </c>
      <c r="AD31" s="401">
        <f>IFERROR(AA31/U31,"")</f>
        <v>3.4999999999999865E-2</v>
      </c>
      <c r="AE31" s="279">
        <f>IFERROR(AD31*V31,0%)</f>
        <v>6.2090288572007595E-4</v>
      </c>
      <c r="AF31" s="278">
        <f>IFERROR((G31-E31)/E31,0%)</f>
        <v>8.6749999999999855E-2</v>
      </c>
      <c r="AG31" s="277">
        <f>IFERROR(AF31*J31,0%)</f>
        <v>1.5309273802170628E-3</v>
      </c>
      <c r="AH31" s="276" t="b">
        <f>ROUND((G31-E31),0)=ROUND(SUM(L31,O31,R31,AA31),0)</f>
        <v>1</v>
      </c>
      <c r="AI31" s="21"/>
      <c r="AX31" s="16" t="s">
        <v>83</v>
      </c>
      <c r="AY31" s="16">
        <v>11</v>
      </c>
      <c r="AZ31" s="21"/>
      <c r="BA31" s="21"/>
    </row>
    <row r="32" spans="2:53" s="16" customFormat="1" outlineLevel="1" x14ac:dyDescent="0.3">
      <c r="B32" s="436"/>
      <c r="C32" s="308" t="s">
        <v>561</v>
      </c>
      <c r="D32" s="352">
        <v>0</v>
      </c>
      <c r="E32" s="395">
        <v>0</v>
      </c>
      <c r="F32" s="391">
        <v>0</v>
      </c>
      <c r="G32" s="352">
        <v>0</v>
      </c>
      <c r="H32" s="394" t="str">
        <f>IFERROR(F32/D32-1,"")</f>
        <v/>
      </c>
      <c r="I32" s="393">
        <f>G32-E32</f>
        <v>0</v>
      </c>
      <c r="J32" s="52">
        <f>IFERROR(E32/E$43,"")</f>
        <v>0</v>
      </c>
      <c r="K32" s="391">
        <v>0</v>
      </c>
      <c r="L32" s="307">
        <f>K32-E32</f>
        <v>0</v>
      </c>
      <c r="M32" s="280" t="str">
        <f>IFERROR(L32/$I32,"")</f>
        <v/>
      </c>
      <c r="N32" s="391">
        <v>0</v>
      </c>
      <c r="O32" s="307">
        <f>N32-E32</f>
        <v>0</v>
      </c>
      <c r="P32" s="280" t="str">
        <f>IFERROR(O32/$I32,"")</f>
        <v/>
      </c>
      <c r="Q32" s="390">
        <v>0</v>
      </c>
      <c r="R32" s="307">
        <f>Q32-E32</f>
        <v>0</v>
      </c>
      <c r="S32" s="280" t="str">
        <f>IFERROR(R32/$I32,"")</f>
        <v/>
      </c>
      <c r="T32" s="55"/>
      <c r="U32" s="281">
        <f>SUM(E32,L32,O32,R32)</f>
        <v>0</v>
      </c>
      <c r="V32" s="356">
        <f>U32/$U$43</f>
        <v>0</v>
      </c>
      <c r="W32" s="288" t="str">
        <f>IFERROR(U32/E32,"")</f>
        <v/>
      </c>
      <c r="X32" s="389" t="str">
        <f>IFERROR(U32/F32,"")</f>
        <v/>
      </c>
      <c r="Y32" s="352"/>
      <c r="Z32" s="388">
        <v>0</v>
      </c>
      <c r="AA32" s="307">
        <f>Z32-SUM(R32,O32,L32)-E32</f>
        <v>0</v>
      </c>
      <c r="AB32" s="280" t="str">
        <f>IFERROR(AA32/I32,"")</f>
        <v/>
      </c>
      <c r="AC32" s="280" t="str">
        <f>IFERROR(AA32/E32,"")</f>
        <v/>
      </c>
      <c r="AD32" s="401" t="str">
        <f>IFERROR(AA32/U32,"")</f>
        <v/>
      </c>
      <c r="AE32" s="279">
        <f>IFERROR(AD32*V32,0%)</f>
        <v>0</v>
      </c>
      <c r="AF32" s="278">
        <f>IFERROR((G32-E32)/E32,0%)</f>
        <v>0</v>
      </c>
      <c r="AG32" s="277">
        <f>IFERROR(AF32*J32,0%)</f>
        <v>0</v>
      </c>
      <c r="AH32" s="276" t="b">
        <f>ROUND((G32-E32),0)=ROUND(SUM(L32,O32,R32,AA32),0)</f>
        <v>1</v>
      </c>
      <c r="AI32" s="21"/>
      <c r="AX32" s="16" t="s">
        <v>85</v>
      </c>
      <c r="AY32" s="16">
        <v>12</v>
      </c>
      <c r="AZ32" s="21"/>
      <c r="BA32" s="21"/>
    </row>
    <row r="33" spans="2:53" s="16" customFormat="1" outlineLevel="1" x14ac:dyDescent="0.3">
      <c r="B33" s="436"/>
      <c r="C33" s="308" t="s">
        <v>561</v>
      </c>
      <c r="D33" s="352">
        <v>0</v>
      </c>
      <c r="E33" s="395">
        <v>0</v>
      </c>
      <c r="F33" s="391">
        <v>0</v>
      </c>
      <c r="G33" s="352">
        <v>0</v>
      </c>
      <c r="H33" s="394" t="str">
        <f>IFERROR(F33/D33-1,"")</f>
        <v/>
      </c>
      <c r="I33" s="393">
        <f>G33-E33</f>
        <v>0</v>
      </c>
      <c r="J33" s="52">
        <f>IFERROR(E33/E$43,"")</f>
        <v>0</v>
      </c>
      <c r="K33" s="391">
        <v>0</v>
      </c>
      <c r="L33" s="307">
        <f>K33-E33</f>
        <v>0</v>
      </c>
      <c r="M33" s="280" t="str">
        <f>IFERROR(L33/$I33,"")</f>
        <v/>
      </c>
      <c r="N33" s="391">
        <v>0</v>
      </c>
      <c r="O33" s="307">
        <f>N33-E33</f>
        <v>0</v>
      </c>
      <c r="P33" s="280" t="str">
        <f>IFERROR(O33/$I33,"")</f>
        <v/>
      </c>
      <c r="Q33" s="390">
        <v>0</v>
      </c>
      <c r="R33" s="307">
        <f>Q33-E33</f>
        <v>0</v>
      </c>
      <c r="S33" s="280" t="str">
        <f>IFERROR(R33/$I33,"")</f>
        <v/>
      </c>
      <c r="T33" s="55"/>
      <c r="U33" s="281">
        <f>SUM(E33,L33,O33,R33)</f>
        <v>0</v>
      </c>
      <c r="V33" s="356">
        <f>U33/$U$43</f>
        <v>0</v>
      </c>
      <c r="W33" s="288" t="str">
        <f>IFERROR(U33/E33,"")</f>
        <v/>
      </c>
      <c r="X33" s="389" t="str">
        <f>IFERROR(U33/F33,"")</f>
        <v/>
      </c>
      <c r="Y33" s="352"/>
      <c r="Z33" s="388">
        <v>0</v>
      </c>
      <c r="AA33" s="307">
        <f>Z33-SUM(R33,O33,L33)-E33</f>
        <v>0</v>
      </c>
      <c r="AB33" s="280" t="str">
        <f>IFERROR(AA33/I33,"")</f>
        <v/>
      </c>
      <c r="AC33" s="280" t="str">
        <f>IFERROR(AA33/E33,"")</f>
        <v/>
      </c>
      <c r="AD33" s="401" t="str">
        <f>IFERROR(AA33/U33,"")</f>
        <v/>
      </c>
      <c r="AE33" s="279">
        <f>IFERROR(AD33*V33,0%)</f>
        <v>0</v>
      </c>
      <c r="AF33" s="278">
        <f>IFERROR((G33-E33)/E33,0%)</f>
        <v>0</v>
      </c>
      <c r="AG33" s="277">
        <f>IFERROR(AF33*J33,0%)</f>
        <v>0</v>
      </c>
      <c r="AH33" s="276" t="b">
        <f>ROUND((G33-E33),0)=ROUND(SUM(L33,O33,R33,AA33),0)</f>
        <v>1</v>
      </c>
      <c r="AI33" s="21"/>
    </row>
    <row r="34" spans="2:53" s="16" customFormat="1" outlineLevel="1" x14ac:dyDescent="0.3">
      <c r="B34" s="436"/>
      <c r="C34" s="308" t="s">
        <v>561</v>
      </c>
      <c r="D34" s="352">
        <v>0</v>
      </c>
      <c r="E34" s="395">
        <v>0</v>
      </c>
      <c r="F34" s="391">
        <v>0</v>
      </c>
      <c r="G34" s="352">
        <v>0</v>
      </c>
      <c r="H34" s="394" t="str">
        <f>IFERROR(F34/D34-1,"")</f>
        <v/>
      </c>
      <c r="I34" s="393">
        <f>G34-E34</f>
        <v>0</v>
      </c>
      <c r="J34" s="52">
        <f>IFERROR(E34/E$43,"")</f>
        <v>0</v>
      </c>
      <c r="K34" s="391">
        <v>0</v>
      </c>
      <c r="L34" s="307">
        <f>K34-E34</f>
        <v>0</v>
      </c>
      <c r="M34" s="280" t="str">
        <f>IFERROR(L34/$I34,"")</f>
        <v/>
      </c>
      <c r="N34" s="391">
        <v>0</v>
      </c>
      <c r="O34" s="307">
        <f>N34-E34</f>
        <v>0</v>
      </c>
      <c r="P34" s="280" t="str">
        <f>IFERROR(O34/$I34,"")</f>
        <v/>
      </c>
      <c r="Q34" s="390">
        <v>0</v>
      </c>
      <c r="R34" s="307">
        <f>Q34-E34</f>
        <v>0</v>
      </c>
      <c r="S34" s="280" t="str">
        <f>IFERROR(R34/$I34,"")</f>
        <v/>
      </c>
      <c r="T34" s="55"/>
      <c r="U34" s="281">
        <f>SUM(E34,L34,O34,R34)</f>
        <v>0</v>
      </c>
      <c r="V34" s="356">
        <f>U34/$U$43</f>
        <v>0</v>
      </c>
      <c r="W34" s="288" t="str">
        <f>IFERROR(U34/E34,"")</f>
        <v/>
      </c>
      <c r="X34" s="389" t="str">
        <f>IFERROR(U34/F34,"")</f>
        <v/>
      </c>
      <c r="Y34" s="352"/>
      <c r="Z34" s="388">
        <v>0</v>
      </c>
      <c r="AA34" s="307">
        <f>Z34-SUM(R34,O34,L34)-E34</f>
        <v>0</v>
      </c>
      <c r="AB34" s="280" t="str">
        <f>IFERROR(AA34/I34,"")</f>
        <v/>
      </c>
      <c r="AC34" s="280" t="str">
        <f>IFERROR(AA34/E34,"")</f>
        <v/>
      </c>
      <c r="AD34" s="400" t="str">
        <f>IFERROR(AA34/U34,"")</f>
        <v/>
      </c>
      <c r="AE34" s="279">
        <f>IFERROR(AD34*V34,0%)</f>
        <v>0</v>
      </c>
      <c r="AF34" s="278">
        <f>IFERROR((G34-E34)/E34,0%)</f>
        <v>0</v>
      </c>
      <c r="AG34" s="277">
        <f>IFERROR(AF34*J34,0%)</f>
        <v>0</v>
      </c>
      <c r="AH34" s="276" t="b">
        <f>ROUND((G34-E34),0)=ROUND(SUM(L34,O34,R34,AA34),0)</f>
        <v>1</v>
      </c>
      <c r="AI34" s="21"/>
    </row>
    <row r="35" spans="2:53" s="16" customFormat="1" x14ac:dyDescent="0.3">
      <c r="B35" s="436"/>
      <c r="C35" s="440" t="s">
        <v>560</v>
      </c>
      <c r="D35" s="350">
        <v>98000</v>
      </c>
      <c r="E35" s="380">
        <v>100000</v>
      </c>
      <c r="F35" s="384">
        <v>102499.99999999999</v>
      </c>
      <c r="G35" s="350">
        <v>108160</v>
      </c>
      <c r="H35" s="386">
        <f>IFERROR(F35/D35-1,"")</f>
        <v>4.5918367346938549E-2</v>
      </c>
      <c r="I35" s="383">
        <f>G35-E35</f>
        <v>8160</v>
      </c>
      <c r="J35" s="22">
        <f>IFERROR(E35/E$43,"")</f>
        <v>1.7647577869937352E-2</v>
      </c>
      <c r="K35" s="384">
        <v>104000</v>
      </c>
      <c r="L35" s="303">
        <f>K35-E35</f>
        <v>4000</v>
      </c>
      <c r="M35" s="266">
        <f>IFERROR(L35/$I35,"")</f>
        <v>0.49019607843137253</v>
      </c>
      <c r="N35" s="384">
        <v>100000</v>
      </c>
      <c r="O35" s="307">
        <f>N35-E35</f>
        <v>0</v>
      </c>
      <c r="P35" s="266">
        <f>IFERROR(O35/$I35,"")</f>
        <v>0</v>
      </c>
      <c r="Q35" s="399">
        <v>100000</v>
      </c>
      <c r="R35" s="307">
        <f>Q35-E35</f>
        <v>0</v>
      </c>
      <c r="S35" s="266">
        <f>IFERROR(R35/$I35,"")</f>
        <v>0</v>
      </c>
      <c r="T35" s="55"/>
      <c r="U35" s="383">
        <f>SUM(E35,L35,O35,R35)</f>
        <v>104000</v>
      </c>
      <c r="V35" s="382">
        <f>U35/$U$43</f>
        <v>1.7571129282962762E-2</v>
      </c>
      <c r="W35" s="305">
        <f>IFERROR(U35/E35,"")</f>
        <v>1.04</v>
      </c>
      <c r="X35" s="381">
        <f>IFERROR(U35/F35,"")</f>
        <v>1.0146341463414636</v>
      </c>
      <c r="Y35" s="350"/>
      <c r="Z35" s="398">
        <v>108160</v>
      </c>
      <c r="AA35" s="303">
        <f>Z35-SUM(R35,O35,L35)-E35</f>
        <v>4160</v>
      </c>
      <c r="AB35" s="266">
        <f>IFERROR(AA35/I35,"")</f>
        <v>0.50980392156862742</v>
      </c>
      <c r="AC35" s="266">
        <f>IFERROR(AA35/E35,"")</f>
        <v>4.1599999999999998E-2</v>
      </c>
      <c r="AD35" s="264">
        <f>IFERROR(AA35/U35,"")</f>
        <v>0.04</v>
      </c>
      <c r="AE35" s="265">
        <f>IFERROR(AD35*V35,0%)</f>
        <v>7.028451713185105E-4</v>
      </c>
      <c r="AF35" s="264">
        <f>IFERROR((G35-E35)/E35,0%)</f>
        <v>8.1600000000000006E-2</v>
      </c>
      <c r="AG35" s="263">
        <f>IFERROR(AF35*J35,0%)</f>
        <v>1.440042354186888E-3</v>
      </c>
      <c r="AH35" s="299" t="b">
        <f>ROUND((G35-E35),0)=ROUND(SUM(L35,O35,R35,AA35),0)</f>
        <v>1</v>
      </c>
      <c r="AI35" s="21"/>
    </row>
    <row r="36" spans="2:53" s="16" customFormat="1" x14ac:dyDescent="0.3">
      <c r="B36" s="436"/>
      <c r="C36" s="435" t="s">
        <v>303</v>
      </c>
      <c r="D36" s="257">
        <f>SUM(D37:D41)</f>
        <v>88200</v>
      </c>
      <c r="E36" s="295">
        <f>SUM(E37:E41)</f>
        <v>90000</v>
      </c>
      <c r="F36" s="295">
        <f>SUM(F37:F41)</f>
        <v>92249.999999999985</v>
      </c>
      <c r="G36" s="295">
        <f>SUM(G37:G41)</f>
        <v>95960.499999999985</v>
      </c>
      <c r="H36" s="251">
        <f>IFERROR(F36/D36-1,"")</f>
        <v>4.5918367346938549E-2</v>
      </c>
      <c r="I36" s="257">
        <f>G36-E36</f>
        <v>5960.4999999999854</v>
      </c>
      <c r="J36" s="259">
        <f>IFERROR(E36/E$43,"")</f>
        <v>1.5882820082943616E-2</v>
      </c>
      <c r="K36" s="257">
        <f>SUM(K37:K41)</f>
        <v>91000</v>
      </c>
      <c r="L36" s="257">
        <f>SUM(L37:L41)</f>
        <v>1000</v>
      </c>
      <c r="M36" s="294">
        <f>IFERROR(L36/$I36,"")</f>
        <v>0.16777116013757276</v>
      </c>
      <c r="N36" s="257">
        <f>SUM(N37:N41)</f>
        <v>91500</v>
      </c>
      <c r="O36" s="257">
        <f>SUM(O37:O41)</f>
        <v>1500</v>
      </c>
      <c r="P36" s="294">
        <f>IFERROR(O36/$I36,"")</f>
        <v>0.25165674020635914</v>
      </c>
      <c r="Q36" s="257">
        <f>SUM(Q37:Q41)</f>
        <v>91000</v>
      </c>
      <c r="R36" s="257">
        <f>SUM(R37:R41)</f>
        <v>1000</v>
      </c>
      <c r="S36" s="294">
        <f>IFERROR(R36/$I36,"")</f>
        <v>0.16777116013757276</v>
      </c>
      <c r="T36" s="55"/>
      <c r="U36" s="257">
        <f>SUM(U37:U41)</f>
        <v>93500</v>
      </c>
      <c r="V36" s="256">
        <f>U36/$U$43</f>
        <v>1.5797121038048253E-2</v>
      </c>
      <c r="W36" s="322">
        <f>IFERROR(U36/E36,"")</f>
        <v>1.038888888888889</v>
      </c>
      <c r="X36" s="251">
        <f>IFERROR(U36/F36,"")</f>
        <v>1.0135501355013552</v>
      </c>
      <c r="Y36" s="350"/>
      <c r="Z36" s="397">
        <f>SUM(Z37:Z41)</f>
        <v>95960.499999999985</v>
      </c>
      <c r="AA36" s="396">
        <f>SUM(AA37:AA41)</f>
        <v>2460.4999999999891</v>
      </c>
      <c r="AB36" s="293">
        <f>IFERROR(AA36/I36,"")</f>
        <v>0.41280093951849595</v>
      </c>
      <c r="AC36" s="293">
        <f>IFERROR(AA36/E36,"")</f>
        <v>2.7338888888888767E-2</v>
      </c>
      <c r="AD36" s="250">
        <f>IFERROR(AA36/U36,"")</f>
        <v>2.6315508021390259E-2</v>
      </c>
      <c r="AE36" s="292">
        <f>IFERROR(AD36*V36,0%)</f>
        <v>4.1570926539163163E-4</v>
      </c>
      <c r="AF36" s="291">
        <f>IFERROR((G36-E36)/E36,0%)</f>
        <v>6.6227777777777622E-2</v>
      </c>
      <c r="AG36" s="290">
        <f>IFERROR(AF36*J36,0%)</f>
        <v>1.0518838789376134E-3</v>
      </c>
      <c r="AH36" s="246" t="b">
        <f>ROUND((G36-E36),0)=ROUND(SUM(L36,O36,R36,AA36),0)</f>
        <v>1</v>
      </c>
      <c r="AI36" s="21"/>
    </row>
    <row r="37" spans="2:53" s="16" customFormat="1" outlineLevel="1" x14ac:dyDescent="0.3">
      <c r="B37" s="436"/>
      <c r="C37" s="308" t="s">
        <v>559</v>
      </c>
      <c r="D37" s="352">
        <v>58800</v>
      </c>
      <c r="E37" s="395">
        <v>60000</v>
      </c>
      <c r="F37" s="391">
        <v>61499.999999999993</v>
      </c>
      <c r="G37" s="352">
        <v>63937.499999999993</v>
      </c>
      <c r="H37" s="394">
        <f>IFERROR(F37/D37-1,"")</f>
        <v>4.5918367346938549E-2</v>
      </c>
      <c r="I37" s="393">
        <f>G37-E37</f>
        <v>3937.4999999999927</v>
      </c>
      <c r="J37" s="52">
        <f>IFERROR(E37/E$43,"")</f>
        <v>1.0588546721962411E-2</v>
      </c>
      <c r="K37" s="391">
        <v>60500</v>
      </c>
      <c r="L37" s="307">
        <f>K37-E37</f>
        <v>500</v>
      </c>
      <c r="M37" s="280">
        <f>IFERROR(L37/$I37,"")</f>
        <v>0.12698412698412723</v>
      </c>
      <c r="N37" s="391">
        <v>61000</v>
      </c>
      <c r="O37" s="307">
        <f>N37-E37</f>
        <v>1000</v>
      </c>
      <c r="P37" s="280">
        <f>IFERROR(O37/$I37,"")</f>
        <v>0.25396825396825445</v>
      </c>
      <c r="Q37" s="390">
        <v>61000</v>
      </c>
      <c r="R37" s="307">
        <f>Q37-E37</f>
        <v>1000</v>
      </c>
      <c r="S37" s="280">
        <f>IFERROR(R37/$I37,"")</f>
        <v>0.25396825396825445</v>
      </c>
      <c r="T37" s="55"/>
      <c r="U37" s="281">
        <f>SUM(E37,L37,O37,R37)</f>
        <v>62500</v>
      </c>
      <c r="V37" s="356">
        <f>U37/$U$43</f>
        <v>1.055957288639589E-2</v>
      </c>
      <c r="W37" s="288">
        <f>IFERROR(U37/E37,"")</f>
        <v>1.0416666666666667</v>
      </c>
      <c r="X37" s="389">
        <f>IFERROR(U37/F37,"")</f>
        <v>1.0162601626016261</v>
      </c>
      <c r="Y37" s="352"/>
      <c r="Z37" s="388">
        <v>63937.499999999993</v>
      </c>
      <c r="AA37" s="307">
        <f>Z37-SUM(R37,O37,L37)-E37</f>
        <v>1437.4999999999927</v>
      </c>
      <c r="AB37" s="280">
        <f>IFERROR(AA37/I37,"")</f>
        <v>0.36507936507936389</v>
      </c>
      <c r="AC37" s="280">
        <f>IFERROR(AA37/E37,"")</f>
        <v>2.3958333333333214E-2</v>
      </c>
      <c r="AD37" s="278">
        <f>IFERROR(AA37/U37,"")</f>
        <v>2.2999999999999885E-2</v>
      </c>
      <c r="AE37" s="279">
        <f>IFERROR(AD37*V37,0%)</f>
        <v>2.4287017638710426E-4</v>
      </c>
      <c r="AF37" s="278">
        <f>IFERROR((G37-E37)/E37,0%)</f>
        <v>6.5624999999999878E-2</v>
      </c>
      <c r="AG37" s="277">
        <f>IFERROR(AF37*J37,0%)</f>
        <v>6.948733786287819E-4</v>
      </c>
      <c r="AH37" s="276" t="b">
        <f>ROUND((G37-E37),0)=ROUND(SUM(L37,O37,R37,AA37),0)</f>
        <v>1</v>
      </c>
      <c r="AI37" s="21"/>
    </row>
    <row r="38" spans="2:53" s="16" customFormat="1" outlineLevel="1" x14ac:dyDescent="0.3">
      <c r="B38" s="436"/>
      <c r="C38" s="308" t="s">
        <v>558</v>
      </c>
      <c r="D38" s="352">
        <v>29400</v>
      </c>
      <c r="E38" s="395">
        <v>30000</v>
      </c>
      <c r="F38" s="391">
        <v>30749.999999999996</v>
      </c>
      <c r="G38" s="352">
        <v>32022.999999999996</v>
      </c>
      <c r="H38" s="394">
        <f>IFERROR(F38/D38-1,"")</f>
        <v>4.5918367346938549E-2</v>
      </c>
      <c r="I38" s="393">
        <f>G38-E38</f>
        <v>2022.9999999999964</v>
      </c>
      <c r="J38" s="52">
        <f>IFERROR(E38/E$43,"")</f>
        <v>5.2942733609812054E-3</v>
      </c>
      <c r="K38" s="391">
        <v>30500</v>
      </c>
      <c r="L38" s="307">
        <f>K38-E38</f>
        <v>500</v>
      </c>
      <c r="M38" s="280">
        <f>IFERROR(L38/$I38,"")</f>
        <v>0.24715768660405382</v>
      </c>
      <c r="N38" s="391">
        <v>30500</v>
      </c>
      <c r="O38" s="307">
        <f>N38-E38</f>
        <v>500</v>
      </c>
      <c r="P38" s="280">
        <f>IFERROR(O38/$I38,"")</f>
        <v>0.24715768660405382</v>
      </c>
      <c r="Q38" s="390">
        <v>30000</v>
      </c>
      <c r="R38" s="307">
        <f>Q38-E38</f>
        <v>0</v>
      </c>
      <c r="S38" s="280">
        <f>IFERROR(R38/$I38,"")</f>
        <v>0</v>
      </c>
      <c r="T38" s="55"/>
      <c r="U38" s="281">
        <f>SUM(E38,L38,O38,R38)</f>
        <v>31000</v>
      </c>
      <c r="V38" s="356">
        <f>U38/$U$43</f>
        <v>5.2375481516523615E-3</v>
      </c>
      <c r="W38" s="288">
        <f>IFERROR(U38/E38,"")</f>
        <v>1.0333333333333334</v>
      </c>
      <c r="X38" s="389">
        <f>IFERROR(U38/F38,"")</f>
        <v>1.0081300813008132</v>
      </c>
      <c r="Y38" s="352"/>
      <c r="Z38" s="388">
        <v>32022.999999999996</v>
      </c>
      <c r="AA38" s="307">
        <f>Z38-SUM(R38,O38,L38)-E38</f>
        <v>1022.9999999999964</v>
      </c>
      <c r="AB38" s="280">
        <f>IFERROR(AA38/I38,"")</f>
        <v>0.5056846267918923</v>
      </c>
      <c r="AC38" s="280">
        <f>IFERROR(AA38/E38,"")</f>
        <v>3.409999999999988E-2</v>
      </c>
      <c r="AD38" s="278">
        <f>IFERROR(AA38/U38,"")</f>
        <v>3.2999999999999884E-2</v>
      </c>
      <c r="AE38" s="279">
        <f>IFERROR(AD38*V38,0%)</f>
        <v>1.7283908900452732E-4</v>
      </c>
      <c r="AF38" s="278">
        <f>IFERROR((G38-E38)/E38,0%)</f>
        <v>6.7433333333333206E-2</v>
      </c>
      <c r="AG38" s="277">
        <f>IFERROR(AF38*J38,0%)</f>
        <v>3.5701050030883196E-4</v>
      </c>
      <c r="AH38" s="276" t="b">
        <f>ROUND((G38-E38),0)=ROUND(SUM(L38,O38,R38,AA38),0)</f>
        <v>1</v>
      </c>
      <c r="AI38" s="21"/>
    </row>
    <row r="39" spans="2:53" s="16" customFormat="1" outlineLevel="1" x14ac:dyDescent="0.3">
      <c r="B39" s="436"/>
      <c r="C39" s="308" t="s">
        <v>557</v>
      </c>
      <c r="D39" s="352">
        <v>0</v>
      </c>
      <c r="E39" s="395">
        <v>0</v>
      </c>
      <c r="F39" s="391">
        <v>0</v>
      </c>
      <c r="G39" s="352">
        <v>0</v>
      </c>
      <c r="H39" s="394" t="str">
        <f>IFERROR(F39/D39-1,"")</f>
        <v/>
      </c>
      <c r="I39" s="393">
        <f>G39-E39</f>
        <v>0</v>
      </c>
      <c r="J39" s="52">
        <f>IFERROR(E39/E$43,"")</f>
        <v>0</v>
      </c>
      <c r="K39" s="392">
        <v>0</v>
      </c>
      <c r="L39" s="307">
        <f>K39-E39</f>
        <v>0</v>
      </c>
      <c r="M39" s="280" t="str">
        <f>IFERROR(L39/$I39,"")</f>
        <v/>
      </c>
      <c r="N39" s="391">
        <v>0</v>
      </c>
      <c r="O39" s="307">
        <f>N39-E39</f>
        <v>0</v>
      </c>
      <c r="P39" s="280" t="str">
        <f>IFERROR(O39/$I39,"")</f>
        <v/>
      </c>
      <c r="Q39" s="390">
        <v>0</v>
      </c>
      <c r="R39" s="307">
        <f>Q39-E39</f>
        <v>0</v>
      </c>
      <c r="S39" s="280" t="str">
        <f>IFERROR(R39/$I39,"")</f>
        <v/>
      </c>
      <c r="T39" s="55"/>
      <c r="U39" s="281">
        <f>SUM(E39,L39,O39,R39)</f>
        <v>0</v>
      </c>
      <c r="V39" s="356">
        <f>U39/$U$43</f>
        <v>0</v>
      </c>
      <c r="W39" s="288" t="str">
        <f>IFERROR(U39/E39,"")</f>
        <v/>
      </c>
      <c r="X39" s="389" t="str">
        <f>IFERROR(U39/F39,"")</f>
        <v/>
      </c>
      <c r="Y39" s="352"/>
      <c r="Z39" s="388">
        <v>0</v>
      </c>
      <c r="AA39" s="307">
        <f>Z39-SUM(R39,O39,L39)-E39</f>
        <v>0</v>
      </c>
      <c r="AB39" s="280" t="str">
        <f>IFERROR(AA39/I39,"")</f>
        <v/>
      </c>
      <c r="AC39" s="280" t="str">
        <f>IFERROR(AA39/E39,"")</f>
        <v/>
      </c>
      <c r="AD39" s="278" t="str">
        <f>IFERROR(AA39/U39,"")</f>
        <v/>
      </c>
      <c r="AE39" s="279">
        <f>IFERROR(AD39*V39,0%)</f>
        <v>0</v>
      </c>
      <c r="AF39" s="278">
        <f>IFERROR((G39-E39)/E39,0%)</f>
        <v>0</v>
      </c>
      <c r="AG39" s="277">
        <f>IFERROR(AF39*J39,0%)</f>
        <v>0</v>
      </c>
      <c r="AH39" s="276" t="b">
        <f>ROUND((G39-E39),0)=ROUND(SUM(L39,O39,R39,AA39),0)</f>
        <v>1</v>
      </c>
      <c r="AI39" s="21"/>
    </row>
    <row r="40" spans="2:53" s="16" customFormat="1" outlineLevel="1" x14ac:dyDescent="0.3">
      <c r="B40" s="436"/>
      <c r="C40" s="308" t="s">
        <v>557</v>
      </c>
      <c r="D40" s="352">
        <v>0</v>
      </c>
      <c r="E40" s="395">
        <v>0</v>
      </c>
      <c r="F40" s="391">
        <v>0</v>
      </c>
      <c r="G40" s="352">
        <v>0</v>
      </c>
      <c r="H40" s="394" t="str">
        <f>IFERROR(F40/D40-1,"")</f>
        <v/>
      </c>
      <c r="I40" s="393">
        <f>G40-E40</f>
        <v>0</v>
      </c>
      <c r="J40" s="52">
        <f>IFERROR(E40/E$43,"")</f>
        <v>0</v>
      </c>
      <c r="K40" s="392">
        <v>0</v>
      </c>
      <c r="L40" s="307">
        <f>K40-E40</f>
        <v>0</v>
      </c>
      <c r="M40" s="280" t="str">
        <f>IFERROR(L40/$I40,"")</f>
        <v/>
      </c>
      <c r="N40" s="391">
        <v>0</v>
      </c>
      <c r="O40" s="307">
        <f>N40-E40</f>
        <v>0</v>
      </c>
      <c r="P40" s="280" t="str">
        <f>IFERROR(O40/$I40,"")</f>
        <v/>
      </c>
      <c r="Q40" s="390">
        <v>0</v>
      </c>
      <c r="R40" s="307">
        <f>Q40-E40</f>
        <v>0</v>
      </c>
      <c r="S40" s="280" t="str">
        <f>IFERROR(R40/$I40,"")</f>
        <v/>
      </c>
      <c r="T40" s="55"/>
      <c r="U40" s="281">
        <f>SUM(E40,L40,O40,R40)</f>
        <v>0</v>
      </c>
      <c r="V40" s="356">
        <f>U40/$U$43</f>
        <v>0</v>
      </c>
      <c r="W40" s="288" t="str">
        <f>IFERROR(U40/E40,"")</f>
        <v/>
      </c>
      <c r="X40" s="389" t="str">
        <f>IFERROR(U40/F40,"")</f>
        <v/>
      </c>
      <c r="Y40" s="352"/>
      <c r="Z40" s="388">
        <v>0</v>
      </c>
      <c r="AA40" s="307">
        <f>Z40-SUM(R40,O40,L40)-E40</f>
        <v>0</v>
      </c>
      <c r="AB40" s="280" t="str">
        <f>IFERROR(AA40/I40,"")</f>
        <v/>
      </c>
      <c r="AC40" s="280" t="str">
        <f>IFERROR(AA40/E40,"")</f>
        <v/>
      </c>
      <c r="AD40" s="278" t="str">
        <f>IFERROR(AA40/U40,"")</f>
        <v/>
      </c>
      <c r="AE40" s="279">
        <f>IFERROR(AD40*V40,0%)</f>
        <v>0</v>
      </c>
      <c r="AF40" s="278">
        <f>IFERROR((G40-E40)/E40,0%)</f>
        <v>0</v>
      </c>
      <c r="AG40" s="277">
        <f>IFERROR(AF40*J40,0%)</f>
        <v>0</v>
      </c>
      <c r="AH40" s="276" t="b">
        <f>ROUND((G40-E40),0)=ROUND(SUM(L40,O40,R40,AA40),0)</f>
        <v>1</v>
      </c>
      <c r="AI40" s="21"/>
    </row>
    <row r="41" spans="2:53" s="16" customFormat="1" outlineLevel="1" x14ac:dyDescent="0.3">
      <c r="B41" s="436"/>
      <c r="C41" s="308" t="s">
        <v>557</v>
      </c>
      <c r="D41" s="352">
        <v>0</v>
      </c>
      <c r="E41" s="395">
        <v>0</v>
      </c>
      <c r="F41" s="391">
        <v>0</v>
      </c>
      <c r="G41" s="352">
        <v>0</v>
      </c>
      <c r="H41" s="394" t="str">
        <f>IFERROR(F41/D41-1,"")</f>
        <v/>
      </c>
      <c r="I41" s="393">
        <f>G41-E41</f>
        <v>0</v>
      </c>
      <c r="J41" s="52">
        <f>IFERROR(E41/E$43,"")</f>
        <v>0</v>
      </c>
      <c r="K41" s="392">
        <v>0</v>
      </c>
      <c r="L41" s="307">
        <f>K41-E41</f>
        <v>0</v>
      </c>
      <c r="M41" s="280" t="str">
        <f>IFERROR(L41/$I41,"")</f>
        <v/>
      </c>
      <c r="N41" s="391">
        <v>0</v>
      </c>
      <c r="O41" s="307">
        <f>N41-E41</f>
        <v>0</v>
      </c>
      <c r="P41" s="280" t="str">
        <f>IFERROR(O41/$I41,"")</f>
        <v/>
      </c>
      <c r="Q41" s="390">
        <v>0</v>
      </c>
      <c r="R41" s="307">
        <f>Q41-E41</f>
        <v>0</v>
      </c>
      <c r="S41" s="280" t="str">
        <f>IFERROR(R41/$I41,"")</f>
        <v/>
      </c>
      <c r="T41" s="55"/>
      <c r="U41" s="281">
        <f>SUM(E41,L41,O41,R41)</f>
        <v>0</v>
      </c>
      <c r="V41" s="356">
        <f>U41/$U$43</f>
        <v>0</v>
      </c>
      <c r="W41" s="288" t="str">
        <f>IFERROR(U41/E41,"")</f>
        <v/>
      </c>
      <c r="X41" s="389" t="str">
        <f>IFERROR(U41/F41,"")</f>
        <v/>
      </c>
      <c r="Y41" s="352"/>
      <c r="Z41" s="388">
        <v>0</v>
      </c>
      <c r="AA41" s="307">
        <f>Z41-SUM(R41,O41,L41)-E41</f>
        <v>0</v>
      </c>
      <c r="AB41" s="280" t="str">
        <f>IFERROR(AA41/I41,"")</f>
        <v/>
      </c>
      <c r="AC41" s="280" t="str">
        <f>IFERROR(AA41/E41,"")</f>
        <v/>
      </c>
      <c r="AD41" s="278" t="str">
        <f>IFERROR(AA41/U41,"")</f>
        <v/>
      </c>
      <c r="AE41" s="279">
        <f>IFERROR(AD41*V41,0%)</f>
        <v>0</v>
      </c>
      <c r="AF41" s="278">
        <f>IFERROR((G41-E41)/E41,0%)</f>
        <v>0</v>
      </c>
      <c r="AG41" s="277">
        <f>IFERROR(AF41*J41,0%)</f>
        <v>0</v>
      </c>
      <c r="AH41" s="276" t="b">
        <f>ROUND((G41-E41),0)=ROUND(SUM(L41,O41,R41,AA41),0)</f>
        <v>1</v>
      </c>
      <c r="AI41" s="21"/>
    </row>
    <row r="42" spans="2:53" s="21" customFormat="1" x14ac:dyDescent="0.3">
      <c r="B42" s="439"/>
      <c r="C42" s="438" t="s">
        <v>556</v>
      </c>
      <c r="D42" s="345">
        <v>-490000</v>
      </c>
      <c r="E42" s="387">
        <v>-500000</v>
      </c>
      <c r="F42" s="345">
        <v>-512499.99999999994</v>
      </c>
      <c r="G42" s="345">
        <v>-548625</v>
      </c>
      <c r="H42" s="386">
        <f>IFERROR(F42/D42-1,"")</f>
        <v>4.5918367346938549E-2</v>
      </c>
      <c r="I42" s="383">
        <f>G42-E42</f>
        <v>-48625</v>
      </c>
      <c r="J42" s="385">
        <f>IFERROR(E42/E$43,"")</f>
        <v>-8.8237889349686752E-2</v>
      </c>
      <c r="K42" s="384">
        <v>-520000</v>
      </c>
      <c r="L42" s="303">
        <f>K42-E42</f>
        <v>-20000</v>
      </c>
      <c r="M42" s="266">
        <f>IFERROR(L42/$I42,"")</f>
        <v>0.41131105398457585</v>
      </c>
      <c r="N42" s="384">
        <v>-505000</v>
      </c>
      <c r="O42" s="303">
        <f>N42-E42</f>
        <v>-5000</v>
      </c>
      <c r="P42" s="266">
        <f>IFERROR(O42/$I42,"")</f>
        <v>0.10282776349614396</v>
      </c>
      <c r="Q42" s="384">
        <v>-500000</v>
      </c>
      <c r="R42" s="303">
        <f>Q42-E42</f>
        <v>0</v>
      </c>
      <c r="S42" s="266">
        <f>IFERROR(R42/$I42,"")</f>
        <v>0</v>
      </c>
      <c r="T42" s="45"/>
      <c r="U42" s="383">
        <f>SUM(E42,L42,O42,R42)</f>
        <v>-525000</v>
      </c>
      <c r="V42" s="382">
        <f>U42/$U$43</f>
        <v>-8.8700412245725488E-2</v>
      </c>
      <c r="W42" s="305">
        <f>IFERROR(U42/E42,"")</f>
        <v>1.05</v>
      </c>
      <c r="X42" s="381">
        <f>IFERROR(U42/F42,"")</f>
        <v>1.024390243902439</v>
      </c>
      <c r="Y42" s="350"/>
      <c r="Z42" s="380">
        <v>-548625</v>
      </c>
      <c r="AA42" s="303">
        <f>Z42-SUM(R42,O42,L42)-E42</f>
        <v>-23625</v>
      </c>
      <c r="AB42" s="266">
        <f>IFERROR(AA42/I42,"")</f>
        <v>0.48586118251928023</v>
      </c>
      <c r="AC42" s="266">
        <f>IFERROR(AA42/E42,"")</f>
        <v>4.725E-2</v>
      </c>
      <c r="AD42" s="264">
        <f>IFERROR(AA42/U42,"")</f>
        <v>4.4999999999999998E-2</v>
      </c>
      <c r="AE42" s="265">
        <f>IFERROR(AD42*V42,0%)</f>
        <v>-3.9915185510576469E-3</v>
      </c>
      <c r="AF42" s="264">
        <f>IFERROR((G42-E42)/E42,0%)</f>
        <v>9.7250000000000003E-2</v>
      </c>
      <c r="AG42" s="263">
        <f>IFERROR(AF42*J42,0%)</f>
        <v>-8.5811347392570365E-3</v>
      </c>
      <c r="AH42" s="262" t="b">
        <f>ROUND((G42-E42),0)=ROUND(SUM(L42,O42,R42,AA42),0)</f>
        <v>1</v>
      </c>
    </row>
    <row r="43" spans="2:53" s="16" customFormat="1" x14ac:dyDescent="0.3">
      <c r="C43" s="21" t="s">
        <v>84</v>
      </c>
      <c r="D43" s="257">
        <f>SUM(D11,D17,D21,D22,D23,D35,D36,D42)</f>
        <v>5553170</v>
      </c>
      <c r="E43" s="379">
        <f>SUM(E11,E17,E21,E22,E23,E35,E36,E42)</f>
        <v>5666500</v>
      </c>
      <c r="F43" s="295">
        <f>SUM(F11,F17,F21,F22,F23,F35,F36,F42)</f>
        <v>5853150</v>
      </c>
      <c r="G43" s="295">
        <f>SUM(G11,G17,G21,G22,G23,G35,G36,G42)</f>
        <v>6135294.5</v>
      </c>
      <c r="H43" s="251">
        <f>IFERROR(F43/D43-1,"")</f>
        <v>5.4019596014528659E-2</v>
      </c>
      <c r="I43" s="257">
        <f>G43-E43</f>
        <v>468794.5</v>
      </c>
      <c r="J43" s="259">
        <f>SUM(J11,J17,J21,J22,J23,J35,J36,J42)</f>
        <v>0.99999999999999989</v>
      </c>
      <c r="K43" s="257">
        <f>SUM(K11,K17,K21,K22,K23,K35,K36,K42)</f>
        <v>5857469</v>
      </c>
      <c r="L43" s="257">
        <f>SUM(L11,L17,L21,L22,L23,L35,L36,L42)</f>
        <v>190968.99999999985</v>
      </c>
      <c r="M43" s="251">
        <f>IFERROR(L43/$I43,"")</f>
        <v>0.40736186111398459</v>
      </c>
      <c r="N43" s="257">
        <f>SUM(N11,N17,N21,N22,N23,N35,N36,N42)</f>
        <v>5725831</v>
      </c>
      <c r="O43" s="257">
        <f>SUM(O11,O17,O21,O22,O23,O35,O36,O42)</f>
        <v>59330.999999999884</v>
      </c>
      <c r="P43" s="251">
        <f>IFERROR(O43/$I43,"")</f>
        <v>0.12656078516279495</v>
      </c>
      <c r="Q43" s="257">
        <f>SUM(Q11,Q17,Q21,Q22,Q23,Q35,Q36,Q42)</f>
        <v>5668500</v>
      </c>
      <c r="R43" s="257">
        <f>SUM(R11,R17,R21,R22,R23,R35,R36,R42)</f>
        <v>2000</v>
      </c>
      <c r="S43" s="247">
        <f>IFERROR(R43/$I43,"")</f>
        <v>4.2662616562267686E-3</v>
      </c>
      <c r="T43" s="258"/>
      <c r="U43" s="257">
        <f>SUM(U11,U17,U21,U22,U23,U35,U36,U42)</f>
        <v>5918800</v>
      </c>
      <c r="V43" s="256">
        <f>SUM(V11,V17,V21,V22,V23,V35,V36,V42)</f>
        <v>1</v>
      </c>
      <c r="W43" s="255">
        <f>IFERROR(U43/E43,"")</f>
        <v>1.0445248389658519</v>
      </c>
      <c r="X43" s="254">
        <f>IFERROR(U43/F43,"")</f>
        <v>1.0112161827392088</v>
      </c>
      <c r="Y43" s="345"/>
      <c r="Z43" s="378">
        <f>SUM(Z11,Z17,Z21,Z22,Z23,Z35,Z36,Z42)</f>
        <v>6135294.5</v>
      </c>
      <c r="AA43" s="257">
        <f>SUM(AA11,AA17,AA21:AA23,AA35:AA36,AA42)</f>
        <v>216494.49999999977</v>
      </c>
      <c r="AB43" s="251">
        <f>IFERROR(AA43/I43,"")</f>
        <v>0.46181109206699261</v>
      </c>
      <c r="AC43" s="251">
        <f>IFERROR(AA43/E43,"")</f>
        <v>3.8206035471631476E-2</v>
      </c>
      <c r="AD43" s="250">
        <f>IFERROR(AA43/U43,"")</f>
        <v>3.6577431236061324E-2</v>
      </c>
      <c r="AE43" s="249">
        <f>SUM(AE11,AE17,AE21,AE22,AE23,AE35,AE36,AE42)</f>
        <v>3.6577431236061317E-2</v>
      </c>
      <c r="AF43" s="337">
        <f>IFERROR((G43-E43)/E43,0%)</f>
        <v>8.2730874437483462E-2</v>
      </c>
      <c r="AG43" s="377">
        <f>SUM(AG11,AG17,AG21,AG22,AG23,AG35,AG36,AG42)</f>
        <v>8.2730874437483379E-2</v>
      </c>
      <c r="AH43" s="376"/>
      <c r="AI43" s="245"/>
      <c r="AJ43" s="245"/>
    </row>
    <row r="44" spans="2:53" s="16" customFormat="1" x14ac:dyDescent="0.3">
      <c r="E44" s="372"/>
      <c r="F44" s="372"/>
      <c r="G44" s="372"/>
      <c r="H44" s="372"/>
      <c r="I44" s="372"/>
      <c r="J44" s="375"/>
      <c r="K44" s="372"/>
      <c r="L44" s="372"/>
      <c r="M44" s="372"/>
      <c r="N44" s="372"/>
      <c r="O44" s="372"/>
      <c r="P44" s="372"/>
      <c r="Q44" s="372"/>
      <c r="R44" s="372"/>
      <c r="S44" s="372"/>
      <c r="T44" s="372"/>
      <c r="U44" s="372"/>
      <c r="V44" s="372"/>
      <c r="W44" s="372"/>
      <c r="X44" s="372"/>
      <c r="Y44" s="372"/>
      <c r="Z44" s="372"/>
      <c r="AA44" s="374" t="b">
        <f>ROUND(Z43-SUM(R43,O43,L43)-E43,0)=ROUND(AA43,0)</f>
        <v>1</v>
      </c>
      <c r="AB44" s="437"/>
      <c r="AC44" s="437"/>
      <c r="AD44" s="51"/>
      <c r="AE44" s="19"/>
      <c r="AF44" s="18"/>
      <c r="AG44" s="18"/>
      <c r="AH44" s="372"/>
      <c r="AZ44" s="21"/>
      <c r="BA44" s="21"/>
    </row>
    <row r="45" spans="2:53" s="16" customFormat="1" x14ac:dyDescent="0.3">
      <c r="E45" s="44"/>
      <c r="F45" s="44"/>
      <c r="G45" s="44"/>
      <c r="H45" s="44"/>
      <c r="I45" s="53"/>
      <c r="J45" s="17"/>
      <c r="K45" s="371" t="s">
        <v>581</v>
      </c>
      <c r="L45" s="371"/>
      <c r="M45" s="371"/>
      <c r="N45" s="371"/>
      <c r="O45" s="370"/>
      <c r="P45" s="369"/>
      <c r="Q45" s="17"/>
      <c r="R45" s="53"/>
      <c r="S45" s="53"/>
      <c r="T45" s="53"/>
      <c r="U45" s="44"/>
      <c r="V45" s="44"/>
      <c r="W45" s="44"/>
      <c r="X45" s="44"/>
      <c r="Y45" s="44"/>
      <c r="Z45" s="17"/>
      <c r="AD45" s="17"/>
      <c r="AE45" s="17"/>
      <c r="AF45" s="17"/>
      <c r="AG45" s="17"/>
      <c r="AH45" s="53"/>
    </row>
    <row r="46" spans="2:53" s="16" customFormat="1" ht="70.95" customHeight="1" x14ac:dyDescent="0.35">
      <c r="C46" s="429" t="s">
        <v>86</v>
      </c>
      <c r="D46" s="232" t="s">
        <v>534</v>
      </c>
      <c r="E46" s="365" t="s">
        <v>66</v>
      </c>
      <c r="F46" s="231" t="s">
        <v>580</v>
      </c>
      <c r="G46" s="231" t="s">
        <v>528</v>
      </c>
      <c r="H46" s="231" t="s">
        <v>526</v>
      </c>
      <c r="I46" s="231" t="s">
        <v>67</v>
      </c>
      <c r="J46" s="367" t="s">
        <v>59</v>
      </c>
      <c r="K46" s="231" t="s">
        <v>522</v>
      </c>
      <c r="L46" s="231" t="s">
        <v>520</v>
      </c>
      <c r="M46" s="232" t="s">
        <v>579</v>
      </c>
      <c r="N46" s="231" t="s">
        <v>518</v>
      </c>
      <c r="O46" s="231" t="s">
        <v>516</v>
      </c>
      <c r="P46" s="232" t="s">
        <v>578</v>
      </c>
      <c r="Q46" s="231" t="s">
        <v>514</v>
      </c>
      <c r="R46" s="231" t="s">
        <v>512</v>
      </c>
      <c r="S46" s="231" t="s">
        <v>577</v>
      </c>
      <c r="T46" s="231" t="s">
        <v>510</v>
      </c>
      <c r="U46" s="231" t="s">
        <v>508</v>
      </c>
      <c r="V46" s="231" t="s">
        <v>506</v>
      </c>
      <c r="W46" s="231" t="s">
        <v>504</v>
      </c>
      <c r="X46" s="231" t="s">
        <v>502</v>
      </c>
      <c r="Y46" s="366" t="s">
        <v>500</v>
      </c>
      <c r="Z46" s="231" t="s">
        <v>498</v>
      </c>
      <c r="AA46" s="232" t="s">
        <v>545</v>
      </c>
      <c r="AB46" s="232" t="s">
        <v>494</v>
      </c>
      <c r="AC46" s="231" t="s">
        <v>544</v>
      </c>
      <c r="AD46" s="231" t="s">
        <v>490</v>
      </c>
      <c r="AE46" s="365" t="s">
        <v>488</v>
      </c>
      <c r="AF46" s="231" t="s">
        <v>486</v>
      </c>
      <c r="AG46" s="365" t="s">
        <v>484</v>
      </c>
      <c r="AH46" s="232" t="s">
        <v>482</v>
      </c>
    </row>
    <row r="47" spans="2:53" s="16" customFormat="1" x14ac:dyDescent="0.3">
      <c r="B47" s="342" t="s">
        <v>576</v>
      </c>
      <c r="C47" s="47" t="s">
        <v>68</v>
      </c>
      <c r="D47" s="257">
        <f>SUM(D48:D52)</f>
        <v>2178000</v>
      </c>
      <c r="E47" s="378">
        <f>SUM(E48:E52)</f>
        <v>2200000</v>
      </c>
      <c r="F47" s="257">
        <f>SUM(F48:F52)</f>
        <v>2276250</v>
      </c>
      <c r="G47" s="257">
        <f>SUM(G48:G52)</f>
        <v>2340390</v>
      </c>
      <c r="H47" s="247">
        <f>IFERROR(F47/D47-1,"")</f>
        <v>4.5110192837465535E-2</v>
      </c>
      <c r="I47" s="257">
        <f>SUM(I48:I52)</f>
        <v>140390</v>
      </c>
      <c r="J47" s="259">
        <f>IFERROR(E47/E$79,"")</f>
        <v>0.19451812555260831</v>
      </c>
      <c r="K47" s="410">
        <f>SUM(K48:K52)</f>
        <v>2291500</v>
      </c>
      <c r="L47" s="410">
        <f>K47-E47</f>
        <v>91500</v>
      </c>
      <c r="M47" s="339">
        <f>IFERROR(L47/$I47,"")</f>
        <v>0.65175582306432078</v>
      </c>
      <c r="N47" s="410">
        <f>SUM(N48:N52)</f>
        <v>2203000</v>
      </c>
      <c r="O47" s="410">
        <f>N47-E47</f>
        <v>3000</v>
      </c>
      <c r="P47" s="339">
        <f>IFERROR(O47/$I47,"")</f>
        <v>2.136904337915806E-2</v>
      </c>
      <c r="Q47" s="410">
        <f>SUM(Q48:Q52)</f>
        <v>2200000</v>
      </c>
      <c r="R47" s="422">
        <f>Q47-E47</f>
        <v>0</v>
      </c>
      <c r="S47" s="293">
        <f>IFERROR(R47/$I47,"")</f>
        <v>0</v>
      </c>
      <c r="T47" s="425"/>
      <c r="U47" s="257">
        <f>SUM(U48:U52)</f>
        <v>2294500</v>
      </c>
      <c r="V47" s="256">
        <f>U47/$U$79</f>
        <v>0.19082667997338656</v>
      </c>
      <c r="W47" s="247">
        <f>IFERROR(U47/E47,"")</f>
        <v>1.0429545454545455</v>
      </c>
      <c r="X47" s="251">
        <f>IFERROR(U47/F47,"")</f>
        <v>1.0080175727622185</v>
      </c>
      <c r="Y47" s="424"/>
      <c r="Z47" s="421">
        <f>SUM(Z48:Z52)</f>
        <v>2340390</v>
      </c>
      <c r="AA47" s="410">
        <f>SUM(AA48:AA52)</f>
        <v>45890</v>
      </c>
      <c r="AB47" s="339">
        <f>IFERROR(AA47/I47,"")</f>
        <v>0.32687513355652115</v>
      </c>
      <c r="AC47" s="354">
        <f>IFERROR(AA47/E47,"")</f>
        <v>2.085909090909091E-2</v>
      </c>
      <c r="AD47" s="250">
        <f>IFERROR(AA47/U47,"")</f>
        <v>0.02</v>
      </c>
      <c r="AE47" s="292">
        <f>IFERROR(AD47*V47,0%)</f>
        <v>3.8165335994677315E-3</v>
      </c>
      <c r="AF47" s="250">
        <f>IFERROR((G47-E47)/E47,0%)</f>
        <v>6.3813636363636364E-2</v>
      </c>
      <c r="AG47" s="336">
        <f>IFERROR(AF47*J47,0%)</f>
        <v>1.2412908930150309E-2</v>
      </c>
      <c r="AH47" s="246" t="b">
        <f>ROUND((G47-E47),0)=ROUND(SUM(L47,O47,R47,AA47),0)</f>
        <v>1</v>
      </c>
      <c r="AI47" s="21"/>
      <c r="AJ47" s="21"/>
    </row>
    <row r="48" spans="2:53" s="16" customFormat="1" outlineLevel="1" x14ac:dyDescent="0.3">
      <c r="B48" s="289"/>
      <c r="C48" s="43" t="s">
        <v>584</v>
      </c>
      <c r="D48" s="352">
        <f>E48*0.99</f>
        <v>990000</v>
      </c>
      <c r="E48" s="395">
        <v>1000000</v>
      </c>
      <c r="F48" s="391">
        <v>1050000</v>
      </c>
      <c r="G48" s="391">
        <v>1071000</v>
      </c>
      <c r="H48" s="288">
        <f>IFERROR(F48/D48-1,"")</f>
        <v>6.0606060606060552E-2</v>
      </c>
      <c r="I48" s="281">
        <f>G48-E48</f>
        <v>71000</v>
      </c>
      <c r="J48" s="52">
        <f>IFERROR(E48/E$79,"")</f>
        <v>8.8417329796640146E-2</v>
      </c>
      <c r="K48" s="392">
        <v>1060000</v>
      </c>
      <c r="L48" s="419">
        <f>K48-E48</f>
        <v>60000</v>
      </c>
      <c r="M48" s="351">
        <f>IFERROR(L48/$I48,"")</f>
        <v>0.84507042253521125</v>
      </c>
      <c r="N48" s="392">
        <v>990000</v>
      </c>
      <c r="O48" s="419">
        <f>N48-E48</f>
        <v>-10000</v>
      </c>
      <c r="P48" s="351">
        <f>IFERROR(O48/$I48,"")</f>
        <v>-0.14084507042253522</v>
      </c>
      <c r="Q48" s="392">
        <v>1000000</v>
      </c>
      <c r="R48" s="307">
        <f>Q48-E48</f>
        <v>0</v>
      </c>
      <c r="S48" s="266">
        <f>IFERROR(R48/N48,"")</f>
        <v>0</v>
      </c>
      <c r="T48" s="45"/>
      <c r="U48" s="281">
        <f>SUM(E48,L48,O48,R48)</f>
        <v>1050000</v>
      </c>
      <c r="V48" s="356">
        <f>U48/$U$79</f>
        <v>8.7325349301397209E-2</v>
      </c>
      <c r="W48" s="288">
        <f>IFERROR(U48/E48,"")</f>
        <v>1.05</v>
      </c>
      <c r="X48" s="288">
        <f>IFERROR(U48/F48,"")</f>
        <v>1</v>
      </c>
      <c r="Y48" s="412"/>
      <c r="Z48" s="420">
        <v>1071000</v>
      </c>
      <c r="AA48" s="419">
        <f>Z48-SUM(R48,O48,L48)-E48</f>
        <v>21000</v>
      </c>
      <c r="AB48" s="351">
        <f>IFERROR(AA48/I48,"")</f>
        <v>0.29577464788732394</v>
      </c>
      <c r="AC48" s="351">
        <f>IFERROR(AA48/E48,"")</f>
        <v>2.1000000000000001E-2</v>
      </c>
      <c r="AD48" s="278">
        <f>IFERROR(AA48/U48,"")</f>
        <v>0.02</v>
      </c>
      <c r="AE48" s="279">
        <f>IFERROR(AD48*V48,0%)</f>
        <v>1.7465069860279443E-3</v>
      </c>
      <c r="AF48" s="278">
        <f>IFERROR((G48-E48)/E48,0%)</f>
        <v>7.0999999999999994E-2</v>
      </c>
      <c r="AG48" s="277">
        <f>IFERROR(AF48*J48,0%)</f>
        <v>6.27763041556145E-3</v>
      </c>
      <c r="AH48" s="276" t="b">
        <f>ROUND((G48-E48),0)=ROUND(SUM(L48,O48,R48,AA48),0)</f>
        <v>1</v>
      </c>
      <c r="AI48" s="21"/>
      <c r="AJ48" s="21"/>
    </row>
    <row r="49" spans="2:36" s="16" customFormat="1" outlineLevel="1" x14ac:dyDescent="0.3">
      <c r="B49" s="289"/>
      <c r="C49" s="357" t="s">
        <v>583</v>
      </c>
      <c r="D49" s="352">
        <f>E49*0.99</f>
        <v>643500</v>
      </c>
      <c r="E49" s="395">
        <v>650000</v>
      </c>
      <c r="F49" s="391">
        <v>650000</v>
      </c>
      <c r="G49" s="391">
        <v>682890</v>
      </c>
      <c r="H49" s="288">
        <f>IFERROR(F49/D49-1,"")</f>
        <v>1.0101010101010166E-2</v>
      </c>
      <c r="I49" s="281">
        <f>G49-E49</f>
        <v>32890</v>
      </c>
      <c r="J49" s="52">
        <f>IFERROR(E49/E$79,"")</f>
        <v>5.7471264367816091E-2</v>
      </c>
      <c r="K49" s="392">
        <v>656500</v>
      </c>
      <c r="L49" s="419">
        <f>K49-E49</f>
        <v>6500</v>
      </c>
      <c r="M49" s="351">
        <f>IFERROR(L49/$I49,"")</f>
        <v>0.19762845849802371</v>
      </c>
      <c r="N49" s="392">
        <v>663000</v>
      </c>
      <c r="O49" s="419">
        <f>N49-E49</f>
        <v>13000</v>
      </c>
      <c r="P49" s="351">
        <f>IFERROR(O49/$I49,"")</f>
        <v>0.39525691699604742</v>
      </c>
      <c r="Q49" s="392">
        <v>650000</v>
      </c>
      <c r="R49" s="307">
        <f>Q49-E49</f>
        <v>0</v>
      </c>
      <c r="S49" s="266">
        <f>IFERROR(R49/N49,"")</f>
        <v>0</v>
      </c>
      <c r="T49" s="45"/>
      <c r="U49" s="281">
        <f>SUM(E49,L49,O49,R49)</f>
        <v>669500</v>
      </c>
      <c r="V49" s="356">
        <f>U49/$U$79</f>
        <v>5.5680306054557552E-2</v>
      </c>
      <c r="W49" s="288">
        <f>IFERROR(U49/E49,"")</f>
        <v>1.03</v>
      </c>
      <c r="X49" s="288">
        <f>IFERROR(U49/F49,"")</f>
        <v>1.03</v>
      </c>
      <c r="Y49" s="417"/>
      <c r="Z49" s="420">
        <v>682890</v>
      </c>
      <c r="AA49" s="419">
        <f>Z49-SUM(R49,O49,L49)-E49</f>
        <v>13390</v>
      </c>
      <c r="AB49" s="351">
        <f>IFERROR(AA49/I49,"")</f>
        <v>0.40711462450592883</v>
      </c>
      <c r="AC49" s="351">
        <f>IFERROR(AA49/E49,"")</f>
        <v>2.06E-2</v>
      </c>
      <c r="AD49" s="278">
        <f>IFERROR(AA49/U49,"")</f>
        <v>0.02</v>
      </c>
      <c r="AE49" s="279">
        <f>IFERROR(AD49*V49,0%)</f>
        <v>1.1136061210911511E-3</v>
      </c>
      <c r="AF49" s="278">
        <f>IFERROR((G49-E49)/E49,0%)</f>
        <v>5.0599999999999999E-2</v>
      </c>
      <c r="AG49" s="277">
        <f>IFERROR(AF49*J49,0%)</f>
        <v>2.908045977011494E-3</v>
      </c>
      <c r="AH49" s="276" t="b">
        <f>ROUND((G49-E49),0)=ROUND(SUM(L49,O49,R49,AA49),0)</f>
        <v>1</v>
      </c>
      <c r="AI49" s="21"/>
      <c r="AJ49" s="21"/>
    </row>
    <row r="50" spans="2:36" s="16" customFormat="1" outlineLevel="1" x14ac:dyDescent="0.3">
      <c r="B50" s="289"/>
      <c r="C50" s="357" t="s">
        <v>573</v>
      </c>
      <c r="D50" s="352">
        <f>E50*0.99</f>
        <v>0</v>
      </c>
      <c r="E50" s="395">
        <v>0</v>
      </c>
      <c r="F50" s="391">
        <v>0</v>
      </c>
      <c r="G50" s="391">
        <v>0</v>
      </c>
      <c r="H50" s="288" t="str">
        <f>IFERROR(F50/D50-1,"")</f>
        <v/>
      </c>
      <c r="I50" s="281">
        <f>G50-E50</f>
        <v>0</v>
      </c>
      <c r="J50" s="52">
        <f>IFERROR(E50/E$79,"")</f>
        <v>0</v>
      </c>
      <c r="K50" s="392">
        <v>0</v>
      </c>
      <c r="L50" s="419">
        <f>K50-E50</f>
        <v>0</v>
      </c>
      <c r="M50" s="351" t="str">
        <f>IFERROR(L50/$I50,"")</f>
        <v/>
      </c>
      <c r="N50" s="392">
        <v>0</v>
      </c>
      <c r="O50" s="419">
        <f>N50-E50</f>
        <v>0</v>
      </c>
      <c r="P50" s="351" t="str">
        <f>IFERROR(O50/$I50,"")</f>
        <v/>
      </c>
      <c r="Q50" s="392">
        <v>0</v>
      </c>
      <c r="R50" s="307">
        <f>Q50-E50</f>
        <v>0</v>
      </c>
      <c r="S50" s="266" t="str">
        <f>IFERROR(R50/N50,"")</f>
        <v/>
      </c>
      <c r="T50" s="45"/>
      <c r="U50" s="281">
        <f>SUM(E50,L50,O50,R50)</f>
        <v>0</v>
      </c>
      <c r="V50" s="356">
        <f>U50/$U$79</f>
        <v>0</v>
      </c>
      <c r="W50" s="288" t="str">
        <f>IFERROR(U50/E50,"")</f>
        <v/>
      </c>
      <c r="X50" s="288" t="str">
        <f>IFERROR(U50/F50,"")</f>
        <v/>
      </c>
      <c r="Y50" s="417"/>
      <c r="Z50" s="420">
        <v>0</v>
      </c>
      <c r="AA50" s="419">
        <f>Z50-SUM(R50,O50,L50)-E50</f>
        <v>0</v>
      </c>
      <c r="AB50" s="351" t="str">
        <f>IFERROR(AA50/I50,"")</f>
        <v/>
      </c>
      <c r="AC50" s="351" t="str">
        <f>IFERROR(AA50/E50,"")</f>
        <v/>
      </c>
      <c r="AD50" s="278" t="str">
        <f>IFERROR(AA50/U50,"")</f>
        <v/>
      </c>
      <c r="AE50" s="279">
        <f>IFERROR(AD50*V50,0%)</f>
        <v>0</v>
      </c>
      <c r="AF50" s="278">
        <f>IFERROR((G50-E50)/E50,0%)</f>
        <v>0</v>
      </c>
      <c r="AG50" s="277">
        <f>IFERROR(AF50*J50,0%)</f>
        <v>0</v>
      </c>
      <c r="AH50" s="276" t="b">
        <f>ROUND((G50-E50),0)=ROUND(SUM(L50,O50,R50,AA50),0)</f>
        <v>1</v>
      </c>
      <c r="AI50" s="21"/>
      <c r="AJ50" s="21"/>
    </row>
    <row r="51" spans="2:36" s="16" customFormat="1" outlineLevel="1" x14ac:dyDescent="0.3">
      <c r="B51" s="289"/>
      <c r="C51" s="357" t="s">
        <v>582</v>
      </c>
      <c r="D51" s="352">
        <f>E51*0.99</f>
        <v>495000</v>
      </c>
      <c r="E51" s="395">
        <v>500000</v>
      </c>
      <c r="F51" s="391">
        <v>525000</v>
      </c>
      <c r="G51" s="391">
        <v>535500</v>
      </c>
      <c r="H51" s="288">
        <f>IFERROR(F51/D51-1,"")</f>
        <v>6.0606060606060552E-2</v>
      </c>
      <c r="I51" s="281">
        <f>G51-E51</f>
        <v>35500</v>
      </c>
      <c r="J51" s="52">
        <f>IFERROR(E51/E$79,"")</f>
        <v>4.4208664898320073E-2</v>
      </c>
      <c r="K51" s="392">
        <v>525000</v>
      </c>
      <c r="L51" s="419">
        <f>K51-E51</f>
        <v>25000</v>
      </c>
      <c r="M51" s="351">
        <f>IFERROR(L51/$I51,"")</f>
        <v>0.70422535211267601</v>
      </c>
      <c r="N51" s="392">
        <v>500000</v>
      </c>
      <c r="O51" s="419">
        <f>N51-E51</f>
        <v>0</v>
      </c>
      <c r="P51" s="351">
        <f>IFERROR(O51/$I51,"")</f>
        <v>0</v>
      </c>
      <c r="Q51" s="392">
        <v>500000</v>
      </c>
      <c r="R51" s="307">
        <f>Q51-E51</f>
        <v>0</v>
      </c>
      <c r="S51" s="266">
        <f>IFERROR(R51/N51,"")</f>
        <v>0</v>
      </c>
      <c r="T51" s="45"/>
      <c r="U51" s="281">
        <f>SUM(E51,L51,O51,R51)</f>
        <v>525000</v>
      </c>
      <c r="V51" s="356">
        <f>U51/$U$79</f>
        <v>4.3662674650698605E-2</v>
      </c>
      <c r="W51" s="288">
        <f>IFERROR(U51/E51,"")</f>
        <v>1.05</v>
      </c>
      <c r="X51" s="288">
        <f>IFERROR(U51/F51,"")</f>
        <v>1</v>
      </c>
      <c r="Y51" s="417"/>
      <c r="Z51" s="420">
        <v>535500</v>
      </c>
      <c r="AA51" s="419">
        <f>Z51-SUM(R51,O51,L51)-E51</f>
        <v>10500</v>
      </c>
      <c r="AB51" s="351">
        <f>IFERROR(AA51/I51,"")</f>
        <v>0.29577464788732394</v>
      </c>
      <c r="AC51" s="351">
        <f>IFERROR(AA51/E51,"")</f>
        <v>2.1000000000000001E-2</v>
      </c>
      <c r="AD51" s="278">
        <f>IFERROR(AA51/U51,"")</f>
        <v>0.02</v>
      </c>
      <c r="AE51" s="279">
        <f>IFERROR(AD51*V51,0%)</f>
        <v>8.7325349301397215E-4</v>
      </c>
      <c r="AF51" s="278">
        <f>IFERROR((G51-E51)/E51,0%)</f>
        <v>7.0999999999999994E-2</v>
      </c>
      <c r="AG51" s="277">
        <f>IFERROR(AF51*J51,0%)</f>
        <v>3.138815207780725E-3</v>
      </c>
      <c r="AH51" s="276" t="b">
        <f>ROUND((G51-E51),0)=ROUND(SUM(L51,O51,R51,AA51),0)</f>
        <v>1</v>
      </c>
      <c r="AI51" s="21"/>
      <c r="AJ51" s="21"/>
    </row>
    <row r="52" spans="2:36" s="16" customFormat="1" outlineLevel="1" x14ac:dyDescent="0.3">
      <c r="B52" s="289"/>
      <c r="C52" s="423" t="s">
        <v>82</v>
      </c>
      <c r="D52" s="352">
        <f>E52*0.99</f>
        <v>49500</v>
      </c>
      <c r="E52" s="395">
        <v>50000</v>
      </c>
      <c r="F52" s="391">
        <v>51249.999999999993</v>
      </c>
      <c r="G52" s="391">
        <v>51000</v>
      </c>
      <c r="H52" s="288">
        <f>IFERROR(F52/D52-1,"")</f>
        <v>3.5353535353535248E-2</v>
      </c>
      <c r="I52" s="281">
        <f>G52-E52</f>
        <v>1000</v>
      </c>
      <c r="J52" s="52">
        <f>IFERROR(E52/E$79,"")</f>
        <v>4.4208664898320073E-3</v>
      </c>
      <c r="K52" s="392">
        <v>50000</v>
      </c>
      <c r="L52" s="419">
        <f>K52-E52</f>
        <v>0</v>
      </c>
      <c r="M52" s="351">
        <f>IFERROR(L52/$I52,"")</f>
        <v>0</v>
      </c>
      <c r="N52" s="392">
        <v>50000</v>
      </c>
      <c r="O52" s="419">
        <f>N52-E52</f>
        <v>0</v>
      </c>
      <c r="P52" s="351">
        <f>IFERROR(O52/$I52,"")</f>
        <v>0</v>
      </c>
      <c r="Q52" s="392">
        <v>50000</v>
      </c>
      <c r="R52" s="307">
        <f>Q52-E52</f>
        <v>0</v>
      </c>
      <c r="S52" s="266">
        <f>IFERROR(R52/N52,"")</f>
        <v>0</v>
      </c>
      <c r="T52" s="45"/>
      <c r="U52" s="281">
        <f>SUM(E52,L52,O52,R52)</f>
        <v>50000</v>
      </c>
      <c r="V52" s="356">
        <f>U52/$U$79</f>
        <v>4.1583499667332E-3</v>
      </c>
      <c r="W52" s="288">
        <f>IFERROR(U52/E52,"")</f>
        <v>1</v>
      </c>
      <c r="X52" s="288">
        <f>IFERROR(U52/F52,"")</f>
        <v>0.97560975609756106</v>
      </c>
      <c r="Y52" s="417"/>
      <c r="Z52" s="420">
        <v>51000</v>
      </c>
      <c r="AA52" s="419">
        <f>Z52-SUM(R52,O52,L52)-E52</f>
        <v>1000</v>
      </c>
      <c r="AB52" s="351">
        <f>IFERROR(AA52/I52,"")</f>
        <v>1</v>
      </c>
      <c r="AC52" s="351">
        <f>IFERROR(AA52/E52,"")</f>
        <v>0.02</v>
      </c>
      <c r="AD52" s="278">
        <f>IFERROR(AA52/U52,"")</f>
        <v>0.02</v>
      </c>
      <c r="AE52" s="279">
        <f>IFERROR(AD52*V52,0%)</f>
        <v>8.3166999334664007E-5</v>
      </c>
      <c r="AF52" s="278">
        <f>IFERROR((G52-E52)/E52,0%)</f>
        <v>0.02</v>
      </c>
      <c r="AG52" s="277">
        <f>IFERROR(AF52*J52,0%)</f>
        <v>8.8417329796640142E-5</v>
      </c>
      <c r="AH52" s="276" t="b">
        <f>ROUND((G52-E52),0)=ROUND(SUM(L52,O52,R52,AA52),0)</f>
        <v>1</v>
      </c>
      <c r="AI52" s="21"/>
      <c r="AJ52" s="21"/>
    </row>
    <row r="53" spans="2:36" s="16" customFormat="1" x14ac:dyDescent="0.3">
      <c r="B53" s="289"/>
      <c r="C53" s="47" t="s">
        <v>69</v>
      </c>
      <c r="D53" s="257">
        <f>SUM(D54:D56)</f>
        <v>1287000</v>
      </c>
      <c r="E53" s="379">
        <f>SUM(E54:E56)</f>
        <v>1300000</v>
      </c>
      <c r="F53" s="295">
        <f>SUM(F54:F56)</f>
        <v>1332500</v>
      </c>
      <c r="G53" s="295">
        <f>SUM(G54:G56)</f>
        <v>1365811.1999999997</v>
      </c>
      <c r="H53" s="251">
        <f>IFERROR(F53/D53-1,"")</f>
        <v>3.5353535353535248E-2</v>
      </c>
      <c r="I53" s="257">
        <f>SUM(I54:I56)</f>
        <v>65811.199999999721</v>
      </c>
      <c r="J53" s="259">
        <f>IFERROR(E53/E$79,"")</f>
        <v>0.11494252873563218</v>
      </c>
      <c r="K53" s="410">
        <f>SUM(K54:K56)</f>
        <v>1329900</v>
      </c>
      <c r="L53" s="410">
        <f>K53-E53</f>
        <v>29900</v>
      </c>
      <c r="M53" s="339">
        <f>IFERROR(L53/$I53,"")</f>
        <v>0.45432996207332682</v>
      </c>
      <c r="N53" s="411">
        <f>SUM(N54:N56)</f>
        <v>1301299.9999999998</v>
      </c>
      <c r="O53" s="411">
        <f>N53-E53</f>
        <v>1299.9999999997672</v>
      </c>
      <c r="P53" s="339">
        <f>IFERROR(O53/$I53,"")</f>
        <v>1.9753476611880236E-2</v>
      </c>
      <c r="Q53" s="410">
        <f>SUM(Q54:Q56)</f>
        <v>1300000</v>
      </c>
      <c r="R53" s="422">
        <f>Q53-E53</f>
        <v>0</v>
      </c>
      <c r="S53" s="294">
        <f>IFERROR(R53/$I53,"")</f>
        <v>0</v>
      </c>
      <c r="T53" s="55"/>
      <c r="U53" s="295">
        <f>SUM(U54:U56)</f>
        <v>1331199.9999999998</v>
      </c>
      <c r="V53" s="355">
        <f>U53/$U$79</f>
        <v>0.11071190951430471</v>
      </c>
      <c r="W53" s="251">
        <f>IFERROR(U53/E53,"")</f>
        <v>1.0239999999999998</v>
      </c>
      <c r="X53" s="251">
        <f>IFERROR(U53/F53,"")</f>
        <v>0.99902439024390222</v>
      </c>
      <c r="Y53" s="412"/>
      <c r="Z53" s="421">
        <f>SUM(Z54:Z56)</f>
        <v>1365811.1999999997</v>
      </c>
      <c r="AA53" s="410">
        <f>SUM(AA54:AA56)</f>
        <v>34611.200000000012</v>
      </c>
      <c r="AB53" s="339">
        <f>IFERROR(AA53/I53,"")</f>
        <v>0.52591656131479381</v>
      </c>
      <c r="AC53" s="354">
        <f>IFERROR(AA53/E53,"")</f>
        <v>2.6624000000000009E-2</v>
      </c>
      <c r="AD53" s="250">
        <f>IFERROR(AA53/U53,"")</f>
        <v>2.6000000000000013E-2</v>
      </c>
      <c r="AE53" s="292">
        <f>IFERROR(AD53*V53,0%)</f>
        <v>2.8785096473719239E-3</v>
      </c>
      <c r="AF53" s="250">
        <f>IFERROR((G53-E53)/E53,0%)</f>
        <v>5.0623999999999787E-2</v>
      </c>
      <c r="AG53" s="336">
        <f>IFERROR(AF53*J53,0%)</f>
        <v>5.8188505747126191E-3</v>
      </c>
      <c r="AH53" s="246" t="b">
        <f>ROUND((G53-E53),0)=ROUND(SUM(L53,O53,R53,AA53),0)</f>
        <v>1</v>
      </c>
      <c r="AI53" s="21"/>
      <c r="AJ53" s="21"/>
    </row>
    <row r="54" spans="2:36" s="16" customFormat="1" outlineLevel="1" x14ac:dyDescent="0.3">
      <c r="B54" s="289"/>
      <c r="C54" s="43" t="s">
        <v>572</v>
      </c>
      <c r="D54" s="352">
        <f>E54*0.99</f>
        <v>990000</v>
      </c>
      <c r="E54" s="395">
        <v>1000000</v>
      </c>
      <c r="F54" s="391">
        <v>1024999.9999999999</v>
      </c>
      <c r="G54" s="352">
        <v>1050623.9999999998</v>
      </c>
      <c r="H54" s="394">
        <f>IFERROR(F54/D54-1,"")</f>
        <v>3.5353535353535248E-2</v>
      </c>
      <c r="I54" s="393">
        <f>G54-E54</f>
        <v>50623.999999999767</v>
      </c>
      <c r="J54" s="52">
        <f>IFERROR(E54/E$79,"")</f>
        <v>8.8417329796640146E-2</v>
      </c>
      <c r="K54" s="392">
        <v>1022999.9999999999</v>
      </c>
      <c r="L54" s="419">
        <f>K54-E54</f>
        <v>22999.999999999884</v>
      </c>
      <c r="M54" s="351">
        <f>IFERROR(L54/$I54,"")</f>
        <v>0.45432996207332471</v>
      </c>
      <c r="N54" s="392">
        <v>1000999.9999999999</v>
      </c>
      <c r="O54" s="419">
        <f>N54-E54</f>
        <v>999.99999999988358</v>
      </c>
      <c r="P54" s="351">
        <f>IFERROR(O54/$I54,"")</f>
        <v>1.9753476611881482E-2</v>
      </c>
      <c r="Q54" s="392">
        <v>1000000</v>
      </c>
      <c r="R54" s="307">
        <f>Q54-E54</f>
        <v>0</v>
      </c>
      <c r="S54" s="266">
        <f>IFERROR(R54/$I54,"")</f>
        <v>0</v>
      </c>
      <c r="T54" s="45"/>
      <c r="U54" s="281">
        <f>SUM(E54,L54,O54,R54)</f>
        <v>1023999.9999999998</v>
      </c>
      <c r="V54" s="356">
        <f>U54/$U$79</f>
        <v>8.5163007318695916E-2</v>
      </c>
      <c r="W54" s="288">
        <f>IFERROR(U54/E54,"")</f>
        <v>1.0239999999999998</v>
      </c>
      <c r="X54" s="288">
        <f>IFERROR(U54/F54,"")</f>
        <v>0.99902439024390233</v>
      </c>
      <c r="Y54" s="417"/>
      <c r="Z54" s="420">
        <v>1050623.9999999998</v>
      </c>
      <c r="AA54" s="419">
        <f>Z54-SUM(R54,O54,L54)-E54</f>
        <v>26624</v>
      </c>
      <c r="AB54" s="351">
        <f>IFERROR(AA54/I54,"")</f>
        <v>0.52591656131479381</v>
      </c>
      <c r="AC54" s="351">
        <f>IFERROR(AA54/E54,"")</f>
        <v>2.6623999999999998E-2</v>
      </c>
      <c r="AD54" s="278">
        <f>IFERROR(AA54/U54,"")</f>
        <v>2.6000000000000006E-2</v>
      </c>
      <c r="AE54" s="279">
        <f>IFERROR(AD54*V54,0%)</f>
        <v>2.2142381902860945E-3</v>
      </c>
      <c r="AF54" s="278">
        <f>IFERROR((G54-E54)/E54,0%)</f>
        <v>5.0623999999999766E-2</v>
      </c>
      <c r="AG54" s="277">
        <f>IFERROR(AF54*J54,0%)</f>
        <v>4.4760389036250904E-3</v>
      </c>
      <c r="AH54" s="276" t="b">
        <f>ROUND((G54-E54),0)=ROUND(SUM(L54,O54,R54,AA54),0)</f>
        <v>1</v>
      </c>
      <c r="AI54" s="21"/>
      <c r="AJ54" s="21"/>
    </row>
    <row r="55" spans="2:36" s="16" customFormat="1" outlineLevel="1" x14ac:dyDescent="0.3">
      <c r="B55" s="289"/>
      <c r="C55" s="43" t="s">
        <v>571</v>
      </c>
      <c r="D55" s="352">
        <f>E55*0.99</f>
        <v>297000</v>
      </c>
      <c r="E55" s="395">
        <v>300000</v>
      </c>
      <c r="F55" s="391">
        <v>307500</v>
      </c>
      <c r="G55" s="352">
        <v>315187.19999999995</v>
      </c>
      <c r="H55" s="394">
        <f>IFERROR(F55/D55-1,"")</f>
        <v>3.5353535353535248E-2</v>
      </c>
      <c r="I55" s="393">
        <f>G55-E55</f>
        <v>15187.199999999953</v>
      </c>
      <c r="J55" s="52">
        <f>IFERROR(E55/E$79,"")</f>
        <v>2.6525198938992044E-2</v>
      </c>
      <c r="K55" s="392">
        <v>306900</v>
      </c>
      <c r="L55" s="419">
        <f>K55-E55</f>
        <v>6900</v>
      </c>
      <c r="M55" s="351">
        <f>IFERROR(L55/$I55,"")</f>
        <v>0.45432996207332632</v>
      </c>
      <c r="N55" s="392">
        <v>300299.99999999994</v>
      </c>
      <c r="O55" s="419">
        <f>N55-E55</f>
        <v>299.99999999994179</v>
      </c>
      <c r="P55" s="351">
        <f>IFERROR(O55/$I55,"")</f>
        <v>1.9753476611879921E-2</v>
      </c>
      <c r="Q55" s="392">
        <v>300000</v>
      </c>
      <c r="R55" s="307">
        <f>Q55-E55</f>
        <v>0</v>
      </c>
      <c r="S55" s="266">
        <f>IFERROR(R55/$I55,"")</f>
        <v>0</v>
      </c>
      <c r="T55" s="45"/>
      <c r="U55" s="281">
        <f>SUM(E55,L55,O55,R55)</f>
        <v>307199.99999999994</v>
      </c>
      <c r="V55" s="356">
        <f>U55/$U$79</f>
        <v>2.5548902195608778E-2</v>
      </c>
      <c r="W55" s="288">
        <f>IFERROR(U55/E55,"")</f>
        <v>1.0239999999999998</v>
      </c>
      <c r="X55" s="288">
        <f>IFERROR(U55/F55,"")</f>
        <v>0.99902439024390222</v>
      </c>
      <c r="Y55" s="417"/>
      <c r="Z55" s="420">
        <v>315187.19999999995</v>
      </c>
      <c r="AA55" s="419">
        <f>Z55-SUM(R55,O55,L55)-E55</f>
        <v>7987.2000000000116</v>
      </c>
      <c r="AB55" s="351">
        <f>IFERROR(AA55/I55,"")</f>
        <v>0.52591656131479381</v>
      </c>
      <c r="AC55" s="351">
        <f>IFERROR(AA55/E55,"")</f>
        <v>2.662400000000004E-2</v>
      </c>
      <c r="AD55" s="278">
        <f>IFERROR(AA55/U55,"")</f>
        <v>2.6000000000000044E-2</v>
      </c>
      <c r="AE55" s="279">
        <f>IFERROR(AD55*V55,0%)</f>
        <v>6.6427145708582939E-4</v>
      </c>
      <c r="AF55" s="278">
        <f>IFERROR((G55-E55)/E55,0%)</f>
        <v>5.0623999999999843E-2</v>
      </c>
      <c r="AG55" s="277">
        <f>IFERROR(AF55*J55,0%)</f>
        <v>1.342811671087529E-3</v>
      </c>
      <c r="AH55" s="276" t="b">
        <f>ROUND((G55-E55),0)=ROUND(SUM(L55,O55,R55,AA55),0)</f>
        <v>1</v>
      </c>
      <c r="AI55" s="21"/>
      <c r="AJ55" s="21"/>
    </row>
    <row r="56" spans="2:36" s="16" customFormat="1" outlineLevel="1" x14ac:dyDescent="0.3">
      <c r="B56" s="289"/>
      <c r="C56" s="353" t="s">
        <v>82</v>
      </c>
      <c r="D56" s="352">
        <f>E56*0.99</f>
        <v>0</v>
      </c>
      <c r="E56" s="395">
        <v>0</v>
      </c>
      <c r="F56" s="391">
        <v>0</v>
      </c>
      <c r="G56" s="352">
        <v>0</v>
      </c>
      <c r="H56" s="394" t="str">
        <f>IFERROR(F56/D56-1,"")</f>
        <v/>
      </c>
      <c r="I56" s="393">
        <f>G56-E56</f>
        <v>0</v>
      </c>
      <c r="J56" s="52">
        <f>IFERROR(E56/E$79,"")</f>
        <v>0</v>
      </c>
      <c r="K56" s="392">
        <v>0</v>
      </c>
      <c r="L56" s="419">
        <f>K56-E56</f>
        <v>0</v>
      </c>
      <c r="M56" s="351" t="str">
        <f>IFERROR(L56/$I56,"")</f>
        <v/>
      </c>
      <c r="N56" s="392">
        <v>0</v>
      </c>
      <c r="O56" s="419">
        <f>N56-E56</f>
        <v>0</v>
      </c>
      <c r="P56" s="351" t="str">
        <f>IFERROR(O56/$I56,"")</f>
        <v/>
      </c>
      <c r="Q56" s="392">
        <v>0</v>
      </c>
      <c r="R56" s="307">
        <f>Q56-E56</f>
        <v>0</v>
      </c>
      <c r="S56" s="266" t="str">
        <f>IFERROR(R56/$I56,"")</f>
        <v/>
      </c>
      <c r="T56" s="45"/>
      <c r="U56" s="281">
        <f>SUM(E56,L56,O56,R56)</f>
        <v>0</v>
      </c>
      <c r="V56" s="356">
        <f>U56/$U$79</f>
        <v>0</v>
      </c>
      <c r="W56" s="288" t="str">
        <f>IFERROR(U56/E56,"")</f>
        <v/>
      </c>
      <c r="X56" s="288" t="str">
        <f>IFERROR(U56/F56,"")</f>
        <v/>
      </c>
      <c r="Y56" s="417"/>
      <c r="Z56" s="420">
        <v>0</v>
      </c>
      <c r="AA56" s="419">
        <f>Z56-SUM(R56,O56,L56)-E56</f>
        <v>0</v>
      </c>
      <c r="AB56" s="351" t="str">
        <f>IFERROR(AA56/I56,"")</f>
        <v/>
      </c>
      <c r="AC56" s="351" t="str">
        <f>IFERROR(AA56/E56,"")</f>
        <v/>
      </c>
      <c r="AD56" s="278" t="str">
        <f>IFERROR(AA56/U56,"")</f>
        <v/>
      </c>
      <c r="AE56" s="279">
        <f>IFERROR(AD56*V56,0%)</f>
        <v>0</v>
      </c>
      <c r="AF56" s="278">
        <f>IFERROR((G56-E56)/E56,0%)</f>
        <v>0</v>
      </c>
      <c r="AG56" s="277">
        <f>IFERROR(AF56*J56,0%)</f>
        <v>0</v>
      </c>
      <c r="AH56" s="276" t="b">
        <f>ROUND((G56-E56),0)=ROUND(SUM(L56,O56,R56,AA56),0)</f>
        <v>1</v>
      </c>
      <c r="AI56" s="21"/>
      <c r="AJ56" s="21"/>
    </row>
    <row r="57" spans="2:36" s="16" customFormat="1" x14ac:dyDescent="0.3">
      <c r="B57" s="289"/>
      <c r="C57" s="47" t="s">
        <v>70</v>
      </c>
      <c r="D57" s="350">
        <f>E57*0.99</f>
        <v>1980000</v>
      </c>
      <c r="E57" s="380">
        <v>2000000</v>
      </c>
      <c r="F57" s="384">
        <v>2100000</v>
      </c>
      <c r="G57" s="350">
        <v>2308500</v>
      </c>
      <c r="H57" s="386">
        <f>IFERROR(F57/D57-1,"")</f>
        <v>6.0606060606060552E-2</v>
      </c>
      <c r="I57" s="383">
        <f>G57-E57</f>
        <v>308500</v>
      </c>
      <c r="J57" s="22">
        <f>IFERROR(E57/E$79,"")</f>
        <v>0.17683465959328029</v>
      </c>
      <c r="K57" s="418">
        <v>2100000</v>
      </c>
      <c r="L57" s="415">
        <f>K57-E57</f>
        <v>100000</v>
      </c>
      <c r="M57" s="349">
        <f>IFERROR(L57/$I57,"")</f>
        <v>0.32414910858995138</v>
      </c>
      <c r="N57" s="418">
        <v>2150000</v>
      </c>
      <c r="O57" s="415">
        <f>N57-E57</f>
        <v>150000</v>
      </c>
      <c r="P57" s="349">
        <f>IFERROR(O57/$I57,"")</f>
        <v>0.48622366288492708</v>
      </c>
      <c r="Q57" s="418">
        <v>2000000</v>
      </c>
      <c r="R57" s="303">
        <f>Q57-E57</f>
        <v>0</v>
      </c>
      <c r="S57" s="266">
        <f>IFERROR(R57/$I57,"")</f>
        <v>0</v>
      </c>
      <c r="T57" s="45"/>
      <c r="U57" s="300">
        <f>SUM(E57,L57,O57,R57)</f>
        <v>2250000</v>
      </c>
      <c r="V57" s="382">
        <f>U57/$U$79</f>
        <v>0.18712574850299402</v>
      </c>
      <c r="W57" s="305">
        <f>IFERROR(U57/E57,"")</f>
        <v>1.125</v>
      </c>
      <c r="X57" s="305">
        <f>IFERROR(U57/F57,"")</f>
        <v>1.0714285714285714</v>
      </c>
      <c r="Y57" s="417" t="s">
        <v>592</v>
      </c>
      <c r="Z57" s="416">
        <v>2308500</v>
      </c>
      <c r="AA57" s="415">
        <f>Z57-SUM(R57,O57,L57)-E57</f>
        <v>58500</v>
      </c>
      <c r="AB57" s="349">
        <f>IFERROR(AA57/I57,"")</f>
        <v>0.18962722852512157</v>
      </c>
      <c r="AC57" s="349">
        <f>IFERROR(AA57/E57,"")</f>
        <v>2.9250000000000002E-2</v>
      </c>
      <c r="AD57" s="264">
        <f>IFERROR(AA57/U57,"")</f>
        <v>2.5999999999999999E-2</v>
      </c>
      <c r="AE57" s="265">
        <f>IFERROR(AD57*V57,0%)</f>
        <v>4.8652694610778445E-3</v>
      </c>
      <c r="AF57" s="264">
        <f>IFERROR((G57-E57)/E57,0%)</f>
        <v>0.15425</v>
      </c>
      <c r="AG57" s="263">
        <f>IFERROR(AF57*J57,0%)</f>
        <v>2.7276746242263485E-2</v>
      </c>
      <c r="AH57" s="299" t="b">
        <f>ROUND((G57-E57),0)=ROUND(SUM(L57,O57,R57,AA57),0)</f>
        <v>1</v>
      </c>
      <c r="AI57" s="21"/>
      <c r="AJ57" s="21"/>
    </row>
    <row r="58" spans="2:36" s="16" customFormat="1" x14ac:dyDescent="0.3">
      <c r="B58" s="275"/>
      <c r="C58" s="348" t="s">
        <v>570</v>
      </c>
      <c r="D58" s="345">
        <f>E58*0.99</f>
        <v>-495000</v>
      </c>
      <c r="E58" s="414">
        <v>-500000</v>
      </c>
      <c r="F58" s="413">
        <v>-512499.99999999994</v>
      </c>
      <c r="G58" s="345">
        <v>-538650</v>
      </c>
      <c r="H58" s="386">
        <f>IFERROR(F58/D58-1,"")</f>
        <v>3.5353535353535248E-2</v>
      </c>
      <c r="I58" s="383">
        <f>G58-E58</f>
        <v>-38650</v>
      </c>
      <c r="J58" s="22">
        <f>IFERROR(E58/E$79,"")</f>
        <v>-4.4208664898320073E-2</v>
      </c>
      <c r="K58" s="384">
        <v>-520000</v>
      </c>
      <c r="L58" s="303">
        <f>K58-E58</f>
        <v>-20000</v>
      </c>
      <c r="M58" s="266">
        <f>IFERROR(L58/$I58,"")</f>
        <v>0.51746442432082795</v>
      </c>
      <c r="N58" s="384">
        <v>-505000</v>
      </c>
      <c r="O58" s="307">
        <f>N58-E58</f>
        <v>-5000</v>
      </c>
      <c r="P58" s="266">
        <f>IFERROR(O58/$I58,"")</f>
        <v>0.12936610608020699</v>
      </c>
      <c r="Q58" s="384">
        <v>-500000</v>
      </c>
      <c r="R58" s="307">
        <f>Q58-E58</f>
        <v>0</v>
      </c>
      <c r="S58" s="280">
        <f>IFERROR(R58/$I58,"")</f>
        <v>0</v>
      </c>
      <c r="T58" s="55"/>
      <c r="U58" s="300">
        <f>SUM(E58,L58,O58,R58)</f>
        <v>-525000</v>
      </c>
      <c r="V58" s="382">
        <f>U58/$U$79</f>
        <v>-4.3662674650698605E-2</v>
      </c>
      <c r="W58" s="305">
        <f>IFERROR(U58/E58,"")</f>
        <v>1.05</v>
      </c>
      <c r="X58" s="305">
        <f>IFERROR(U58/F58,"")</f>
        <v>1.024390243902439</v>
      </c>
      <c r="Y58" s="412"/>
      <c r="Z58" s="380">
        <v>-538650</v>
      </c>
      <c r="AA58" s="303">
        <f>Z58-SUM(R58,O58,L58)-E58</f>
        <v>-13650</v>
      </c>
      <c r="AB58" s="266">
        <f>IFERROR(AA58/I58,"")</f>
        <v>0.35316946959896506</v>
      </c>
      <c r="AC58" s="266">
        <f>IFERROR(AA58/E58,"")</f>
        <v>2.7300000000000001E-2</v>
      </c>
      <c r="AD58" s="264">
        <f>IFERROR(AA58/U58,"")</f>
        <v>2.5999999999999999E-2</v>
      </c>
      <c r="AE58" s="265">
        <f>IFERROR(AD58*V58,0%)</f>
        <v>-1.1352295409181637E-3</v>
      </c>
      <c r="AF58" s="264">
        <f>IFERROR((G58-E58)/E58,0%)</f>
        <v>7.7299999999999994E-2</v>
      </c>
      <c r="AG58" s="263">
        <f>IFERROR(AF58*J58,0%)</f>
        <v>-3.4173297966401412E-3</v>
      </c>
      <c r="AH58" s="299" t="b">
        <f>ROUND((G58-E58),0)=ROUND(SUM(L58,O58,R58,AA58),0)</f>
        <v>1</v>
      </c>
      <c r="AI58" s="21"/>
    </row>
    <row r="59" spans="2:36" s="16" customFormat="1" x14ac:dyDescent="0.3">
      <c r="B59" s="342" t="s">
        <v>569</v>
      </c>
      <c r="C59" s="341" t="s">
        <v>72</v>
      </c>
      <c r="D59" s="257">
        <f>SUM(D60:D65)</f>
        <v>6880500</v>
      </c>
      <c r="E59" s="379">
        <f>SUM(E60:E65)</f>
        <v>6950000</v>
      </c>
      <c r="F59" s="295">
        <f>SUM(F60:F65)</f>
        <v>7269575</v>
      </c>
      <c r="G59" s="295">
        <f>SUM(G60:G65)</f>
        <v>7606607.5</v>
      </c>
      <c r="H59" s="251">
        <f>IFERROR(F59/D59-1,"")</f>
        <v>5.6547489281302266E-2</v>
      </c>
      <c r="I59" s="257">
        <f>SUM(I60:I65)</f>
        <v>656607.5</v>
      </c>
      <c r="J59" s="259">
        <f>IFERROR(E59/E$79,"")</f>
        <v>0.614500442086649</v>
      </c>
      <c r="K59" s="410">
        <f>SUM(K60:K65)</f>
        <v>7209575</v>
      </c>
      <c r="L59" s="410">
        <f>K59-E59</f>
        <v>259575</v>
      </c>
      <c r="M59" s="339">
        <f>IFERROR(L59/$I59,"")</f>
        <v>0.39532749778216059</v>
      </c>
      <c r="N59" s="410">
        <f>SUM(N60:N65)</f>
        <v>7022925</v>
      </c>
      <c r="O59" s="411">
        <f>N59-E59</f>
        <v>72925</v>
      </c>
      <c r="P59" s="339">
        <f>IFERROR(O59/$I59,"")</f>
        <v>0.11106330646543026</v>
      </c>
      <c r="Q59" s="410">
        <f>SUM(Q60:Q65)</f>
        <v>6950000</v>
      </c>
      <c r="R59" s="396">
        <f>Q59-E59</f>
        <v>0</v>
      </c>
      <c r="S59" s="294">
        <f>IFERROR(R59/$I59,"")</f>
        <v>0</v>
      </c>
      <c r="T59" s="340"/>
      <c r="U59" s="257">
        <f>SUM(U60:U65)</f>
        <v>7282500</v>
      </c>
      <c r="V59" s="256">
        <f>U59/$U$79</f>
        <v>0.60566367265469057</v>
      </c>
      <c r="W59" s="247">
        <f>IFERROR(U59/E59,"")</f>
        <v>1.047841726618705</v>
      </c>
      <c r="X59" s="251"/>
      <c r="Y59" s="364"/>
      <c r="Z59" s="397">
        <f>SUM(Z60:Z65)</f>
        <v>7606607.5</v>
      </c>
      <c r="AA59" s="410">
        <f>SUM(AA60:AA65)</f>
        <v>324107.5</v>
      </c>
      <c r="AB59" s="339">
        <f>IFERROR(AA59/I59,"")</f>
        <v>0.49360919575240919</v>
      </c>
      <c r="AC59" s="339">
        <f>IFERROR(AA59/E59,"")</f>
        <v>4.6634172661870504E-2</v>
      </c>
      <c r="AD59" s="409">
        <f>IFERROR(AA59/U59,"")</f>
        <v>4.4504977686234126E-2</v>
      </c>
      <c r="AE59" s="292">
        <f>IFERROR(AD59*V59,0%)</f>
        <v>2.6955048236859614E-2</v>
      </c>
      <c r="AF59" s="250">
        <f>IFERROR((G59-E59)/E59,0%)</f>
        <v>9.4475899280575537E-2</v>
      </c>
      <c r="AG59" s="336">
        <f>IFERROR(AF59*J59,0%)</f>
        <v>5.8055481874447389E-2</v>
      </c>
      <c r="AH59" s="246" t="b">
        <f>ROUND((G59-E59),0)=ROUND(SUM(L59,O59,R59,AA59),0)</f>
        <v>1</v>
      </c>
      <c r="AI59" s="21"/>
      <c r="AJ59" s="21"/>
    </row>
    <row r="60" spans="2:36" s="16" customFormat="1" outlineLevel="1" x14ac:dyDescent="0.3">
      <c r="B60" s="289"/>
      <c r="C60" s="333" t="s">
        <v>568</v>
      </c>
      <c r="D60" s="352">
        <f>E60*0.99</f>
        <v>2970000</v>
      </c>
      <c r="E60" s="395">
        <v>3000000</v>
      </c>
      <c r="F60" s="391">
        <v>3096300</v>
      </c>
      <c r="G60" s="391">
        <v>3229050</v>
      </c>
      <c r="H60" s="288">
        <f>IFERROR(F60/D60-1,"")</f>
        <v>4.2525252525252633E-2</v>
      </c>
      <c r="I60" s="393">
        <f>G60-E60</f>
        <v>229050</v>
      </c>
      <c r="J60" s="52">
        <f>IFERROR(E60/E$79,"")</f>
        <v>0.26525198938992045</v>
      </c>
      <c r="K60" s="391">
        <v>3076300</v>
      </c>
      <c r="L60" s="307">
        <f>K60-E60</f>
        <v>76300</v>
      </c>
      <c r="M60" s="280">
        <f>IFERROR(L60/$I60,"")</f>
        <v>0.33311504038419559</v>
      </c>
      <c r="N60" s="391">
        <v>3013700</v>
      </c>
      <c r="O60" s="307">
        <f>N60-E60</f>
        <v>13700</v>
      </c>
      <c r="P60" s="280">
        <f>IFERROR(O60/$I60,"")</f>
        <v>5.9812268063741542E-2</v>
      </c>
      <c r="Q60" s="390">
        <v>3000000</v>
      </c>
      <c r="R60" s="307">
        <f>Q60-E60</f>
        <v>0</v>
      </c>
      <c r="S60" s="280">
        <f>IFERROR(R60/$I60,"")</f>
        <v>0</v>
      </c>
      <c r="T60" s="55"/>
      <c r="U60" s="281">
        <f>SUM(E60,L60,O60,R60)</f>
        <v>3090000</v>
      </c>
      <c r="V60" s="356">
        <f>U60/$U$79</f>
        <v>0.25698602794411179</v>
      </c>
      <c r="W60" s="288">
        <f>IFERROR(U60/E60,"")</f>
        <v>1.03</v>
      </c>
      <c r="X60" s="389">
        <f>IFERROR(U60/F60,"")</f>
        <v>0.99796531343862027</v>
      </c>
      <c r="Y60" s="408"/>
      <c r="Z60" s="395">
        <v>3229050</v>
      </c>
      <c r="AA60" s="307">
        <f>Z60-SUM(R60,O60,L60)-E60</f>
        <v>139050</v>
      </c>
      <c r="AB60" s="280">
        <f>IFERROR(AA60/I60,"")</f>
        <v>0.60707269155206289</v>
      </c>
      <c r="AC60" s="280">
        <f>IFERROR(AA60/E60,"")</f>
        <v>4.6350000000000002E-2</v>
      </c>
      <c r="AD60" s="401">
        <f>IFERROR(AA60/U60,"")</f>
        <v>4.4999999999999998E-2</v>
      </c>
      <c r="AE60" s="279">
        <f>IFERROR(AD60*V60,0%)</f>
        <v>1.156437125748503E-2</v>
      </c>
      <c r="AF60" s="278">
        <f>IFERROR((G60-E60)/E60,0%)</f>
        <v>7.6350000000000001E-2</v>
      </c>
      <c r="AG60" s="277">
        <f>IFERROR(AF60*J60,0%)</f>
        <v>2.0251989389920427E-2</v>
      </c>
      <c r="AH60" s="276" t="b">
        <f>ROUND((G60-E60),0)=ROUND(SUM(L60,O60,R60,AA60),0)</f>
        <v>1</v>
      </c>
      <c r="AI60" s="21"/>
    </row>
    <row r="61" spans="2:36" s="16" customFormat="1" outlineLevel="1" x14ac:dyDescent="0.3">
      <c r="B61" s="289"/>
      <c r="C61" s="333" t="s">
        <v>567</v>
      </c>
      <c r="D61" s="352">
        <f>E61*0.99</f>
        <v>1980000</v>
      </c>
      <c r="E61" s="395">
        <v>2000000</v>
      </c>
      <c r="F61" s="391">
        <v>2064200</v>
      </c>
      <c r="G61" s="391">
        <v>2150640</v>
      </c>
      <c r="H61" s="288">
        <f>IFERROR(F61/D61-1,"")</f>
        <v>4.2525252525252633E-2</v>
      </c>
      <c r="I61" s="393">
        <f>G61-E61</f>
        <v>150640</v>
      </c>
      <c r="J61" s="52">
        <f>IFERROR(E61/E$79,"")</f>
        <v>0.17683465959328029</v>
      </c>
      <c r="K61" s="391">
        <v>2044200</v>
      </c>
      <c r="L61" s="307">
        <f>K61-E61</f>
        <v>44200</v>
      </c>
      <c r="M61" s="280">
        <f>IFERROR(L61/$I61,"")</f>
        <v>0.2934147636749867</v>
      </c>
      <c r="N61" s="391">
        <v>2015800</v>
      </c>
      <c r="O61" s="307">
        <f>N61-E61</f>
        <v>15800</v>
      </c>
      <c r="P61" s="280">
        <f>IFERROR(O61/$I61,"")</f>
        <v>0.10488582049920341</v>
      </c>
      <c r="Q61" s="390">
        <v>2000000</v>
      </c>
      <c r="R61" s="307">
        <f>Q61-E61</f>
        <v>0</v>
      </c>
      <c r="S61" s="280">
        <f>IFERROR(R61/$I61,"")</f>
        <v>0</v>
      </c>
      <c r="T61" s="55"/>
      <c r="U61" s="281">
        <f>SUM(E61,L61,O61,R61)</f>
        <v>2060000</v>
      </c>
      <c r="V61" s="356">
        <f>U61/$U$79</f>
        <v>0.17132401862940785</v>
      </c>
      <c r="W61" s="288">
        <f>IFERROR(U61/E61,"")</f>
        <v>1.03</v>
      </c>
      <c r="X61" s="389">
        <f>IFERROR(U61/F61,"")</f>
        <v>0.99796531343862027</v>
      </c>
      <c r="Y61" s="352"/>
      <c r="Z61" s="395">
        <v>2150640</v>
      </c>
      <c r="AA61" s="307">
        <f>Z61-SUM(R61,O61,L61)-E61</f>
        <v>90640</v>
      </c>
      <c r="AB61" s="280">
        <f>IFERROR(AA61/I61,"")</f>
        <v>0.60169941582580988</v>
      </c>
      <c r="AC61" s="280">
        <f>IFERROR(AA61/E61,"")</f>
        <v>4.5319999999999999E-2</v>
      </c>
      <c r="AD61" s="401">
        <f>IFERROR(AA61/U61,"")</f>
        <v>4.3999999999999997E-2</v>
      </c>
      <c r="AE61" s="279">
        <f>IFERROR(AD61*V61,0%)</f>
        <v>7.5382568196939448E-3</v>
      </c>
      <c r="AF61" s="278">
        <f>IFERROR((G61-E61)/E61,0%)</f>
        <v>7.5319999999999998E-2</v>
      </c>
      <c r="AG61" s="277">
        <f>IFERROR(AF61*J61,0%)</f>
        <v>1.3319186560565872E-2</v>
      </c>
      <c r="AH61" s="276" t="b">
        <f>ROUND((G61-E61),0)=ROUND(SUM(L61,O61,R61,AA61),0)</f>
        <v>1</v>
      </c>
      <c r="AI61" s="21"/>
    </row>
    <row r="62" spans="2:36" s="16" customFormat="1" outlineLevel="1" x14ac:dyDescent="0.3">
      <c r="B62" s="289"/>
      <c r="C62" s="333" t="s">
        <v>566</v>
      </c>
      <c r="D62" s="352">
        <f>E62*0.99</f>
        <v>742500</v>
      </c>
      <c r="E62" s="395">
        <v>750000</v>
      </c>
      <c r="F62" s="391">
        <v>774075</v>
      </c>
      <c r="G62" s="391">
        <v>805717.5</v>
      </c>
      <c r="H62" s="288">
        <f>IFERROR(F62/D62-1,"")</f>
        <v>4.2525252525252633E-2</v>
      </c>
      <c r="I62" s="393">
        <f>G62-E62</f>
        <v>55717.5</v>
      </c>
      <c r="J62" s="52">
        <f>IFERROR(E62/E$79,"")</f>
        <v>6.6312997347480113E-2</v>
      </c>
      <c r="K62" s="391">
        <v>754075</v>
      </c>
      <c r="L62" s="307">
        <f>K62-E62</f>
        <v>4075</v>
      </c>
      <c r="M62" s="280">
        <f>IFERROR(L62/$I62,"")</f>
        <v>7.3136806209898153E-2</v>
      </c>
      <c r="N62" s="391">
        <v>768425</v>
      </c>
      <c r="O62" s="307">
        <f>N62-E62</f>
        <v>18425</v>
      </c>
      <c r="P62" s="280">
        <f>IFERROR(O62/$I62,"")</f>
        <v>0.33068605016377262</v>
      </c>
      <c r="Q62" s="390">
        <v>750000</v>
      </c>
      <c r="R62" s="307">
        <f>Q62-E62</f>
        <v>0</v>
      </c>
      <c r="S62" s="280">
        <f>IFERROR(R62/$I62,"")</f>
        <v>0</v>
      </c>
      <c r="T62" s="55"/>
      <c r="U62" s="281">
        <f>SUM(E62,L62,O62,R62)</f>
        <v>772500</v>
      </c>
      <c r="V62" s="356">
        <f>U62/$U$79</f>
        <v>6.4246506986027949E-2</v>
      </c>
      <c r="W62" s="288">
        <f>IFERROR(U62/E62,"")</f>
        <v>1.03</v>
      </c>
      <c r="X62" s="389">
        <f>IFERROR(U62/F62,"")</f>
        <v>0.99796531343862027</v>
      </c>
      <c r="Y62" s="352"/>
      <c r="Z62" s="395">
        <v>805717.5</v>
      </c>
      <c r="AA62" s="307">
        <f>Z62-SUM(R62,O62,L62)-E62</f>
        <v>33217.5</v>
      </c>
      <c r="AB62" s="280">
        <f>IFERROR(AA62/I62,"")</f>
        <v>0.59617714362632923</v>
      </c>
      <c r="AC62" s="280">
        <f>IFERROR(AA62/E62,"")</f>
        <v>4.4290000000000003E-2</v>
      </c>
      <c r="AD62" s="401">
        <f>IFERROR(AA62/U62,"")</f>
        <v>4.2999999999999997E-2</v>
      </c>
      <c r="AE62" s="279">
        <f>IFERROR(AD62*V62,0%)</f>
        <v>2.7625998003992015E-3</v>
      </c>
      <c r="AF62" s="278">
        <f>IFERROR((G62-E62)/E62,0%)</f>
        <v>7.4289999999999995E-2</v>
      </c>
      <c r="AG62" s="277">
        <f>IFERROR(AF62*J62,0%)</f>
        <v>4.926392572944297E-3</v>
      </c>
      <c r="AH62" s="276" t="b">
        <f>ROUND((G62-E62),0)=ROUND(SUM(L62,O62,R62,AA62),0)</f>
        <v>1</v>
      </c>
      <c r="AI62" s="21"/>
    </row>
    <row r="63" spans="2:36" s="16" customFormat="1" outlineLevel="1" x14ac:dyDescent="0.3">
      <c r="B63" s="289"/>
      <c r="C63" s="333" t="s">
        <v>565</v>
      </c>
      <c r="D63" s="352">
        <f>E63*0.99</f>
        <v>0</v>
      </c>
      <c r="E63" s="395">
        <v>0</v>
      </c>
      <c r="F63" s="391">
        <v>0</v>
      </c>
      <c r="G63" s="391">
        <v>0</v>
      </c>
      <c r="H63" s="288" t="str">
        <f>IFERROR(F63/D63-1,"")</f>
        <v/>
      </c>
      <c r="I63" s="393">
        <f>G63-E63</f>
        <v>0</v>
      </c>
      <c r="J63" s="52">
        <f>IFERROR(E63/E$79,"")</f>
        <v>0</v>
      </c>
      <c r="K63" s="391">
        <v>0</v>
      </c>
      <c r="L63" s="307">
        <f>K63-E63</f>
        <v>0</v>
      </c>
      <c r="M63" s="280" t="str">
        <f>IFERROR(L63/$I63,"")</f>
        <v/>
      </c>
      <c r="N63" s="391">
        <v>0</v>
      </c>
      <c r="O63" s="307">
        <f>N63-E63</f>
        <v>0</v>
      </c>
      <c r="P63" s="280" t="str">
        <f>IFERROR(O63/$I63,"")</f>
        <v/>
      </c>
      <c r="Q63" s="390">
        <v>0</v>
      </c>
      <c r="R63" s="307">
        <f>Q63-E63</f>
        <v>0</v>
      </c>
      <c r="S63" s="280" t="str">
        <f>IFERROR(R63/$I63,"")</f>
        <v/>
      </c>
      <c r="T63" s="55"/>
      <c r="U63" s="281">
        <f>SUM(E63,L63,O63,R63)</f>
        <v>0</v>
      </c>
      <c r="V63" s="356">
        <f>U63/$U$79</f>
        <v>0</v>
      </c>
      <c r="W63" s="288" t="str">
        <f>IFERROR(U63/E63,"")</f>
        <v/>
      </c>
      <c r="X63" s="389" t="str">
        <f>IFERROR(U63/F63,"")</f>
        <v/>
      </c>
      <c r="Y63" s="352"/>
      <c r="Z63" s="395">
        <v>0</v>
      </c>
      <c r="AA63" s="307">
        <f>Z63-SUM(R63,O63,L63)-E63</f>
        <v>0</v>
      </c>
      <c r="AB63" s="280" t="str">
        <f>IFERROR(AA63/I63,"")</f>
        <v/>
      </c>
      <c r="AC63" s="280" t="str">
        <f>IFERROR(AA63/E63,"")</f>
        <v/>
      </c>
      <c r="AD63" s="401" t="str">
        <f>IFERROR(AA63/U63,"")</f>
        <v/>
      </c>
      <c r="AE63" s="279">
        <f>IFERROR(AD63*V63,0%)</f>
        <v>0</v>
      </c>
      <c r="AF63" s="278">
        <f>IFERROR((G63-E63)/E63,0%)</f>
        <v>0</v>
      </c>
      <c r="AG63" s="277">
        <f>IFERROR(AF63*J63,0%)</f>
        <v>0</v>
      </c>
      <c r="AH63" s="276" t="b">
        <f>ROUND((G63-E63),0)=ROUND(SUM(L63,O63,R63,AA63),0)</f>
        <v>1</v>
      </c>
      <c r="AI63" s="21"/>
    </row>
    <row r="64" spans="2:36" s="16" customFormat="1" outlineLevel="1" x14ac:dyDescent="0.3">
      <c r="B64" s="289"/>
      <c r="C64" s="333" t="s">
        <v>564</v>
      </c>
      <c r="D64" s="352">
        <f>E64*0.99</f>
        <v>0</v>
      </c>
      <c r="E64" s="395">
        <v>0</v>
      </c>
      <c r="F64" s="391">
        <v>0</v>
      </c>
      <c r="G64" s="391">
        <v>0</v>
      </c>
      <c r="H64" s="288" t="str">
        <f>IFERROR(F64/D64-1,"")</f>
        <v/>
      </c>
      <c r="I64" s="393">
        <f>G64-E64</f>
        <v>0</v>
      </c>
      <c r="J64" s="52">
        <f>IFERROR(E64/E$79,"")</f>
        <v>0</v>
      </c>
      <c r="K64" s="391">
        <v>0</v>
      </c>
      <c r="L64" s="307">
        <f>K64-E64</f>
        <v>0</v>
      </c>
      <c r="M64" s="280" t="str">
        <f>IFERROR(L64/$I64,"")</f>
        <v/>
      </c>
      <c r="N64" s="391">
        <v>0</v>
      </c>
      <c r="O64" s="307">
        <f>N64-E64</f>
        <v>0</v>
      </c>
      <c r="P64" s="280" t="str">
        <f>IFERROR(O64/$I64,"")</f>
        <v/>
      </c>
      <c r="Q64" s="390">
        <v>0</v>
      </c>
      <c r="R64" s="307">
        <f>Q64-E64</f>
        <v>0</v>
      </c>
      <c r="S64" s="280" t="str">
        <f>IFERROR(R64/$I64,"")</f>
        <v/>
      </c>
      <c r="T64" s="55"/>
      <c r="U64" s="281">
        <f>SUM(E64,L64,O64,R64)</f>
        <v>0</v>
      </c>
      <c r="V64" s="356">
        <f>U64/$U$79</f>
        <v>0</v>
      </c>
      <c r="W64" s="288" t="str">
        <f>IFERROR(U64/E64,"")</f>
        <v/>
      </c>
      <c r="X64" s="389" t="str">
        <f>IFERROR(U64/F64,"")</f>
        <v/>
      </c>
      <c r="Y64" s="352"/>
      <c r="Z64" s="395">
        <v>0</v>
      </c>
      <c r="AA64" s="307">
        <f>Z64-SUM(R64,O64,L64)-E64</f>
        <v>0</v>
      </c>
      <c r="AB64" s="280" t="str">
        <f>IFERROR(AA64/I64,"")</f>
        <v/>
      </c>
      <c r="AC64" s="280" t="str">
        <f>IFERROR(AA64/E64,"")</f>
        <v/>
      </c>
      <c r="AD64" s="401" t="str">
        <f>IFERROR(AA64/U64,"")</f>
        <v/>
      </c>
      <c r="AE64" s="279">
        <f>IFERROR(AD64*V64,0%)</f>
        <v>0</v>
      </c>
      <c r="AF64" s="278">
        <f>IFERROR((G64-E64)/E64,0%)</f>
        <v>0</v>
      </c>
      <c r="AG64" s="277">
        <f>IFERROR(AF64*J64,0%)</f>
        <v>0</v>
      </c>
      <c r="AH64" s="276" t="b">
        <f>ROUND((G64-E64),0)=ROUND(SUM(L64,O64,R64,AA64),0)</f>
        <v>1</v>
      </c>
      <c r="AI64" s="21"/>
    </row>
    <row r="65" spans="2:36" s="16" customFormat="1" outlineLevel="1" x14ac:dyDescent="0.3">
      <c r="B65" s="289"/>
      <c r="C65" s="330" t="s">
        <v>77</v>
      </c>
      <c r="D65" s="324">
        <f>SUM(D66:D70)</f>
        <v>1188000</v>
      </c>
      <c r="E65" s="327">
        <f>SUM(E66:E70)</f>
        <v>1200000</v>
      </c>
      <c r="F65" s="327">
        <f>SUM(F66:F70)</f>
        <v>1335000</v>
      </c>
      <c r="G65" s="327">
        <f>SUM(G66:G70)</f>
        <v>1421200</v>
      </c>
      <c r="H65" s="329">
        <f>IFERROR(F65/D65-1,"")</f>
        <v>0.1237373737373737</v>
      </c>
      <c r="I65" s="324">
        <f>SUM(I66:I70)</f>
        <v>221199.99999999997</v>
      </c>
      <c r="J65" s="407">
        <f>IFERROR(E65/E$79,"")</f>
        <v>0.10610079575596817</v>
      </c>
      <c r="K65" s="324">
        <f>SUM(K66:K70)</f>
        <v>1335000</v>
      </c>
      <c r="L65" s="404">
        <f>K65-E65</f>
        <v>135000</v>
      </c>
      <c r="M65" s="326">
        <f>IFERROR(L65/$I65,"")</f>
        <v>0.61030741410488254</v>
      </c>
      <c r="N65" s="324">
        <f>SUM(N66:N70)</f>
        <v>1225000</v>
      </c>
      <c r="O65" s="404">
        <f>N65-E65</f>
        <v>25000</v>
      </c>
      <c r="P65" s="326">
        <f>IFERROR(O65/$I65,"")</f>
        <v>0.11301989150090418</v>
      </c>
      <c r="Q65" s="404">
        <f>SUM(Q66:Q70)</f>
        <v>1200000</v>
      </c>
      <c r="R65" s="406">
        <f>Q65-E65</f>
        <v>0</v>
      </c>
      <c r="S65" s="326">
        <f>IFERROR(R65/$I65,"")</f>
        <v>0</v>
      </c>
      <c r="T65" s="325"/>
      <c r="U65" s="324">
        <f>SUM(U66:U70)</f>
        <v>1360000</v>
      </c>
      <c r="V65" s="323">
        <f>U65/$U$79</f>
        <v>0.11310711909514305</v>
      </c>
      <c r="W65" s="322">
        <f>IFERROR(U65/E65,"")</f>
        <v>1.1333333333333333</v>
      </c>
      <c r="X65" s="322">
        <f>IFERROR(U65/F65,"")</f>
        <v>1.0187265917602997</v>
      </c>
      <c r="Y65" s="405"/>
      <c r="Z65" s="319">
        <f>SUM(Z66:Z70)</f>
        <v>1421200</v>
      </c>
      <c r="AA65" s="404">
        <f>SUM(AA66:AA70)</f>
        <v>61199.999999999971</v>
      </c>
      <c r="AB65" s="326">
        <f>IFERROR(AA65/I65,"")</f>
        <v>0.27667269439421327</v>
      </c>
      <c r="AC65" s="326">
        <f>IFERROR(AA65/E65,"")</f>
        <v>5.0999999999999976E-2</v>
      </c>
      <c r="AD65" s="403">
        <f>IFERROR(AA65/U65,"")</f>
        <v>4.4999999999999978E-2</v>
      </c>
      <c r="AE65" s="402">
        <f>IFERROR(AD65*V65,0%)</f>
        <v>5.0898203592814346E-3</v>
      </c>
      <c r="AF65" s="314">
        <f>IFERROR((G65-E65)/E65,0%)</f>
        <v>0.18433333333333332</v>
      </c>
      <c r="AG65" s="313">
        <f>IFERROR(AF65*J65,0%)</f>
        <v>1.9557913351016799E-2</v>
      </c>
      <c r="AH65" s="312" t="b">
        <f>ROUND((G65-E65),0)=ROUND(SUM(L65,O65,R65,AA65),0)</f>
        <v>1</v>
      </c>
      <c r="AI65" s="21"/>
    </row>
    <row r="66" spans="2:36" s="16" customFormat="1" outlineLevel="1" x14ac:dyDescent="0.3">
      <c r="B66" s="436"/>
      <c r="C66" s="308" t="s">
        <v>563</v>
      </c>
      <c r="D66" s="352">
        <f>E66*0.99</f>
        <v>990000</v>
      </c>
      <c r="E66" s="395">
        <v>1000000</v>
      </c>
      <c r="F66" s="391">
        <v>1125000</v>
      </c>
      <c r="G66" s="352">
        <v>1201750</v>
      </c>
      <c r="H66" s="394">
        <f>IFERROR(F66/D66-1,"")</f>
        <v>0.13636363636363646</v>
      </c>
      <c r="I66" s="393">
        <f>G66-E66</f>
        <v>201750</v>
      </c>
      <c r="J66" s="52">
        <f>IFERROR(E66/E$79,"")</f>
        <v>8.8417329796640146E-2</v>
      </c>
      <c r="K66" s="391">
        <v>1125000</v>
      </c>
      <c r="L66" s="307">
        <f>K66-E66</f>
        <v>125000</v>
      </c>
      <c r="M66" s="280">
        <f>IFERROR(L66/$I66,"")</f>
        <v>0.61957868649318459</v>
      </c>
      <c r="N66" s="391">
        <v>1025000</v>
      </c>
      <c r="O66" s="307">
        <f>N66-E66</f>
        <v>25000</v>
      </c>
      <c r="P66" s="280">
        <f>IFERROR(O66/$I66,"")</f>
        <v>0.12391573729863693</v>
      </c>
      <c r="Q66" s="390">
        <v>1000000</v>
      </c>
      <c r="R66" s="307">
        <f>Q66-E66</f>
        <v>0</v>
      </c>
      <c r="S66" s="280">
        <f>IFERROR(R66/$I66,"")</f>
        <v>0</v>
      </c>
      <c r="T66" s="55"/>
      <c r="U66" s="281">
        <f>SUM(E66,L66,O66,R66)</f>
        <v>1150000</v>
      </c>
      <c r="V66" s="356">
        <f>U66/$U$79</f>
        <v>9.5642049234863608E-2</v>
      </c>
      <c r="W66" s="288">
        <f>IFERROR(U66/E66,"")</f>
        <v>1.1499999999999999</v>
      </c>
      <c r="X66" s="389">
        <f>IFERROR(U66/F66,"")</f>
        <v>1.0222222222222221</v>
      </c>
      <c r="Y66" s="352"/>
      <c r="Z66" s="388">
        <v>1201750</v>
      </c>
      <c r="AA66" s="307">
        <f>Z66-SUM(R66,O66,L66)-E66</f>
        <v>51750</v>
      </c>
      <c r="AB66" s="280">
        <f>IFERROR(AA66/I66,"")</f>
        <v>0.25650557620817843</v>
      </c>
      <c r="AC66" s="280">
        <f>IFERROR(AA66/E66,"")</f>
        <v>5.1749999999999997E-2</v>
      </c>
      <c r="AD66" s="401">
        <f>IFERROR(AA66/U66,"")</f>
        <v>4.4999999999999998E-2</v>
      </c>
      <c r="AE66" s="279">
        <f>IFERROR(AD66*V66,0%)</f>
        <v>4.3038922155688624E-3</v>
      </c>
      <c r="AF66" s="278">
        <f>IFERROR((G66-E66)/E66,0%)</f>
        <v>0.20175000000000001</v>
      </c>
      <c r="AG66" s="277">
        <f>IFERROR(AF66*J66,0%)</f>
        <v>1.7838196286472152E-2</v>
      </c>
      <c r="AH66" s="276" t="b">
        <f>ROUND((G66-E66),0)=ROUND(SUM(L66,O66,R66,AA66),0)</f>
        <v>1</v>
      </c>
      <c r="AI66" s="21"/>
    </row>
    <row r="67" spans="2:36" s="16" customFormat="1" outlineLevel="1" x14ac:dyDescent="0.3">
      <c r="B67" s="436"/>
      <c r="C67" s="308" t="s">
        <v>591</v>
      </c>
      <c r="D67" s="352">
        <f>E67*0.99</f>
        <v>198000</v>
      </c>
      <c r="E67" s="395">
        <v>200000</v>
      </c>
      <c r="F67" s="391">
        <v>210000</v>
      </c>
      <c r="G67" s="352">
        <v>219449.99999999997</v>
      </c>
      <c r="H67" s="394">
        <f>IFERROR(F67/D67-1,"")</f>
        <v>6.0606060606060552E-2</v>
      </c>
      <c r="I67" s="393">
        <f>G67-E67</f>
        <v>19449.999999999971</v>
      </c>
      <c r="J67" s="52">
        <f>IFERROR(E67/E$79,"")</f>
        <v>1.7683465959328029E-2</v>
      </c>
      <c r="K67" s="391">
        <v>210000</v>
      </c>
      <c r="L67" s="307">
        <f>K67-E67</f>
        <v>10000</v>
      </c>
      <c r="M67" s="280">
        <f>IFERROR(L67/$I67,"")</f>
        <v>0.51413881748072054</v>
      </c>
      <c r="N67" s="391">
        <v>200000</v>
      </c>
      <c r="O67" s="307">
        <f>N67-E67</f>
        <v>0</v>
      </c>
      <c r="P67" s="280">
        <f>IFERROR(O67/$I67,"")</f>
        <v>0</v>
      </c>
      <c r="Q67" s="390">
        <v>200000</v>
      </c>
      <c r="R67" s="307">
        <f>Q67-E67</f>
        <v>0</v>
      </c>
      <c r="S67" s="280">
        <f>IFERROR(R67/$I67,"")</f>
        <v>0</v>
      </c>
      <c r="T67" s="55"/>
      <c r="U67" s="281">
        <f>SUM(E67,L67,O67,R67)</f>
        <v>210000</v>
      </c>
      <c r="V67" s="356">
        <f>U67/$U$79</f>
        <v>1.7465069860279441E-2</v>
      </c>
      <c r="W67" s="288">
        <f>IFERROR(U67/E67,"")</f>
        <v>1.05</v>
      </c>
      <c r="X67" s="389">
        <f>IFERROR(U67/F67,"")</f>
        <v>1</v>
      </c>
      <c r="Y67" s="352"/>
      <c r="Z67" s="388">
        <v>219449.99999999997</v>
      </c>
      <c r="AA67" s="307">
        <f>Z67-SUM(R67,O67,L67)-E67</f>
        <v>9449.9999999999709</v>
      </c>
      <c r="AB67" s="280">
        <f>IFERROR(AA67/I67,"")</f>
        <v>0.48586118251927946</v>
      </c>
      <c r="AC67" s="280">
        <f>IFERROR(AA67/E67,"")</f>
        <v>4.7249999999999855E-2</v>
      </c>
      <c r="AD67" s="401">
        <f>IFERROR(AA67/U67,"")</f>
        <v>4.499999999999986E-2</v>
      </c>
      <c r="AE67" s="279">
        <f>IFERROR(AD67*V67,0%)</f>
        <v>7.8592814371257242E-4</v>
      </c>
      <c r="AF67" s="278">
        <f>IFERROR((G67-E67)/E67,0%)</f>
        <v>9.724999999999985E-2</v>
      </c>
      <c r="AG67" s="277">
        <f>IFERROR(AF67*J67,0%)</f>
        <v>1.7197170645446482E-3</v>
      </c>
      <c r="AH67" s="276" t="b">
        <f>ROUND((G67-E67),0)=ROUND(SUM(L67,O67,R67,AA67),0)</f>
        <v>1</v>
      </c>
      <c r="AI67" s="21"/>
    </row>
    <row r="68" spans="2:36" s="16" customFormat="1" outlineLevel="1" x14ac:dyDescent="0.3">
      <c r="B68" s="289"/>
      <c r="C68" s="308" t="s">
        <v>561</v>
      </c>
      <c r="D68" s="352">
        <f>E68*0.99</f>
        <v>0</v>
      </c>
      <c r="E68" s="395">
        <v>0</v>
      </c>
      <c r="F68" s="391">
        <v>0</v>
      </c>
      <c r="G68" s="352">
        <v>0</v>
      </c>
      <c r="H68" s="394" t="str">
        <f>IFERROR(F68/D68-1,"")</f>
        <v/>
      </c>
      <c r="I68" s="393">
        <f>G68-E68</f>
        <v>0</v>
      </c>
      <c r="J68" s="52">
        <f>IFERROR(E68/E$79,"")</f>
        <v>0</v>
      </c>
      <c r="K68" s="391">
        <v>0</v>
      </c>
      <c r="L68" s="307">
        <f>K68-E68</f>
        <v>0</v>
      </c>
      <c r="M68" s="280" t="str">
        <f>IFERROR(L68/$I68,"")</f>
        <v/>
      </c>
      <c r="N68" s="391">
        <v>0</v>
      </c>
      <c r="O68" s="307">
        <f>N68-E68</f>
        <v>0</v>
      </c>
      <c r="P68" s="280" t="str">
        <f>IFERROR(O68/$I68,"")</f>
        <v/>
      </c>
      <c r="Q68" s="390">
        <v>0</v>
      </c>
      <c r="R68" s="307">
        <f>Q68-E68</f>
        <v>0</v>
      </c>
      <c r="S68" s="280" t="str">
        <f>IFERROR(R68/$I68,"")</f>
        <v/>
      </c>
      <c r="T68" s="55"/>
      <c r="U68" s="281">
        <f>SUM(E68,L68,O68,R68)</f>
        <v>0</v>
      </c>
      <c r="V68" s="356">
        <f>U68/$U$79</f>
        <v>0</v>
      </c>
      <c r="W68" s="288" t="str">
        <f>IFERROR(U68/E68,"")</f>
        <v/>
      </c>
      <c r="X68" s="389" t="str">
        <f>IFERROR(U68/F68,"")</f>
        <v/>
      </c>
      <c r="Y68" s="352"/>
      <c r="Z68" s="388">
        <v>0</v>
      </c>
      <c r="AA68" s="307">
        <f>Z68-SUM(R68,O68,L68)-E68</f>
        <v>0</v>
      </c>
      <c r="AB68" s="280" t="str">
        <f>IFERROR(AA68/I68,"")</f>
        <v/>
      </c>
      <c r="AC68" s="280" t="str">
        <f>IFERROR(AA68/E68,"")</f>
        <v/>
      </c>
      <c r="AD68" s="401" t="str">
        <f>IFERROR(AA68/U68,"")</f>
        <v/>
      </c>
      <c r="AE68" s="279">
        <f>IFERROR(AD68*V68,0%)</f>
        <v>0</v>
      </c>
      <c r="AF68" s="278">
        <f>IFERROR((G68-E68)/E68,0%)</f>
        <v>0</v>
      </c>
      <c r="AG68" s="277">
        <f>IFERROR(AF68*J68,0%)</f>
        <v>0</v>
      </c>
      <c r="AH68" s="276" t="b">
        <f>ROUND((G68-E68),0)=ROUND(SUM(L68,O68,R68,AA68),0)</f>
        <v>1</v>
      </c>
      <c r="AI68" s="21"/>
    </row>
    <row r="69" spans="2:36" s="16" customFormat="1" outlineLevel="1" x14ac:dyDescent="0.3">
      <c r="B69" s="289"/>
      <c r="C69" s="308" t="s">
        <v>561</v>
      </c>
      <c r="D69" s="352">
        <f>E69*0.99</f>
        <v>0</v>
      </c>
      <c r="E69" s="395">
        <v>0</v>
      </c>
      <c r="F69" s="391">
        <v>0</v>
      </c>
      <c r="G69" s="352">
        <v>0</v>
      </c>
      <c r="H69" s="394" t="str">
        <f>IFERROR(F69/D69-1,"")</f>
        <v/>
      </c>
      <c r="I69" s="393">
        <f>G69-E69</f>
        <v>0</v>
      </c>
      <c r="J69" s="52">
        <f>IFERROR(E69/E$79,"")</f>
        <v>0</v>
      </c>
      <c r="K69" s="391">
        <v>0</v>
      </c>
      <c r="L69" s="307">
        <f>K69-E69</f>
        <v>0</v>
      </c>
      <c r="M69" s="280" t="str">
        <f>IFERROR(L69/$I69,"")</f>
        <v/>
      </c>
      <c r="N69" s="391">
        <v>0</v>
      </c>
      <c r="O69" s="307">
        <f>N69-E69</f>
        <v>0</v>
      </c>
      <c r="P69" s="280" t="str">
        <f>IFERROR(O69/$I69,"")</f>
        <v/>
      </c>
      <c r="Q69" s="390">
        <v>0</v>
      </c>
      <c r="R69" s="307">
        <f>Q69-E69</f>
        <v>0</v>
      </c>
      <c r="S69" s="280" t="str">
        <f>IFERROR(R69/$I69,"")</f>
        <v/>
      </c>
      <c r="T69" s="55"/>
      <c r="U69" s="281">
        <f>SUM(E69,L69,O69,R69)</f>
        <v>0</v>
      </c>
      <c r="V69" s="356">
        <f>U69/$U$79</f>
        <v>0</v>
      </c>
      <c r="W69" s="288" t="str">
        <f>IFERROR(U69/E69,"")</f>
        <v/>
      </c>
      <c r="X69" s="389" t="str">
        <f>IFERROR(U69/F69,"")</f>
        <v/>
      </c>
      <c r="Y69" s="352"/>
      <c r="Z69" s="388">
        <v>0</v>
      </c>
      <c r="AA69" s="307">
        <f>Z69-SUM(R69,O69,L69)-E69</f>
        <v>0</v>
      </c>
      <c r="AB69" s="280" t="str">
        <f>IFERROR(AA69/I69,"")</f>
        <v/>
      </c>
      <c r="AC69" s="280" t="str">
        <f>IFERROR(AA69/E69,"")</f>
        <v/>
      </c>
      <c r="AD69" s="401" t="str">
        <f>IFERROR(AA69/U69,"")</f>
        <v/>
      </c>
      <c r="AE69" s="279">
        <f>IFERROR(AD69*V69,0%)</f>
        <v>0</v>
      </c>
      <c r="AF69" s="278">
        <f>IFERROR((G69-E69)/E69,0%)</f>
        <v>0</v>
      </c>
      <c r="AG69" s="277">
        <f>IFERROR(AF69*J69,0%)</f>
        <v>0</v>
      </c>
      <c r="AH69" s="276" t="b">
        <f>ROUND((G69-E69),0)=ROUND(SUM(L69,O69,R69,AA69),0)</f>
        <v>1</v>
      </c>
      <c r="AI69" s="21"/>
    </row>
    <row r="70" spans="2:36" s="16" customFormat="1" outlineLevel="1" x14ac:dyDescent="0.3">
      <c r="B70" s="289"/>
      <c r="C70" s="308" t="s">
        <v>561</v>
      </c>
      <c r="D70" s="352">
        <f>E70*0.99</f>
        <v>0</v>
      </c>
      <c r="E70" s="395">
        <v>0</v>
      </c>
      <c r="F70" s="391">
        <v>0</v>
      </c>
      <c r="G70" s="352">
        <v>0</v>
      </c>
      <c r="H70" s="394" t="str">
        <f>IFERROR(F70/D70-1,"")</f>
        <v/>
      </c>
      <c r="I70" s="393">
        <f>G70-E70</f>
        <v>0</v>
      </c>
      <c r="J70" s="52">
        <f>IFERROR(E70/E$79,"")</f>
        <v>0</v>
      </c>
      <c r="K70" s="391">
        <v>0</v>
      </c>
      <c r="L70" s="307">
        <f>K70-E70</f>
        <v>0</v>
      </c>
      <c r="M70" s="280" t="str">
        <f>IFERROR(L70/$I70,"")</f>
        <v/>
      </c>
      <c r="N70" s="391">
        <v>0</v>
      </c>
      <c r="O70" s="307">
        <f>N70-E70</f>
        <v>0</v>
      </c>
      <c r="P70" s="280" t="str">
        <f>IFERROR(O70/$I70,"")</f>
        <v/>
      </c>
      <c r="Q70" s="390">
        <v>0</v>
      </c>
      <c r="R70" s="307">
        <f>Q70-E70</f>
        <v>0</v>
      </c>
      <c r="S70" s="280" t="str">
        <f>IFERROR(R70/$I70,"")</f>
        <v/>
      </c>
      <c r="T70" s="55"/>
      <c r="U70" s="281">
        <f>SUM(E70,L70,O70,R70)</f>
        <v>0</v>
      </c>
      <c r="V70" s="356">
        <f>U70/$U$79</f>
        <v>0</v>
      </c>
      <c r="W70" s="288" t="str">
        <f>IFERROR(U70/E70,"")</f>
        <v/>
      </c>
      <c r="X70" s="389" t="str">
        <f>IFERROR(U70/F70,"")</f>
        <v/>
      </c>
      <c r="Y70" s="352"/>
      <c r="Z70" s="388">
        <v>0</v>
      </c>
      <c r="AA70" s="307">
        <f>Z70-SUM(R70,O70,L70)-E70</f>
        <v>0</v>
      </c>
      <c r="AB70" s="280" t="str">
        <f>IFERROR(AA70/I70,"")</f>
        <v/>
      </c>
      <c r="AC70" s="280" t="str">
        <f>IFERROR(AA70/E70,"")</f>
        <v/>
      </c>
      <c r="AD70" s="400" t="str">
        <f>IFERROR(AA70/U70,"")</f>
        <v/>
      </c>
      <c r="AE70" s="279">
        <f>IFERROR(AD70*V70,0%)</f>
        <v>0</v>
      </c>
      <c r="AF70" s="278">
        <f>IFERROR((G70-E70)/E70,0%)</f>
        <v>0</v>
      </c>
      <c r="AG70" s="277">
        <f>IFERROR(AF70*J70,0%)</f>
        <v>0</v>
      </c>
      <c r="AH70" s="276" t="b">
        <f>ROUND((G70-E70),0)=ROUND(SUM(L70,O70,R70,AA70),0)</f>
        <v>1</v>
      </c>
      <c r="AI70" s="21"/>
    </row>
    <row r="71" spans="2:36" s="16" customFormat="1" x14ac:dyDescent="0.3">
      <c r="B71" s="289"/>
      <c r="C71" s="42" t="s">
        <v>560</v>
      </c>
      <c r="D71" s="350">
        <f>E71*0.99</f>
        <v>99000</v>
      </c>
      <c r="E71" s="380">
        <v>100000</v>
      </c>
      <c r="F71" s="384">
        <v>102499.99999999999</v>
      </c>
      <c r="G71" s="350">
        <v>108679.99999999999</v>
      </c>
      <c r="H71" s="386">
        <f>IFERROR(F71/D71-1,"")</f>
        <v>3.5353535353535248E-2</v>
      </c>
      <c r="I71" s="383">
        <f>G71-E71</f>
        <v>8679.9999999999854</v>
      </c>
      <c r="J71" s="22">
        <f>IFERROR(E71/E$79,"")</f>
        <v>8.8417329796640146E-3</v>
      </c>
      <c r="K71" s="384">
        <v>104000</v>
      </c>
      <c r="L71" s="303">
        <f>K71-E71</f>
        <v>4000</v>
      </c>
      <c r="M71" s="266">
        <f>IFERROR(L71/$I71,"")</f>
        <v>0.46082949308755838</v>
      </c>
      <c r="N71" s="384">
        <v>100000</v>
      </c>
      <c r="O71" s="307">
        <f>N71-E71</f>
        <v>0</v>
      </c>
      <c r="P71" s="266">
        <f>IFERROR(O71/$I71,"")</f>
        <v>0</v>
      </c>
      <c r="Q71" s="399">
        <v>100000</v>
      </c>
      <c r="R71" s="307">
        <f>Q71-E71</f>
        <v>0</v>
      </c>
      <c r="S71" s="266">
        <f>IFERROR(R71/$I71,"")</f>
        <v>0</v>
      </c>
      <c r="T71" s="55"/>
      <c r="U71" s="383">
        <f>SUM(E71,L71,O71,R71)</f>
        <v>104000</v>
      </c>
      <c r="V71" s="382">
        <f>U71/$U$79</f>
        <v>8.6493679308050561E-3</v>
      </c>
      <c r="W71" s="305">
        <f>IFERROR(U71/E71,"")</f>
        <v>1.04</v>
      </c>
      <c r="X71" s="381">
        <f>IFERROR(U71/F71,"")</f>
        <v>1.0146341463414636</v>
      </c>
      <c r="Y71" s="350"/>
      <c r="Z71" s="398">
        <v>108679.99999999999</v>
      </c>
      <c r="AA71" s="303">
        <f>Z71-SUM(R71,O71,L71)-E71</f>
        <v>4679.9999999999854</v>
      </c>
      <c r="AB71" s="266">
        <f>IFERROR(AA71/I71,"")</f>
        <v>0.53917050691244162</v>
      </c>
      <c r="AC71" s="266">
        <f>IFERROR(AA71/E71,"")</f>
        <v>4.6799999999999856E-2</v>
      </c>
      <c r="AD71" s="264">
        <f>IFERROR(AA71/U71,"")</f>
        <v>4.499999999999986E-2</v>
      </c>
      <c r="AE71" s="265">
        <f>IFERROR(AD71*V71,0%)</f>
        <v>3.8922155688622629E-4</v>
      </c>
      <c r="AF71" s="264">
        <f>IFERROR((G71-E71)/E71,0%)</f>
        <v>8.6799999999999849E-2</v>
      </c>
      <c r="AG71" s="263">
        <f>IFERROR(AF71*J71,0%)</f>
        <v>7.6746242263483512E-4</v>
      </c>
      <c r="AH71" s="299" t="b">
        <f>ROUND((G71-E71),0)=ROUND(SUM(L71,O71,R71,AA71),0)</f>
        <v>1</v>
      </c>
      <c r="AI71" s="21"/>
    </row>
    <row r="72" spans="2:36" s="16" customFormat="1" x14ac:dyDescent="0.3">
      <c r="B72" s="289"/>
      <c r="C72" s="435" t="s">
        <v>303</v>
      </c>
      <c r="D72" s="257">
        <f>SUM(D73:D77)</f>
        <v>257400</v>
      </c>
      <c r="E72" s="295">
        <f>SUM(E73:E77)</f>
        <v>260000</v>
      </c>
      <c r="F72" s="295">
        <f>SUM(F73:F77)</f>
        <v>311500</v>
      </c>
      <c r="G72" s="295">
        <f>SUM(G73:G77)</f>
        <v>319968</v>
      </c>
      <c r="H72" s="251">
        <f>IFERROR(F72/D72-1,"")</f>
        <v>0.21017871017871026</v>
      </c>
      <c r="I72" s="257">
        <f>SUM(I73:I77)</f>
        <v>59968</v>
      </c>
      <c r="J72" s="259">
        <f>IFERROR(E72/E$79,"")</f>
        <v>2.2988505747126436E-2</v>
      </c>
      <c r="K72" s="257">
        <f>SUM(K73:K77)</f>
        <v>311500</v>
      </c>
      <c r="L72" s="257">
        <f>SUM(L73:L77)</f>
        <v>51500</v>
      </c>
      <c r="M72" s="294">
        <f>IFERROR(L72/$I72,"")</f>
        <v>0.8587913553895411</v>
      </c>
      <c r="N72" s="257">
        <f>SUM(N73:N77)</f>
        <v>265300</v>
      </c>
      <c r="O72" s="257">
        <f>SUM(O73:O77)</f>
        <v>5300</v>
      </c>
      <c r="P72" s="294">
        <f>IFERROR(O72/$I72,"")</f>
        <v>8.8380469583778015E-2</v>
      </c>
      <c r="Q72" s="257">
        <f>SUM(Q73:Q77)</f>
        <v>260000</v>
      </c>
      <c r="R72" s="257">
        <f>SUM(R73:R77)</f>
        <v>0</v>
      </c>
      <c r="S72" s="294">
        <f>IFERROR(R72/$I72,"")</f>
        <v>0</v>
      </c>
      <c r="T72" s="55"/>
      <c r="U72" s="257">
        <f>SUM(U73:U77)</f>
        <v>316800</v>
      </c>
      <c r="V72" s="256">
        <f>U72/$U$79</f>
        <v>2.6347305389221556E-2</v>
      </c>
      <c r="W72" s="322">
        <f>IFERROR(U72/E72,"")</f>
        <v>1.2184615384615385</v>
      </c>
      <c r="X72" s="251">
        <f>IFERROR(U72/F72,"")</f>
        <v>1.0170144462279294</v>
      </c>
      <c r="Y72" s="350"/>
      <c r="Z72" s="397">
        <f>SUM(Z73:Z77)</f>
        <v>319968</v>
      </c>
      <c r="AA72" s="396">
        <f>SUM(AA73:AA77)</f>
        <v>3168</v>
      </c>
      <c r="AB72" s="293">
        <f>IFERROR(AA72/I72,"")</f>
        <v>5.2828175026680899E-2</v>
      </c>
      <c r="AC72" s="293">
        <f>IFERROR(AA72/E72,"")</f>
        <v>1.2184615384615384E-2</v>
      </c>
      <c r="AD72" s="250">
        <f>IFERROR(AA72/U72,"")</f>
        <v>0.01</v>
      </c>
      <c r="AE72" s="292">
        <f>IFERROR(AD72*V72,0%)</f>
        <v>2.6347305389221558E-4</v>
      </c>
      <c r="AF72" s="291">
        <f>IFERROR((G72-E72)/E72,0%)</f>
        <v>0.23064615384615383</v>
      </c>
      <c r="AG72" s="290">
        <f>IFERROR(AF72*J72,0%)</f>
        <v>5.3022104332449155E-3</v>
      </c>
      <c r="AH72" s="246" t="b">
        <f>ROUND((G72-E72),0)=ROUND(SUM(L72,O72,R72,AA72),0)</f>
        <v>1</v>
      </c>
      <c r="AI72" s="21"/>
    </row>
    <row r="73" spans="2:36" s="16" customFormat="1" outlineLevel="1" x14ac:dyDescent="0.3">
      <c r="B73" s="289"/>
      <c r="C73" s="308" t="s">
        <v>559</v>
      </c>
      <c r="D73" s="352">
        <f>E73*0.99</f>
        <v>198000</v>
      </c>
      <c r="E73" s="395">
        <v>200000</v>
      </c>
      <c r="F73" s="391">
        <v>250000</v>
      </c>
      <c r="G73" s="352">
        <v>257550</v>
      </c>
      <c r="H73" s="394">
        <f>IFERROR(F73/D73-1,"")</f>
        <v>0.26262626262626254</v>
      </c>
      <c r="I73" s="393">
        <f>G73-E73</f>
        <v>57550</v>
      </c>
      <c r="J73" s="52">
        <f>IFERROR(E73/E$79,"")</f>
        <v>1.7683465959328029E-2</v>
      </c>
      <c r="K73" s="391">
        <v>250000</v>
      </c>
      <c r="L73" s="307">
        <f>K73-E73</f>
        <v>50000</v>
      </c>
      <c r="M73" s="280">
        <f>IFERROR(L73/$I73,"")</f>
        <v>0.86880973066898348</v>
      </c>
      <c r="N73" s="391">
        <v>205000</v>
      </c>
      <c r="O73" s="307">
        <f>N73-E73</f>
        <v>5000</v>
      </c>
      <c r="P73" s="280">
        <f>IFERROR(O73/$I73,"")</f>
        <v>8.6880973066898348E-2</v>
      </c>
      <c r="Q73" s="390">
        <v>200000</v>
      </c>
      <c r="R73" s="307">
        <f>Q73-E73</f>
        <v>0</v>
      </c>
      <c r="S73" s="280">
        <f>IFERROR(R73/$I73,"")</f>
        <v>0</v>
      </c>
      <c r="T73" s="55"/>
      <c r="U73" s="281">
        <f>SUM(E73,L73,O73,R73)</f>
        <v>255000</v>
      </c>
      <c r="V73" s="356">
        <f>U73/$U$79</f>
        <v>2.120758483033932E-2</v>
      </c>
      <c r="W73" s="288">
        <f>IFERROR(U73/E73,"")</f>
        <v>1.2749999999999999</v>
      </c>
      <c r="X73" s="389">
        <f>IFERROR(U73/F73,"")</f>
        <v>1.02</v>
      </c>
      <c r="Y73" s="352"/>
      <c r="Z73" s="388">
        <v>257550</v>
      </c>
      <c r="AA73" s="307">
        <f>Z73-SUM(R73,O73,L73)-E73</f>
        <v>2550</v>
      </c>
      <c r="AB73" s="280">
        <f>IFERROR(AA73/I73,"")</f>
        <v>4.4309296264118156E-2</v>
      </c>
      <c r="AC73" s="280">
        <f>IFERROR(AA73/E73,"")</f>
        <v>1.2749999999999999E-2</v>
      </c>
      <c r="AD73" s="278">
        <f>IFERROR(AA73/U73,"")</f>
        <v>0.01</v>
      </c>
      <c r="AE73" s="279">
        <f>IFERROR(AD73*V73,0%)</f>
        <v>2.1207584830339321E-4</v>
      </c>
      <c r="AF73" s="278">
        <f>IFERROR((G73-E73)/E73,0%)</f>
        <v>0.28775000000000001</v>
      </c>
      <c r="AG73" s="277">
        <f>IFERROR(AF73*J73,0%)</f>
        <v>5.0884173297966401E-3</v>
      </c>
      <c r="AH73" s="276" t="b">
        <f>ROUND((G73-E73),0)=ROUND(SUM(L73,O73,R73,AA73),0)</f>
        <v>1</v>
      </c>
      <c r="AI73" s="21"/>
    </row>
    <row r="74" spans="2:36" s="16" customFormat="1" outlineLevel="1" x14ac:dyDescent="0.3">
      <c r="B74" s="289"/>
      <c r="C74" s="308" t="s">
        <v>558</v>
      </c>
      <c r="D74" s="352">
        <f>E74*0.99</f>
        <v>59400</v>
      </c>
      <c r="E74" s="395">
        <v>60000</v>
      </c>
      <c r="F74" s="391">
        <v>61499.999999999993</v>
      </c>
      <c r="G74" s="352">
        <v>62418</v>
      </c>
      <c r="H74" s="394">
        <f>IFERROR(F74/D74-1,"")</f>
        <v>3.5353535353535248E-2</v>
      </c>
      <c r="I74" s="393">
        <f>G74-E74</f>
        <v>2418</v>
      </c>
      <c r="J74" s="52">
        <f>IFERROR(E74/E$79,"")</f>
        <v>5.3050397877984082E-3</v>
      </c>
      <c r="K74" s="391">
        <v>61500</v>
      </c>
      <c r="L74" s="307">
        <f>K74-E74</f>
        <v>1500</v>
      </c>
      <c r="M74" s="280">
        <f>IFERROR(L74/$I74,"")</f>
        <v>0.6203473945409429</v>
      </c>
      <c r="N74" s="391">
        <v>60300</v>
      </c>
      <c r="O74" s="307">
        <f>N74-E74</f>
        <v>300</v>
      </c>
      <c r="P74" s="280">
        <f>IFERROR(O74/$I74,"")</f>
        <v>0.12406947890818859</v>
      </c>
      <c r="Q74" s="390">
        <v>60000</v>
      </c>
      <c r="R74" s="307">
        <f>Q74-E74</f>
        <v>0</v>
      </c>
      <c r="S74" s="280">
        <f>IFERROR(R74/$I74,"")</f>
        <v>0</v>
      </c>
      <c r="T74" s="55"/>
      <c r="U74" s="281">
        <f>SUM(E74,L74,O74,R74)</f>
        <v>61800</v>
      </c>
      <c r="V74" s="356">
        <f>U74/$U$79</f>
        <v>5.1397205588822352E-3</v>
      </c>
      <c r="W74" s="288">
        <f>IFERROR(U74/E74,"")</f>
        <v>1.03</v>
      </c>
      <c r="X74" s="389">
        <f>IFERROR(U74/F74,"")</f>
        <v>1.004878048780488</v>
      </c>
      <c r="Y74" s="352"/>
      <c r="Z74" s="388">
        <v>62418</v>
      </c>
      <c r="AA74" s="307">
        <f>Z74-SUM(R74,O74,L74)-E74</f>
        <v>618</v>
      </c>
      <c r="AB74" s="280">
        <f>IFERROR(AA74/I74,"")</f>
        <v>0.25558312655086851</v>
      </c>
      <c r="AC74" s="280">
        <f>IFERROR(AA74/E74,"")</f>
        <v>1.03E-2</v>
      </c>
      <c r="AD74" s="278">
        <f>IFERROR(AA74/U74,"")</f>
        <v>0.01</v>
      </c>
      <c r="AE74" s="279">
        <f>IFERROR(AD74*V74,0%)</f>
        <v>5.139720558882235E-5</v>
      </c>
      <c r="AF74" s="278">
        <f>IFERROR((G74-E74)/E74,0%)</f>
        <v>4.0300000000000002E-2</v>
      </c>
      <c r="AG74" s="277">
        <f>IFERROR(AF74*J74,0%)</f>
        <v>2.1379310344827587E-4</v>
      </c>
      <c r="AH74" s="276" t="b">
        <f>ROUND((G74-E74),0)=ROUND(SUM(L74,O74,R74,AA74),0)</f>
        <v>1</v>
      </c>
      <c r="AI74" s="21"/>
    </row>
    <row r="75" spans="2:36" s="16" customFormat="1" outlineLevel="1" x14ac:dyDescent="0.3">
      <c r="B75" s="289"/>
      <c r="C75" s="308" t="s">
        <v>557</v>
      </c>
      <c r="D75" s="352">
        <f>E75*0.99</f>
        <v>0</v>
      </c>
      <c r="E75" s="395">
        <v>0</v>
      </c>
      <c r="F75" s="391">
        <v>0</v>
      </c>
      <c r="G75" s="352">
        <v>0</v>
      </c>
      <c r="H75" s="394" t="str">
        <f>IFERROR(F75/D75-1,"")</f>
        <v/>
      </c>
      <c r="I75" s="393">
        <f>G75-E75</f>
        <v>0</v>
      </c>
      <c r="J75" s="52">
        <f>IFERROR(E75/E$79,"")</f>
        <v>0</v>
      </c>
      <c r="K75" s="392">
        <v>0</v>
      </c>
      <c r="L75" s="307">
        <f>K75-E75</f>
        <v>0</v>
      </c>
      <c r="M75" s="280" t="str">
        <f>IFERROR(L75/$I75,"")</f>
        <v/>
      </c>
      <c r="N75" s="391">
        <v>0</v>
      </c>
      <c r="O75" s="307">
        <f>N75-E75</f>
        <v>0</v>
      </c>
      <c r="P75" s="280" t="str">
        <f>IFERROR(O75/$I75,"")</f>
        <v/>
      </c>
      <c r="Q75" s="390">
        <v>0</v>
      </c>
      <c r="R75" s="307">
        <f>Q75-E75</f>
        <v>0</v>
      </c>
      <c r="S75" s="280" t="str">
        <f>IFERROR(R75/$I75,"")</f>
        <v/>
      </c>
      <c r="T75" s="55"/>
      <c r="U75" s="281">
        <f>SUM(E75,L75,O75,R75)</f>
        <v>0</v>
      </c>
      <c r="V75" s="356">
        <f>U75/$U$79</f>
        <v>0</v>
      </c>
      <c r="W75" s="288" t="str">
        <f>IFERROR(U75/E75,"")</f>
        <v/>
      </c>
      <c r="X75" s="389" t="str">
        <f>IFERROR(U75/F75,"")</f>
        <v/>
      </c>
      <c r="Y75" s="352"/>
      <c r="Z75" s="388">
        <v>0</v>
      </c>
      <c r="AA75" s="307">
        <f>Z75-SUM(R75,O75,L75)-E75</f>
        <v>0</v>
      </c>
      <c r="AB75" s="280" t="str">
        <f>IFERROR(AA75/I75,"")</f>
        <v/>
      </c>
      <c r="AC75" s="280" t="str">
        <f>IFERROR(AA75/E75,"")</f>
        <v/>
      </c>
      <c r="AD75" s="278" t="str">
        <f>IFERROR(AA75/U75,"")</f>
        <v/>
      </c>
      <c r="AE75" s="279">
        <f>IFERROR(AD75*V75,0%)</f>
        <v>0</v>
      </c>
      <c r="AF75" s="278">
        <f>IFERROR((G75-E75)/E75,0%)</f>
        <v>0</v>
      </c>
      <c r="AG75" s="277">
        <f>IFERROR(AF75*J75,0%)</f>
        <v>0</v>
      </c>
      <c r="AH75" s="276" t="b">
        <f>ROUND((G75-E75),0)=ROUND(SUM(L75,O75,R75,AA75),0)</f>
        <v>1</v>
      </c>
      <c r="AI75" s="21"/>
    </row>
    <row r="76" spans="2:36" s="16" customFormat="1" outlineLevel="1" x14ac:dyDescent="0.3">
      <c r="B76" s="289"/>
      <c r="C76" s="308" t="s">
        <v>557</v>
      </c>
      <c r="D76" s="352">
        <f>E76*0.99</f>
        <v>0</v>
      </c>
      <c r="E76" s="395">
        <v>0</v>
      </c>
      <c r="F76" s="391">
        <v>0</v>
      </c>
      <c r="G76" s="352">
        <v>0</v>
      </c>
      <c r="H76" s="394" t="str">
        <f>IFERROR(F76/D76-1,"")</f>
        <v/>
      </c>
      <c r="I76" s="393">
        <f>G76-E76</f>
        <v>0</v>
      </c>
      <c r="J76" s="52">
        <f>IFERROR(E76/E$79,"")</f>
        <v>0</v>
      </c>
      <c r="K76" s="392">
        <v>0</v>
      </c>
      <c r="L76" s="307">
        <f>K76-E76</f>
        <v>0</v>
      </c>
      <c r="M76" s="280" t="str">
        <f>IFERROR(L76/$I76,"")</f>
        <v/>
      </c>
      <c r="N76" s="391">
        <v>0</v>
      </c>
      <c r="O76" s="307">
        <f>N76-E76</f>
        <v>0</v>
      </c>
      <c r="P76" s="280" t="str">
        <f>IFERROR(O76/$I76,"")</f>
        <v/>
      </c>
      <c r="Q76" s="390">
        <v>0</v>
      </c>
      <c r="R76" s="307">
        <f>Q76-E76</f>
        <v>0</v>
      </c>
      <c r="S76" s="280" t="str">
        <f>IFERROR(R76/$I76,"")</f>
        <v/>
      </c>
      <c r="T76" s="55"/>
      <c r="U76" s="281">
        <f>SUM(E76,L76,O76,R76)</f>
        <v>0</v>
      </c>
      <c r="V76" s="356">
        <f>U76/$U$79</f>
        <v>0</v>
      </c>
      <c r="W76" s="288" t="str">
        <f>IFERROR(U76/E76,"")</f>
        <v/>
      </c>
      <c r="X76" s="389" t="str">
        <f>IFERROR(U76/F76,"")</f>
        <v/>
      </c>
      <c r="Y76" s="352"/>
      <c r="Z76" s="388">
        <v>0</v>
      </c>
      <c r="AA76" s="307">
        <f>Z76-SUM(R76,O76,L76)-E76</f>
        <v>0</v>
      </c>
      <c r="AB76" s="280" t="str">
        <f>IFERROR(AA76/I76,"")</f>
        <v/>
      </c>
      <c r="AC76" s="280" t="str">
        <f>IFERROR(AA76/E76,"")</f>
        <v/>
      </c>
      <c r="AD76" s="278" t="str">
        <f>IFERROR(AA76/U76,"")</f>
        <v/>
      </c>
      <c r="AE76" s="279">
        <f>IFERROR(AD76*V76,0%)</f>
        <v>0</v>
      </c>
      <c r="AF76" s="278">
        <f>IFERROR((G76-E76)/E76,0%)</f>
        <v>0</v>
      </c>
      <c r="AG76" s="277">
        <f>IFERROR(AF76*J76,0%)</f>
        <v>0</v>
      </c>
      <c r="AH76" s="276" t="b">
        <f>ROUND((G76-E76),0)=ROUND(SUM(L76,O76,R76,AA76),0)</f>
        <v>1</v>
      </c>
      <c r="AI76" s="21"/>
    </row>
    <row r="77" spans="2:36" s="16" customFormat="1" outlineLevel="1" x14ac:dyDescent="0.3">
      <c r="B77" s="289"/>
      <c r="C77" s="308" t="s">
        <v>557</v>
      </c>
      <c r="D77" s="352">
        <f>E77*0.99</f>
        <v>0</v>
      </c>
      <c r="E77" s="395">
        <v>0</v>
      </c>
      <c r="F77" s="391">
        <v>0</v>
      </c>
      <c r="G77" s="352">
        <v>0</v>
      </c>
      <c r="H77" s="394" t="str">
        <f>IFERROR(F77/D77-1,"")</f>
        <v/>
      </c>
      <c r="I77" s="393">
        <f>G77-E77</f>
        <v>0</v>
      </c>
      <c r="J77" s="52">
        <f>IFERROR(E77/E$79,"")</f>
        <v>0</v>
      </c>
      <c r="K77" s="392">
        <v>0</v>
      </c>
      <c r="L77" s="307">
        <f>K77-E77</f>
        <v>0</v>
      </c>
      <c r="M77" s="280" t="str">
        <f>IFERROR(L77/$I77,"")</f>
        <v/>
      </c>
      <c r="N77" s="391">
        <v>0</v>
      </c>
      <c r="O77" s="307">
        <f>N77-E77</f>
        <v>0</v>
      </c>
      <c r="P77" s="280" t="str">
        <f>IFERROR(O77/$I77,"")</f>
        <v/>
      </c>
      <c r="Q77" s="390">
        <v>0</v>
      </c>
      <c r="R77" s="307">
        <f>Q77-E77</f>
        <v>0</v>
      </c>
      <c r="S77" s="280" t="str">
        <f>IFERROR(R77/$I77,"")</f>
        <v/>
      </c>
      <c r="T77" s="55"/>
      <c r="U77" s="281">
        <f>SUM(E77,L77,O77,R77)</f>
        <v>0</v>
      </c>
      <c r="V77" s="356">
        <f>U77/$U$79</f>
        <v>0</v>
      </c>
      <c r="W77" s="288" t="str">
        <f>IFERROR(U77/E77,"")</f>
        <v/>
      </c>
      <c r="X77" s="389" t="str">
        <f>IFERROR(U77/F77,"")</f>
        <v/>
      </c>
      <c r="Y77" s="352"/>
      <c r="Z77" s="388">
        <v>0</v>
      </c>
      <c r="AA77" s="307">
        <f>Z77-SUM(R77,O77,L77)-E77</f>
        <v>0</v>
      </c>
      <c r="AB77" s="280" t="str">
        <f>IFERROR(AA77/I77,"")</f>
        <v/>
      </c>
      <c r="AC77" s="280" t="str">
        <f>IFERROR(AA77/E77,"")</f>
        <v/>
      </c>
      <c r="AD77" s="278" t="str">
        <f>IFERROR(AA77/U77,"")</f>
        <v/>
      </c>
      <c r="AE77" s="279">
        <f>IFERROR(AD77*V77,0%)</f>
        <v>0</v>
      </c>
      <c r="AF77" s="278">
        <f>IFERROR((G77-E77)/E77,0%)</f>
        <v>0</v>
      </c>
      <c r="AG77" s="277">
        <f>IFERROR(AF77*J77,0%)</f>
        <v>0</v>
      </c>
      <c r="AH77" s="276" t="b">
        <f>ROUND((G77-E77),0)=ROUND(SUM(L77,O77,R77,AA77),0)</f>
        <v>1</v>
      </c>
      <c r="AI77" s="21"/>
      <c r="AJ77" s="21"/>
    </row>
    <row r="78" spans="2:36" s="16" customFormat="1" x14ac:dyDescent="0.3">
      <c r="B78" s="275"/>
      <c r="C78" s="23" t="s">
        <v>556</v>
      </c>
      <c r="D78" s="345">
        <f>E78*0.99</f>
        <v>-990000</v>
      </c>
      <c r="E78" s="387">
        <v>-1000000</v>
      </c>
      <c r="F78" s="345">
        <v>-1020000</v>
      </c>
      <c r="G78" s="345">
        <v>-1050000</v>
      </c>
      <c r="H78" s="386">
        <f>IFERROR(F78/D78-1,"")</f>
        <v>3.0303030303030276E-2</v>
      </c>
      <c r="I78" s="383">
        <f>G78-E78</f>
        <v>-50000</v>
      </c>
      <c r="J78" s="385">
        <f>IFERROR(E78/E$79,"")</f>
        <v>-8.8417329796640146E-2</v>
      </c>
      <c r="K78" s="384">
        <v>-1020000</v>
      </c>
      <c r="L78" s="303">
        <f>K78-E78</f>
        <v>-20000</v>
      </c>
      <c r="M78" s="266">
        <f>IFERROR(L78/$I78,"")</f>
        <v>0.4</v>
      </c>
      <c r="N78" s="384">
        <v>-1010000</v>
      </c>
      <c r="O78" s="303">
        <f>N78-E78</f>
        <v>-10000</v>
      </c>
      <c r="P78" s="266">
        <f>IFERROR(O78/$I78,"")</f>
        <v>0.2</v>
      </c>
      <c r="Q78" s="384">
        <v>-1000000</v>
      </c>
      <c r="R78" s="303">
        <f>Q78-E78</f>
        <v>0</v>
      </c>
      <c r="S78" s="266">
        <f>IFERROR(R78/$I78,"")</f>
        <v>0</v>
      </c>
      <c r="T78" s="45"/>
      <c r="U78" s="383">
        <f>SUM(E78,L78,O78,R78)</f>
        <v>-1030000</v>
      </c>
      <c r="V78" s="382">
        <f>U78/$U$79</f>
        <v>-8.5662009314703927E-2</v>
      </c>
      <c r="W78" s="305">
        <f>IFERROR(U78/E78,"")</f>
        <v>1.03</v>
      </c>
      <c r="X78" s="381">
        <f>IFERROR(U78/F78,"")</f>
        <v>1.0098039215686274</v>
      </c>
      <c r="Y78" s="350"/>
      <c r="Z78" s="380">
        <v>-1050000</v>
      </c>
      <c r="AA78" s="303">
        <f>Z78-SUM(R78,O78,L78)-E78</f>
        <v>-20000</v>
      </c>
      <c r="AB78" s="266">
        <f>IFERROR(AA78/I78,"")</f>
        <v>0.4</v>
      </c>
      <c r="AC78" s="266">
        <f>IFERROR(AA78/E78,"")</f>
        <v>0.02</v>
      </c>
      <c r="AD78" s="264">
        <f>IFERROR(AA78/U78,"")</f>
        <v>1.9417475728155338E-2</v>
      </c>
      <c r="AE78" s="265">
        <f>IFERROR(AD78*V78,0%)</f>
        <v>-1.66333998669328E-3</v>
      </c>
      <c r="AF78" s="264">
        <f>IFERROR((G78-E78)/E78,0%)</f>
        <v>0.05</v>
      </c>
      <c r="AG78" s="263">
        <f>IFERROR(AF78*J78,0%)</f>
        <v>-4.4208664898320073E-3</v>
      </c>
      <c r="AH78" s="262" t="b">
        <f>ROUND((G78-E78),0)=ROUND(SUM(L78,O78,R78,AA78),0)</f>
        <v>1</v>
      </c>
      <c r="AI78" s="21"/>
      <c r="AJ78" s="245"/>
    </row>
    <row r="79" spans="2:36" s="16" customFormat="1" x14ac:dyDescent="0.3">
      <c r="C79" s="21" t="s">
        <v>87</v>
      </c>
      <c r="D79" s="257">
        <f>SUM(D47,D53,D57,D58,D59,D71,D72,D78)</f>
        <v>11196900</v>
      </c>
      <c r="E79" s="379">
        <f>SUM(E47,E53,E57,E58,E59,E71,E72,E78)</f>
        <v>11310000</v>
      </c>
      <c r="F79" s="295">
        <f>SUM(F47,F53,F57,F58,F59,F71,F72,F78)</f>
        <v>11859825</v>
      </c>
      <c r="G79" s="295">
        <f>SUM(G47,G53,G57,G58,G59,G71,G72,G78)</f>
        <v>12461306.699999999</v>
      </c>
      <c r="H79" s="251">
        <f>IFERROR(F79/D79-1,"")</f>
        <v>5.9206119550947234E-2</v>
      </c>
      <c r="I79" s="257">
        <f>SUM(I47,I53,I57,I58,I59,I71,I72,I78)</f>
        <v>1151306.6999999997</v>
      </c>
      <c r="J79" s="259">
        <f>IFERROR(E79/E$79,"")</f>
        <v>1</v>
      </c>
      <c r="K79" s="257">
        <f>SUM(K47,K53,K57,K58,K59,K71,K72,K78)</f>
        <v>11806475</v>
      </c>
      <c r="L79" s="257">
        <f>SUM(L47,L53,L57,L58,L59,L71,L72,L78)</f>
        <v>496475</v>
      </c>
      <c r="M79" s="251">
        <f>IFERROR(L79/$I79,"")</f>
        <v>0.43122740447875457</v>
      </c>
      <c r="N79" s="257">
        <f>SUM(N47,N53,N57,N58,N59,N71,N72,N78)</f>
        <v>11527525</v>
      </c>
      <c r="O79" s="257">
        <f>SUM(O47,O53,O57,O58,O59,O71,O72,O78)</f>
        <v>217524.99999999977</v>
      </c>
      <c r="P79" s="251">
        <f>IFERROR(O79/$I79,"")</f>
        <v>0.18893749163450524</v>
      </c>
      <c r="Q79" s="257">
        <f>SUM(Q47,Q53,Q57,Q58,Q59,Q71,Q72,Q78)</f>
        <v>11310000</v>
      </c>
      <c r="R79" s="257">
        <f>SUM(R47,R53,R57,R58,R59,R71,R72,R78)</f>
        <v>0</v>
      </c>
      <c r="S79" s="247">
        <f>IFERROR(R79/$I79,"")</f>
        <v>0</v>
      </c>
      <c r="T79" s="258"/>
      <c r="U79" s="257">
        <f>SUM(U47,U53,U57,U58,U59,U71,U72,U78)</f>
        <v>12024000</v>
      </c>
      <c r="V79" s="256">
        <f>SUM(V47,V53,V57:V59,V71:V72,V78)</f>
        <v>1</v>
      </c>
      <c r="W79" s="255">
        <f>IFERROR(U79/E79,"")</f>
        <v>1.063129973474801</v>
      </c>
      <c r="X79" s="254">
        <f>IFERROR(U79/F79,"")</f>
        <v>1.0138429529946689</v>
      </c>
      <c r="Y79" s="345"/>
      <c r="Z79" s="378">
        <f>SUM(Z47,Z53,Z57,Z58,Z59,Z71,Z72,Z78)</f>
        <v>12461306.699999999</v>
      </c>
      <c r="AA79" s="257">
        <f>SUM(AA47,AA53,AA57,AA58,AA59,AA71,AA72,AA78)</f>
        <v>437306.7</v>
      </c>
      <c r="AB79" s="251">
        <f>IFERROR(AA79/I79,"")</f>
        <v>0.3798351038867403</v>
      </c>
      <c r="AC79" s="251">
        <f>IFERROR(AA79/E79,"")</f>
        <v>3.8665490716180376E-2</v>
      </c>
      <c r="AD79" s="250">
        <f>IFERROR(AA79/U79,"")</f>
        <v>3.6369486027944112E-2</v>
      </c>
      <c r="AE79" s="249">
        <f>SUM(AE47,AE53,AE57,AE58,AE59,AE71,AE72,AE78)</f>
        <v>3.6369486027944112E-2</v>
      </c>
      <c r="AF79" s="337">
        <f>IFERROR((G79-E79)/E79,0%)</f>
        <v>0.10179546419098137</v>
      </c>
      <c r="AG79" s="377">
        <f>SUM(AG47,AG53,AG57,AG58,AG59,AG71,AG72,AG78)</f>
        <v>0.10179546419098141</v>
      </c>
      <c r="AH79" s="376"/>
    </row>
    <row r="80" spans="2:36" s="16" customFormat="1" x14ac:dyDescent="0.3">
      <c r="C80" s="21"/>
      <c r="D80" s="21"/>
      <c r="E80" s="433"/>
      <c r="F80" s="433"/>
      <c r="G80" s="433"/>
      <c r="H80" s="433"/>
      <c r="I80" s="433"/>
      <c r="J80" s="434"/>
      <c r="K80" s="433"/>
      <c r="L80" s="433"/>
      <c r="M80" s="433"/>
      <c r="N80" s="433"/>
      <c r="O80" s="433"/>
      <c r="P80" s="433"/>
      <c r="Q80" s="433"/>
      <c r="R80" s="433"/>
      <c r="S80" s="433"/>
      <c r="T80" s="433"/>
      <c r="U80" s="433"/>
      <c r="V80" s="433"/>
      <c r="W80" s="433"/>
      <c r="X80" s="372"/>
      <c r="Y80" s="433"/>
      <c r="Z80" s="433"/>
      <c r="AA80" s="374" t="b">
        <f>ROUND(Z79-SUM(R79,O79,L79)-E79,0)=ROUND(AA79,0)</f>
        <v>1</v>
      </c>
      <c r="AB80" s="428"/>
      <c r="AC80" s="428"/>
      <c r="AD80" s="19" t="str">
        <f>IFERROR(AA80/U80,"")</f>
        <v/>
      </c>
      <c r="AE80" s="19"/>
      <c r="AF80" s="18"/>
      <c r="AG80" s="18"/>
      <c r="AH80" s="433"/>
    </row>
    <row r="81" spans="2:36" s="16" customFormat="1" x14ac:dyDescent="0.3">
      <c r="C81" s="21"/>
      <c r="D81" s="21"/>
      <c r="E81" s="48"/>
      <c r="F81" s="48"/>
      <c r="G81" s="48"/>
      <c r="H81" s="48"/>
      <c r="I81" s="48"/>
      <c r="J81" s="49"/>
      <c r="K81" s="432" t="s">
        <v>581</v>
      </c>
      <c r="L81" s="432"/>
      <c r="M81" s="432"/>
      <c r="N81" s="432"/>
      <c r="O81" s="431"/>
      <c r="P81" s="430"/>
      <c r="Q81" s="48"/>
      <c r="R81" s="48"/>
      <c r="S81" s="48"/>
      <c r="T81" s="48"/>
      <c r="U81" s="48"/>
      <c r="V81" s="48"/>
      <c r="W81" s="48"/>
      <c r="X81" s="48"/>
      <c r="Y81" s="48"/>
      <c r="Z81" s="48"/>
      <c r="AA81" s="48"/>
      <c r="AB81" s="48"/>
      <c r="AC81" s="48"/>
      <c r="AD81" s="19" t="str">
        <f>IFERROR(AA81/U81,"")</f>
        <v/>
      </c>
      <c r="AE81" s="19"/>
      <c r="AF81" s="18"/>
      <c r="AG81" s="18"/>
      <c r="AH81" s="48"/>
    </row>
    <row r="82" spans="2:36" s="16" customFormat="1" ht="69" customHeight="1" x14ac:dyDescent="0.35">
      <c r="C82" s="429" t="s">
        <v>88</v>
      </c>
      <c r="D82" s="232"/>
      <c r="E82" s="365" t="s">
        <v>66</v>
      </c>
      <c r="F82" s="231" t="s">
        <v>580</v>
      </c>
      <c r="G82" s="231" t="s">
        <v>528</v>
      </c>
      <c r="H82" s="231" t="s">
        <v>526</v>
      </c>
      <c r="I82" s="231" t="s">
        <v>67</v>
      </c>
      <c r="J82" s="367" t="s">
        <v>59</v>
      </c>
      <c r="K82" s="231" t="s">
        <v>522</v>
      </c>
      <c r="L82" s="231" t="s">
        <v>520</v>
      </c>
      <c r="M82" s="232" t="s">
        <v>579</v>
      </c>
      <c r="N82" s="231" t="s">
        <v>518</v>
      </c>
      <c r="O82" s="231" t="s">
        <v>516</v>
      </c>
      <c r="P82" s="232" t="s">
        <v>578</v>
      </c>
      <c r="Q82" s="231" t="s">
        <v>514</v>
      </c>
      <c r="R82" s="231" t="s">
        <v>512</v>
      </c>
      <c r="S82" s="231" t="s">
        <v>577</v>
      </c>
      <c r="T82" s="231" t="s">
        <v>510</v>
      </c>
      <c r="U82" s="231" t="s">
        <v>508</v>
      </c>
      <c r="V82" s="231" t="s">
        <v>506</v>
      </c>
      <c r="W82" s="231" t="s">
        <v>504</v>
      </c>
      <c r="X82" s="231" t="s">
        <v>502</v>
      </c>
      <c r="Y82" s="366" t="s">
        <v>500</v>
      </c>
      <c r="Z82" s="231" t="s">
        <v>498</v>
      </c>
      <c r="AA82" s="232" t="s">
        <v>545</v>
      </c>
      <c r="AB82" s="232" t="s">
        <v>494</v>
      </c>
      <c r="AC82" s="231" t="s">
        <v>544</v>
      </c>
      <c r="AD82" s="231" t="s">
        <v>490</v>
      </c>
      <c r="AE82" s="365" t="s">
        <v>488</v>
      </c>
      <c r="AF82" s="231" t="s">
        <v>486</v>
      </c>
      <c r="AG82" s="365" t="s">
        <v>484</v>
      </c>
      <c r="AH82" s="232" t="s">
        <v>482</v>
      </c>
    </row>
    <row r="83" spans="2:36" s="16" customFormat="1" x14ac:dyDescent="0.3">
      <c r="B83" s="342" t="s">
        <v>576</v>
      </c>
      <c r="C83" s="47" t="s">
        <v>68</v>
      </c>
      <c r="D83" s="257">
        <f>SUM(D84:D88)</f>
        <v>1250000</v>
      </c>
      <c r="E83" s="378">
        <f>SUM(E84:E88)</f>
        <v>1250000</v>
      </c>
      <c r="F83" s="257">
        <f>SUM(F84:F88)</f>
        <v>1281250</v>
      </c>
      <c r="G83" s="257">
        <f>SUM(G84:G88)</f>
        <v>1312612.5</v>
      </c>
      <c r="H83" s="247">
        <f>IFERROR(F83/D83-1,"")</f>
        <v>2.4999999999999911E-2</v>
      </c>
      <c r="I83" s="257">
        <f>SUM(I84:I88)</f>
        <v>62612.499999999854</v>
      </c>
      <c r="J83" s="259">
        <f>IFERROR(E83/E$115,"")</f>
        <v>0.22977941176470587</v>
      </c>
      <c r="K83" s="410">
        <f>SUM(K84:K88)</f>
        <v>1281250</v>
      </c>
      <c r="L83" s="410">
        <f>K83-E83</f>
        <v>31250</v>
      </c>
      <c r="M83" s="339">
        <f>IFERROR(L83/$I83,"")</f>
        <v>0.49910161708924056</v>
      </c>
      <c r="N83" s="410">
        <f>SUM(N84:N88)</f>
        <v>1255625</v>
      </c>
      <c r="O83" s="410">
        <f>N83-E83</f>
        <v>5625</v>
      </c>
      <c r="P83" s="339">
        <f>IFERROR(O83/$I83,"")</f>
        <v>8.9838291076063295E-2</v>
      </c>
      <c r="Q83" s="410">
        <f>SUM(Q84:Q88)</f>
        <v>1250000</v>
      </c>
      <c r="R83" s="422">
        <f>Q83-E83</f>
        <v>0</v>
      </c>
      <c r="S83" s="293">
        <f>IFERROR(R83/$I83,"")</f>
        <v>0</v>
      </c>
      <c r="T83" s="425"/>
      <c r="U83" s="257">
        <f>SUM(U84:U88)</f>
        <v>1286875</v>
      </c>
      <c r="V83" s="256">
        <f>U83/$U$115</f>
        <v>0.2245908846337164</v>
      </c>
      <c r="W83" s="247">
        <f>IFERROR(U83/E83,"")</f>
        <v>1.0295000000000001</v>
      </c>
      <c r="X83" s="251">
        <f>IFERROR(U83/F83,"")</f>
        <v>1.004390243902439</v>
      </c>
      <c r="Y83" s="424"/>
      <c r="Z83" s="421">
        <f>SUM(Z84:Z88)</f>
        <v>1312612.5</v>
      </c>
      <c r="AA83" s="410">
        <f>SUM(AA84:AA88)</f>
        <v>25737.5</v>
      </c>
      <c r="AB83" s="339">
        <f>IFERROR(AA83/I83,"")</f>
        <v>0.41106009183469849</v>
      </c>
      <c r="AC83" s="354">
        <f>IFERROR(AA83/E83,"")</f>
        <v>2.0590000000000001E-2</v>
      </c>
      <c r="AD83" s="250">
        <f>IFERROR(AA83/U83,"")</f>
        <v>0.02</v>
      </c>
      <c r="AE83" s="292">
        <f>IFERROR(AD83*V83,0%)</f>
        <v>4.491817692674328E-3</v>
      </c>
      <c r="AF83" s="250">
        <f>IFERROR((G83-E83)/E83,0%)</f>
        <v>5.0090000000000003E-2</v>
      </c>
      <c r="AG83" s="336">
        <f>IFERROR(AF83*J83,0%)</f>
        <v>1.1509650735294117E-2</v>
      </c>
      <c r="AH83" s="246" t="b">
        <f>ROUND((G83-E83),0)=ROUND(SUM(L83,O83,R83,AA83),0)</f>
        <v>1</v>
      </c>
      <c r="AI83" s="21"/>
      <c r="AJ83" s="21"/>
    </row>
    <row r="84" spans="2:36" s="16" customFormat="1" x14ac:dyDescent="0.3">
      <c r="B84" s="289"/>
      <c r="C84" s="43" t="s">
        <v>584</v>
      </c>
      <c r="D84" s="352">
        <v>625000</v>
      </c>
      <c r="E84" s="395">
        <v>625000</v>
      </c>
      <c r="F84" s="391">
        <v>640625</v>
      </c>
      <c r="G84" s="391">
        <v>656306.25</v>
      </c>
      <c r="H84" s="288">
        <f>IFERROR(F84/D84-1,"")</f>
        <v>2.4999999999999911E-2</v>
      </c>
      <c r="I84" s="281">
        <f>G84-E84</f>
        <v>31306.25</v>
      </c>
      <c r="J84" s="52">
        <f>IFERROR(E84/E$115,"")</f>
        <v>0.11488970588235294</v>
      </c>
      <c r="K84" s="392">
        <v>640625</v>
      </c>
      <c r="L84" s="419">
        <f>K84-E84</f>
        <v>15625</v>
      </c>
      <c r="M84" s="351">
        <f>IFERROR(L84/$I84,"")</f>
        <v>0.49910161708923939</v>
      </c>
      <c r="N84" s="392">
        <v>627812.5</v>
      </c>
      <c r="O84" s="419">
        <f>N84-E84</f>
        <v>2812.5</v>
      </c>
      <c r="P84" s="351">
        <f>IFERROR(O84/$I84,"")</f>
        <v>8.9838291076063087E-2</v>
      </c>
      <c r="Q84" s="392">
        <v>625000</v>
      </c>
      <c r="R84" s="307">
        <f>Q84-E84</f>
        <v>0</v>
      </c>
      <c r="S84" s="266">
        <f>IFERROR(R84/N84,"")</f>
        <v>0</v>
      </c>
      <c r="T84" s="45"/>
      <c r="U84" s="281">
        <f>SUM(E84,L84,O84,R84)</f>
        <v>643437.5</v>
      </c>
      <c r="V84" s="356">
        <f>U84/$U$115</f>
        <v>0.1122954423168582</v>
      </c>
      <c r="W84" s="288">
        <f>IFERROR(U84/E84,"")</f>
        <v>1.0295000000000001</v>
      </c>
      <c r="X84" s="288">
        <f>IFERROR(U84/F84,"")</f>
        <v>1.004390243902439</v>
      </c>
      <c r="Y84" s="412"/>
      <c r="Z84" s="420">
        <v>656306.25</v>
      </c>
      <c r="AA84" s="419">
        <f>Z84-SUM(R84,O84,L84)-E84</f>
        <v>12868.75</v>
      </c>
      <c r="AB84" s="351">
        <f>IFERROR(AA84/I84,"")</f>
        <v>0.41106009183469755</v>
      </c>
      <c r="AC84" s="351">
        <f>IFERROR(AA84/E84,"")</f>
        <v>2.0590000000000001E-2</v>
      </c>
      <c r="AD84" s="278">
        <f>IFERROR(AA84/U84,"")</f>
        <v>0.02</v>
      </c>
      <c r="AE84" s="279">
        <f>IFERROR(AD84*V84,0%)</f>
        <v>2.245908846337164E-3</v>
      </c>
      <c r="AF84" s="278">
        <f>IFERROR((G84-E84)/E84,0%)</f>
        <v>5.0090000000000003E-2</v>
      </c>
      <c r="AG84" s="277">
        <f>IFERROR(AF84*J84,0%)</f>
        <v>5.7548253676470585E-3</v>
      </c>
      <c r="AH84" s="276" t="b">
        <f>ROUND((G84-E84),0)=ROUND(SUM(L84,O84,R84,AA84),0)</f>
        <v>1</v>
      </c>
      <c r="AI84" s="21"/>
      <c r="AJ84" s="21"/>
    </row>
    <row r="85" spans="2:36" s="16" customFormat="1" x14ac:dyDescent="0.3">
      <c r="B85" s="289"/>
      <c r="C85" s="357" t="s">
        <v>583</v>
      </c>
      <c r="D85" s="352">
        <v>250000</v>
      </c>
      <c r="E85" s="395">
        <v>250000</v>
      </c>
      <c r="F85" s="391">
        <v>256249.99999999997</v>
      </c>
      <c r="G85" s="391">
        <v>262522.49999999994</v>
      </c>
      <c r="H85" s="288">
        <f>IFERROR(F85/D85-1,"")</f>
        <v>2.4999999999999911E-2</v>
      </c>
      <c r="I85" s="281">
        <f>G85-E85</f>
        <v>12522.499999999942</v>
      </c>
      <c r="J85" s="52">
        <f>IFERROR(E85/E$115,"")</f>
        <v>4.595588235294118E-2</v>
      </c>
      <c r="K85" s="392">
        <v>256249.99999999997</v>
      </c>
      <c r="L85" s="419">
        <f>K85-E85</f>
        <v>6249.9999999999709</v>
      </c>
      <c r="M85" s="351">
        <f>IFERROR(L85/$I85,"")</f>
        <v>0.49910161708923939</v>
      </c>
      <c r="N85" s="392">
        <v>251124.99999999997</v>
      </c>
      <c r="O85" s="419">
        <f>N85-E85</f>
        <v>1124.9999999999709</v>
      </c>
      <c r="P85" s="351">
        <f>IFERROR(O85/$I85,"")</f>
        <v>8.9838291076061186E-2</v>
      </c>
      <c r="Q85" s="392">
        <v>250000</v>
      </c>
      <c r="R85" s="307">
        <f>Q85-E85</f>
        <v>0</v>
      </c>
      <c r="S85" s="266">
        <f>IFERROR(R85/N85,"")</f>
        <v>0</v>
      </c>
      <c r="T85" s="45"/>
      <c r="U85" s="281">
        <f>SUM(E85,L85,O85,R85)</f>
        <v>257374.99999999994</v>
      </c>
      <c r="V85" s="356">
        <f>U85/$U$115</f>
        <v>4.491817692674327E-2</v>
      </c>
      <c r="W85" s="288">
        <f>IFERROR(U85/E85,"")</f>
        <v>1.0294999999999999</v>
      </c>
      <c r="X85" s="288">
        <f>IFERROR(U85/F85,"")</f>
        <v>1.0043902439024388</v>
      </c>
      <c r="Y85" s="417"/>
      <c r="Z85" s="420">
        <v>262522.49999999994</v>
      </c>
      <c r="AA85" s="419">
        <f>Z85-SUM(R85,O85,L85)-E85</f>
        <v>5147.5</v>
      </c>
      <c r="AB85" s="351">
        <f>IFERROR(AA85/I85,"")</f>
        <v>0.41106009183469944</v>
      </c>
      <c r="AC85" s="351">
        <f>IFERROR(AA85/E85,"")</f>
        <v>2.0590000000000001E-2</v>
      </c>
      <c r="AD85" s="278">
        <f>IFERROR(AA85/U85,"")</f>
        <v>2.0000000000000004E-2</v>
      </c>
      <c r="AE85" s="279">
        <f>IFERROR(AD85*V85,0%)</f>
        <v>8.9836353853486558E-4</v>
      </c>
      <c r="AF85" s="278">
        <f>IFERROR((G85-E85)/E85,0%)</f>
        <v>5.0089999999999767E-2</v>
      </c>
      <c r="AG85" s="277">
        <f>IFERROR(AF85*J85,0%)</f>
        <v>2.3019301470588128E-3</v>
      </c>
      <c r="AH85" s="276" t="b">
        <f>ROUND((G85-E85),0)=ROUND(SUM(L85,O85,R85,AA85),0)</f>
        <v>1</v>
      </c>
      <c r="AI85" s="21"/>
      <c r="AJ85" s="21"/>
    </row>
    <row r="86" spans="2:36" s="16" customFormat="1" x14ac:dyDescent="0.3">
      <c r="B86" s="289"/>
      <c r="C86" s="357" t="s">
        <v>573</v>
      </c>
      <c r="D86" s="352">
        <v>125000</v>
      </c>
      <c r="E86" s="395">
        <v>125000</v>
      </c>
      <c r="F86" s="391">
        <v>128124.99999999999</v>
      </c>
      <c r="G86" s="391">
        <v>131261.24999999997</v>
      </c>
      <c r="H86" s="288">
        <f>IFERROR(F86/D86-1,"")</f>
        <v>2.4999999999999911E-2</v>
      </c>
      <c r="I86" s="281">
        <f>G86-E86</f>
        <v>6261.2499999999709</v>
      </c>
      <c r="J86" s="52">
        <f>IFERROR(E86/E$115,"")</f>
        <v>2.297794117647059E-2</v>
      </c>
      <c r="K86" s="392">
        <v>128124.99999999999</v>
      </c>
      <c r="L86" s="419">
        <f>K86-E86</f>
        <v>3124.9999999999854</v>
      </c>
      <c r="M86" s="351">
        <f>IFERROR(L86/$I86,"")</f>
        <v>0.49910161708923939</v>
      </c>
      <c r="N86" s="392">
        <v>125562.49999999999</v>
      </c>
      <c r="O86" s="419">
        <f>N86-E86</f>
        <v>562.49999999998545</v>
      </c>
      <c r="P86" s="351">
        <f>IFERROR(O86/$I86,"")</f>
        <v>8.9838291076061186E-2</v>
      </c>
      <c r="Q86" s="392">
        <v>125000</v>
      </c>
      <c r="R86" s="307">
        <f>Q86-E86</f>
        <v>0</v>
      </c>
      <c r="S86" s="266">
        <f>IFERROR(R86/N86,"")</f>
        <v>0</v>
      </c>
      <c r="T86" s="45"/>
      <c r="U86" s="281">
        <f>SUM(E86,L86,O86,R86)</f>
        <v>128687.49999999997</v>
      </c>
      <c r="V86" s="356">
        <f>U86/$U$115</f>
        <v>2.2459088463371635E-2</v>
      </c>
      <c r="W86" s="288">
        <f>IFERROR(U86/E86,"")</f>
        <v>1.0294999999999999</v>
      </c>
      <c r="X86" s="288">
        <f>IFERROR(U86/F86,"")</f>
        <v>1.0043902439024388</v>
      </c>
      <c r="Y86" s="417"/>
      <c r="Z86" s="420">
        <v>131261.24999999997</v>
      </c>
      <c r="AA86" s="419">
        <f>Z86-SUM(R86,O86,L86)-E86</f>
        <v>2573.75</v>
      </c>
      <c r="AB86" s="351">
        <f>IFERROR(AA86/I86,"")</f>
        <v>0.41106009183469944</v>
      </c>
      <c r="AC86" s="351">
        <f>IFERROR(AA86/E86,"")</f>
        <v>2.0590000000000001E-2</v>
      </c>
      <c r="AD86" s="278">
        <f>IFERROR(AA86/U86,"")</f>
        <v>2.0000000000000004E-2</v>
      </c>
      <c r="AE86" s="279">
        <f>IFERROR(AD86*V86,0%)</f>
        <v>4.4918176926743279E-4</v>
      </c>
      <c r="AF86" s="278">
        <f>IFERROR((G86-E86)/E86,0%)</f>
        <v>5.0089999999999767E-2</v>
      </c>
      <c r="AG86" s="277">
        <f>IFERROR(AF86*J86,0%)</f>
        <v>1.1509650735294064E-3</v>
      </c>
      <c r="AH86" s="276" t="b">
        <f>ROUND((G86-E86),0)=ROUND(SUM(L86,O86,R86,AA86),0)</f>
        <v>1</v>
      </c>
      <c r="AI86" s="21"/>
      <c r="AJ86" s="21"/>
    </row>
    <row r="87" spans="2:36" s="16" customFormat="1" x14ac:dyDescent="0.3">
      <c r="B87" s="289"/>
      <c r="C87" s="357" t="s">
        <v>582</v>
      </c>
      <c r="D87" s="352">
        <v>250000</v>
      </c>
      <c r="E87" s="395">
        <v>250000</v>
      </c>
      <c r="F87" s="391">
        <v>256249.99999999997</v>
      </c>
      <c r="G87" s="391">
        <v>262522.49999999994</v>
      </c>
      <c r="H87" s="288">
        <f>IFERROR(F87/D87-1,"")</f>
        <v>2.4999999999999911E-2</v>
      </c>
      <c r="I87" s="281">
        <f>G87-E87</f>
        <v>12522.499999999942</v>
      </c>
      <c r="J87" s="52">
        <f>IFERROR(E87/E$115,"")</f>
        <v>4.595588235294118E-2</v>
      </c>
      <c r="K87" s="392">
        <v>256249.99999999997</v>
      </c>
      <c r="L87" s="419">
        <f>K87-E87</f>
        <v>6249.9999999999709</v>
      </c>
      <c r="M87" s="351">
        <f>IFERROR(L87/$I87,"")</f>
        <v>0.49910161708923939</v>
      </c>
      <c r="N87" s="392">
        <v>251124.99999999997</v>
      </c>
      <c r="O87" s="419">
        <f>N87-E87</f>
        <v>1124.9999999999709</v>
      </c>
      <c r="P87" s="351">
        <f>IFERROR(O87/$I87,"")</f>
        <v>8.9838291076061186E-2</v>
      </c>
      <c r="Q87" s="392">
        <v>250000</v>
      </c>
      <c r="R87" s="307">
        <f>Q87-E87</f>
        <v>0</v>
      </c>
      <c r="S87" s="266">
        <f>IFERROR(R87/N87,"")</f>
        <v>0</v>
      </c>
      <c r="T87" s="45"/>
      <c r="U87" s="281">
        <f>SUM(E87,L87,O87,R87)</f>
        <v>257374.99999999994</v>
      </c>
      <c r="V87" s="356">
        <f>U87/$U$115</f>
        <v>4.491817692674327E-2</v>
      </c>
      <c r="W87" s="288">
        <f>IFERROR(U87/E87,"")</f>
        <v>1.0294999999999999</v>
      </c>
      <c r="X87" s="288">
        <f>IFERROR(U87/F87,"")</f>
        <v>1.0043902439024388</v>
      </c>
      <c r="Y87" s="417"/>
      <c r="Z87" s="420">
        <v>262522.49999999994</v>
      </c>
      <c r="AA87" s="419">
        <f>Z87-SUM(R87,O87,L87)-E87</f>
        <v>5147.5</v>
      </c>
      <c r="AB87" s="351">
        <f>IFERROR(AA87/I87,"")</f>
        <v>0.41106009183469944</v>
      </c>
      <c r="AC87" s="351">
        <f>IFERROR(AA87/E87,"")</f>
        <v>2.0590000000000001E-2</v>
      </c>
      <c r="AD87" s="278">
        <f>IFERROR(AA87/U87,"")</f>
        <v>2.0000000000000004E-2</v>
      </c>
      <c r="AE87" s="279">
        <f>IFERROR(AD87*V87,0%)</f>
        <v>8.9836353853486558E-4</v>
      </c>
      <c r="AF87" s="278">
        <f>IFERROR((G87-E87)/E87,0%)</f>
        <v>5.0089999999999767E-2</v>
      </c>
      <c r="AG87" s="277">
        <f>IFERROR(AF87*J87,0%)</f>
        <v>2.3019301470588128E-3</v>
      </c>
      <c r="AH87" s="276" t="b">
        <f>ROUND((G87-E87),0)=ROUND(SUM(L87,O87,R87,AA87),0)</f>
        <v>1</v>
      </c>
      <c r="AI87" s="21"/>
      <c r="AJ87" s="21"/>
    </row>
    <row r="88" spans="2:36" s="16" customFormat="1" x14ac:dyDescent="0.3">
      <c r="B88" s="289"/>
      <c r="C88" s="423" t="s">
        <v>82</v>
      </c>
      <c r="D88" s="352">
        <v>0</v>
      </c>
      <c r="E88" s="395">
        <v>0</v>
      </c>
      <c r="F88" s="391">
        <v>0</v>
      </c>
      <c r="G88" s="391">
        <v>0</v>
      </c>
      <c r="H88" s="288" t="str">
        <f>IFERROR(F88/D88-1,"")</f>
        <v/>
      </c>
      <c r="I88" s="281">
        <f>G88-E88</f>
        <v>0</v>
      </c>
      <c r="J88" s="52">
        <f>IFERROR(E88/E$115,"")</f>
        <v>0</v>
      </c>
      <c r="K88" s="392">
        <v>0</v>
      </c>
      <c r="L88" s="419">
        <f>K88-E88</f>
        <v>0</v>
      </c>
      <c r="M88" s="351" t="str">
        <f>IFERROR(L88/$I88,"")</f>
        <v/>
      </c>
      <c r="N88" s="392">
        <v>0</v>
      </c>
      <c r="O88" s="419">
        <f>N88-E88</f>
        <v>0</v>
      </c>
      <c r="P88" s="351" t="str">
        <f>IFERROR(O88/$I88,"")</f>
        <v/>
      </c>
      <c r="Q88" s="392">
        <v>0</v>
      </c>
      <c r="R88" s="307">
        <f>Q88-E88</f>
        <v>0</v>
      </c>
      <c r="S88" s="266" t="str">
        <f>IFERROR(R88/N88,"")</f>
        <v/>
      </c>
      <c r="T88" s="45"/>
      <c r="U88" s="281">
        <f>SUM(E88,L88,O88,R88)</f>
        <v>0</v>
      </c>
      <c r="V88" s="356">
        <f>U88/$U$115</f>
        <v>0</v>
      </c>
      <c r="W88" s="288" t="str">
        <f>IFERROR(U88/E88,"")</f>
        <v/>
      </c>
      <c r="X88" s="288" t="str">
        <f>IFERROR(U88/F88,"")</f>
        <v/>
      </c>
      <c r="Y88" s="417"/>
      <c r="Z88" s="420">
        <v>0</v>
      </c>
      <c r="AA88" s="419">
        <f>Z88-SUM(R88,O88,L88)-E88</f>
        <v>0</v>
      </c>
      <c r="AB88" s="351" t="str">
        <f>IFERROR(AA88/I88,"")</f>
        <v/>
      </c>
      <c r="AC88" s="351" t="str">
        <f>IFERROR(AA88/E88,"")</f>
        <v/>
      </c>
      <c r="AD88" s="278" t="str">
        <f>IFERROR(AA88/U88,"")</f>
        <v/>
      </c>
      <c r="AE88" s="279">
        <f>IFERROR(AD88*V88,0%)</f>
        <v>0</v>
      </c>
      <c r="AF88" s="278">
        <f>IFERROR((G88-E88)/E88,0%)</f>
        <v>0</v>
      </c>
      <c r="AG88" s="277">
        <f>IFERROR(AF88*J88,0%)</f>
        <v>0</v>
      </c>
      <c r="AH88" s="276" t="b">
        <f>ROUND((G88-E88),0)=ROUND(SUM(L88,O88,R88,AA88),0)</f>
        <v>1</v>
      </c>
      <c r="AI88" s="21"/>
      <c r="AJ88" s="21"/>
    </row>
    <row r="89" spans="2:36" s="16" customFormat="1" x14ac:dyDescent="0.3">
      <c r="B89" s="289"/>
      <c r="C89" s="47" t="s">
        <v>69</v>
      </c>
      <c r="D89" s="257">
        <f>SUM(D90:D92)</f>
        <v>1000000</v>
      </c>
      <c r="E89" s="379">
        <f>SUM(E90:E92)</f>
        <v>1000000</v>
      </c>
      <c r="F89" s="295">
        <f>SUM(F90:F92)</f>
        <v>1024999.9999999999</v>
      </c>
      <c r="G89" s="295">
        <f>SUM(G90:G92)</f>
        <v>1050000</v>
      </c>
      <c r="H89" s="251">
        <f>IFERROR(F89/D89-1,"")</f>
        <v>2.4999999999999911E-2</v>
      </c>
      <c r="I89" s="257">
        <f>G89-E89</f>
        <v>50000</v>
      </c>
      <c r="J89" s="259">
        <f>IFERROR(E89/E$115,"")</f>
        <v>0.18382352941176472</v>
      </c>
      <c r="K89" s="410">
        <f>SUM(K90:K92)</f>
        <v>1022999.9999999999</v>
      </c>
      <c r="L89" s="410">
        <f>K89-E89</f>
        <v>22999.999999999884</v>
      </c>
      <c r="M89" s="339">
        <f>IFERROR(L89/$I89,"")</f>
        <v>0.45999999999999769</v>
      </c>
      <c r="N89" s="411">
        <f>SUM(N90:N92)</f>
        <v>1000999.9999999999</v>
      </c>
      <c r="O89" s="411">
        <f>N89-E89</f>
        <v>999.99999999988358</v>
      </c>
      <c r="P89" s="339">
        <f>IFERROR(O89/$I89,"")</f>
        <v>1.9999999999997672E-2</v>
      </c>
      <c r="Q89" s="410">
        <f>SUM(Q90:Q92)</f>
        <v>1000000</v>
      </c>
      <c r="R89" s="422">
        <f>Q89-E89</f>
        <v>0</v>
      </c>
      <c r="S89" s="294">
        <f>IFERROR(R89/$I89,"")</f>
        <v>0</v>
      </c>
      <c r="T89" s="55"/>
      <c r="U89" s="295">
        <f>SUM(U90:U92)</f>
        <v>1023999.9999999998</v>
      </c>
      <c r="V89" s="355">
        <f>U89/$U$115</f>
        <v>0.17871282437293876</v>
      </c>
      <c r="W89" s="251">
        <f>IFERROR(U89/E89,"")</f>
        <v>1.0239999999999998</v>
      </c>
      <c r="X89" s="251">
        <f>IFERROR(U89/F89,"")</f>
        <v>0.99902439024390233</v>
      </c>
      <c r="Y89" s="412"/>
      <c r="Z89" s="421">
        <f>SUM(Z90:Z92)</f>
        <v>1050000</v>
      </c>
      <c r="AA89" s="410">
        <f>SUM(AA90:AA92)</f>
        <v>26000.000000000291</v>
      </c>
      <c r="AB89" s="339">
        <f>IFERROR(AA89/I89,"")</f>
        <v>0.52000000000000579</v>
      </c>
      <c r="AC89" s="354">
        <f>IFERROR(AA89/E89,"")</f>
        <v>2.600000000000029E-2</v>
      </c>
      <c r="AD89" s="250">
        <f>IFERROR(AA89/U89,"")</f>
        <v>2.5390625000000291E-2</v>
      </c>
      <c r="AE89" s="292">
        <f>IFERROR(AD89*V89,0%)</f>
        <v>4.5376303063442E-3</v>
      </c>
      <c r="AF89" s="250">
        <f>IFERROR((G89-E89)/E89,0%)</f>
        <v>0.05</v>
      </c>
      <c r="AG89" s="336">
        <f>IFERROR(AF89*J89,0%)</f>
        <v>9.1911764705882356E-3</v>
      </c>
      <c r="AH89" s="246" t="b">
        <f>ROUND((G89-E89),0)=ROUND(SUM(L89,O89,R89,AA89),0)</f>
        <v>1</v>
      </c>
      <c r="AI89" s="21"/>
      <c r="AJ89" s="21"/>
    </row>
    <row r="90" spans="2:36" s="16" customFormat="1" x14ac:dyDescent="0.3">
      <c r="B90" s="289"/>
      <c r="C90" s="43" t="s">
        <v>572</v>
      </c>
      <c r="D90" s="352">
        <v>750000</v>
      </c>
      <c r="E90" s="395">
        <v>750000</v>
      </c>
      <c r="F90" s="391">
        <v>768749.99999999988</v>
      </c>
      <c r="G90" s="352">
        <v>787500</v>
      </c>
      <c r="H90" s="394">
        <f>IFERROR(F90/D90-1,"")</f>
        <v>2.4999999999999911E-2</v>
      </c>
      <c r="I90" s="393">
        <f>G90-E90</f>
        <v>37500</v>
      </c>
      <c r="J90" s="52">
        <f>IFERROR(E90/E$115,"")</f>
        <v>0.13786764705882354</v>
      </c>
      <c r="K90" s="392">
        <v>767249.99999999988</v>
      </c>
      <c r="L90" s="419">
        <f>K90-E90</f>
        <v>17249.999999999884</v>
      </c>
      <c r="M90" s="351">
        <f>IFERROR(L90/$I90,"")</f>
        <v>0.45999999999999691</v>
      </c>
      <c r="N90" s="392">
        <v>750749.99999999988</v>
      </c>
      <c r="O90" s="419">
        <f>N90-E90</f>
        <v>749.99999999988358</v>
      </c>
      <c r="P90" s="351">
        <f>IFERROR(O90/$I90,"")</f>
        <v>1.9999999999996895E-2</v>
      </c>
      <c r="Q90" s="392">
        <v>750000</v>
      </c>
      <c r="R90" s="307">
        <f>Q90-E90</f>
        <v>0</v>
      </c>
      <c r="S90" s="266">
        <f>IFERROR(R90/$I90,"")</f>
        <v>0</v>
      </c>
      <c r="T90" s="45"/>
      <c r="U90" s="281">
        <f>SUM(E90,L90,O90,R90)</f>
        <v>767999.99999999977</v>
      </c>
      <c r="V90" s="356">
        <f>U90/$U$115</f>
        <v>0.13403461827970406</v>
      </c>
      <c r="W90" s="288">
        <f>IFERROR(U90/E90,"")</f>
        <v>1.0239999999999998</v>
      </c>
      <c r="X90" s="288">
        <f>IFERROR(U90/F90,"")</f>
        <v>0.99902439024390233</v>
      </c>
      <c r="Y90" s="417"/>
      <c r="Z90" s="420">
        <v>787500</v>
      </c>
      <c r="AA90" s="419">
        <f>Z90-SUM(R90,O90,L90)-E90</f>
        <v>19500.000000000233</v>
      </c>
      <c r="AB90" s="351">
        <f>IFERROR(AA90/I90,"")</f>
        <v>0.52000000000000624</v>
      </c>
      <c r="AC90" s="351">
        <f>IFERROR(AA90/E90,"")</f>
        <v>2.6000000000000311E-2</v>
      </c>
      <c r="AD90" s="278">
        <f>IFERROR(AA90/U90,"")</f>
        <v>2.5390625000000312E-2</v>
      </c>
      <c r="AE90" s="279">
        <f>IFERROR(AD90*V90,0%)</f>
        <v>3.4032227297581528E-3</v>
      </c>
      <c r="AF90" s="278">
        <f>IFERROR((G90-E90)/E90,0%)</f>
        <v>0.05</v>
      </c>
      <c r="AG90" s="277">
        <f>IFERROR(AF90*J90,0%)</f>
        <v>6.8933823529411771E-3</v>
      </c>
      <c r="AH90" s="276" t="b">
        <f>ROUND((G90-E90),0)=ROUND(SUM(L90,O90,R90,AA90),0)</f>
        <v>1</v>
      </c>
      <c r="AI90" s="21"/>
      <c r="AJ90" s="21"/>
    </row>
    <row r="91" spans="2:36" s="16" customFormat="1" x14ac:dyDescent="0.3">
      <c r="B91" s="289"/>
      <c r="C91" s="43" t="s">
        <v>571</v>
      </c>
      <c r="D91" s="352">
        <v>250000</v>
      </c>
      <c r="E91" s="395">
        <v>250000</v>
      </c>
      <c r="F91" s="391">
        <v>256249.99999999997</v>
      </c>
      <c r="G91" s="352">
        <v>262500</v>
      </c>
      <c r="H91" s="394">
        <f>IFERROR(F91/D91-1,"")</f>
        <v>2.4999999999999911E-2</v>
      </c>
      <c r="I91" s="393">
        <f>G91-E91</f>
        <v>12500</v>
      </c>
      <c r="J91" s="52">
        <f>IFERROR(E91/E$115,"")</f>
        <v>4.595588235294118E-2</v>
      </c>
      <c r="K91" s="392">
        <v>255749.99999999997</v>
      </c>
      <c r="L91" s="419">
        <f>K91-E91</f>
        <v>5749.9999999999709</v>
      </c>
      <c r="M91" s="351">
        <f>IFERROR(L91/$I91,"")</f>
        <v>0.45999999999999769</v>
      </c>
      <c r="N91" s="392">
        <v>250249.99999999997</v>
      </c>
      <c r="O91" s="419">
        <f>N91-E91</f>
        <v>249.9999999999709</v>
      </c>
      <c r="P91" s="351">
        <f>IFERROR(O91/$I91,"")</f>
        <v>1.9999999999997672E-2</v>
      </c>
      <c r="Q91" s="392">
        <v>250000</v>
      </c>
      <c r="R91" s="307">
        <f>Q91-E91</f>
        <v>0</v>
      </c>
      <c r="S91" s="266">
        <f>IFERROR(R91/$I91,"")</f>
        <v>0</v>
      </c>
      <c r="T91" s="45"/>
      <c r="U91" s="281">
        <f>SUM(E91,L91,O91,R91)</f>
        <v>255999.99999999994</v>
      </c>
      <c r="V91" s="356">
        <f>U91/$U$115</f>
        <v>4.4678206093234689E-2</v>
      </c>
      <c r="W91" s="288">
        <f>IFERROR(U91/E91,"")</f>
        <v>1.0239999999999998</v>
      </c>
      <c r="X91" s="288">
        <f>IFERROR(U91/F91,"")</f>
        <v>0.99902439024390233</v>
      </c>
      <c r="Y91" s="417"/>
      <c r="Z91" s="420">
        <v>262500</v>
      </c>
      <c r="AA91" s="419">
        <f>Z91-SUM(R91,O91,L91)-E91</f>
        <v>6500.0000000000582</v>
      </c>
      <c r="AB91" s="351">
        <f>IFERROR(AA91/I91,"")</f>
        <v>0.52000000000000468</v>
      </c>
      <c r="AC91" s="351">
        <f>IFERROR(AA91/E91,"")</f>
        <v>2.6000000000000231E-2</v>
      </c>
      <c r="AD91" s="278">
        <f>IFERROR(AA91/U91,"")</f>
        <v>2.5390625000000232E-2</v>
      </c>
      <c r="AE91" s="279">
        <f>IFERROR(AD91*V91,0%)</f>
        <v>1.1344075765860474E-3</v>
      </c>
      <c r="AF91" s="278">
        <f>IFERROR((G91-E91)/E91,0%)</f>
        <v>0.05</v>
      </c>
      <c r="AG91" s="277">
        <f>IFERROR(AF91*J91,0%)</f>
        <v>2.2977941176470589E-3</v>
      </c>
      <c r="AH91" s="276" t="b">
        <f>ROUND((G91-E91),0)=ROUND(SUM(L91,O91,R91,AA91),0)</f>
        <v>1</v>
      </c>
      <c r="AI91" s="21"/>
      <c r="AJ91" s="21"/>
    </row>
    <row r="92" spans="2:36" s="16" customFormat="1" x14ac:dyDescent="0.3">
      <c r="B92" s="289"/>
      <c r="C92" s="353" t="s">
        <v>82</v>
      </c>
      <c r="D92" s="352">
        <v>0</v>
      </c>
      <c r="E92" s="395">
        <v>0</v>
      </c>
      <c r="F92" s="391">
        <v>0</v>
      </c>
      <c r="G92" s="352">
        <v>0</v>
      </c>
      <c r="H92" s="394" t="str">
        <f>IFERROR(F92/D92-1,"")</f>
        <v/>
      </c>
      <c r="I92" s="393"/>
      <c r="J92" s="52">
        <f>IFERROR(E92/E$115,"")</f>
        <v>0</v>
      </c>
      <c r="K92" s="392">
        <v>0</v>
      </c>
      <c r="L92" s="419">
        <f>K92-E92</f>
        <v>0</v>
      </c>
      <c r="M92" s="351" t="str">
        <f>IFERROR(L92/$I92,"")</f>
        <v/>
      </c>
      <c r="N92" s="392">
        <v>0</v>
      </c>
      <c r="O92" s="419">
        <f>N92-E92</f>
        <v>0</v>
      </c>
      <c r="P92" s="351" t="str">
        <f>IFERROR(O92/$I92,"")</f>
        <v/>
      </c>
      <c r="Q92" s="392">
        <v>0</v>
      </c>
      <c r="R92" s="307">
        <f>Q92-E92</f>
        <v>0</v>
      </c>
      <c r="S92" s="266" t="str">
        <f>IFERROR(R92/$I92,"")</f>
        <v/>
      </c>
      <c r="T92" s="45"/>
      <c r="U92" s="281">
        <f>SUM(E92,L92,O92,R92)</f>
        <v>0</v>
      </c>
      <c r="V92" s="356">
        <f>U92/$U$115</f>
        <v>0</v>
      </c>
      <c r="W92" s="288" t="str">
        <f>IFERROR(U92/E92,"")</f>
        <v/>
      </c>
      <c r="X92" s="288" t="str">
        <f>IFERROR(U92/F92,"")</f>
        <v/>
      </c>
      <c r="Y92" s="417"/>
      <c r="Z92" s="420">
        <v>0</v>
      </c>
      <c r="AA92" s="419">
        <f>Z92-SUM(R92,O92,L92)-E92</f>
        <v>0</v>
      </c>
      <c r="AB92" s="351" t="str">
        <f>IFERROR(AA92/I92,"")</f>
        <v/>
      </c>
      <c r="AC92" s="351" t="str">
        <f>IFERROR(AA92/E92,"")</f>
        <v/>
      </c>
      <c r="AD92" s="278" t="str">
        <f>IFERROR(AA92/U92,"")</f>
        <v/>
      </c>
      <c r="AE92" s="279">
        <f>IFERROR(AD92*V92,0%)</f>
        <v>0</v>
      </c>
      <c r="AF92" s="278">
        <f>IFERROR((G92-E92)/E92,0%)</f>
        <v>0</v>
      </c>
      <c r="AG92" s="277">
        <f>IFERROR(AF92*J92,0%)</f>
        <v>0</v>
      </c>
      <c r="AH92" s="276" t="b">
        <f>ROUND((G92-E92),0)=ROUND(SUM(L92,O92,R92,AA92),0)</f>
        <v>1</v>
      </c>
      <c r="AI92" s="21"/>
      <c r="AJ92" s="21"/>
    </row>
    <row r="93" spans="2:36" s="16" customFormat="1" x14ac:dyDescent="0.3">
      <c r="B93" s="289"/>
      <c r="C93" s="47" t="s">
        <v>70</v>
      </c>
      <c r="D93" s="350">
        <v>1000000</v>
      </c>
      <c r="E93" s="380">
        <v>1000000</v>
      </c>
      <c r="F93" s="384">
        <v>1024999.9999999999</v>
      </c>
      <c r="G93" s="350">
        <v>1050000</v>
      </c>
      <c r="H93" s="386">
        <f>IFERROR(F93/D93-1,"")</f>
        <v>2.4999999999999911E-2</v>
      </c>
      <c r="I93" s="383">
        <f>G93-E93</f>
        <v>50000</v>
      </c>
      <c r="J93" s="22">
        <f>IFERROR(E93/E$115,"")</f>
        <v>0.18382352941176472</v>
      </c>
      <c r="K93" s="418">
        <v>1014000</v>
      </c>
      <c r="L93" s="415">
        <f>K93-E93</f>
        <v>14000</v>
      </c>
      <c r="M93" s="349">
        <f>IFERROR(L93/$I93,"")</f>
        <v>0.28000000000000003</v>
      </c>
      <c r="N93" s="418">
        <v>1010000</v>
      </c>
      <c r="O93" s="415">
        <f>N93-E93</f>
        <v>10000</v>
      </c>
      <c r="P93" s="349">
        <f>IFERROR(O93/$I93,"")</f>
        <v>0.2</v>
      </c>
      <c r="Q93" s="418">
        <v>1000000</v>
      </c>
      <c r="R93" s="303">
        <f>Q93-E93</f>
        <v>0</v>
      </c>
      <c r="S93" s="266">
        <f>IFERROR(R93/$I93,"")</f>
        <v>0</v>
      </c>
      <c r="T93" s="45"/>
      <c r="U93" s="300">
        <f>SUM(E93,L93,O93,R93)</f>
        <v>1024000</v>
      </c>
      <c r="V93" s="382">
        <f>U93/$U$115</f>
        <v>0.17871282437293878</v>
      </c>
      <c r="W93" s="305">
        <f>IFERROR(U93/E93,"")</f>
        <v>1.024</v>
      </c>
      <c r="X93" s="305">
        <f>IFERROR(U93/F93,"")</f>
        <v>0.99902439024390255</v>
      </c>
      <c r="Y93" s="417"/>
      <c r="Z93" s="416">
        <v>1050000</v>
      </c>
      <c r="AA93" s="415">
        <f>Z93-SUM(R93,O93,L93)-E93</f>
        <v>26000</v>
      </c>
      <c r="AB93" s="349">
        <f>IFERROR(AA93/I93,"")</f>
        <v>0.52</v>
      </c>
      <c r="AC93" s="349">
        <f>IFERROR(AA93/E93,"")</f>
        <v>2.5999999999999999E-2</v>
      </c>
      <c r="AD93" s="264">
        <f>IFERROR(AA93/U93,"")</f>
        <v>2.5390625E-2</v>
      </c>
      <c r="AE93" s="265">
        <f>IFERROR(AD93*V93,0%)</f>
        <v>4.5376303063441488E-3</v>
      </c>
      <c r="AF93" s="264">
        <f>IFERROR((G93-E93)/E93,0%)</f>
        <v>0.05</v>
      </c>
      <c r="AG93" s="263">
        <f>IFERROR(AF93*J93,0%)</f>
        <v>9.1911764705882356E-3</v>
      </c>
      <c r="AH93" s="299" t="b">
        <f>ROUND((G93-E93),0)=ROUND(SUM(L93,O93,R93,AA93),0)</f>
        <v>1</v>
      </c>
      <c r="AI93" s="21"/>
      <c r="AJ93" s="21"/>
    </row>
    <row r="94" spans="2:36" s="16" customFormat="1" x14ac:dyDescent="0.3">
      <c r="B94" s="275"/>
      <c r="C94" s="348" t="s">
        <v>570</v>
      </c>
      <c r="D94" s="345">
        <v>-500000</v>
      </c>
      <c r="E94" s="414">
        <v>-500000</v>
      </c>
      <c r="F94" s="413">
        <v>-512499.99999999994</v>
      </c>
      <c r="G94" s="345">
        <v>-550000</v>
      </c>
      <c r="H94" s="386">
        <f>IFERROR(F94/D94-1,"")</f>
        <v>2.4999999999999911E-2</v>
      </c>
      <c r="I94" s="383">
        <f>G94-E94</f>
        <v>-50000</v>
      </c>
      <c r="J94" s="22">
        <f>IFERROR(E94/E$115,"")</f>
        <v>-9.1911764705882359E-2</v>
      </c>
      <c r="K94" s="384">
        <v>-520000</v>
      </c>
      <c r="L94" s="303">
        <f>K94-E94</f>
        <v>-20000</v>
      </c>
      <c r="M94" s="266">
        <f>IFERROR(L94/$I94,"")</f>
        <v>0.4</v>
      </c>
      <c r="N94" s="384">
        <v>-505000</v>
      </c>
      <c r="O94" s="307">
        <f>N94-E94</f>
        <v>-5000</v>
      </c>
      <c r="P94" s="266">
        <f>IFERROR(O94/$I94,"")</f>
        <v>0.1</v>
      </c>
      <c r="Q94" s="384">
        <v>-500000</v>
      </c>
      <c r="R94" s="307">
        <f>Q94-E94</f>
        <v>0</v>
      </c>
      <c r="S94" s="280">
        <f>IFERROR(R94/$I94,"")</f>
        <v>0</v>
      </c>
      <c r="T94" s="55"/>
      <c r="U94" s="300">
        <f>SUM(E94,L94,O94,R94)</f>
        <v>-525000</v>
      </c>
      <c r="V94" s="382">
        <f>U94/$U$115</f>
        <v>-9.1625227339641471E-2</v>
      </c>
      <c r="W94" s="305">
        <f>IFERROR(U94/E94,"")</f>
        <v>1.05</v>
      </c>
      <c r="X94" s="305">
        <f>IFERROR(U94/F94,"")</f>
        <v>1.024390243902439</v>
      </c>
      <c r="Y94" s="412"/>
      <c r="Z94" s="380">
        <v>-550000</v>
      </c>
      <c r="AA94" s="303">
        <f>Z94-SUM(R94,O94,L94)-E94</f>
        <v>-25000</v>
      </c>
      <c r="AB94" s="266">
        <f>IFERROR(AA94/I94,"")</f>
        <v>0.5</v>
      </c>
      <c r="AC94" s="266">
        <f>IFERROR(AA94/E94,"")</f>
        <v>0.05</v>
      </c>
      <c r="AD94" s="264">
        <f>IFERROR(AA94/U94,"")</f>
        <v>4.7619047619047616E-2</v>
      </c>
      <c r="AE94" s="265">
        <f>IFERROR(AD94*V94,0%)</f>
        <v>-4.3631060637924508E-3</v>
      </c>
      <c r="AF94" s="264">
        <f>IFERROR((G94-E94)/E94,0%)</f>
        <v>0.1</v>
      </c>
      <c r="AG94" s="263">
        <f>IFERROR(AF94*J94,0%)</f>
        <v>-9.1911764705882356E-3</v>
      </c>
      <c r="AH94" s="299" t="b">
        <f>ROUND((G94-E94),0)=ROUND(SUM(L94,O94,R94,AA94),0)</f>
        <v>1</v>
      </c>
      <c r="AI94" s="21"/>
    </row>
    <row r="95" spans="2:36" s="16" customFormat="1" x14ac:dyDescent="0.3">
      <c r="B95" s="342" t="s">
        <v>569</v>
      </c>
      <c r="C95" s="341" t="s">
        <v>72</v>
      </c>
      <c r="D95" s="257">
        <f>SUM(D96:D101)</f>
        <v>3000000</v>
      </c>
      <c r="E95" s="379">
        <f>SUM(E96:E101)</f>
        <v>3000000</v>
      </c>
      <c r="F95" s="295">
        <f>SUM(F96:F101)</f>
        <v>3075000</v>
      </c>
      <c r="G95" s="295">
        <f>SUM(G96:G101)</f>
        <v>3334140.6774999993</v>
      </c>
      <c r="H95" s="251">
        <f>IFERROR(F95/D95-1,"")</f>
        <v>2.4999999999999911E-2</v>
      </c>
      <c r="I95" s="257">
        <f>G95-E95</f>
        <v>334140.67749999929</v>
      </c>
      <c r="J95" s="259">
        <f>IFERROR(E95/E$115,"")</f>
        <v>0.55147058823529416</v>
      </c>
      <c r="K95" s="410">
        <f>SUM(K96:K101)</f>
        <v>3076025</v>
      </c>
      <c r="L95" s="410">
        <f>K95-E95</f>
        <v>76025</v>
      </c>
      <c r="M95" s="339">
        <f>IFERROR(L95/$I95,"")</f>
        <v>0.22752392964786564</v>
      </c>
      <c r="N95" s="410">
        <f>SUM(N96:N101)</f>
        <v>3096937.5</v>
      </c>
      <c r="O95" s="411">
        <f>N95-E95</f>
        <v>96937.5</v>
      </c>
      <c r="P95" s="339">
        <f>IFERROR(O95/$I95,"")</f>
        <v>0.29010984452798388</v>
      </c>
      <c r="Q95" s="410">
        <f>SUM(Q96:Q101)</f>
        <v>3071475.5</v>
      </c>
      <c r="R95" s="396">
        <f>Q95-E95</f>
        <v>71475.5</v>
      </c>
      <c r="S95" s="294">
        <f>IFERROR(R95/$I95,"")</f>
        <v>0.21390840688649812</v>
      </c>
      <c r="T95" s="340"/>
      <c r="U95" s="257">
        <f>SUM(U96:U101)</f>
        <v>3244437.9999999991</v>
      </c>
      <c r="V95" s="256">
        <f>U95/$U$115</f>
        <v>0.56623308445594589</v>
      </c>
      <c r="W95" s="247">
        <f>IFERROR(U95/E95,"")</f>
        <v>1.081479333333333</v>
      </c>
      <c r="X95" s="251"/>
      <c r="Y95" s="364"/>
      <c r="Z95" s="397">
        <f>SUM(Z96:Z101)</f>
        <v>3334140.6774999993</v>
      </c>
      <c r="AA95" s="410">
        <f>SUM(AA96:AA101)</f>
        <v>89702.677499999874</v>
      </c>
      <c r="AB95" s="339">
        <f>IFERROR(AA95/I95,"")</f>
        <v>0.26845781893765408</v>
      </c>
      <c r="AC95" s="339">
        <f>IFERROR(AA95/E95,"")</f>
        <v>2.9900892499999956E-2</v>
      </c>
      <c r="AD95" s="409">
        <f>IFERROR(AA95/U95,"")</f>
        <v>2.7648140448361135E-2</v>
      </c>
      <c r="AE95" s="292">
        <f>IFERROR(AD95*V95,0%)</f>
        <v>1.5655291845546725E-2</v>
      </c>
      <c r="AF95" s="250">
        <f>IFERROR((G95-E95)/E95,0%)</f>
        <v>0.1113802258333331</v>
      </c>
      <c r="AG95" s="336">
        <f>IFERROR(AF95*J95,0%)</f>
        <v>6.1422918658088112E-2</v>
      </c>
      <c r="AH95" s="246" t="b">
        <f>ROUND((G95-E95),0)=ROUND(SUM(L95,O95,R95,AA95),0)</f>
        <v>1</v>
      </c>
      <c r="AI95" s="21"/>
      <c r="AJ95" s="21"/>
    </row>
    <row r="96" spans="2:36" s="16" customFormat="1" outlineLevel="1" x14ac:dyDescent="0.3">
      <c r="B96" s="289"/>
      <c r="C96" s="333" t="s">
        <v>568</v>
      </c>
      <c r="D96" s="352">
        <v>1100000</v>
      </c>
      <c r="E96" s="395">
        <v>1100000</v>
      </c>
      <c r="F96" s="391">
        <v>1127500</v>
      </c>
      <c r="G96" s="391">
        <v>1229820.5150000001</v>
      </c>
      <c r="H96" s="288">
        <f>IFERROR(F96/D96-1,"")</f>
        <v>2.4999999999999911E-2</v>
      </c>
      <c r="I96" s="393">
        <f>G96-E96</f>
        <v>129820.51500000013</v>
      </c>
      <c r="J96" s="52">
        <f>IFERROR(E96/E$115,"")</f>
        <v>0.20220588235294118</v>
      </c>
      <c r="K96" s="391">
        <v>1127500</v>
      </c>
      <c r="L96" s="307">
        <f>K96-E96</f>
        <v>27500</v>
      </c>
      <c r="M96" s="280">
        <f>IFERROR(L96/$I96,"")</f>
        <v>0.21183092672217463</v>
      </c>
      <c r="N96" s="391">
        <v>1138775</v>
      </c>
      <c r="O96" s="307">
        <f>N96-E96</f>
        <v>38775</v>
      </c>
      <c r="P96" s="280">
        <f>IFERROR(O96/$I96,"")</f>
        <v>0.29868160667826621</v>
      </c>
      <c r="Q96" s="390">
        <v>1127725.5</v>
      </c>
      <c r="R96" s="307">
        <f>Q96-E96</f>
        <v>27725.5</v>
      </c>
      <c r="S96" s="280">
        <f>IFERROR(R96/$I96,"")</f>
        <v>0.21356794032129647</v>
      </c>
      <c r="T96" s="55" t="s">
        <v>590</v>
      </c>
      <c r="U96" s="281">
        <f>SUM(E96,L96,O96,R96)</f>
        <v>1194000.5</v>
      </c>
      <c r="V96" s="356">
        <f>U96/$U$115</f>
        <v>0.20838203286884874</v>
      </c>
      <c r="W96" s="288">
        <f>IFERROR(U96/E96,"")</f>
        <v>1.0854550000000001</v>
      </c>
      <c r="X96" s="389">
        <f>IFERROR(U96/F96,"")</f>
        <v>1.0589804878048781</v>
      </c>
      <c r="Y96" s="408"/>
      <c r="Z96" s="395">
        <v>1229820.5150000001</v>
      </c>
      <c r="AA96" s="307">
        <f>Z96-SUM(R96,O96,L96)-E96</f>
        <v>35820.01500000013</v>
      </c>
      <c r="AB96" s="280">
        <f>IFERROR(AA96/I96,"")</f>
        <v>0.27591952627826266</v>
      </c>
      <c r="AC96" s="280">
        <f>IFERROR(AA96/E96,"")</f>
        <v>3.2563650000000118E-2</v>
      </c>
      <c r="AD96" s="401">
        <f>IFERROR(AA96/U96,"")</f>
        <v>3.000000000000011E-2</v>
      </c>
      <c r="AE96" s="279">
        <f>IFERROR(AD96*V96,0%)</f>
        <v>6.2514609860654848E-3</v>
      </c>
      <c r="AF96" s="278">
        <f>IFERROR((G96-E96)/E96,0%)</f>
        <v>0.11801865000000011</v>
      </c>
      <c r="AG96" s="277">
        <f>IFERROR(AF96*J96,0%)</f>
        <v>2.3864065257352966E-2</v>
      </c>
      <c r="AH96" s="276" t="b">
        <f>ROUND((G96-E96),0)=ROUND(SUM(L96,O96,R96,AA96),0)</f>
        <v>1</v>
      </c>
      <c r="AI96" s="21"/>
    </row>
    <row r="97" spans="2:35" s="16" customFormat="1" outlineLevel="1" x14ac:dyDescent="0.3">
      <c r="B97" s="289"/>
      <c r="C97" s="333" t="s">
        <v>567</v>
      </c>
      <c r="D97" s="352">
        <v>900000</v>
      </c>
      <c r="E97" s="395">
        <v>900000</v>
      </c>
      <c r="F97" s="391">
        <v>922499.99999999988</v>
      </c>
      <c r="G97" s="391">
        <v>1007003.4749999995</v>
      </c>
      <c r="H97" s="288">
        <f>IFERROR(F97/D97-1,"")</f>
        <v>2.4999999999999911E-2</v>
      </c>
      <c r="I97" s="393">
        <f>G97-E97</f>
        <v>107003.47499999951</v>
      </c>
      <c r="J97" s="52">
        <f>IFERROR(E97/E$115,"")</f>
        <v>0.16544117647058823</v>
      </c>
      <c r="K97" s="391">
        <v>922499.99999999988</v>
      </c>
      <c r="L97" s="307">
        <f>K97-E97</f>
        <v>22499.999999999884</v>
      </c>
      <c r="M97" s="280">
        <f>IFERROR(L97/$I97,"")</f>
        <v>0.21027354485450109</v>
      </c>
      <c r="N97" s="391">
        <v>931724.99999999988</v>
      </c>
      <c r="O97" s="307">
        <f>N97-E97</f>
        <v>31724.999999999884</v>
      </c>
      <c r="P97" s="280">
        <f>IFERROR(O97/$I97,"")</f>
        <v>0.296485698244847</v>
      </c>
      <c r="Q97" s="390">
        <v>922499.99999999988</v>
      </c>
      <c r="R97" s="307">
        <f>Q97-E97</f>
        <v>22499.999999999884</v>
      </c>
      <c r="S97" s="280">
        <f>IFERROR(R97/$I97,"")</f>
        <v>0.21027354485450109</v>
      </c>
      <c r="T97" s="55"/>
      <c r="U97" s="281">
        <f>SUM(E97,L97,O97,R97)</f>
        <v>976724.99999999965</v>
      </c>
      <c r="V97" s="356">
        <f>U97/$U$115</f>
        <v>0.1704621908063072</v>
      </c>
      <c r="W97" s="288">
        <f>IFERROR(U97/E97,"")</f>
        <v>1.0852499999999996</v>
      </c>
      <c r="X97" s="389">
        <f>IFERROR(U97/F97,"")</f>
        <v>1.0587804878048779</v>
      </c>
      <c r="Y97" s="352"/>
      <c r="Z97" s="395">
        <v>1007003.4749999995</v>
      </c>
      <c r="AA97" s="307">
        <f>Z97-SUM(R97,O97,L97)-E97</f>
        <v>30278.47499999986</v>
      </c>
      <c r="AB97" s="280">
        <f>IFERROR(AA97/I97,"")</f>
        <v>0.28296721204615083</v>
      </c>
      <c r="AC97" s="280">
        <f>IFERROR(AA97/E97,"")</f>
        <v>3.3642749999999846E-2</v>
      </c>
      <c r="AD97" s="401">
        <f>IFERROR(AA97/U97,"")</f>
        <v>3.0999999999999868E-2</v>
      </c>
      <c r="AE97" s="279">
        <f>IFERROR(AD97*V97,0%)</f>
        <v>5.2843279149955005E-3</v>
      </c>
      <c r="AF97" s="278">
        <f>IFERROR((G97-E97)/E97,0%)</f>
        <v>0.11889274999999945</v>
      </c>
      <c r="AG97" s="277">
        <f>IFERROR(AF97*J97,0%)</f>
        <v>1.9669756433823439E-2</v>
      </c>
      <c r="AH97" s="276" t="b">
        <f>ROUND((G97-E97),0)=ROUND(SUM(L97,O97,R97,AA97),0)</f>
        <v>1</v>
      </c>
      <c r="AI97" s="21"/>
    </row>
    <row r="98" spans="2:35" s="16" customFormat="1" outlineLevel="1" x14ac:dyDescent="0.3">
      <c r="B98" s="289"/>
      <c r="C98" s="333" t="s">
        <v>566</v>
      </c>
      <c r="D98" s="352">
        <v>750000</v>
      </c>
      <c r="E98" s="395">
        <v>750000</v>
      </c>
      <c r="F98" s="391">
        <v>768749.99999999988</v>
      </c>
      <c r="G98" s="391">
        <v>837541.68749999953</v>
      </c>
      <c r="H98" s="288">
        <f>IFERROR(F98/D98-1,"")</f>
        <v>2.4999999999999911E-2</v>
      </c>
      <c r="I98" s="393">
        <f>G98-E98</f>
        <v>87541.687499999534</v>
      </c>
      <c r="J98" s="52">
        <f>IFERROR(E98/E$115,"")</f>
        <v>0.13786764705882354</v>
      </c>
      <c r="K98" s="391">
        <v>768749.99999999988</v>
      </c>
      <c r="L98" s="307">
        <f>K98-E98</f>
        <v>18749.999999999884</v>
      </c>
      <c r="M98" s="280">
        <f>IFERROR(L98/$I98,"")</f>
        <v>0.21418367106528513</v>
      </c>
      <c r="N98" s="391">
        <v>776437.49999999988</v>
      </c>
      <c r="O98" s="307">
        <f>N98-E98</f>
        <v>26437.499999999884</v>
      </c>
      <c r="P98" s="280">
        <f>IFERROR(O98/$I98,"")</f>
        <v>0.30199897620205257</v>
      </c>
      <c r="Q98" s="390">
        <v>768749.99999999988</v>
      </c>
      <c r="R98" s="307">
        <f>Q98-E98</f>
        <v>18749.999999999884</v>
      </c>
      <c r="S98" s="280">
        <f>IFERROR(R98/$I98,"")</f>
        <v>0.21418367106528513</v>
      </c>
      <c r="T98" s="55"/>
      <c r="U98" s="281">
        <f>SUM(E98,L98,O98,R98)</f>
        <v>813937.49999999965</v>
      </c>
      <c r="V98" s="356">
        <f>U98/$U$115</f>
        <v>0.14205182567192265</v>
      </c>
      <c r="W98" s="288">
        <f>IFERROR(U98/E98,"")</f>
        <v>1.0852499999999996</v>
      </c>
      <c r="X98" s="389">
        <f>IFERROR(U98/F98,"")</f>
        <v>1.0587804878048777</v>
      </c>
      <c r="Y98" s="352"/>
      <c r="Z98" s="395">
        <v>837541.68749999953</v>
      </c>
      <c r="AA98" s="307">
        <f>Z98-SUM(R98,O98,L98)-E98</f>
        <v>23604.187499999884</v>
      </c>
      <c r="AB98" s="280">
        <f>IFERROR(AA98/I98,"")</f>
        <v>0.26963368166737717</v>
      </c>
      <c r="AC98" s="280">
        <f>IFERROR(AA98/E98,"")</f>
        <v>3.1472249999999848E-2</v>
      </c>
      <c r="AD98" s="401">
        <f>IFERROR(AA98/U98,"")</f>
        <v>2.899999999999987E-2</v>
      </c>
      <c r="AE98" s="279">
        <f>IFERROR(AD98*V98,0%)</f>
        <v>4.1195029444857385E-3</v>
      </c>
      <c r="AF98" s="278">
        <f>IFERROR((G98-E98)/E98,0%)</f>
        <v>0.11672224999999938</v>
      </c>
      <c r="AG98" s="277">
        <f>IFERROR(AF98*J98,0%)</f>
        <v>1.6092221966911679E-2</v>
      </c>
      <c r="AH98" s="276" t="b">
        <f>ROUND((G98-E98),0)=ROUND(SUM(L98,O98,R98,AA98),0)</f>
        <v>1</v>
      </c>
      <c r="AI98" s="21"/>
    </row>
    <row r="99" spans="2:35" s="16" customFormat="1" outlineLevel="1" x14ac:dyDescent="0.3">
      <c r="B99" s="289"/>
      <c r="C99" s="333" t="s">
        <v>565</v>
      </c>
      <c r="D99" s="352">
        <v>0</v>
      </c>
      <c r="E99" s="395">
        <v>0</v>
      </c>
      <c r="F99" s="391">
        <v>0</v>
      </c>
      <c r="G99" s="391">
        <v>0</v>
      </c>
      <c r="H99" s="288" t="str">
        <f>IFERROR(F99/D99-1,"")</f>
        <v/>
      </c>
      <c r="I99" s="393">
        <f>G99-E99</f>
        <v>0</v>
      </c>
      <c r="J99" s="52">
        <f>IFERROR(E99/E$115,"")</f>
        <v>0</v>
      </c>
      <c r="K99" s="391">
        <v>0</v>
      </c>
      <c r="L99" s="307">
        <f>K99-E99</f>
        <v>0</v>
      </c>
      <c r="M99" s="280" t="str">
        <f>IFERROR(L99/$I99,"")</f>
        <v/>
      </c>
      <c r="N99" s="391">
        <v>0</v>
      </c>
      <c r="O99" s="307">
        <f>N99-E99</f>
        <v>0</v>
      </c>
      <c r="P99" s="280" t="str">
        <f>IFERROR(O99/$I99,"")</f>
        <v/>
      </c>
      <c r="Q99" s="390">
        <v>0</v>
      </c>
      <c r="R99" s="307">
        <f>Q99-E99</f>
        <v>0</v>
      </c>
      <c r="S99" s="280" t="str">
        <f>IFERROR(R99/$I99,"")</f>
        <v/>
      </c>
      <c r="T99" s="55"/>
      <c r="U99" s="281">
        <f>SUM(E99,L99,O99,R99)</f>
        <v>0</v>
      </c>
      <c r="V99" s="356">
        <f>U99/$U$115</f>
        <v>0</v>
      </c>
      <c r="W99" s="288" t="str">
        <f>IFERROR(U99/E99,"")</f>
        <v/>
      </c>
      <c r="X99" s="389" t="str">
        <f>IFERROR(U99/F99,"")</f>
        <v/>
      </c>
      <c r="Y99" s="352"/>
      <c r="Z99" s="395">
        <v>0</v>
      </c>
      <c r="AA99" s="307">
        <f>Z99-SUM(R99,O99,L99)-E99</f>
        <v>0</v>
      </c>
      <c r="AB99" s="280" t="str">
        <f>IFERROR(AA99/I99,"")</f>
        <v/>
      </c>
      <c r="AC99" s="280" t="str">
        <f>IFERROR(AA99/E99,"")</f>
        <v/>
      </c>
      <c r="AD99" s="401" t="str">
        <f>IFERROR(AA99/U99,"")</f>
        <v/>
      </c>
      <c r="AE99" s="279">
        <f>IFERROR(AD99*V99,0%)</f>
        <v>0</v>
      </c>
      <c r="AF99" s="278">
        <f>IFERROR((G99-E99)/E99,0%)</f>
        <v>0</v>
      </c>
      <c r="AG99" s="277">
        <f>IFERROR(AF99*J99,0%)</f>
        <v>0</v>
      </c>
      <c r="AH99" s="276" t="b">
        <f>ROUND((G99-E99),0)=ROUND(SUM(L99,O99,R99,AA99),0)</f>
        <v>1</v>
      </c>
      <c r="AI99" s="21"/>
    </row>
    <row r="100" spans="2:35" s="16" customFormat="1" outlineLevel="1" x14ac:dyDescent="0.3">
      <c r="B100" s="289"/>
      <c r="C100" s="333" t="s">
        <v>564</v>
      </c>
      <c r="D100" s="352">
        <v>0</v>
      </c>
      <c r="E100" s="395">
        <v>0</v>
      </c>
      <c r="F100" s="391">
        <v>0</v>
      </c>
      <c r="G100" s="391">
        <v>0</v>
      </c>
      <c r="H100" s="288" t="str">
        <f>IFERROR(F100/D100-1,"")</f>
        <v/>
      </c>
      <c r="I100" s="393">
        <f>G100-E100</f>
        <v>0</v>
      </c>
      <c r="J100" s="52">
        <f>IFERROR(E100/E$115,"")</f>
        <v>0</v>
      </c>
      <c r="K100" s="391">
        <v>0</v>
      </c>
      <c r="L100" s="307">
        <f>K100-E100</f>
        <v>0</v>
      </c>
      <c r="M100" s="280" t="str">
        <f>IFERROR(L100/$I100,"")</f>
        <v/>
      </c>
      <c r="N100" s="391">
        <v>0</v>
      </c>
      <c r="O100" s="307">
        <f>N100-E100</f>
        <v>0</v>
      </c>
      <c r="P100" s="280" t="str">
        <f>IFERROR(O100/$I100,"")</f>
        <v/>
      </c>
      <c r="Q100" s="390">
        <v>0</v>
      </c>
      <c r="R100" s="307">
        <f>Q100-E100</f>
        <v>0</v>
      </c>
      <c r="S100" s="280" t="str">
        <f>IFERROR(R100/$I100,"")</f>
        <v/>
      </c>
      <c r="T100" s="55"/>
      <c r="U100" s="281">
        <f>SUM(E100,L100,O100,R100)</f>
        <v>0</v>
      </c>
      <c r="V100" s="356">
        <f>U100/$U$115</f>
        <v>0</v>
      </c>
      <c r="W100" s="288" t="str">
        <f>IFERROR(U100/E100,"")</f>
        <v/>
      </c>
      <c r="X100" s="389" t="str">
        <f>IFERROR(U100/F100,"")</f>
        <v/>
      </c>
      <c r="Y100" s="352"/>
      <c r="Z100" s="395">
        <v>0</v>
      </c>
      <c r="AA100" s="307">
        <f>Z100-SUM(R100,O100,L100)-E100</f>
        <v>0</v>
      </c>
      <c r="AB100" s="280" t="str">
        <f>IFERROR(AA100/I100,"")</f>
        <v/>
      </c>
      <c r="AC100" s="280" t="str">
        <f>IFERROR(AA100/E100,"")</f>
        <v/>
      </c>
      <c r="AD100" s="401" t="str">
        <f>IFERROR(AA100/U100,"")</f>
        <v/>
      </c>
      <c r="AE100" s="279">
        <f>IFERROR(AD100*V100,0%)</f>
        <v>0</v>
      </c>
      <c r="AF100" s="278">
        <f>IFERROR((G100-E100)/E100,0%)</f>
        <v>0</v>
      </c>
      <c r="AG100" s="277">
        <f>IFERROR(AF100*J100,0%)</f>
        <v>0</v>
      </c>
      <c r="AH100" s="276" t="b">
        <f>ROUND((G100-E100),0)=ROUND(SUM(L100,O100,R100,AA100),0)</f>
        <v>1</v>
      </c>
      <c r="AI100" s="21"/>
    </row>
    <row r="101" spans="2:35" s="16" customFormat="1" outlineLevel="1" x14ac:dyDescent="0.3">
      <c r="B101" s="289"/>
      <c r="C101" s="330" t="s">
        <v>77</v>
      </c>
      <c r="D101" s="324">
        <f>SUM(D102:D106)</f>
        <v>250000</v>
      </c>
      <c r="E101" s="327">
        <f>SUM(E102:E106)</f>
        <v>250000</v>
      </c>
      <c r="F101" s="327">
        <f>SUM(F102:F106)</f>
        <v>256250</v>
      </c>
      <c r="G101" s="327">
        <f>SUM(G102:G106)</f>
        <v>259774.99999999997</v>
      </c>
      <c r="H101" s="329">
        <f>IFERROR(F101/D101-1,"")</f>
        <v>2.4999999999999911E-2</v>
      </c>
      <c r="I101" s="324">
        <f>G101-E101</f>
        <v>9774.9999999999709</v>
      </c>
      <c r="J101" s="407">
        <f>IFERROR(E101/E$115,"")</f>
        <v>4.595588235294118E-2</v>
      </c>
      <c r="K101" s="324">
        <f>SUM(K102:K106)</f>
        <v>257275</v>
      </c>
      <c r="L101" s="404">
        <f>K101-E101</f>
        <v>7275</v>
      </c>
      <c r="M101" s="326">
        <f>IFERROR(L101/$I101,"")</f>
        <v>0.74424552429667745</v>
      </c>
      <c r="N101" s="324">
        <f>SUM(N102:N106)</f>
        <v>250000</v>
      </c>
      <c r="O101" s="404">
        <f>N101-E101</f>
        <v>0</v>
      </c>
      <c r="P101" s="326">
        <f>IFERROR(O101/$I101,"")</f>
        <v>0</v>
      </c>
      <c r="Q101" s="404">
        <f>SUM(Q102:Q106)</f>
        <v>252500</v>
      </c>
      <c r="R101" s="406">
        <f>Q101-E101</f>
        <v>2500</v>
      </c>
      <c r="S101" s="326">
        <f>IFERROR(R101/$I101,"")</f>
        <v>0.25575447570332555</v>
      </c>
      <c r="T101" s="325"/>
      <c r="U101" s="324">
        <f>SUM(U102:U106)</f>
        <v>259774.99999999997</v>
      </c>
      <c r="V101" s="323">
        <f>U101/$U$115</f>
        <v>4.533703510886735E-2</v>
      </c>
      <c r="W101" s="322">
        <f>IFERROR(U101/E101,"")</f>
        <v>1.0390999999999999</v>
      </c>
      <c r="X101" s="322">
        <f>IFERROR(U101/F101,"")</f>
        <v>1.0137560975609754</v>
      </c>
      <c r="Y101" s="405"/>
      <c r="Z101" s="319">
        <f>SUM(Z102:Z106)</f>
        <v>259774.99999999997</v>
      </c>
      <c r="AA101" s="404">
        <f>SUM(AA102:AA106)</f>
        <v>0</v>
      </c>
      <c r="AB101" s="326">
        <f>IFERROR(AA101/I101,"")</f>
        <v>0</v>
      </c>
      <c r="AC101" s="326">
        <f>IFERROR(AA101/E101,"")</f>
        <v>0</v>
      </c>
      <c r="AD101" s="403">
        <f>IFERROR(AA101/U101,"")</f>
        <v>0</v>
      </c>
      <c r="AE101" s="402">
        <f>IFERROR(AD101*V101,0%)</f>
        <v>0</v>
      </c>
      <c r="AF101" s="314">
        <f>IFERROR((G101-E101)/E101,0%)</f>
        <v>3.9099999999999885E-2</v>
      </c>
      <c r="AG101" s="313">
        <f>IFERROR(AF101*J101,0%)</f>
        <v>1.7968749999999949E-3</v>
      </c>
      <c r="AH101" s="312" t="b">
        <f>ROUND((G101-E101),0)=ROUND(SUM(L101,O101,R101,AA101),0)</f>
        <v>1</v>
      </c>
      <c r="AI101" s="21"/>
    </row>
    <row r="102" spans="2:35" s="16" customFormat="1" outlineLevel="1" x14ac:dyDescent="0.3">
      <c r="B102" s="289"/>
      <c r="C102" s="308" t="s">
        <v>563</v>
      </c>
      <c r="D102" s="352">
        <v>150000</v>
      </c>
      <c r="E102" s="395">
        <v>150000</v>
      </c>
      <c r="F102" s="391">
        <v>153750</v>
      </c>
      <c r="G102" s="352">
        <v>153750</v>
      </c>
      <c r="H102" s="394">
        <f>IFERROR(F102/D102-1,"")</f>
        <v>2.4999999999999911E-2</v>
      </c>
      <c r="I102" s="393">
        <f>G102-E102</f>
        <v>3750</v>
      </c>
      <c r="J102" s="52">
        <f>IFERROR(E102/E$115,"")</f>
        <v>2.7573529411764705E-2</v>
      </c>
      <c r="K102" s="391">
        <v>153750</v>
      </c>
      <c r="L102" s="307">
        <f>K102-E102</f>
        <v>3750</v>
      </c>
      <c r="M102" s="280">
        <f>IFERROR(L102/$I102,"")</f>
        <v>1</v>
      </c>
      <c r="N102" s="391">
        <v>150000</v>
      </c>
      <c r="O102" s="307">
        <f>N102-E102</f>
        <v>0</v>
      </c>
      <c r="P102" s="280">
        <f>IFERROR(O102/$I102,"")</f>
        <v>0</v>
      </c>
      <c r="Q102" s="390">
        <v>150000</v>
      </c>
      <c r="R102" s="307">
        <f>Q102-E102</f>
        <v>0</v>
      </c>
      <c r="S102" s="280">
        <f>IFERROR(R102/$I102,"")</f>
        <v>0</v>
      </c>
      <c r="T102" s="55"/>
      <c r="U102" s="281">
        <f>SUM(E102,L102,O102,R102)</f>
        <v>153750</v>
      </c>
      <c r="V102" s="356">
        <f>U102/$U$115</f>
        <v>2.6833102292323573E-2</v>
      </c>
      <c r="W102" s="288">
        <f>IFERROR(U102/E102,"")</f>
        <v>1.0249999999999999</v>
      </c>
      <c r="X102" s="389">
        <f>IFERROR(U102/F102,"")</f>
        <v>1</v>
      </c>
      <c r="Y102" s="352"/>
      <c r="Z102" s="388">
        <v>153750</v>
      </c>
      <c r="AA102" s="307">
        <f>Z102-SUM(R102,O102,L102)-E102</f>
        <v>0</v>
      </c>
      <c r="AB102" s="280">
        <f>IFERROR(AA102/I102,"")</f>
        <v>0</v>
      </c>
      <c r="AC102" s="280">
        <f>IFERROR(AA102/E102,"")</f>
        <v>0</v>
      </c>
      <c r="AD102" s="401">
        <f>IFERROR(AA102/U102,"")</f>
        <v>0</v>
      </c>
      <c r="AE102" s="279">
        <f>IFERROR(AD102*V102,0%)</f>
        <v>0</v>
      </c>
      <c r="AF102" s="278">
        <f>IFERROR((G102-E102)/E102,0%)</f>
        <v>2.5000000000000001E-2</v>
      </c>
      <c r="AG102" s="277">
        <f>IFERROR(AF102*J102,0%)</f>
        <v>6.8933823529411769E-4</v>
      </c>
      <c r="AH102" s="276" t="b">
        <f>ROUND((G102-E102),0)=ROUND(SUM(L102,O102,R102,AA102),0)</f>
        <v>1</v>
      </c>
      <c r="AI102" s="21"/>
    </row>
    <row r="103" spans="2:35" s="16" customFormat="1" ht="28.8" outlineLevel="1" x14ac:dyDescent="0.3">
      <c r="B103" s="289"/>
      <c r="C103" s="308" t="s">
        <v>562</v>
      </c>
      <c r="D103" s="352">
        <v>100000</v>
      </c>
      <c r="E103" s="395">
        <v>100000</v>
      </c>
      <c r="F103" s="391">
        <v>102499.99999999999</v>
      </c>
      <c r="G103" s="352">
        <v>106024.99999999997</v>
      </c>
      <c r="H103" s="394">
        <f>IFERROR(F103/D103-1,"")</f>
        <v>2.4999999999999911E-2</v>
      </c>
      <c r="I103" s="393">
        <f>G103-E103</f>
        <v>6024.9999999999709</v>
      </c>
      <c r="J103" s="52">
        <f>IFERROR(E103/E$115,"")</f>
        <v>1.8382352941176471E-2</v>
      </c>
      <c r="K103" s="391">
        <v>103524.99999999999</v>
      </c>
      <c r="L103" s="307">
        <f>K103-E103</f>
        <v>3524.9999999999854</v>
      </c>
      <c r="M103" s="280">
        <f>IFERROR(L103/$I103,"")</f>
        <v>0.58506224066390078</v>
      </c>
      <c r="N103" s="391">
        <v>100000</v>
      </c>
      <c r="O103" s="307">
        <f>N103-E103</f>
        <v>0</v>
      </c>
      <c r="P103" s="280">
        <f>IFERROR(O103/$I103,"")</f>
        <v>0</v>
      </c>
      <c r="Q103" s="390">
        <v>102499.99999999999</v>
      </c>
      <c r="R103" s="307">
        <f>Q103-E103</f>
        <v>2499.9999999999854</v>
      </c>
      <c r="S103" s="280">
        <f>IFERROR(R103/$I103,"")</f>
        <v>0.41493775933609917</v>
      </c>
      <c r="T103" s="55" t="s">
        <v>589</v>
      </c>
      <c r="U103" s="281">
        <f>SUM(E103,L103,O103,R103)</f>
        <v>106024.99999999997</v>
      </c>
      <c r="V103" s="356">
        <f>U103/$U$115</f>
        <v>1.8503932816543778E-2</v>
      </c>
      <c r="W103" s="288">
        <f>IFERROR(U103/E103,"")</f>
        <v>1.0602499999999997</v>
      </c>
      <c r="X103" s="389">
        <f>IFERROR(U103/F103,"")</f>
        <v>1.0343902439024388</v>
      </c>
      <c r="Y103" s="352" t="s">
        <v>588</v>
      </c>
      <c r="Z103" s="388">
        <v>106024.99999999997</v>
      </c>
      <c r="AA103" s="307">
        <f>Z103-SUM(R103,O103,L103)-E103</f>
        <v>0</v>
      </c>
      <c r="AB103" s="280">
        <f>IFERROR(AA103/I103,"")</f>
        <v>0</v>
      </c>
      <c r="AC103" s="280">
        <f>IFERROR(AA103/E103,"")</f>
        <v>0</v>
      </c>
      <c r="AD103" s="401">
        <f>IFERROR(AA103/U103,"")</f>
        <v>0</v>
      </c>
      <c r="AE103" s="279">
        <f>IFERROR(AD103*V103,0%)</f>
        <v>0</v>
      </c>
      <c r="AF103" s="278">
        <f>IFERROR((G103-E103)/E103,0%)</f>
        <v>6.0249999999999707E-2</v>
      </c>
      <c r="AG103" s="277">
        <f>IFERROR(AF103*J103,0%)</f>
        <v>1.1075367647058771E-3</v>
      </c>
      <c r="AH103" s="276" t="b">
        <f>ROUND((G103-E103),0)=ROUND(SUM(L103,O103,R103,AA103),0)</f>
        <v>1</v>
      </c>
      <c r="AI103" s="21"/>
    </row>
    <row r="104" spans="2:35" s="16" customFormat="1" outlineLevel="1" x14ac:dyDescent="0.3">
      <c r="B104" s="289"/>
      <c r="C104" s="308" t="s">
        <v>561</v>
      </c>
      <c r="D104" s="352">
        <v>0</v>
      </c>
      <c r="E104" s="395">
        <v>0</v>
      </c>
      <c r="F104" s="391">
        <v>0</v>
      </c>
      <c r="G104" s="352">
        <v>0</v>
      </c>
      <c r="H104" s="394" t="str">
        <f>IFERROR(F104/D104-1,"")</f>
        <v/>
      </c>
      <c r="I104" s="393">
        <f>G104-E104</f>
        <v>0</v>
      </c>
      <c r="J104" s="52">
        <f>IFERROR(E104/E$115,"")</f>
        <v>0</v>
      </c>
      <c r="K104" s="391">
        <v>0</v>
      </c>
      <c r="L104" s="307">
        <f>K104-E104</f>
        <v>0</v>
      </c>
      <c r="M104" s="280" t="str">
        <f>IFERROR(L104/$I104,"")</f>
        <v/>
      </c>
      <c r="N104" s="391">
        <v>0</v>
      </c>
      <c r="O104" s="307">
        <f>N104-E104</f>
        <v>0</v>
      </c>
      <c r="P104" s="280" t="str">
        <f>IFERROR(O104/$I104,"")</f>
        <v/>
      </c>
      <c r="Q104" s="390">
        <v>0</v>
      </c>
      <c r="R104" s="307">
        <f>Q104-E104</f>
        <v>0</v>
      </c>
      <c r="S104" s="280" t="str">
        <f>IFERROR(R104/$I104,"")</f>
        <v/>
      </c>
      <c r="T104" s="55"/>
      <c r="U104" s="281">
        <f>SUM(E104,L104,O104,R104)</f>
        <v>0</v>
      </c>
      <c r="V104" s="356">
        <f>U104/$U$115</f>
        <v>0</v>
      </c>
      <c r="W104" s="288" t="str">
        <f>IFERROR(U104/E104,"")</f>
        <v/>
      </c>
      <c r="X104" s="389" t="str">
        <f>IFERROR(U104/F104,"")</f>
        <v/>
      </c>
      <c r="Y104" s="352"/>
      <c r="Z104" s="388">
        <v>0</v>
      </c>
      <c r="AA104" s="307">
        <f>Z104-SUM(R104,O104,L104)-E104</f>
        <v>0</v>
      </c>
      <c r="AB104" s="280" t="str">
        <f>IFERROR(AA104/I104,"")</f>
        <v/>
      </c>
      <c r="AC104" s="280" t="str">
        <f>IFERROR(AA104/E104,"")</f>
        <v/>
      </c>
      <c r="AD104" s="401" t="str">
        <f>IFERROR(AA104/U104,"")</f>
        <v/>
      </c>
      <c r="AE104" s="279">
        <f>IFERROR(AD104*V104,0%)</f>
        <v>0</v>
      </c>
      <c r="AF104" s="278">
        <f>IFERROR((G104-E104)/E104,0%)</f>
        <v>0</v>
      </c>
      <c r="AG104" s="277">
        <f>IFERROR(AF104*J104,0%)</f>
        <v>0</v>
      </c>
      <c r="AH104" s="276" t="b">
        <f>ROUND((G104-E104),0)=ROUND(SUM(L104,O104,R104,AA104),0)</f>
        <v>1</v>
      </c>
      <c r="AI104" s="21"/>
    </row>
    <row r="105" spans="2:35" s="16" customFormat="1" outlineLevel="1" x14ac:dyDescent="0.3">
      <c r="B105" s="289"/>
      <c r="C105" s="308" t="s">
        <v>561</v>
      </c>
      <c r="D105" s="352">
        <v>0</v>
      </c>
      <c r="E105" s="395">
        <v>0</v>
      </c>
      <c r="F105" s="391">
        <v>0</v>
      </c>
      <c r="G105" s="352">
        <v>0</v>
      </c>
      <c r="H105" s="394" t="str">
        <f>IFERROR(F105/D105-1,"")</f>
        <v/>
      </c>
      <c r="I105" s="393">
        <f>G105-E105</f>
        <v>0</v>
      </c>
      <c r="J105" s="52">
        <f>IFERROR(E105/E$115,"")</f>
        <v>0</v>
      </c>
      <c r="K105" s="391">
        <v>0</v>
      </c>
      <c r="L105" s="307">
        <f>K105-E105</f>
        <v>0</v>
      </c>
      <c r="M105" s="280" t="str">
        <f>IFERROR(L105/$I105,"")</f>
        <v/>
      </c>
      <c r="N105" s="391">
        <v>0</v>
      </c>
      <c r="O105" s="307">
        <f>N105-E105</f>
        <v>0</v>
      </c>
      <c r="P105" s="280" t="str">
        <f>IFERROR(O105/$I105,"")</f>
        <v/>
      </c>
      <c r="Q105" s="390">
        <v>0</v>
      </c>
      <c r="R105" s="307">
        <f>Q105-E105</f>
        <v>0</v>
      </c>
      <c r="S105" s="280" t="str">
        <f>IFERROR(R105/$I105,"")</f>
        <v/>
      </c>
      <c r="T105" s="55"/>
      <c r="U105" s="281">
        <f>SUM(E105,L105,O105,R105)</f>
        <v>0</v>
      </c>
      <c r="V105" s="356">
        <f>U105/$U$115</f>
        <v>0</v>
      </c>
      <c r="W105" s="288" t="str">
        <f>IFERROR(U105/E105,"")</f>
        <v/>
      </c>
      <c r="X105" s="389" t="str">
        <f>IFERROR(U105/F105,"")</f>
        <v/>
      </c>
      <c r="Y105" s="352"/>
      <c r="Z105" s="388">
        <v>0</v>
      </c>
      <c r="AA105" s="307">
        <f>Z105-SUM(R105,O105,L105)-E105</f>
        <v>0</v>
      </c>
      <c r="AB105" s="280" t="str">
        <f>IFERROR(AA105/I105,"")</f>
        <v/>
      </c>
      <c r="AC105" s="280" t="str">
        <f>IFERROR(AA105/E105,"")</f>
        <v/>
      </c>
      <c r="AD105" s="401" t="str">
        <f>IFERROR(AA105/U105,"")</f>
        <v/>
      </c>
      <c r="AE105" s="279">
        <f>IFERROR(AD105*V105,0%)</f>
        <v>0</v>
      </c>
      <c r="AF105" s="278">
        <f>IFERROR((G105-E105)/E105,0%)</f>
        <v>0</v>
      </c>
      <c r="AG105" s="277">
        <f>IFERROR(AF105*J105,0%)</f>
        <v>0</v>
      </c>
      <c r="AH105" s="276" t="b">
        <f>ROUND((G105-E105),0)=ROUND(SUM(L105,O105,R105,AA105),0)</f>
        <v>1</v>
      </c>
      <c r="AI105" s="21"/>
    </row>
    <row r="106" spans="2:35" s="16" customFormat="1" outlineLevel="1" x14ac:dyDescent="0.3">
      <c r="B106" s="289"/>
      <c r="C106" s="308" t="s">
        <v>561</v>
      </c>
      <c r="D106" s="352">
        <v>0</v>
      </c>
      <c r="E106" s="395">
        <v>0</v>
      </c>
      <c r="F106" s="391">
        <v>0</v>
      </c>
      <c r="G106" s="352">
        <v>0</v>
      </c>
      <c r="H106" s="394" t="str">
        <f>IFERROR(F106/D106-1,"")</f>
        <v/>
      </c>
      <c r="I106" s="393">
        <f>G106-E106</f>
        <v>0</v>
      </c>
      <c r="J106" s="52">
        <f>IFERROR(E106/E$115,"")</f>
        <v>0</v>
      </c>
      <c r="K106" s="391">
        <v>0</v>
      </c>
      <c r="L106" s="307">
        <f>K106-E106</f>
        <v>0</v>
      </c>
      <c r="M106" s="280" t="str">
        <f>IFERROR(L106/$I106,"")</f>
        <v/>
      </c>
      <c r="N106" s="391">
        <v>0</v>
      </c>
      <c r="O106" s="307">
        <f>N106-E106</f>
        <v>0</v>
      </c>
      <c r="P106" s="280" t="str">
        <f>IFERROR(O106/$I106,"")</f>
        <v/>
      </c>
      <c r="Q106" s="390">
        <v>0</v>
      </c>
      <c r="R106" s="307">
        <f>Q106-E106</f>
        <v>0</v>
      </c>
      <c r="S106" s="280" t="str">
        <f>IFERROR(R106/$I106,"")</f>
        <v/>
      </c>
      <c r="T106" s="55"/>
      <c r="U106" s="281">
        <f>SUM(E106,L106,O106,R106)</f>
        <v>0</v>
      </c>
      <c r="V106" s="356">
        <f>U106/$U$115</f>
        <v>0</v>
      </c>
      <c r="W106" s="288" t="str">
        <f>IFERROR(U106/E106,"")</f>
        <v/>
      </c>
      <c r="X106" s="389" t="str">
        <f>IFERROR(U106/F106,"")</f>
        <v/>
      </c>
      <c r="Y106" s="352"/>
      <c r="Z106" s="388">
        <v>0</v>
      </c>
      <c r="AA106" s="307">
        <f>Z106-SUM(R106,O106,L106)-E106</f>
        <v>0</v>
      </c>
      <c r="AB106" s="280" t="str">
        <f>IFERROR(AA106/I106,"")</f>
        <v/>
      </c>
      <c r="AC106" s="280" t="str">
        <f>IFERROR(AA106/E106,"")</f>
        <v/>
      </c>
      <c r="AD106" s="400" t="str">
        <f>IFERROR(AA106/U106,"")</f>
        <v/>
      </c>
      <c r="AE106" s="279">
        <f>IFERROR(AD106*V106,0%)</f>
        <v>0</v>
      </c>
      <c r="AF106" s="278">
        <f>IFERROR((G106-E106)/E106,0%)</f>
        <v>0</v>
      </c>
      <c r="AG106" s="277">
        <f>IFERROR(AF106*J106,0%)</f>
        <v>0</v>
      </c>
      <c r="AH106" s="276" t="b">
        <f>ROUND((G106-E106),0)=ROUND(SUM(L106,O106,R106,AA106),0)</f>
        <v>1</v>
      </c>
      <c r="AI106" s="21"/>
    </row>
    <row r="107" spans="2:35" s="16" customFormat="1" outlineLevel="1" x14ac:dyDescent="0.3">
      <c r="B107" s="289"/>
      <c r="C107" s="42" t="s">
        <v>560</v>
      </c>
      <c r="D107" s="350">
        <v>100000</v>
      </c>
      <c r="E107" s="380">
        <v>100000</v>
      </c>
      <c r="F107" s="384">
        <v>102499.99999999999</v>
      </c>
      <c r="G107" s="350">
        <v>107049.99999999997</v>
      </c>
      <c r="H107" s="386">
        <f>IFERROR(F107/D107-1,"")</f>
        <v>2.4999999999999911E-2</v>
      </c>
      <c r="I107" s="383">
        <f>G107-E107</f>
        <v>7049.9999999999709</v>
      </c>
      <c r="J107" s="22">
        <f>IFERROR(E107/E$115,"")</f>
        <v>1.8382352941176471E-2</v>
      </c>
      <c r="K107" s="384">
        <v>102499.99999999999</v>
      </c>
      <c r="L107" s="303">
        <f>K107-E107</f>
        <v>2499.9999999999854</v>
      </c>
      <c r="M107" s="266">
        <f>IFERROR(L107/$I107,"")</f>
        <v>0.35460992907801359</v>
      </c>
      <c r="N107" s="384">
        <v>104549.99999999999</v>
      </c>
      <c r="O107" s="307">
        <f>N107-E107</f>
        <v>4549.9999999999854</v>
      </c>
      <c r="P107" s="266">
        <f>IFERROR(O107/$I107,"")</f>
        <v>0.64539007092198641</v>
      </c>
      <c r="Q107" s="399">
        <v>100000</v>
      </c>
      <c r="R107" s="307">
        <f>Q107-E107</f>
        <v>0</v>
      </c>
      <c r="S107" s="266">
        <f>IFERROR(R107/$I107,"")</f>
        <v>0</v>
      </c>
      <c r="T107" s="55"/>
      <c r="U107" s="383">
        <f>SUM(E107,L107,O107,R107)</f>
        <v>107049.99999999997</v>
      </c>
      <c r="V107" s="382">
        <f>U107/$U$115</f>
        <v>1.8682820165159271E-2</v>
      </c>
      <c r="W107" s="305">
        <f>IFERROR(U107/E107,"")</f>
        <v>1.0704999999999998</v>
      </c>
      <c r="X107" s="381">
        <f>IFERROR(U107/F107,"")</f>
        <v>1.0443902439024388</v>
      </c>
      <c r="Y107" s="350" t="s">
        <v>587</v>
      </c>
      <c r="Z107" s="398">
        <v>107049.99999999997</v>
      </c>
      <c r="AA107" s="303">
        <f>Z107-SUM(R107,O107,L107)-E107</f>
        <v>0</v>
      </c>
      <c r="AB107" s="266">
        <f>IFERROR(AA107/I107,"")</f>
        <v>0</v>
      </c>
      <c r="AC107" s="266">
        <f>IFERROR(AA107/E107,"")</f>
        <v>0</v>
      </c>
      <c r="AD107" s="264">
        <f>IFERROR(AA107/U107,"")</f>
        <v>0</v>
      </c>
      <c r="AE107" s="265">
        <f>IFERROR(AD107*V107,0%)</f>
        <v>0</v>
      </c>
      <c r="AF107" s="264">
        <f>IFERROR((G107-E107)/E107,0%)</f>
        <v>7.0499999999999716E-2</v>
      </c>
      <c r="AG107" s="263">
        <f>IFERROR(AF107*J107,0%)</f>
        <v>1.2959558823529361E-3</v>
      </c>
      <c r="AH107" s="299" t="b">
        <f>ROUND((G107-E107),0)=ROUND(SUM(L107,O107,R107,AA107),0)</f>
        <v>1</v>
      </c>
      <c r="AI107" s="21"/>
    </row>
    <row r="108" spans="2:35" s="16" customFormat="1" outlineLevel="1" x14ac:dyDescent="0.3">
      <c r="B108" s="289"/>
      <c r="C108" s="42" t="s">
        <v>303</v>
      </c>
      <c r="D108" s="257">
        <f>SUM(D109:D113)</f>
        <v>90000</v>
      </c>
      <c r="E108" s="295">
        <f>SUM(E109:E113)</f>
        <v>90000</v>
      </c>
      <c r="F108" s="295">
        <f>SUM(F109:F113)</f>
        <v>92249.999999999985</v>
      </c>
      <c r="G108" s="295">
        <f>SUM(G109:G113)</f>
        <v>93500</v>
      </c>
      <c r="H108" s="251">
        <f>IFERROR(F108/D108-1,"")</f>
        <v>2.4999999999999911E-2</v>
      </c>
      <c r="I108" s="257">
        <f>G108-E108</f>
        <v>3500</v>
      </c>
      <c r="J108" s="259">
        <f>IFERROR(E108/E$115,"")</f>
        <v>1.6544117647058824E-2</v>
      </c>
      <c r="K108" s="257">
        <f>SUM(K109:K113)</f>
        <v>91000</v>
      </c>
      <c r="L108" s="257">
        <f>SUM(L109:L113)</f>
        <v>1000</v>
      </c>
      <c r="M108" s="294">
        <f>IFERROR(L108/$I108,"")</f>
        <v>0.2857142857142857</v>
      </c>
      <c r="N108" s="257">
        <f>SUM(N109:N113)</f>
        <v>91500</v>
      </c>
      <c r="O108" s="257">
        <f>SUM(O109:O113)</f>
        <v>1500</v>
      </c>
      <c r="P108" s="294">
        <f>IFERROR(O108/$I108,"")</f>
        <v>0.42857142857142855</v>
      </c>
      <c r="Q108" s="257">
        <f>SUM(Q109:Q113)</f>
        <v>91000</v>
      </c>
      <c r="R108" s="257">
        <f>SUM(R109:R113)</f>
        <v>1000</v>
      </c>
      <c r="S108" s="294">
        <f>IFERROR(R108/$I108,"")</f>
        <v>0.2857142857142857</v>
      </c>
      <c r="T108" s="55"/>
      <c r="U108" s="257">
        <f>SUM(U109:U113)</f>
        <v>93500</v>
      </c>
      <c r="V108" s="256">
        <f>U108/$U$115</f>
        <v>1.6318016678583767E-2</v>
      </c>
      <c r="W108" s="322">
        <f>IFERROR(U108/E108,"")</f>
        <v>1.038888888888889</v>
      </c>
      <c r="X108" s="251">
        <f>IFERROR(U108/F108,"")</f>
        <v>1.0135501355013552</v>
      </c>
      <c r="Y108" s="350"/>
      <c r="Z108" s="397">
        <f>SUM(Z109:Z113)</f>
        <v>93500</v>
      </c>
      <c r="AA108" s="396">
        <f>SUM(AA109:AA113)</f>
        <v>0</v>
      </c>
      <c r="AB108" s="293">
        <f>IFERROR(AA108/I108,"")</f>
        <v>0</v>
      </c>
      <c r="AC108" s="293">
        <f>IFERROR(AA108/E108,"")</f>
        <v>0</v>
      </c>
      <c r="AD108" s="250">
        <f>IFERROR(AA108/U108,"")</f>
        <v>0</v>
      </c>
      <c r="AE108" s="292">
        <f>IFERROR(AD108*V108,0%)</f>
        <v>0</v>
      </c>
      <c r="AF108" s="291">
        <f>IFERROR((G108-E108)/E108,0%)</f>
        <v>3.888888888888889E-2</v>
      </c>
      <c r="AG108" s="290">
        <f>IFERROR(AF108*J108,0%)</f>
        <v>6.4338235294117646E-4</v>
      </c>
      <c r="AH108" s="246" t="b">
        <f>ROUND((G108-E108),0)=ROUND(SUM(L108,O108,R108,AA108),0)</f>
        <v>1</v>
      </c>
      <c r="AI108" s="21"/>
    </row>
    <row r="109" spans="2:35" s="16" customFormat="1" outlineLevel="1" x14ac:dyDescent="0.3">
      <c r="B109" s="289"/>
      <c r="C109" s="308" t="s">
        <v>559</v>
      </c>
      <c r="D109" s="352">
        <v>60000</v>
      </c>
      <c r="E109" s="395">
        <v>60000</v>
      </c>
      <c r="F109" s="391">
        <v>61499.999999999993</v>
      </c>
      <c r="G109" s="352">
        <v>62500</v>
      </c>
      <c r="H109" s="394">
        <f>IFERROR(F109/D109-1,"")</f>
        <v>2.4999999999999911E-2</v>
      </c>
      <c r="I109" s="393">
        <f>G109-E109</f>
        <v>2500</v>
      </c>
      <c r="J109" s="52">
        <f>IFERROR(E109/E$115,"")</f>
        <v>1.1029411764705883E-2</v>
      </c>
      <c r="K109" s="391">
        <v>60500</v>
      </c>
      <c r="L109" s="307">
        <f>K109-E109</f>
        <v>500</v>
      </c>
      <c r="M109" s="280">
        <f>IFERROR(L109/$I109,"")</f>
        <v>0.2</v>
      </c>
      <c r="N109" s="391">
        <v>61000</v>
      </c>
      <c r="O109" s="307">
        <f>N109-E109</f>
        <v>1000</v>
      </c>
      <c r="P109" s="280">
        <f>IFERROR(O109/$I109,"")</f>
        <v>0.4</v>
      </c>
      <c r="Q109" s="390">
        <v>61000</v>
      </c>
      <c r="R109" s="307">
        <f>Q109-E109</f>
        <v>1000</v>
      </c>
      <c r="S109" s="280">
        <f>IFERROR(R109/$I109,"")</f>
        <v>0.4</v>
      </c>
      <c r="T109" s="55"/>
      <c r="U109" s="281">
        <f>SUM(E109,L109,O109,R109)</f>
        <v>62500</v>
      </c>
      <c r="V109" s="356">
        <f>U109/$U$115</f>
        <v>1.0907765159481128E-2</v>
      </c>
      <c r="W109" s="288">
        <f>IFERROR(U109/E109,"")</f>
        <v>1.0416666666666667</v>
      </c>
      <c r="X109" s="389">
        <f>IFERROR(U109/F109,"")</f>
        <v>1.0162601626016261</v>
      </c>
      <c r="Y109" s="352"/>
      <c r="Z109" s="388">
        <v>62500</v>
      </c>
      <c r="AA109" s="307">
        <f>Z109-SUM(R109,O109,L109)-E109</f>
        <v>0</v>
      </c>
      <c r="AB109" s="280">
        <f>IFERROR(AA109/I109,"")</f>
        <v>0</v>
      </c>
      <c r="AC109" s="280">
        <f>IFERROR(AA109/E109,"")</f>
        <v>0</v>
      </c>
      <c r="AD109" s="278">
        <f>IFERROR(AA109/U109,"")</f>
        <v>0</v>
      </c>
      <c r="AE109" s="279">
        <f>IFERROR(AD109*V109,0%)</f>
        <v>0</v>
      </c>
      <c r="AF109" s="278">
        <f>IFERROR((G109-E109)/E109,0%)</f>
        <v>4.1666666666666664E-2</v>
      </c>
      <c r="AG109" s="277">
        <f>IFERROR(AF109*J109,0%)</f>
        <v>4.5955882352941176E-4</v>
      </c>
      <c r="AH109" s="276" t="b">
        <f>ROUND((G109-E109),0)=ROUND(SUM(L109,O109,R109,AA109),0)</f>
        <v>1</v>
      </c>
      <c r="AI109" s="21"/>
    </row>
    <row r="110" spans="2:35" s="16" customFormat="1" outlineLevel="1" x14ac:dyDescent="0.3">
      <c r="B110" s="289"/>
      <c r="C110" s="308" t="s">
        <v>558</v>
      </c>
      <c r="D110" s="352">
        <v>30000</v>
      </c>
      <c r="E110" s="395">
        <v>30000</v>
      </c>
      <c r="F110" s="391">
        <v>30749.999999999996</v>
      </c>
      <c r="G110" s="352">
        <v>31000</v>
      </c>
      <c r="H110" s="394">
        <f>IFERROR(F110/D110-1,"")</f>
        <v>2.4999999999999911E-2</v>
      </c>
      <c r="I110" s="393">
        <f>G110-E110</f>
        <v>1000</v>
      </c>
      <c r="J110" s="52">
        <f>IFERROR(E110/E$115,"")</f>
        <v>5.5147058823529415E-3</v>
      </c>
      <c r="K110" s="391">
        <v>30500</v>
      </c>
      <c r="L110" s="307">
        <f>K110-E110</f>
        <v>500</v>
      </c>
      <c r="M110" s="280">
        <f>IFERROR(L110/$I110,"")</f>
        <v>0.5</v>
      </c>
      <c r="N110" s="391">
        <v>30500</v>
      </c>
      <c r="O110" s="307">
        <f>N110-E110</f>
        <v>500</v>
      </c>
      <c r="P110" s="280">
        <f>IFERROR(O110/$I110,"")</f>
        <v>0.5</v>
      </c>
      <c r="Q110" s="390">
        <v>30000</v>
      </c>
      <c r="R110" s="307">
        <f>Q110-E110</f>
        <v>0</v>
      </c>
      <c r="S110" s="280">
        <f>IFERROR(R110/$I110,"")</f>
        <v>0</v>
      </c>
      <c r="T110" s="55"/>
      <c r="U110" s="281">
        <f>SUM(E110,L110,O110,R110)</f>
        <v>31000</v>
      </c>
      <c r="V110" s="356">
        <f>U110/$U$115</f>
        <v>5.4102515191026389E-3</v>
      </c>
      <c r="W110" s="288">
        <f>IFERROR(U110/E110,"")</f>
        <v>1.0333333333333334</v>
      </c>
      <c r="X110" s="389">
        <f>IFERROR(U110/F110,"")</f>
        <v>1.0081300813008132</v>
      </c>
      <c r="Y110" s="352"/>
      <c r="Z110" s="388">
        <v>31000</v>
      </c>
      <c r="AA110" s="307">
        <f>Z110-SUM(R110,O110,L110)-E110</f>
        <v>0</v>
      </c>
      <c r="AB110" s="280">
        <f>IFERROR(AA110/I110,"")</f>
        <v>0</v>
      </c>
      <c r="AC110" s="280">
        <f>IFERROR(AA110/E110,"")</f>
        <v>0</v>
      </c>
      <c r="AD110" s="278">
        <f>IFERROR(AA110/U110,"")</f>
        <v>0</v>
      </c>
      <c r="AE110" s="279">
        <f>IFERROR(AD110*V110,0%)</f>
        <v>0</v>
      </c>
      <c r="AF110" s="278">
        <f>IFERROR((G110-E110)/E110,0%)</f>
        <v>3.3333333333333333E-2</v>
      </c>
      <c r="AG110" s="277">
        <f>IFERROR(AF110*J110,0%)</f>
        <v>1.838235294117647E-4</v>
      </c>
      <c r="AH110" s="276" t="b">
        <f>ROUND((G110-E110),0)=ROUND(SUM(L110,O110,R110,AA110),0)</f>
        <v>1</v>
      </c>
      <c r="AI110" s="21"/>
    </row>
    <row r="111" spans="2:35" s="16" customFormat="1" outlineLevel="1" x14ac:dyDescent="0.3">
      <c r="B111" s="289"/>
      <c r="C111" s="308" t="s">
        <v>557</v>
      </c>
      <c r="D111" s="352">
        <v>0</v>
      </c>
      <c r="E111" s="395">
        <v>0</v>
      </c>
      <c r="F111" s="391">
        <v>0</v>
      </c>
      <c r="G111" s="352">
        <v>0</v>
      </c>
      <c r="H111" s="394" t="str">
        <f>IFERROR(F111/D111-1,"")</f>
        <v/>
      </c>
      <c r="I111" s="393">
        <f>G111-E111</f>
        <v>0</v>
      </c>
      <c r="J111" s="52">
        <f>IFERROR(E111/E$115,"")</f>
        <v>0</v>
      </c>
      <c r="K111" s="392">
        <v>0</v>
      </c>
      <c r="L111" s="307">
        <f>K111-E111</f>
        <v>0</v>
      </c>
      <c r="M111" s="280" t="str">
        <f>IFERROR(L111/$I111,"")</f>
        <v/>
      </c>
      <c r="N111" s="391">
        <v>0</v>
      </c>
      <c r="O111" s="307">
        <f>N111-E111</f>
        <v>0</v>
      </c>
      <c r="P111" s="280" t="str">
        <f>IFERROR(O111/$I111,"")</f>
        <v/>
      </c>
      <c r="Q111" s="390">
        <v>0</v>
      </c>
      <c r="R111" s="307">
        <f>Q111-E111</f>
        <v>0</v>
      </c>
      <c r="S111" s="280" t="str">
        <f>IFERROR(R111/$I111,"")</f>
        <v/>
      </c>
      <c r="T111" s="55"/>
      <c r="U111" s="281">
        <f>SUM(E111,L111,O111,R111)</f>
        <v>0</v>
      </c>
      <c r="V111" s="356">
        <f>U111/$U$115</f>
        <v>0</v>
      </c>
      <c r="W111" s="288" t="str">
        <f>IFERROR(U111/E111,"")</f>
        <v/>
      </c>
      <c r="X111" s="389" t="str">
        <f>IFERROR(U111/F111,"")</f>
        <v/>
      </c>
      <c r="Y111" s="352"/>
      <c r="Z111" s="388">
        <v>0</v>
      </c>
      <c r="AA111" s="307">
        <f>Z111-SUM(R111,O111,L111)-E111</f>
        <v>0</v>
      </c>
      <c r="AB111" s="280" t="str">
        <f>IFERROR(AA111/I111,"")</f>
        <v/>
      </c>
      <c r="AC111" s="280" t="str">
        <f>IFERROR(AA111/E111,"")</f>
        <v/>
      </c>
      <c r="AD111" s="278" t="str">
        <f>IFERROR(AA111/U111,"")</f>
        <v/>
      </c>
      <c r="AE111" s="279">
        <f>IFERROR(AD111*V111,0%)</f>
        <v>0</v>
      </c>
      <c r="AF111" s="278">
        <f>IFERROR((G111-E111)/E111,0%)</f>
        <v>0</v>
      </c>
      <c r="AG111" s="277">
        <f>IFERROR(AF111*J111,0%)</f>
        <v>0</v>
      </c>
      <c r="AH111" s="276" t="b">
        <f>ROUND((G111-E111),0)=ROUND(SUM(L111,O111,R111,AA111),0)</f>
        <v>1</v>
      </c>
      <c r="AI111" s="21"/>
    </row>
    <row r="112" spans="2:35" s="16" customFormat="1" outlineLevel="1" x14ac:dyDescent="0.3">
      <c r="B112" s="289"/>
      <c r="C112" s="308" t="s">
        <v>557</v>
      </c>
      <c r="D112" s="352">
        <v>0</v>
      </c>
      <c r="E112" s="395">
        <v>0</v>
      </c>
      <c r="F112" s="391">
        <v>0</v>
      </c>
      <c r="G112" s="352">
        <v>0</v>
      </c>
      <c r="H112" s="394" t="str">
        <f>IFERROR(F112/D112-1,"")</f>
        <v/>
      </c>
      <c r="I112" s="393">
        <f>G112-E112</f>
        <v>0</v>
      </c>
      <c r="J112" s="52">
        <f>IFERROR(E112/E$115,"")</f>
        <v>0</v>
      </c>
      <c r="K112" s="392">
        <v>0</v>
      </c>
      <c r="L112" s="307">
        <f>K112-E112</f>
        <v>0</v>
      </c>
      <c r="M112" s="280" t="str">
        <f>IFERROR(L112/$I112,"")</f>
        <v/>
      </c>
      <c r="N112" s="391">
        <v>0</v>
      </c>
      <c r="O112" s="307">
        <f>N112-E112</f>
        <v>0</v>
      </c>
      <c r="P112" s="280" t="str">
        <f>IFERROR(O112/$I112,"")</f>
        <v/>
      </c>
      <c r="Q112" s="390">
        <v>0</v>
      </c>
      <c r="R112" s="307">
        <f>Q112-E112</f>
        <v>0</v>
      </c>
      <c r="S112" s="280" t="str">
        <f>IFERROR(R112/$I112,"")</f>
        <v/>
      </c>
      <c r="T112" s="55"/>
      <c r="U112" s="281">
        <f>SUM(E112,L112,O112,R112)</f>
        <v>0</v>
      </c>
      <c r="V112" s="356">
        <f>U112/$U$115</f>
        <v>0</v>
      </c>
      <c r="W112" s="288" t="str">
        <f>IFERROR(U112/E112,"")</f>
        <v/>
      </c>
      <c r="X112" s="389" t="str">
        <f>IFERROR(U112/F112,"")</f>
        <v/>
      </c>
      <c r="Y112" s="352"/>
      <c r="Z112" s="388">
        <v>0</v>
      </c>
      <c r="AA112" s="307">
        <f>Z112-SUM(R112,O112,L112)-E112</f>
        <v>0</v>
      </c>
      <c r="AB112" s="280" t="str">
        <f>IFERROR(AA112/I112,"")</f>
        <v/>
      </c>
      <c r="AC112" s="280" t="str">
        <f>IFERROR(AA112/E112,"")</f>
        <v/>
      </c>
      <c r="AD112" s="278" t="str">
        <f>IFERROR(AA112/U112,"")</f>
        <v/>
      </c>
      <c r="AE112" s="279">
        <f>IFERROR(AD112*V112,0%)</f>
        <v>0</v>
      </c>
      <c r="AF112" s="278">
        <f>IFERROR((G112-E112)/E112,0%)</f>
        <v>0</v>
      </c>
      <c r="AG112" s="277">
        <f>IFERROR(AF112*J112,0%)</f>
        <v>0</v>
      </c>
      <c r="AH112" s="276" t="b">
        <f>ROUND((G112-E112),0)=ROUND(SUM(L112,O112,R112,AA112),0)</f>
        <v>1</v>
      </c>
      <c r="AI112" s="21"/>
    </row>
    <row r="113" spans="2:36" s="16" customFormat="1" outlineLevel="1" x14ac:dyDescent="0.3">
      <c r="B113" s="289"/>
      <c r="C113" s="308" t="s">
        <v>557</v>
      </c>
      <c r="D113" s="352">
        <v>0</v>
      </c>
      <c r="E113" s="395">
        <v>0</v>
      </c>
      <c r="F113" s="391">
        <v>0</v>
      </c>
      <c r="G113" s="352">
        <v>0</v>
      </c>
      <c r="H113" s="394" t="str">
        <f>IFERROR(F113/D113-1,"")</f>
        <v/>
      </c>
      <c r="I113" s="393">
        <f>G113-E113</f>
        <v>0</v>
      </c>
      <c r="J113" s="52">
        <f>IFERROR(E113/E$115,"")</f>
        <v>0</v>
      </c>
      <c r="K113" s="392">
        <v>0</v>
      </c>
      <c r="L113" s="307">
        <f>K113-E113</f>
        <v>0</v>
      </c>
      <c r="M113" s="280" t="str">
        <f>IFERROR(L113/$I113,"")</f>
        <v/>
      </c>
      <c r="N113" s="391">
        <v>0</v>
      </c>
      <c r="O113" s="307">
        <f>N113-E113</f>
        <v>0</v>
      </c>
      <c r="P113" s="280" t="str">
        <f>IFERROR(O113/$I113,"")</f>
        <v/>
      </c>
      <c r="Q113" s="390">
        <v>0</v>
      </c>
      <c r="R113" s="307">
        <f>Q113-E113</f>
        <v>0</v>
      </c>
      <c r="S113" s="280" t="str">
        <f>IFERROR(R113/$I113,"")</f>
        <v/>
      </c>
      <c r="T113" s="55"/>
      <c r="U113" s="281">
        <f>SUM(E113,L113,O113,R113)</f>
        <v>0</v>
      </c>
      <c r="V113" s="356">
        <f>U113/$U$115</f>
        <v>0</v>
      </c>
      <c r="W113" s="288" t="str">
        <f>IFERROR(U113/E113,"")</f>
        <v/>
      </c>
      <c r="X113" s="389" t="str">
        <f>IFERROR(U113/F113,"")</f>
        <v/>
      </c>
      <c r="Y113" s="352"/>
      <c r="Z113" s="388">
        <v>0</v>
      </c>
      <c r="AA113" s="307">
        <f>Z113-SUM(R113,O113,L113)-E113</f>
        <v>0</v>
      </c>
      <c r="AB113" s="280" t="str">
        <f>IFERROR(AA113/I113,"")</f>
        <v/>
      </c>
      <c r="AC113" s="280" t="str">
        <f>IFERROR(AA113/E113,"")</f>
        <v/>
      </c>
      <c r="AD113" s="278" t="str">
        <f>IFERROR(AA113/U113,"")</f>
        <v/>
      </c>
      <c r="AE113" s="279">
        <f>IFERROR(AD113*V113,0%)</f>
        <v>0</v>
      </c>
      <c r="AF113" s="278">
        <f>IFERROR((G113-E113)/E113,0%)</f>
        <v>0</v>
      </c>
      <c r="AG113" s="277">
        <f>IFERROR(AF113*J113,0%)</f>
        <v>0</v>
      </c>
      <c r="AH113" s="276" t="b">
        <f>ROUND((G113-E113),0)=ROUND(SUM(L113,O113,R113,AA113),0)</f>
        <v>1</v>
      </c>
      <c r="AI113" s="21"/>
    </row>
    <row r="114" spans="2:36" s="16" customFormat="1" x14ac:dyDescent="0.3">
      <c r="B114" s="275"/>
      <c r="C114" s="23" t="s">
        <v>556</v>
      </c>
      <c r="D114" s="345">
        <v>-500000</v>
      </c>
      <c r="E114" s="387">
        <v>-500000</v>
      </c>
      <c r="F114" s="345">
        <v>-512499.99999999994</v>
      </c>
      <c r="G114" s="345">
        <v>-525000</v>
      </c>
      <c r="H114" s="386">
        <f>IFERROR(F114/D114-1,"")</f>
        <v>2.4999999999999911E-2</v>
      </c>
      <c r="I114" s="383">
        <f>G114-E114</f>
        <v>-25000</v>
      </c>
      <c r="J114" s="385">
        <f>IFERROR(E114/E$115,"")</f>
        <v>-9.1911764705882359E-2</v>
      </c>
      <c r="K114" s="384">
        <v>-520000</v>
      </c>
      <c r="L114" s="303">
        <f>K114-E114</f>
        <v>-20000</v>
      </c>
      <c r="M114" s="266">
        <f>IFERROR(L114/$I114,"")</f>
        <v>0.8</v>
      </c>
      <c r="N114" s="384">
        <v>-505000</v>
      </c>
      <c r="O114" s="303">
        <f>N114-E114</f>
        <v>-5000</v>
      </c>
      <c r="P114" s="266">
        <f>IFERROR(O114/$I114,"")</f>
        <v>0.2</v>
      </c>
      <c r="Q114" s="384">
        <v>-500000</v>
      </c>
      <c r="R114" s="303">
        <f>Q114-E114</f>
        <v>0</v>
      </c>
      <c r="S114" s="266">
        <f>IFERROR(R114/$I114,"")</f>
        <v>0</v>
      </c>
      <c r="T114" s="45"/>
      <c r="U114" s="383">
        <f>SUM(E114,L114,O114,R114)</f>
        <v>-525000</v>
      </c>
      <c r="V114" s="382">
        <f>U114/$U$115</f>
        <v>-9.1625227339641471E-2</v>
      </c>
      <c r="W114" s="305">
        <f>IFERROR(U114/E114,"")</f>
        <v>1.05</v>
      </c>
      <c r="X114" s="381">
        <f>IFERROR(U114/F114,"")</f>
        <v>1.024390243902439</v>
      </c>
      <c r="Y114" s="350"/>
      <c r="Z114" s="380">
        <v>-525000</v>
      </c>
      <c r="AA114" s="303">
        <f>Z114-SUM(R114,O114,L114)-E114</f>
        <v>0</v>
      </c>
      <c r="AB114" s="266">
        <f>IFERROR(AA114/I114,"")</f>
        <v>0</v>
      </c>
      <c r="AC114" s="266">
        <f>IFERROR(AA114/E114,"")</f>
        <v>0</v>
      </c>
      <c r="AD114" s="264">
        <f>IFERROR(AA114/U114,"")</f>
        <v>0</v>
      </c>
      <c r="AE114" s="265">
        <f>IFERROR(AD114*V114,0%)</f>
        <v>0</v>
      </c>
      <c r="AF114" s="264">
        <f>IFERROR((G114-E114)/E114,0%)</f>
        <v>0.05</v>
      </c>
      <c r="AG114" s="263">
        <f>IFERROR(AF114*J114,0%)</f>
        <v>-4.5955882352941178E-3</v>
      </c>
      <c r="AH114" s="262" t="b">
        <f>ROUND((G114-E114),0)=ROUND(SUM(L114,O114,R114,AA114),0)</f>
        <v>1</v>
      </c>
      <c r="AI114" s="21"/>
      <c r="AJ114" s="21"/>
    </row>
    <row r="115" spans="2:36" s="16" customFormat="1" x14ac:dyDescent="0.3">
      <c r="C115" s="21" t="s">
        <v>89</v>
      </c>
      <c r="D115" s="257">
        <f>SUM(D83,D89,D93,D94,D95,D107,D108,D114)</f>
        <v>5440000</v>
      </c>
      <c r="E115" s="379">
        <f>SUM(E83,E89,E93,E94,E95,E107,E108,E114)</f>
        <v>5440000</v>
      </c>
      <c r="F115" s="295">
        <f>SUM(F83,F89,F93,F94,F95,F107,F108,F114)</f>
        <v>5576000</v>
      </c>
      <c r="G115" s="295">
        <f>SUM(G83,G89,G93,G94,G95,G107,G108,G114)</f>
        <v>5872303.1774999993</v>
      </c>
      <c r="H115" s="251">
        <f>IFERROR(F115/D115-1,"")</f>
        <v>2.4999999999999911E-2</v>
      </c>
      <c r="I115" s="257">
        <f>SUM(I83,I89,I93,I94,I95,I107,I108,I114)</f>
        <v>432303.17749999918</v>
      </c>
      <c r="J115" s="259">
        <f>IFERROR(E115/E$115,"")</f>
        <v>1</v>
      </c>
      <c r="K115" s="257">
        <f>SUM(K83,K89,K93,K94,K95,K107,K108,K114)</f>
        <v>5547775</v>
      </c>
      <c r="L115" s="257">
        <f>SUM(L83,L89,L93,L94,L95,L107,L108,L114)</f>
        <v>107774.99999999987</v>
      </c>
      <c r="M115" s="251">
        <f>IFERROR(L115/$I115,"")</f>
        <v>0.24930420503328379</v>
      </c>
      <c r="N115" s="257">
        <f>SUM(N83,N89,N93,N94,N95,N107,N108,N114)</f>
        <v>5549612.5</v>
      </c>
      <c r="O115" s="257">
        <f>SUM(O83,O89,O93,O94,O95,O107,O108,O114)</f>
        <v>109612.49999999987</v>
      </c>
      <c r="P115" s="251">
        <f>IFERROR(O115/$I115,"")</f>
        <v>0.25355469426314842</v>
      </c>
      <c r="Q115" s="257">
        <f>SUM(Q83,Q89,Q93,Q94,Q95,Q107,Q108,Q114)</f>
        <v>5512475.5</v>
      </c>
      <c r="R115" s="257">
        <f>SUM(R83,R89,R93,R94,R95,R107,R108,R114)</f>
        <v>72475.5</v>
      </c>
      <c r="S115" s="247">
        <f>IFERROR(R115/$I115,"")</f>
        <v>0.16764970458723991</v>
      </c>
      <c r="T115" s="258"/>
      <c r="U115" s="257">
        <f>SUM(U83,U89,U93,U94,U95,U107,U108,U114)</f>
        <v>5729862.9999999991</v>
      </c>
      <c r="V115" s="256">
        <f>SUM(V83,V89,V93,V94,V95,V107,V108,V114)</f>
        <v>0.99999999999999967</v>
      </c>
      <c r="W115" s="255">
        <f>IFERROR(U115/E115,"")</f>
        <v>1.0532836397058822</v>
      </c>
      <c r="X115" s="254">
        <f>IFERROR(U115/F115,"")</f>
        <v>1.0275937948350069</v>
      </c>
      <c r="Y115" s="345"/>
      <c r="Z115" s="378">
        <f>SUM(Z83,Z89,Z93,Z94,Z95,Z107,Z108,Z114)</f>
        <v>5872303.1774999993</v>
      </c>
      <c r="AA115" s="257">
        <f>SUM(AA83,AA89,AA93,AA94,AA95,AA107,AA108,AA114)</f>
        <v>142440.17750000017</v>
      </c>
      <c r="AB115" s="251">
        <f>IFERROR(AA115/I115,"")</f>
        <v>0.3294913961163296</v>
      </c>
      <c r="AC115" s="251">
        <f>IFERROR(AA115/E115,"")</f>
        <v>2.6183856158088267E-2</v>
      </c>
      <c r="AD115" s="250">
        <f>IFERROR(AA115/U115,"")</f>
        <v>2.4859264087116952E-2</v>
      </c>
      <c r="AE115" s="249">
        <f>SUM(AE83,AE89,AE93,AE94,AE95,AE107,AE108,AE114)</f>
        <v>2.4859264087116952E-2</v>
      </c>
      <c r="AF115" s="337">
        <f>IFERROR((G115-E115)/E115,0%)</f>
        <v>7.9467495863970464E-2</v>
      </c>
      <c r="AG115" s="377">
        <f>SUM(AG83,AG89,AG93,AG94,AG95,AG107,AG108,AG114)</f>
        <v>7.9467495863970464E-2</v>
      </c>
      <c r="AH115" s="376"/>
      <c r="AI115" s="245"/>
      <c r="AJ115" s="245"/>
    </row>
    <row r="116" spans="2:36" s="16" customFormat="1" x14ac:dyDescent="0.3">
      <c r="C116" s="21"/>
      <c r="D116" s="21"/>
      <c r="E116" s="48"/>
      <c r="F116" s="48"/>
      <c r="G116" s="48"/>
      <c r="H116" s="48"/>
      <c r="I116" s="48"/>
      <c r="J116" s="49"/>
      <c r="K116" s="48"/>
      <c r="L116" s="48"/>
      <c r="M116" s="48"/>
      <c r="N116" s="48"/>
      <c r="O116" s="48"/>
      <c r="P116" s="48"/>
      <c r="Q116" s="48"/>
      <c r="R116" s="48"/>
      <c r="S116" s="48"/>
      <c r="T116" s="48"/>
      <c r="U116" s="48"/>
      <c r="V116" s="48"/>
      <c r="W116" s="48"/>
      <c r="X116" s="48"/>
      <c r="Y116" s="48"/>
      <c r="Z116" s="48"/>
      <c r="AA116" s="374" t="b">
        <f>ROUND(Z115-SUM(R115,O115,L115)-E115,0)=ROUND(AA115,0)</f>
        <v>1</v>
      </c>
      <c r="AB116" s="428"/>
      <c r="AC116" s="428"/>
      <c r="AD116" s="19" t="str">
        <f>IFERROR(AA116/U116,"")</f>
        <v/>
      </c>
      <c r="AE116" s="19"/>
      <c r="AF116" s="18"/>
      <c r="AG116" s="18"/>
      <c r="AH116" s="48"/>
    </row>
    <row r="117" spans="2:36" s="16" customFormat="1" ht="28.8" x14ac:dyDescent="0.3">
      <c r="C117" s="427" t="s">
        <v>586</v>
      </c>
      <c r="D117" s="427"/>
      <c r="E117" s="50"/>
      <c r="F117" s="50"/>
      <c r="G117" s="50"/>
      <c r="H117" s="50"/>
      <c r="I117" s="50"/>
      <c r="J117" s="50"/>
      <c r="K117" s="371" t="s">
        <v>581</v>
      </c>
      <c r="L117" s="371"/>
      <c r="M117" s="371"/>
      <c r="N117" s="371"/>
      <c r="O117" s="370"/>
      <c r="P117" s="369"/>
      <c r="Q117" s="50"/>
      <c r="R117" s="50"/>
      <c r="S117" s="50"/>
      <c r="T117" s="50"/>
      <c r="U117" s="50"/>
      <c r="V117" s="50"/>
      <c r="W117" s="50"/>
      <c r="X117" s="50"/>
      <c r="Y117" s="50"/>
      <c r="Z117" s="50"/>
      <c r="AA117" s="50"/>
      <c r="AB117" s="50"/>
      <c r="AC117" s="50"/>
      <c r="AD117" s="50"/>
      <c r="AE117" s="50"/>
      <c r="AF117" s="50"/>
      <c r="AG117" s="50"/>
      <c r="AH117" s="50"/>
    </row>
    <row r="118" spans="2:36" s="16" customFormat="1" ht="58.95" customHeight="1" x14ac:dyDescent="0.35">
      <c r="C118" s="426" t="s">
        <v>585</v>
      </c>
      <c r="D118" s="232"/>
      <c r="E118" s="365" t="s">
        <v>66</v>
      </c>
      <c r="F118" s="231" t="s">
        <v>580</v>
      </c>
      <c r="G118" s="231" t="s">
        <v>528</v>
      </c>
      <c r="H118" s="231" t="s">
        <v>526</v>
      </c>
      <c r="I118" s="231" t="s">
        <v>67</v>
      </c>
      <c r="J118" s="367" t="s">
        <v>59</v>
      </c>
      <c r="K118" s="231" t="s">
        <v>522</v>
      </c>
      <c r="L118" s="231" t="s">
        <v>520</v>
      </c>
      <c r="M118" s="232" t="s">
        <v>579</v>
      </c>
      <c r="N118" s="231" t="s">
        <v>518</v>
      </c>
      <c r="O118" s="231" t="s">
        <v>516</v>
      </c>
      <c r="P118" s="232" t="s">
        <v>578</v>
      </c>
      <c r="Q118" s="231" t="s">
        <v>514</v>
      </c>
      <c r="R118" s="231" t="s">
        <v>512</v>
      </c>
      <c r="S118" s="231" t="s">
        <v>577</v>
      </c>
      <c r="T118" s="231" t="s">
        <v>510</v>
      </c>
      <c r="U118" s="231" t="s">
        <v>508</v>
      </c>
      <c r="V118" s="231" t="s">
        <v>506</v>
      </c>
      <c r="W118" s="231" t="s">
        <v>504</v>
      </c>
      <c r="X118" s="231" t="s">
        <v>502</v>
      </c>
      <c r="Y118" s="366" t="s">
        <v>500</v>
      </c>
      <c r="Z118" s="231" t="s">
        <v>498</v>
      </c>
      <c r="AA118" s="232" t="s">
        <v>545</v>
      </c>
      <c r="AB118" s="232" t="s">
        <v>494</v>
      </c>
      <c r="AC118" s="231" t="s">
        <v>544</v>
      </c>
      <c r="AD118" s="231" t="s">
        <v>490</v>
      </c>
      <c r="AE118" s="365" t="s">
        <v>488</v>
      </c>
      <c r="AF118" s="231" t="s">
        <v>486</v>
      </c>
      <c r="AG118" s="365" t="s">
        <v>484</v>
      </c>
      <c r="AH118" s="232" t="s">
        <v>482</v>
      </c>
    </row>
    <row r="119" spans="2:36" s="16" customFormat="1" x14ac:dyDescent="0.3">
      <c r="B119" s="342" t="s">
        <v>576</v>
      </c>
      <c r="C119" s="47" t="s">
        <v>68</v>
      </c>
      <c r="D119" s="257">
        <f>SUM(D120:D124)</f>
        <v>1250000</v>
      </c>
      <c r="E119" s="378">
        <f>SUM(E120:E124)</f>
        <v>1250000</v>
      </c>
      <c r="F119" s="257">
        <f>SUM(F120:F124)</f>
        <v>1281250</v>
      </c>
      <c r="G119" s="257">
        <f>SUM(G120:G124)</f>
        <v>1313000</v>
      </c>
      <c r="H119" s="247">
        <f>IFERROR(F119/D119-1,"")</f>
        <v>2.4999999999999911E-2</v>
      </c>
      <c r="I119" s="257">
        <f>SUM(I120:I124)</f>
        <v>50000</v>
      </c>
      <c r="J119" s="259">
        <f>IFERROR(E119/E$151,"")</f>
        <v>0.37313432835820898</v>
      </c>
      <c r="K119" s="410">
        <f>SUM(K120:K124)</f>
        <v>1312500</v>
      </c>
      <c r="L119" s="410">
        <f>K119-E119</f>
        <v>62500</v>
      </c>
      <c r="M119" s="339">
        <f>IFERROR(L119/$I119,"")</f>
        <v>1.25</v>
      </c>
      <c r="N119" s="410">
        <f>SUM(N120:N124)</f>
        <v>1237500</v>
      </c>
      <c r="O119" s="410">
        <f>N119-E119</f>
        <v>-12500</v>
      </c>
      <c r="P119" s="339">
        <f>IFERROR(O119/$I119,"")</f>
        <v>-0.25</v>
      </c>
      <c r="Q119" s="410">
        <f>SUM(Q120:Q124)</f>
        <v>1250000</v>
      </c>
      <c r="R119" s="422">
        <f>Q119-E119</f>
        <v>0</v>
      </c>
      <c r="S119" s="293">
        <f>IFERROR(R119/$I119,"")</f>
        <v>0</v>
      </c>
      <c r="T119" s="425"/>
      <c r="U119" s="257">
        <f>SUM(U120:U124)</f>
        <v>1300000</v>
      </c>
      <c r="V119" s="256">
        <f>U119/$U$151</f>
        <v>0.37485582468281431</v>
      </c>
      <c r="W119" s="247">
        <f>IFERROR(U119/E119,"")</f>
        <v>1.04</v>
      </c>
      <c r="X119" s="251">
        <f>IFERROR(U119/F119,"")</f>
        <v>1.0146341463414634</v>
      </c>
      <c r="Y119" s="424"/>
      <c r="Z119" s="421">
        <f>SUM(Z120:Z124)</f>
        <v>1313000.01</v>
      </c>
      <c r="AA119" s="410">
        <f>SUM(AA120:AA124)</f>
        <v>13000.010000000009</v>
      </c>
      <c r="AB119" s="339">
        <f>IFERROR(AA119/I119,"")</f>
        <v>0.26000020000000018</v>
      </c>
      <c r="AC119" s="354">
        <f>IFERROR(AA119/E119,"")</f>
        <v>1.0400008000000007E-2</v>
      </c>
      <c r="AD119" s="250">
        <f>IFERROR(AA119/U119,"")</f>
        <v>1.0000007692307699E-2</v>
      </c>
      <c r="AE119" s="292">
        <f>IFERROR(AD119*V119,0%)</f>
        <v>3.7485611303344894E-3</v>
      </c>
      <c r="AF119" s="250">
        <f>IFERROR((U119-E119)/E119,0%)</f>
        <v>0.04</v>
      </c>
      <c r="AG119" s="336">
        <f>IFERROR(AF119*J119,0%)</f>
        <v>1.492537313432836E-2</v>
      </c>
      <c r="AH119" s="246" t="b">
        <f>ROUND((G119-E119),0)=ROUND(SUM(L119,O119,R119,AA119),0)</f>
        <v>1</v>
      </c>
      <c r="AI119" s="21"/>
      <c r="AJ119" s="21"/>
    </row>
    <row r="120" spans="2:36" s="16" customFormat="1" x14ac:dyDescent="0.3">
      <c r="B120" s="289"/>
      <c r="C120" s="43" t="s">
        <v>584</v>
      </c>
      <c r="D120" s="352">
        <v>625000</v>
      </c>
      <c r="E120" s="395">
        <v>625000</v>
      </c>
      <c r="F120" s="391">
        <v>640625</v>
      </c>
      <c r="G120" s="391">
        <v>656500</v>
      </c>
      <c r="H120" s="288">
        <f>IFERROR(F120/D120-1,"")</f>
        <v>2.4999999999999911E-2</v>
      </c>
      <c r="I120" s="281">
        <f>U120-E120</f>
        <v>25000</v>
      </c>
      <c r="J120" s="52">
        <f>IFERROR(E120/E$151,"")</f>
        <v>0.18656716417910449</v>
      </c>
      <c r="K120" s="392">
        <v>656250</v>
      </c>
      <c r="L120" s="419">
        <f>K120-E120</f>
        <v>31250</v>
      </c>
      <c r="M120" s="351">
        <f>IFERROR(L120/$I120,"")</f>
        <v>1.25</v>
      </c>
      <c r="N120" s="392">
        <v>618750</v>
      </c>
      <c r="O120" s="419">
        <f>N120-E120</f>
        <v>-6250</v>
      </c>
      <c r="P120" s="351">
        <f>IFERROR(O120/$I120,"")</f>
        <v>-0.25</v>
      </c>
      <c r="Q120" s="392">
        <v>625000</v>
      </c>
      <c r="R120" s="307">
        <f>Q120-E120</f>
        <v>0</v>
      </c>
      <c r="S120" s="266">
        <f>IFERROR(R120/N120,"")</f>
        <v>0</v>
      </c>
      <c r="T120" s="45"/>
      <c r="U120" s="281">
        <f>SUM(E120,L120,O120,R120)</f>
        <v>650000</v>
      </c>
      <c r="V120" s="356">
        <f>U120/$U$151</f>
        <v>0.18742791234140715</v>
      </c>
      <c r="W120" s="288">
        <f>IFERROR(U120/E120,"")</f>
        <v>1.04</v>
      </c>
      <c r="X120" s="288">
        <f>IFERROR(U120/F120,"")</f>
        <v>1.0146341463414634</v>
      </c>
      <c r="Y120" s="412"/>
      <c r="Z120" s="420">
        <v>656500</v>
      </c>
      <c r="AA120" s="419">
        <f>Z120-SUM(R120,O120,L120)-E120</f>
        <v>6500</v>
      </c>
      <c r="AB120" s="351">
        <f>IFERROR(AA120/I120,"")</f>
        <v>0.26</v>
      </c>
      <c r="AC120" s="351">
        <f>IFERROR(AA120/E120,"")</f>
        <v>1.04E-2</v>
      </c>
      <c r="AD120" s="278">
        <f>IFERROR(AA120/U120,"")</f>
        <v>0.01</v>
      </c>
      <c r="AE120" s="279">
        <f>IFERROR(AD120*V120,0%)</f>
        <v>1.8742791234140717E-3</v>
      </c>
      <c r="AF120" s="278">
        <f>IFERROR((U120-E120)/E120,0%)</f>
        <v>0.04</v>
      </c>
      <c r="AG120" s="277">
        <f>IFERROR(AF120*J120,0%)</f>
        <v>7.4626865671641798E-3</v>
      </c>
      <c r="AH120" s="276" t="b">
        <f>ROUND((G120-E120),0)=ROUND(SUM(L120,O120,R120,AA120),0)</f>
        <v>1</v>
      </c>
      <c r="AI120" s="21"/>
      <c r="AJ120" s="21"/>
    </row>
    <row r="121" spans="2:36" s="16" customFormat="1" x14ac:dyDescent="0.3">
      <c r="B121" s="289"/>
      <c r="C121" s="357" t="s">
        <v>583</v>
      </c>
      <c r="D121" s="352">
        <v>250000</v>
      </c>
      <c r="E121" s="395">
        <v>250000</v>
      </c>
      <c r="F121" s="391">
        <v>256249.99999999997</v>
      </c>
      <c r="G121" s="391">
        <v>262600</v>
      </c>
      <c r="H121" s="288">
        <f>IFERROR(F121/D121-1,"")</f>
        <v>2.4999999999999911E-2</v>
      </c>
      <c r="I121" s="281">
        <f>U121-E121</f>
        <v>10000</v>
      </c>
      <c r="J121" s="52">
        <f>IFERROR(E121/E$151,"")</f>
        <v>7.4626865671641784E-2</v>
      </c>
      <c r="K121" s="392">
        <v>262500</v>
      </c>
      <c r="L121" s="419">
        <f>K121-E121</f>
        <v>12500</v>
      </c>
      <c r="M121" s="351">
        <f>IFERROR(L121/$I121,"")</f>
        <v>1.25</v>
      </c>
      <c r="N121" s="392">
        <v>247500</v>
      </c>
      <c r="O121" s="419">
        <f>N121-E121</f>
        <v>-2500</v>
      </c>
      <c r="P121" s="351">
        <f>IFERROR(O121/$I121,"")</f>
        <v>-0.25</v>
      </c>
      <c r="Q121" s="392">
        <v>250000</v>
      </c>
      <c r="R121" s="307">
        <f>Q121-E121</f>
        <v>0</v>
      </c>
      <c r="S121" s="266">
        <f>IFERROR(R121/N121,"")</f>
        <v>0</v>
      </c>
      <c r="T121" s="45"/>
      <c r="U121" s="281">
        <f>SUM(E121,L121,O121,R121)</f>
        <v>260000</v>
      </c>
      <c r="V121" s="356">
        <f>U121/$U$151</f>
        <v>7.4971164936562862E-2</v>
      </c>
      <c r="W121" s="288">
        <f>IFERROR(U121/E121,"")</f>
        <v>1.04</v>
      </c>
      <c r="X121" s="288">
        <f>IFERROR(U121/F121,"")</f>
        <v>1.0146341463414634</v>
      </c>
      <c r="Y121" s="417"/>
      <c r="Z121" s="420">
        <v>262600</v>
      </c>
      <c r="AA121" s="419">
        <f>Z121-SUM(R121,O121,L121)-E121</f>
        <v>2600</v>
      </c>
      <c r="AB121" s="351">
        <f>IFERROR(AA121/I121,"")</f>
        <v>0.26</v>
      </c>
      <c r="AC121" s="351">
        <f>IFERROR(AA121/E121,"")</f>
        <v>1.04E-2</v>
      </c>
      <c r="AD121" s="278">
        <f>IFERROR(AA121/U121,"")</f>
        <v>0.01</v>
      </c>
      <c r="AE121" s="279">
        <f>IFERROR(AD121*V121,0%)</f>
        <v>7.4971164936562867E-4</v>
      </c>
      <c r="AF121" s="278">
        <f>IFERROR((U121-E121)/E121,0%)</f>
        <v>0.04</v>
      </c>
      <c r="AG121" s="277">
        <f>IFERROR(AF121*J121,0%)</f>
        <v>2.9850746268656712E-3</v>
      </c>
      <c r="AH121" s="276" t="b">
        <f>ROUND((G121-E121),0)=ROUND(SUM(L121,O121,R121,AA121),0)</f>
        <v>1</v>
      </c>
      <c r="AI121" s="21"/>
      <c r="AJ121" s="21"/>
    </row>
    <row r="122" spans="2:36" s="16" customFormat="1" x14ac:dyDescent="0.3">
      <c r="B122" s="289"/>
      <c r="C122" s="357" t="s">
        <v>573</v>
      </c>
      <c r="D122" s="352">
        <v>125000</v>
      </c>
      <c r="E122" s="395">
        <v>125000</v>
      </c>
      <c r="F122" s="391">
        <v>128124.99999999999</v>
      </c>
      <c r="G122" s="391">
        <v>131300</v>
      </c>
      <c r="H122" s="288">
        <f>IFERROR(F122/D122-1,"")</f>
        <v>2.4999999999999911E-2</v>
      </c>
      <c r="I122" s="281">
        <f>U122-E122</f>
        <v>5000</v>
      </c>
      <c r="J122" s="52">
        <f>IFERROR(E122/E$151,"")</f>
        <v>3.7313432835820892E-2</v>
      </c>
      <c r="K122" s="392">
        <v>131250</v>
      </c>
      <c r="L122" s="419">
        <f>K122-E122</f>
        <v>6250</v>
      </c>
      <c r="M122" s="351">
        <f>IFERROR(L122/$I122,"")</f>
        <v>1.25</v>
      </c>
      <c r="N122" s="392">
        <v>123750</v>
      </c>
      <c r="O122" s="419">
        <f>N122-E122</f>
        <v>-1250</v>
      </c>
      <c r="P122" s="351">
        <f>IFERROR(O122/$I122,"")</f>
        <v>-0.25</v>
      </c>
      <c r="Q122" s="392">
        <v>125000</v>
      </c>
      <c r="R122" s="307">
        <f>Q122-E122</f>
        <v>0</v>
      </c>
      <c r="S122" s="266">
        <f>IFERROR(R122/N122,"")</f>
        <v>0</v>
      </c>
      <c r="T122" s="45"/>
      <c r="U122" s="281">
        <f>SUM(E122,L122,O122,R122)</f>
        <v>130000</v>
      </c>
      <c r="V122" s="356">
        <f>U122/$U$151</f>
        <v>3.7485582468281431E-2</v>
      </c>
      <c r="W122" s="288">
        <f>IFERROR(U122/E122,"")</f>
        <v>1.04</v>
      </c>
      <c r="X122" s="288">
        <f>IFERROR(U122/F122,"")</f>
        <v>1.0146341463414634</v>
      </c>
      <c r="Y122" s="417"/>
      <c r="Z122" s="420">
        <v>131300</v>
      </c>
      <c r="AA122" s="419">
        <f>Z122-SUM(R122,O122,L122)-E122</f>
        <v>1300</v>
      </c>
      <c r="AB122" s="351">
        <f>IFERROR(AA122/I122,"")</f>
        <v>0.26</v>
      </c>
      <c r="AC122" s="351">
        <f>IFERROR(AA122/E122,"")</f>
        <v>1.04E-2</v>
      </c>
      <c r="AD122" s="278">
        <f>IFERROR(AA122/U122,"")</f>
        <v>0.01</v>
      </c>
      <c r="AE122" s="279">
        <f>IFERROR(AD122*V122,0%)</f>
        <v>3.7485582468281434E-4</v>
      </c>
      <c r="AF122" s="278">
        <f>IFERROR((U122-E122)/E122,0%)</f>
        <v>0.04</v>
      </c>
      <c r="AG122" s="277">
        <f>IFERROR(AF122*J122,0%)</f>
        <v>1.4925373134328356E-3</v>
      </c>
      <c r="AH122" s="276" t="b">
        <f>ROUND((G122-E122),0)=ROUND(SUM(L122,O122,R122,AA122),0)</f>
        <v>1</v>
      </c>
      <c r="AI122" s="21"/>
      <c r="AJ122" s="21"/>
    </row>
    <row r="123" spans="2:36" s="16" customFormat="1" x14ac:dyDescent="0.3">
      <c r="B123" s="289"/>
      <c r="C123" s="357" t="s">
        <v>582</v>
      </c>
      <c r="D123" s="352">
        <v>250000</v>
      </c>
      <c r="E123" s="395">
        <v>250000</v>
      </c>
      <c r="F123" s="391">
        <v>256249.99999999997</v>
      </c>
      <c r="G123" s="391">
        <v>262600</v>
      </c>
      <c r="H123" s="288">
        <f>IFERROR(F123/D123-1,"")</f>
        <v>2.4999999999999911E-2</v>
      </c>
      <c r="I123" s="281">
        <f>U123-E123</f>
        <v>10000</v>
      </c>
      <c r="J123" s="52">
        <f>IFERROR(E123/E$151,"")</f>
        <v>7.4626865671641784E-2</v>
      </c>
      <c r="K123" s="392">
        <v>262500</v>
      </c>
      <c r="L123" s="419">
        <f>K123-E123</f>
        <v>12500</v>
      </c>
      <c r="M123" s="351">
        <f>IFERROR(L123/$I123,"")</f>
        <v>1.25</v>
      </c>
      <c r="N123" s="392">
        <v>247500</v>
      </c>
      <c r="O123" s="419">
        <f>N123-E123</f>
        <v>-2500</v>
      </c>
      <c r="P123" s="351">
        <f>IFERROR(O123/$I123,"")</f>
        <v>-0.25</v>
      </c>
      <c r="Q123" s="392">
        <v>250000</v>
      </c>
      <c r="R123" s="307">
        <f>Q123-E123</f>
        <v>0</v>
      </c>
      <c r="S123" s="266">
        <f>IFERROR(R123/N123,"")</f>
        <v>0</v>
      </c>
      <c r="T123" s="45"/>
      <c r="U123" s="281">
        <f>SUM(E123,L123,O123,R123)</f>
        <v>260000</v>
      </c>
      <c r="V123" s="356">
        <f>U123/$U$151</f>
        <v>7.4971164936562862E-2</v>
      </c>
      <c r="W123" s="288">
        <f>IFERROR(U123/E123,"")</f>
        <v>1.04</v>
      </c>
      <c r="X123" s="288">
        <f>IFERROR(U123/F123,"")</f>
        <v>1.0146341463414634</v>
      </c>
      <c r="Y123" s="417"/>
      <c r="Z123" s="420">
        <v>262600.01</v>
      </c>
      <c r="AA123" s="419">
        <f>Z123-SUM(R123,O123,L123)-E123</f>
        <v>2600.0100000000093</v>
      </c>
      <c r="AB123" s="351">
        <f>IFERROR(AA123/I123,"")</f>
        <v>0.26000100000000093</v>
      </c>
      <c r="AC123" s="351">
        <f>IFERROR(AA123/E123,"")</f>
        <v>1.0400040000000037E-2</v>
      </c>
      <c r="AD123" s="278">
        <f>IFERROR(AA123/U123,"")</f>
        <v>1.0000038461538498E-2</v>
      </c>
      <c r="AE123" s="279">
        <f>IFERROR(AD123*V123,0%)</f>
        <v>7.4971453287197502E-4</v>
      </c>
      <c r="AF123" s="278">
        <f>IFERROR((U123-E123)/E123,0%)</f>
        <v>0.04</v>
      </c>
      <c r="AG123" s="277">
        <f>IFERROR(AF123*J123,0%)</f>
        <v>2.9850746268656712E-3</v>
      </c>
      <c r="AH123" s="276" t="b">
        <f>ROUND((G123-E123),0)=ROUND(SUM(L123,O123,R123,AA123),0)</f>
        <v>1</v>
      </c>
      <c r="AI123" s="21"/>
      <c r="AJ123" s="21"/>
    </row>
    <row r="124" spans="2:36" s="16" customFormat="1" x14ac:dyDescent="0.3">
      <c r="B124" s="289"/>
      <c r="C124" s="423" t="s">
        <v>82</v>
      </c>
      <c r="D124" s="352">
        <v>0</v>
      </c>
      <c r="E124" s="395">
        <v>0</v>
      </c>
      <c r="F124" s="391">
        <v>0</v>
      </c>
      <c r="G124" s="391">
        <v>0</v>
      </c>
      <c r="H124" s="288" t="str">
        <f>IFERROR(F124/D124-1,"")</f>
        <v/>
      </c>
      <c r="I124" s="281">
        <f>U124-E124</f>
        <v>0</v>
      </c>
      <c r="J124" s="52">
        <f>IFERROR(E124/E$151,"")</f>
        <v>0</v>
      </c>
      <c r="K124" s="392">
        <v>0</v>
      </c>
      <c r="L124" s="419">
        <f>K124-E124</f>
        <v>0</v>
      </c>
      <c r="M124" s="351" t="str">
        <f>IFERROR(L124/$I124,"")</f>
        <v/>
      </c>
      <c r="N124" s="392">
        <v>0</v>
      </c>
      <c r="O124" s="419">
        <f>N124-E124</f>
        <v>0</v>
      </c>
      <c r="P124" s="351" t="str">
        <f>IFERROR(O124/$I124,"")</f>
        <v/>
      </c>
      <c r="Q124" s="392">
        <v>0</v>
      </c>
      <c r="R124" s="307">
        <f>Q124-E124</f>
        <v>0</v>
      </c>
      <c r="S124" s="266" t="str">
        <f>IFERROR(R124/N124,"")</f>
        <v/>
      </c>
      <c r="T124" s="45"/>
      <c r="U124" s="281">
        <f>SUM(E124,L124,O124,R124)</f>
        <v>0</v>
      </c>
      <c r="V124" s="356">
        <f>U124/$U$151</f>
        <v>0</v>
      </c>
      <c r="W124" s="288" t="str">
        <f>IFERROR(U124/E124,"")</f>
        <v/>
      </c>
      <c r="X124" s="288" t="str">
        <f>IFERROR(U124/F124,"")</f>
        <v/>
      </c>
      <c r="Y124" s="417"/>
      <c r="Z124" s="420">
        <v>0</v>
      </c>
      <c r="AA124" s="419">
        <f>Z124-SUM(R124,O124,L124)-E124</f>
        <v>0</v>
      </c>
      <c r="AB124" s="351" t="str">
        <f>IFERROR(AA124/I124,"")</f>
        <v/>
      </c>
      <c r="AC124" s="351" t="str">
        <f>IFERROR(AA124/E124,"")</f>
        <v/>
      </c>
      <c r="AD124" s="278" t="str">
        <f>IFERROR(AA124/U124,"")</f>
        <v/>
      </c>
      <c r="AE124" s="279">
        <f>IFERROR(AD124*V124,0%)</f>
        <v>0</v>
      </c>
      <c r="AF124" s="278">
        <f>IFERROR((U124-E124)/E124,0%)</f>
        <v>0</v>
      </c>
      <c r="AG124" s="277">
        <f>IFERROR(AF124*J124,0%)</f>
        <v>0</v>
      </c>
      <c r="AH124" s="276" t="b">
        <f>ROUND((G124-E124),0)=ROUND(SUM(L124,O124,R124,AA124),0)</f>
        <v>1</v>
      </c>
      <c r="AI124" s="21"/>
      <c r="AJ124" s="21"/>
    </row>
    <row r="125" spans="2:36" s="16" customFormat="1" x14ac:dyDescent="0.3">
      <c r="B125" s="289"/>
      <c r="C125" s="47" t="s">
        <v>69</v>
      </c>
      <c r="D125" s="257">
        <f>SUM(D126:D128)</f>
        <v>1000000</v>
      </c>
      <c r="E125" s="379">
        <f>SUM(E126:E128)</f>
        <v>1000000</v>
      </c>
      <c r="F125" s="295">
        <f>SUM(F126:F128)</f>
        <v>1024999.9999999999</v>
      </c>
      <c r="G125" s="295">
        <f>SUM(G126:G128)</f>
        <v>1026000</v>
      </c>
      <c r="H125" s="251">
        <f>IFERROR(F125/D125-1,"")</f>
        <v>2.4999999999999911E-2</v>
      </c>
      <c r="I125" s="257">
        <f>U125-E125</f>
        <v>23999.999999999767</v>
      </c>
      <c r="J125" s="259">
        <f>IFERROR(E125/E$151,"")</f>
        <v>0.29850746268656714</v>
      </c>
      <c r="K125" s="410">
        <f>SUM(K126:K128)</f>
        <v>1022999.9999999999</v>
      </c>
      <c r="L125" s="410">
        <f>K125-E125</f>
        <v>22999.999999999884</v>
      </c>
      <c r="M125" s="339">
        <f>IFERROR(L125/$I125,"")</f>
        <v>0.95833333333333781</v>
      </c>
      <c r="N125" s="411">
        <f>SUM(N126:N128)</f>
        <v>1000999.9999999999</v>
      </c>
      <c r="O125" s="411">
        <f>N125-E125</f>
        <v>999.99999999988358</v>
      </c>
      <c r="P125" s="339">
        <f>IFERROR(O125/$I125,"")</f>
        <v>4.1666666666662223E-2</v>
      </c>
      <c r="Q125" s="410">
        <f>SUM(Q126:Q128)</f>
        <v>1000000</v>
      </c>
      <c r="R125" s="422">
        <f>Q125-E125</f>
        <v>0</v>
      </c>
      <c r="S125" s="294">
        <f>IFERROR(R125/$I125,"")</f>
        <v>0</v>
      </c>
      <c r="T125" s="55"/>
      <c r="U125" s="295">
        <f>SUM(U126:U128)</f>
        <v>1023999.9999999998</v>
      </c>
      <c r="V125" s="355">
        <f>U125/$U$151</f>
        <v>0.29527104959630907</v>
      </c>
      <c r="W125" s="251">
        <f>IFERROR(U125/E125,"")</f>
        <v>1.0239999999999998</v>
      </c>
      <c r="X125" s="251">
        <f>IFERROR(U125/F125,"")</f>
        <v>0.99902439024390233</v>
      </c>
      <c r="Y125" s="412"/>
      <c r="Z125" s="421">
        <f>SUM(Z126:Z128)</f>
        <v>1026000</v>
      </c>
      <c r="AA125" s="410">
        <f>SUM(AA126:AA128)</f>
        <v>2000.000000000291</v>
      </c>
      <c r="AB125" s="339">
        <f>IFERROR(AA125/I125,"")</f>
        <v>8.3333333333346263E-2</v>
      </c>
      <c r="AC125" s="354">
        <f>IFERROR(AA125/E125,"")</f>
        <v>2.000000000000291E-3</v>
      </c>
      <c r="AD125" s="250">
        <f>IFERROR(AA125/U125,"")</f>
        <v>1.9531250000002845E-3</v>
      </c>
      <c r="AE125" s="292">
        <f>IFERROR(AD125*V125,0%)</f>
        <v>5.7670126874287517E-4</v>
      </c>
      <c r="AF125" s="250">
        <f>IFERROR((U125-E125)/E125,0%)</f>
        <v>2.3999999999999768E-2</v>
      </c>
      <c r="AG125" s="336">
        <f>IFERROR(AF125*J125,0%)</f>
        <v>7.1641791044775418E-3</v>
      </c>
      <c r="AH125" s="246" t="b">
        <f>ROUND((G125-E125),0)=ROUND(SUM(L125,O125,R125,AA125),0)</f>
        <v>1</v>
      </c>
      <c r="AI125" s="21"/>
      <c r="AJ125" s="21"/>
    </row>
    <row r="126" spans="2:36" s="16" customFormat="1" x14ac:dyDescent="0.3">
      <c r="B126" s="289"/>
      <c r="C126" s="43" t="s">
        <v>572</v>
      </c>
      <c r="D126" s="352">
        <v>750000</v>
      </c>
      <c r="E126" s="395">
        <v>750000</v>
      </c>
      <c r="F126" s="391">
        <v>768749.99999999988</v>
      </c>
      <c r="G126" s="352">
        <v>769500</v>
      </c>
      <c r="H126" s="394">
        <f>IFERROR(F126/D126-1,"")</f>
        <v>2.4999999999999911E-2</v>
      </c>
      <c r="I126" s="393">
        <f>U126-E126</f>
        <v>17999.999999999767</v>
      </c>
      <c r="J126" s="52">
        <f>IFERROR(E126/E$151,"")</f>
        <v>0.22388059701492538</v>
      </c>
      <c r="K126" s="392">
        <v>767249.99999999988</v>
      </c>
      <c r="L126" s="419">
        <f>K126-E126</f>
        <v>17249.999999999884</v>
      </c>
      <c r="M126" s="351">
        <f>IFERROR(L126/$I126,"")</f>
        <v>0.95833333333333925</v>
      </c>
      <c r="N126" s="392">
        <v>750749.99999999988</v>
      </c>
      <c r="O126" s="419">
        <f>N126-E126</f>
        <v>749.99999999988358</v>
      </c>
      <c r="P126" s="351">
        <f>IFERROR(O126/$I126,"")</f>
        <v>4.1666666666660739E-2</v>
      </c>
      <c r="Q126" s="392">
        <v>750000</v>
      </c>
      <c r="R126" s="307">
        <f>Q126-E126</f>
        <v>0</v>
      </c>
      <c r="S126" s="266">
        <f>IFERROR(R126/$I126,"")</f>
        <v>0</v>
      </c>
      <c r="T126" s="45"/>
      <c r="U126" s="281">
        <f>SUM(E126,L126,O126,R126)</f>
        <v>767999.99999999977</v>
      </c>
      <c r="V126" s="356">
        <f>U126/$U$151</f>
        <v>0.22145328719723176</v>
      </c>
      <c r="W126" s="288">
        <f>IFERROR(U126/E126,"")</f>
        <v>1.0239999999999998</v>
      </c>
      <c r="X126" s="288">
        <f>IFERROR(U126/F126,"")</f>
        <v>0.99902439024390233</v>
      </c>
      <c r="Y126" s="417"/>
      <c r="Z126" s="420">
        <v>769500</v>
      </c>
      <c r="AA126" s="419">
        <f>Z126-SUM(R126,O126,L126)-E126</f>
        <v>1500.0000000002328</v>
      </c>
      <c r="AB126" s="351">
        <f>IFERROR(AA126/I126,"")</f>
        <v>8.3333333333347345E-2</v>
      </c>
      <c r="AC126" s="351">
        <f>IFERROR(AA126/E126,"")</f>
        <v>2.0000000000003106E-3</v>
      </c>
      <c r="AD126" s="278">
        <f>IFERROR(AA126/U126,"")</f>
        <v>1.9531250000003036E-3</v>
      </c>
      <c r="AE126" s="279">
        <f>IFERROR(AD126*V126,0%)</f>
        <v>4.325259515571605E-4</v>
      </c>
      <c r="AF126" s="278">
        <f>IFERROR((U126-E126)/E126,0%)</f>
        <v>2.3999999999999688E-2</v>
      </c>
      <c r="AG126" s="277">
        <f>IFERROR(AF126*J126,0%)</f>
        <v>5.3731343283581392E-3</v>
      </c>
      <c r="AH126" s="276" t="b">
        <f>ROUND((G126-E126),0)=ROUND(SUM(L126,O126,R126,AA126),0)</f>
        <v>1</v>
      </c>
      <c r="AI126" s="21"/>
      <c r="AJ126" s="21"/>
    </row>
    <row r="127" spans="2:36" s="16" customFormat="1" x14ac:dyDescent="0.3">
      <c r="B127" s="289"/>
      <c r="C127" s="43" t="s">
        <v>571</v>
      </c>
      <c r="D127" s="352">
        <v>250000</v>
      </c>
      <c r="E127" s="395">
        <v>250000</v>
      </c>
      <c r="F127" s="391">
        <v>256249.99999999997</v>
      </c>
      <c r="G127" s="352">
        <v>256500</v>
      </c>
      <c r="H127" s="394">
        <f>IFERROR(F127/D127-1,"")</f>
        <v>2.4999999999999911E-2</v>
      </c>
      <c r="I127" s="393">
        <f>U127-E127</f>
        <v>5999.9999999999418</v>
      </c>
      <c r="J127" s="52">
        <f>IFERROR(E127/E$151,"")</f>
        <v>7.4626865671641784E-2</v>
      </c>
      <c r="K127" s="392">
        <v>255749.99999999997</v>
      </c>
      <c r="L127" s="419">
        <f>K127-E127</f>
        <v>5749.9999999999709</v>
      </c>
      <c r="M127" s="351">
        <f>IFERROR(L127/$I127,"")</f>
        <v>0.95833333333333781</v>
      </c>
      <c r="N127" s="392">
        <v>250249.99999999997</v>
      </c>
      <c r="O127" s="419">
        <f>N127-E127</f>
        <v>249.9999999999709</v>
      </c>
      <c r="P127" s="351">
        <f>IFERROR(O127/$I127,"")</f>
        <v>4.1666666666662223E-2</v>
      </c>
      <c r="Q127" s="392">
        <v>250000</v>
      </c>
      <c r="R127" s="307">
        <f>Q127-E127</f>
        <v>0</v>
      </c>
      <c r="S127" s="266">
        <f>IFERROR(R127/$I127,"")</f>
        <v>0</v>
      </c>
      <c r="T127" s="45"/>
      <c r="U127" s="281">
        <f>SUM(E127,L127,O127,R127)</f>
        <v>255999.99999999994</v>
      </c>
      <c r="V127" s="356">
        <f>U127/$U$151</f>
        <v>7.3817762399077266E-2</v>
      </c>
      <c r="W127" s="288">
        <f>IFERROR(U127/E127,"")</f>
        <v>1.0239999999999998</v>
      </c>
      <c r="X127" s="288">
        <f>IFERROR(U127/F127,"")</f>
        <v>0.99902439024390233</v>
      </c>
      <c r="Y127" s="417"/>
      <c r="Z127" s="420">
        <v>256500</v>
      </c>
      <c r="AA127" s="419">
        <f>Z127-SUM(R127,O127,L127)-E127</f>
        <v>500.00000000005821</v>
      </c>
      <c r="AB127" s="351">
        <f>IFERROR(AA127/I127,"")</f>
        <v>8.3333333333343848E-2</v>
      </c>
      <c r="AC127" s="351">
        <f>IFERROR(AA127/E127,"")</f>
        <v>2.0000000000002329E-3</v>
      </c>
      <c r="AD127" s="278">
        <f>IFERROR(AA127/U127,"")</f>
        <v>1.9531250000002277E-3</v>
      </c>
      <c r="AE127" s="279">
        <f>IFERROR(AD127*V127,0%)</f>
        <v>1.4417531718571459E-4</v>
      </c>
      <c r="AF127" s="278">
        <f>IFERROR((U127-E127)/E127,0%)</f>
        <v>2.3999999999999768E-2</v>
      </c>
      <c r="AG127" s="277">
        <f>IFERROR(AF127*J127,0%)</f>
        <v>1.7910447761193854E-3</v>
      </c>
      <c r="AH127" s="276" t="b">
        <f>ROUND((G127-E127),0)=ROUND(SUM(L127,O127,R127,AA127),0)</f>
        <v>1</v>
      </c>
      <c r="AI127" s="21"/>
      <c r="AJ127" s="21"/>
    </row>
    <row r="128" spans="2:36" s="16" customFormat="1" x14ac:dyDescent="0.3">
      <c r="B128" s="289"/>
      <c r="C128" s="353" t="s">
        <v>82</v>
      </c>
      <c r="D128" s="352">
        <v>0</v>
      </c>
      <c r="E128" s="395">
        <v>0</v>
      </c>
      <c r="F128" s="391">
        <v>0</v>
      </c>
      <c r="G128" s="352">
        <v>0</v>
      </c>
      <c r="H128" s="394" t="str">
        <f>IFERROR(F128/D128-1,"")</f>
        <v/>
      </c>
      <c r="I128" s="393"/>
      <c r="J128" s="52">
        <f>IFERROR(E128/E$151,"")</f>
        <v>0</v>
      </c>
      <c r="K128" s="392">
        <v>0</v>
      </c>
      <c r="L128" s="419">
        <f>K128-E128</f>
        <v>0</v>
      </c>
      <c r="M128" s="351" t="str">
        <f>IFERROR(L128/$I128,"")</f>
        <v/>
      </c>
      <c r="N128" s="392">
        <v>0</v>
      </c>
      <c r="O128" s="419">
        <f>N128-E128</f>
        <v>0</v>
      </c>
      <c r="P128" s="351" t="str">
        <f>IFERROR(O128/$I128,"")</f>
        <v/>
      </c>
      <c r="Q128" s="392">
        <v>0</v>
      </c>
      <c r="R128" s="307">
        <f>Q128-E128</f>
        <v>0</v>
      </c>
      <c r="S128" s="266" t="str">
        <f>IFERROR(R128/$I128,"")</f>
        <v/>
      </c>
      <c r="T128" s="45"/>
      <c r="U128" s="281">
        <f>SUM(E128,L128,O128,R128)</f>
        <v>0</v>
      </c>
      <c r="V128" s="356">
        <f>U128/$U$151</f>
        <v>0</v>
      </c>
      <c r="W128" s="288" t="str">
        <f>IFERROR(U128/E128,"")</f>
        <v/>
      </c>
      <c r="X128" s="288" t="str">
        <f>IFERROR(U128/F128,"")</f>
        <v/>
      </c>
      <c r="Y128" s="417"/>
      <c r="Z128" s="420">
        <v>0</v>
      </c>
      <c r="AA128" s="419">
        <f>Z128-SUM(R128,O128,L128)-E128</f>
        <v>0</v>
      </c>
      <c r="AB128" s="351" t="str">
        <f>IFERROR(AA128/I128,"")</f>
        <v/>
      </c>
      <c r="AC128" s="351" t="str">
        <f>IFERROR(AA128/E128,"")</f>
        <v/>
      </c>
      <c r="AD128" s="278" t="str">
        <f>IFERROR(AA128/U128,"")</f>
        <v/>
      </c>
      <c r="AE128" s="279">
        <f>IFERROR(AD128*V128,0%)</f>
        <v>0</v>
      </c>
      <c r="AF128" s="278">
        <f>IFERROR((U128-E128)/E128,0%)</f>
        <v>0</v>
      </c>
      <c r="AG128" s="277">
        <f>IFERROR(AF128*J128,0%)</f>
        <v>0</v>
      </c>
      <c r="AH128" s="276" t="b">
        <f>ROUND((G128-E128),0)=ROUND(SUM(L128,O128,R128,AA128),0)</f>
        <v>1</v>
      </c>
      <c r="AI128" s="21"/>
      <c r="AJ128" s="21"/>
    </row>
    <row r="129" spans="2:36" s="16" customFormat="1" x14ac:dyDescent="0.3">
      <c r="B129" s="289"/>
      <c r="C129" s="47" t="s">
        <v>70</v>
      </c>
      <c r="D129" s="350">
        <v>600000</v>
      </c>
      <c r="E129" s="380">
        <v>600000</v>
      </c>
      <c r="F129" s="384">
        <v>612000</v>
      </c>
      <c r="G129" s="350">
        <v>630000</v>
      </c>
      <c r="H129" s="386">
        <f>IFERROR(F129/D129-1,"")</f>
        <v>2.0000000000000018E-2</v>
      </c>
      <c r="I129" s="383">
        <f>U129-E129</f>
        <v>20000</v>
      </c>
      <c r="J129" s="22">
        <f>IFERROR(E129/E$151,"")</f>
        <v>0.17910447761194029</v>
      </c>
      <c r="K129" s="418">
        <v>612000</v>
      </c>
      <c r="L129" s="415">
        <f>K129-E129</f>
        <v>12000</v>
      </c>
      <c r="M129" s="349">
        <f>IFERROR(L129/$I129,"")</f>
        <v>0.6</v>
      </c>
      <c r="N129" s="418">
        <v>608000</v>
      </c>
      <c r="O129" s="415">
        <f>N129-E129</f>
        <v>8000</v>
      </c>
      <c r="P129" s="349">
        <f>IFERROR(O129/$I129,"")</f>
        <v>0.4</v>
      </c>
      <c r="Q129" s="418">
        <v>600000</v>
      </c>
      <c r="R129" s="303">
        <f>Q129-E129</f>
        <v>0</v>
      </c>
      <c r="S129" s="266">
        <f>IFERROR(R129/$I129,"")</f>
        <v>0</v>
      </c>
      <c r="T129" s="45"/>
      <c r="U129" s="300">
        <f>SUM(E129,L129,O129,R129)</f>
        <v>620000</v>
      </c>
      <c r="V129" s="382">
        <f>U129/$U$151</f>
        <v>0.17877739331026529</v>
      </c>
      <c r="W129" s="305">
        <f>IFERROR(U129/E129,"")</f>
        <v>1.0333333333333334</v>
      </c>
      <c r="X129" s="305">
        <f>IFERROR(U129/F129,"")</f>
        <v>1.0130718954248366</v>
      </c>
      <c r="Y129" s="417"/>
      <c r="Z129" s="416">
        <v>630000</v>
      </c>
      <c r="AA129" s="415">
        <f>Z129-SUM(R129,O129,L129)-E129</f>
        <v>10000</v>
      </c>
      <c r="AB129" s="349">
        <f>IFERROR(AA129/I129,"")</f>
        <v>0.5</v>
      </c>
      <c r="AC129" s="349">
        <f>IFERROR(AA129/E129,"")</f>
        <v>1.6666666666666666E-2</v>
      </c>
      <c r="AD129" s="264">
        <f>IFERROR(AA129/U129,"")</f>
        <v>1.6129032258064516E-2</v>
      </c>
      <c r="AE129" s="265">
        <f>IFERROR(AD129*V129,0%)</f>
        <v>2.8835063437139563E-3</v>
      </c>
      <c r="AF129" s="264">
        <f>IFERROR((U129-E129)/E129,0%)</f>
        <v>3.3333333333333333E-2</v>
      </c>
      <c r="AG129" s="263">
        <f>IFERROR(AF129*J129,0%)</f>
        <v>5.9701492537313425E-3</v>
      </c>
      <c r="AH129" s="299" t="b">
        <f>ROUND((G129-E129),0)=ROUND(SUM(L129,O129,R129,AA129),0)</f>
        <v>1</v>
      </c>
      <c r="AI129" s="21"/>
      <c r="AJ129" s="21"/>
    </row>
    <row r="130" spans="2:36" s="16" customFormat="1" x14ac:dyDescent="0.3">
      <c r="B130" s="275"/>
      <c r="C130" s="348" t="s">
        <v>570</v>
      </c>
      <c r="D130" s="345">
        <v>-500000</v>
      </c>
      <c r="E130" s="414">
        <v>-500000</v>
      </c>
      <c r="F130" s="413">
        <v>-512499.99999999994</v>
      </c>
      <c r="G130" s="345">
        <v>-525000</v>
      </c>
      <c r="H130" s="386">
        <f>IFERROR(F130/D130-1,"")</f>
        <v>2.4999999999999911E-2</v>
      </c>
      <c r="I130" s="383">
        <f>U130-E130</f>
        <v>-25000</v>
      </c>
      <c r="J130" s="22">
        <f>IFERROR(E130/E$151,"")</f>
        <v>-0.14925373134328357</v>
      </c>
      <c r="K130" s="384">
        <v>-520000</v>
      </c>
      <c r="L130" s="303">
        <f>K130-E130</f>
        <v>-20000</v>
      </c>
      <c r="M130" s="266">
        <f>IFERROR(L130/$I130,"")</f>
        <v>0.8</v>
      </c>
      <c r="N130" s="384">
        <v>-505000</v>
      </c>
      <c r="O130" s="307">
        <f>N130-E130</f>
        <v>-5000</v>
      </c>
      <c r="P130" s="266">
        <f>IFERROR(O130/$I130,"")</f>
        <v>0.2</v>
      </c>
      <c r="Q130" s="384">
        <v>-500000</v>
      </c>
      <c r="R130" s="307">
        <f>Q130-E130</f>
        <v>0</v>
      </c>
      <c r="S130" s="280">
        <f>IFERROR(R130/$I130,"")</f>
        <v>0</v>
      </c>
      <c r="T130" s="55"/>
      <c r="U130" s="300">
        <f>SUM(E130,L130,O130,R130)</f>
        <v>-525000</v>
      </c>
      <c r="V130" s="382">
        <f>U130/$U$151</f>
        <v>-0.15138408304498269</v>
      </c>
      <c r="W130" s="305">
        <f>IFERROR(U130/E130,"")</f>
        <v>1.05</v>
      </c>
      <c r="X130" s="305">
        <f>IFERROR(U130/F130,"")</f>
        <v>1.024390243902439</v>
      </c>
      <c r="Y130" s="412"/>
      <c r="Z130" s="380">
        <v>-525000</v>
      </c>
      <c r="AA130" s="303">
        <f>Z130-SUM(R130,O130,L130)-E130</f>
        <v>0</v>
      </c>
      <c r="AB130" s="266">
        <f>IFERROR(AA130/I130,"")</f>
        <v>0</v>
      </c>
      <c r="AC130" s="266">
        <f>IFERROR(AA130/E130,"")</f>
        <v>0</v>
      </c>
      <c r="AD130" s="264">
        <f>IFERROR(AA130/U130,"")</f>
        <v>0</v>
      </c>
      <c r="AE130" s="265">
        <f>IFERROR(AD130*V130,0%)</f>
        <v>0</v>
      </c>
      <c r="AF130" s="264">
        <f>IFERROR((U130-E130)/E130,0%)</f>
        <v>0.05</v>
      </c>
      <c r="AG130" s="263">
        <f>IFERROR(AF130*J130,0%)</f>
        <v>-7.462686567164179E-3</v>
      </c>
      <c r="AH130" s="299" t="b">
        <f>ROUND((G130-E130),0)=ROUND(SUM(L130,O130,R130,AA130),0)</f>
        <v>1</v>
      </c>
      <c r="AI130" s="21"/>
    </row>
    <row r="131" spans="2:36" s="16" customFormat="1" x14ac:dyDescent="0.3">
      <c r="B131" s="342" t="s">
        <v>569</v>
      </c>
      <c r="C131" s="341" t="s">
        <v>72</v>
      </c>
      <c r="D131" s="257">
        <f>SUM(D132:D137)</f>
        <v>1400000</v>
      </c>
      <c r="E131" s="379">
        <f>SUM(E132:E137)</f>
        <v>1400000</v>
      </c>
      <c r="F131" s="295">
        <f>SUM(F132:F137)</f>
        <v>1429250</v>
      </c>
      <c r="G131" s="295">
        <f>SUM(G132:G137)</f>
        <v>1470000</v>
      </c>
      <c r="H131" s="251">
        <f>IFERROR(F131/D131-1,"")</f>
        <v>2.0892857142857046E-2</v>
      </c>
      <c r="I131" s="257">
        <f>U131-E131</f>
        <v>70000</v>
      </c>
      <c r="J131" s="259">
        <f>IFERROR(E131/E$151,"")</f>
        <v>0.41791044776119401</v>
      </c>
      <c r="K131" s="410">
        <f>SUM(K132:K137)</f>
        <v>1433000</v>
      </c>
      <c r="L131" s="410">
        <f>K131-E131</f>
        <v>33000</v>
      </c>
      <c r="M131" s="339">
        <f>IFERROR(L131/$I131,"")</f>
        <v>0.47142857142857142</v>
      </c>
      <c r="N131" s="410">
        <f>SUM(N132:N137)</f>
        <v>1437000</v>
      </c>
      <c r="O131" s="411">
        <f>N131-E131</f>
        <v>37000</v>
      </c>
      <c r="P131" s="339">
        <f>IFERROR(O131/$I131,"")</f>
        <v>0.52857142857142858</v>
      </c>
      <c r="Q131" s="410">
        <f>SUM(Q132:Q137)</f>
        <v>1400000</v>
      </c>
      <c r="R131" s="396">
        <f>Q131-E131</f>
        <v>0</v>
      </c>
      <c r="S131" s="294">
        <f>IFERROR(R131/$I131,"")</f>
        <v>0</v>
      </c>
      <c r="T131" s="340"/>
      <c r="U131" s="257">
        <f>SUM(U132:U137)</f>
        <v>1470000</v>
      </c>
      <c r="V131" s="256">
        <f>U131/$U$151</f>
        <v>0.42387543252595156</v>
      </c>
      <c r="W131" s="247">
        <f>IFERROR(U131/E131,"")</f>
        <v>1.05</v>
      </c>
      <c r="X131" s="251"/>
      <c r="Y131" s="364"/>
      <c r="Z131" s="397">
        <f>SUM(Z132:Z137)</f>
        <v>1470000</v>
      </c>
      <c r="AA131" s="410">
        <f>SUM(AA132:AA137)</f>
        <v>0</v>
      </c>
      <c r="AB131" s="339">
        <f>IFERROR(AA131/I131,"")</f>
        <v>0</v>
      </c>
      <c r="AC131" s="339">
        <f>IFERROR(AA131/E131,"")</f>
        <v>0</v>
      </c>
      <c r="AD131" s="409">
        <f>IFERROR(AA131/U131,"")</f>
        <v>0</v>
      </c>
      <c r="AE131" s="292">
        <f>IFERROR(AD131*V131,0%)</f>
        <v>0</v>
      </c>
      <c r="AF131" s="250">
        <f>IFERROR((U131-E131)/E131,0%)</f>
        <v>0.05</v>
      </c>
      <c r="AG131" s="336">
        <f>IFERROR(AF131*J131,0%)</f>
        <v>2.0895522388059702E-2</v>
      </c>
      <c r="AH131" s="246" t="b">
        <f>ROUND((G131-E131),0)=ROUND(SUM(L131,O131,R131,AA131),0)</f>
        <v>1</v>
      </c>
      <c r="AI131" s="21"/>
      <c r="AJ131" s="21"/>
    </row>
    <row r="132" spans="2:36" s="16" customFormat="1" outlineLevel="1" x14ac:dyDescent="0.3">
      <c r="B132" s="289"/>
      <c r="C132" s="333" t="s">
        <v>568</v>
      </c>
      <c r="D132" s="352">
        <v>700000</v>
      </c>
      <c r="E132" s="395">
        <v>700000</v>
      </c>
      <c r="F132" s="391">
        <v>714000</v>
      </c>
      <c r="G132" s="391">
        <v>735000</v>
      </c>
      <c r="H132" s="288">
        <f>IFERROR(F132/D132-1,"")</f>
        <v>2.0000000000000018E-2</v>
      </c>
      <c r="I132" s="393">
        <f>U132-E132</f>
        <v>35000</v>
      </c>
      <c r="J132" s="52">
        <f>IFERROR(E132/E$151,"")</f>
        <v>0.20895522388059701</v>
      </c>
      <c r="K132" s="391">
        <v>714000</v>
      </c>
      <c r="L132" s="307">
        <f>K132-E132</f>
        <v>14000</v>
      </c>
      <c r="M132" s="280">
        <f>IFERROR(L132/$I132,"")</f>
        <v>0.4</v>
      </c>
      <c r="N132" s="391">
        <v>721000</v>
      </c>
      <c r="O132" s="307">
        <f>N132-E132</f>
        <v>21000</v>
      </c>
      <c r="P132" s="280">
        <f>IFERROR(O132/$I132,"")</f>
        <v>0.6</v>
      </c>
      <c r="Q132" s="390">
        <v>700000</v>
      </c>
      <c r="R132" s="307">
        <f>Q132-E132</f>
        <v>0</v>
      </c>
      <c r="S132" s="280">
        <f>IFERROR(R132/$I132,"")</f>
        <v>0</v>
      </c>
      <c r="T132" s="55"/>
      <c r="U132" s="281">
        <f>SUM(E132,L132,O132,R132)</f>
        <v>735000</v>
      </c>
      <c r="V132" s="356">
        <f>U132/$U$151</f>
        <v>0.21193771626297578</v>
      </c>
      <c r="W132" s="288">
        <f>IFERROR(U132/E132,"")</f>
        <v>1.05</v>
      </c>
      <c r="X132" s="389">
        <f>IFERROR(U132/F132,"")</f>
        <v>1.0294117647058822</v>
      </c>
      <c r="Y132" s="408"/>
      <c r="Z132" s="395">
        <v>735000</v>
      </c>
      <c r="AA132" s="307">
        <f>Z132-SUM(R132,O132,L132)-E132</f>
        <v>0</v>
      </c>
      <c r="AB132" s="280">
        <f>IFERROR(AA132/I132,"")</f>
        <v>0</v>
      </c>
      <c r="AC132" s="280">
        <f>IFERROR(AA132/E132,"")</f>
        <v>0</v>
      </c>
      <c r="AD132" s="401">
        <f>IFERROR(AA132/U132,"")</f>
        <v>0</v>
      </c>
      <c r="AE132" s="279">
        <f>IFERROR(AD132*V132,0%)</f>
        <v>0</v>
      </c>
      <c r="AF132" s="278">
        <f>IFERROR((U132-E132)/E132,0%)</f>
        <v>0.05</v>
      </c>
      <c r="AG132" s="277">
        <f>IFERROR(AF132*J132,0%)</f>
        <v>1.0447761194029851E-2</v>
      </c>
      <c r="AH132" s="276" t="b">
        <f>ROUND((G132-E132),0)=ROUND(SUM(L132,O132,R132,AA132),0)</f>
        <v>1</v>
      </c>
      <c r="AI132" s="21"/>
    </row>
    <row r="133" spans="2:36" s="16" customFormat="1" outlineLevel="1" x14ac:dyDescent="0.3">
      <c r="B133" s="289"/>
      <c r="C133" s="333" t="s">
        <v>567</v>
      </c>
      <c r="D133" s="352">
        <v>150000</v>
      </c>
      <c r="E133" s="395">
        <v>150000</v>
      </c>
      <c r="F133" s="391">
        <v>153000</v>
      </c>
      <c r="G133" s="391">
        <v>157500</v>
      </c>
      <c r="H133" s="288">
        <f>IFERROR(F133/D133-1,"")</f>
        <v>2.0000000000000018E-2</v>
      </c>
      <c r="I133" s="393">
        <f>U133-E133</f>
        <v>7500</v>
      </c>
      <c r="J133" s="52">
        <f>IFERROR(E133/E$151,"")</f>
        <v>4.4776119402985072E-2</v>
      </c>
      <c r="K133" s="391">
        <v>153000</v>
      </c>
      <c r="L133" s="307">
        <f>K133-E133</f>
        <v>3000</v>
      </c>
      <c r="M133" s="280">
        <f>IFERROR(L133/$I133,"")</f>
        <v>0.4</v>
      </c>
      <c r="N133" s="391">
        <v>154500</v>
      </c>
      <c r="O133" s="307">
        <f>N133-E133</f>
        <v>4500</v>
      </c>
      <c r="P133" s="280">
        <f>IFERROR(O133/$I133,"")</f>
        <v>0.6</v>
      </c>
      <c r="Q133" s="390">
        <v>150000</v>
      </c>
      <c r="R133" s="307">
        <f>Q133-E133</f>
        <v>0</v>
      </c>
      <c r="S133" s="280">
        <f>IFERROR(R133/$I133,"")</f>
        <v>0</v>
      </c>
      <c r="T133" s="55"/>
      <c r="U133" s="281">
        <f>SUM(E133,L133,O133,R133)</f>
        <v>157500</v>
      </c>
      <c r="V133" s="356">
        <f>U133/$U$151</f>
        <v>4.5415224913494812E-2</v>
      </c>
      <c r="W133" s="288">
        <f>IFERROR(U133/E133,"")</f>
        <v>1.05</v>
      </c>
      <c r="X133" s="389">
        <f>IFERROR(U133/F133,"")</f>
        <v>1.0294117647058822</v>
      </c>
      <c r="Y133" s="352"/>
      <c r="Z133" s="395">
        <v>157500</v>
      </c>
      <c r="AA133" s="307">
        <f>Z133-SUM(R133,O133,L133)-E133</f>
        <v>0</v>
      </c>
      <c r="AB133" s="280">
        <f>IFERROR(AA133/I133,"")</f>
        <v>0</v>
      </c>
      <c r="AC133" s="280">
        <f>IFERROR(AA133/E133,"")</f>
        <v>0</v>
      </c>
      <c r="AD133" s="401">
        <f>IFERROR(AA133/U133,"")</f>
        <v>0</v>
      </c>
      <c r="AE133" s="279">
        <f>IFERROR(AD133*V133,0%)</f>
        <v>0</v>
      </c>
      <c r="AF133" s="278">
        <f>IFERROR((U133-E133)/E133,0%)</f>
        <v>0.05</v>
      </c>
      <c r="AG133" s="277">
        <f>IFERROR(AF133*J133,0%)</f>
        <v>2.2388059701492539E-3</v>
      </c>
      <c r="AH133" s="276" t="b">
        <f>ROUND((G133-E133),0)=ROUND(SUM(L133,O133,R133,AA133),0)</f>
        <v>1</v>
      </c>
      <c r="AI133" s="21"/>
    </row>
    <row r="134" spans="2:36" s="16" customFormat="1" outlineLevel="1" x14ac:dyDescent="0.3">
      <c r="B134" s="289"/>
      <c r="C134" s="333" t="s">
        <v>566</v>
      </c>
      <c r="D134" s="352">
        <v>300000</v>
      </c>
      <c r="E134" s="395">
        <v>300000</v>
      </c>
      <c r="F134" s="391">
        <v>306000</v>
      </c>
      <c r="G134" s="391">
        <v>315000</v>
      </c>
      <c r="H134" s="288">
        <f>IFERROR(F134/D134-1,"")</f>
        <v>2.0000000000000018E-2</v>
      </c>
      <c r="I134" s="393">
        <f>U134-E134</f>
        <v>15000</v>
      </c>
      <c r="J134" s="52">
        <f>IFERROR(E134/E$151,"")</f>
        <v>8.9552238805970144E-2</v>
      </c>
      <c r="K134" s="391">
        <v>306000</v>
      </c>
      <c r="L134" s="307">
        <f>K134-E134</f>
        <v>6000</v>
      </c>
      <c r="M134" s="280">
        <f>IFERROR(L134/$I134,"")</f>
        <v>0.4</v>
      </c>
      <c r="N134" s="391">
        <v>309000</v>
      </c>
      <c r="O134" s="307">
        <f>N134-E134</f>
        <v>9000</v>
      </c>
      <c r="P134" s="280">
        <f>IFERROR(O134/$I134,"")</f>
        <v>0.6</v>
      </c>
      <c r="Q134" s="390">
        <v>300000</v>
      </c>
      <c r="R134" s="307">
        <f>Q134-E134</f>
        <v>0</v>
      </c>
      <c r="S134" s="280">
        <f>IFERROR(R134/$I134,"")</f>
        <v>0</v>
      </c>
      <c r="T134" s="55"/>
      <c r="U134" s="281">
        <f>SUM(E134,L134,O134,R134)</f>
        <v>315000</v>
      </c>
      <c r="V134" s="356">
        <f>U134/$U$151</f>
        <v>9.0830449826989623E-2</v>
      </c>
      <c r="W134" s="288">
        <f>IFERROR(U134/E134,"")</f>
        <v>1.05</v>
      </c>
      <c r="X134" s="389">
        <f>IFERROR(U134/F134,"")</f>
        <v>1.0294117647058822</v>
      </c>
      <c r="Y134" s="352"/>
      <c r="Z134" s="395">
        <v>315000</v>
      </c>
      <c r="AA134" s="307">
        <f>Z134-SUM(R134,O134,L134)-E134</f>
        <v>0</v>
      </c>
      <c r="AB134" s="280">
        <f>IFERROR(AA134/I134,"")</f>
        <v>0</v>
      </c>
      <c r="AC134" s="280">
        <f>IFERROR(AA134/E134,"")</f>
        <v>0</v>
      </c>
      <c r="AD134" s="401">
        <f>IFERROR(AA134/U134,"")</f>
        <v>0</v>
      </c>
      <c r="AE134" s="279">
        <f>IFERROR(AD134*V134,0%)</f>
        <v>0</v>
      </c>
      <c r="AF134" s="278">
        <f>IFERROR((U134-E134)/E134,0%)</f>
        <v>0.05</v>
      </c>
      <c r="AG134" s="277">
        <f>IFERROR(AF134*J134,0%)</f>
        <v>4.4776119402985077E-3</v>
      </c>
      <c r="AH134" s="276" t="b">
        <f>ROUND((G134-E134),0)=ROUND(SUM(L134,O134,R134,AA134),0)</f>
        <v>1</v>
      </c>
      <c r="AI134" s="21"/>
    </row>
    <row r="135" spans="2:36" s="16" customFormat="1" outlineLevel="1" x14ac:dyDescent="0.3">
      <c r="B135" s="289"/>
      <c r="C135" s="333" t="s">
        <v>565</v>
      </c>
      <c r="D135" s="352">
        <v>0</v>
      </c>
      <c r="E135" s="395">
        <v>0</v>
      </c>
      <c r="F135" s="391">
        <v>0</v>
      </c>
      <c r="G135" s="391">
        <v>0</v>
      </c>
      <c r="H135" s="288" t="str">
        <f>IFERROR(F135/D135-1,"")</f>
        <v/>
      </c>
      <c r="I135" s="393">
        <f>U135-E135</f>
        <v>0</v>
      </c>
      <c r="J135" s="52">
        <f>IFERROR(E135/E$151,"")</f>
        <v>0</v>
      </c>
      <c r="K135" s="391">
        <v>0</v>
      </c>
      <c r="L135" s="307">
        <f>K135-E135</f>
        <v>0</v>
      </c>
      <c r="M135" s="280" t="str">
        <f>IFERROR(L135/$I135,"")</f>
        <v/>
      </c>
      <c r="N135" s="391">
        <v>0</v>
      </c>
      <c r="O135" s="307">
        <f>N135-E135</f>
        <v>0</v>
      </c>
      <c r="P135" s="280" t="str">
        <f>IFERROR(O135/$I135,"")</f>
        <v/>
      </c>
      <c r="Q135" s="390">
        <v>0</v>
      </c>
      <c r="R135" s="307">
        <f>Q135-E135</f>
        <v>0</v>
      </c>
      <c r="S135" s="280" t="str">
        <f>IFERROR(R135/$I135,"")</f>
        <v/>
      </c>
      <c r="T135" s="55"/>
      <c r="U135" s="281">
        <f>SUM(E135,L135,O135,R135)</f>
        <v>0</v>
      </c>
      <c r="V135" s="356">
        <f>U135/$U$151</f>
        <v>0</v>
      </c>
      <c r="W135" s="288" t="str">
        <f>IFERROR(U135/E135,"")</f>
        <v/>
      </c>
      <c r="X135" s="389" t="str">
        <f>IFERROR(U135/F135,"")</f>
        <v/>
      </c>
      <c r="Y135" s="352"/>
      <c r="Z135" s="395">
        <v>0</v>
      </c>
      <c r="AA135" s="307">
        <f>Z135-SUM(R135,O135,L135)-E135</f>
        <v>0</v>
      </c>
      <c r="AB135" s="280" t="str">
        <f>IFERROR(AA135/I135,"")</f>
        <v/>
      </c>
      <c r="AC135" s="280" t="str">
        <f>IFERROR(AA135/E135,"")</f>
        <v/>
      </c>
      <c r="AD135" s="401" t="str">
        <f>IFERROR(AA135/U135,"")</f>
        <v/>
      </c>
      <c r="AE135" s="279">
        <f>IFERROR(AD135*V135,0%)</f>
        <v>0</v>
      </c>
      <c r="AF135" s="278">
        <f>IFERROR((U135-E135)/E135,0%)</f>
        <v>0</v>
      </c>
      <c r="AG135" s="277">
        <f>IFERROR(AF135*J135,0%)</f>
        <v>0</v>
      </c>
      <c r="AH135" s="276" t="b">
        <f>ROUND((G135-E135),0)=ROUND(SUM(L135,O135,R135,AA135),0)</f>
        <v>1</v>
      </c>
      <c r="AI135" s="21"/>
    </row>
    <row r="136" spans="2:36" s="16" customFormat="1" outlineLevel="1" x14ac:dyDescent="0.3">
      <c r="B136" s="289"/>
      <c r="C136" s="333" t="s">
        <v>564</v>
      </c>
      <c r="D136" s="352">
        <v>0</v>
      </c>
      <c r="E136" s="395">
        <v>0</v>
      </c>
      <c r="F136" s="391">
        <v>0</v>
      </c>
      <c r="G136" s="391">
        <v>0</v>
      </c>
      <c r="H136" s="288" t="str">
        <f>IFERROR(F136/D136-1,"")</f>
        <v/>
      </c>
      <c r="I136" s="393">
        <f>U136-E136</f>
        <v>0</v>
      </c>
      <c r="J136" s="52">
        <f>IFERROR(E136/E$151,"")</f>
        <v>0</v>
      </c>
      <c r="K136" s="391">
        <v>0</v>
      </c>
      <c r="L136" s="307">
        <f>K136-E136</f>
        <v>0</v>
      </c>
      <c r="M136" s="280" t="str">
        <f>IFERROR(L136/$I136,"")</f>
        <v/>
      </c>
      <c r="N136" s="391">
        <v>0</v>
      </c>
      <c r="O136" s="307">
        <f>N136-E136</f>
        <v>0</v>
      </c>
      <c r="P136" s="280" t="str">
        <f>IFERROR(O136/$I136,"")</f>
        <v/>
      </c>
      <c r="Q136" s="390">
        <v>0</v>
      </c>
      <c r="R136" s="307">
        <f>Q136-E136</f>
        <v>0</v>
      </c>
      <c r="S136" s="280" t="str">
        <f>IFERROR(R136/$I136,"")</f>
        <v/>
      </c>
      <c r="T136" s="55"/>
      <c r="U136" s="281">
        <f>SUM(E136,L136,O136,R136)</f>
        <v>0</v>
      </c>
      <c r="V136" s="356">
        <f>U136/$U$151</f>
        <v>0</v>
      </c>
      <c r="W136" s="288" t="str">
        <f>IFERROR(U136/E136,"")</f>
        <v/>
      </c>
      <c r="X136" s="389" t="str">
        <f>IFERROR(U136/F136,"")</f>
        <v/>
      </c>
      <c r="Y136" s="352"/>
      <c r="Z136" s="395">
        <v>0</v>
      </c>
      <c r="AA136" s="307">
        <f>Z136-SUM(R136,O136,L136)-E136</f>
        <v>0</v>
      </c>
      <c r="AB136" s="280" t="str">
        <f>IFERROR(AA136/I136,"")</f>
        <v/>
      </c>
      <c r="AC136" s="280" t="str">
        <f>IFERROR(AA136/E136,"")</f>
        <v/>
      </c>
      <c r="AD136" s="401" t="str">
        <f>IFERROR(AA136/U136,"")</f>
        <v/>
      </c>
      <c r="AE136" s="279">
        <f>IFERROR(AD136*V136,0%)</f>
        <v>0</v>
      </c>
      <c r="AF136" s="278">
        <f>IFERROR((U136-E136)/E136,0%)</f>
        <v>0</v>
      </c>
      <c r="AG136" s="277">
        <f>IFERROR(AF136*J136,0%)</f>
        <v>0</v>
      </c>
      <c r="AH136" s="276" t="b">
        <f>ROUND((G136-E136),0)=ROUND(SUM(L136,O136,R136,AA136),0)</f>
        <v>1</v>
      </c>
      <c r="AI136" s="21"/>
    </row>
    <row r="137" spans="2:36" s="16" customFormat="1" outlineLevel="1" x14ac:dyDescent="0.3">
      <c r="B137" s="289"/>
      <c r="C137" s="330" t="s">
        <v>77</v>
      </c>
      <c r="D137" s="324">
        <f>SUM(D138:D142)</f>
        <v>250000</v>
      </c>
      <c r="E137" s="327">
        <f>SUM(E138:E142)</f>
        <v>250000</v>
      </c>
      <c r="F137" s="327">
        <f>SUM(F138:F142)</f>
        <v>256250</v>
      </c>
      <c r="G137" s="327">
        <f>SUM(G138:G142)</f>
        <v>262500</v>
      </c>
      <c r="H137" s="329">
        <f>IFERROR(F137/D137-1,"")</f>
        <v>2.4999999999999911E-2</v>
      </c>
      <c r="I137" s="324">
        <f>U137-E137</f>
        <v>12500</v>
      </c>
      <c r="J137" s="407">
        <f>IFERROR(E137/E$151,"")</f>
        <v>7.4626865671641784E-2</v>
      </c>
      <c r="K137" s="324">
        <f>SUM(K138:K142)</f>
        <v>260000</v>
      </c>
      <c r="L137" s="404">
        <f>K137-E137</f>
        <v>10000</v>
      </c>
      <c r="M137" s="326">
        <f>IFERROR(L137/$I137,"")</f>
        <v>0.8</v>
      </c>
      <c r="N137" s="324">
        <f>SUM(N138:N142)</f>
        <v>252500</v>
      </c>
      <c r="O137" s="404">
        <f>N137-E137</f>
        <v>2500</v>
      </c>
      <c r="P137" s="326">
        <f>IFERROR(O137/$I137,"")</f>
        <v>0.2</v>
      </c>
      <c r="Q137" s="404">
        <f>SUM(Q138:Q142)</f>
        <v>250000</v>
      </c>
      <c r="R137" s="406">
        <f>Q137-E137</f>
        <v>0</v>
      </c>
      <c r="S137" s="326">
        <f>IFERROR(R137/$I137,"")</f>
        <v>0</v>
      </c>
      <c r="T137" s="325"/>
      <c r="U137" s="324">
        <f>SUM(U138:U142)</f>
        <v>262500</v>
      </c>
      <c r="V137" s="323">
        <f>U137/$U$151</f>
        <v>7.5692041522491343E-2</v>
      </c>
      <c r="W137" s="322">
        <f>IFERROR(U137/E137,"")</f>
        <v>1.05</v>
      </c>
      <c r="X137" s="322">
        <f>IFERROR(U137/F137,"")</f>
        <v>1.024390243902439</v>
      </c>
      <c r="Y137" s="405"/>
      <c r="Z137" s="319">
        <f>SUM(Z138:Z142)</f>
        <v>262500</v>
      </c>
      <c r="AA137" s="404">
        <f>SUM(AA138:AA142)</f>
        <v>0</v>
      </c>
      <c r="AB137" s="326">
        <f>IFERROR(AA137/I137,"")</f>
        <v>0</v>
      </c>
      <c r="AC137" s="326">
        <f>IFERROR(AA137/E137,"")</f>
        <v>0</v>
      </c>
      <c r="AD137" s="403">
        <f>IFERROR(AA137/U137,"")</f>
        <v>0</v>
      </c>
      <c r="AE137" s="402">
        <f>IFERROR(AD137*V137,0%)</f>
        <v>0</v>
      </c>
      <c r="AF137" s="314">
        <f>IFERROR((U137-E137)/E137,0%)</f>
        <v>0.05</v>
      </c>
      <c r="AG137" s="313">
        <f>IFERROR(AF137*J137,0%)</f>
        <v>3.7313432835820895E-3</v>
      </c>
      <c r="AH137" s="312" t="b">
        <f>ROUND((G137-E137),0)=ROUND(SUM(L137,O137,R137,AA137),0)</f>
        <v>1</v>
      </c>
      <c r="AI137" s="21"/>
    </row>
    <row r="138" spans="2:36" s="16" customFormat="1" outlineLevel="1" x14ac:dyDescent="0.3">
      <c r="B138" s="289"/>
      <c r="C138" s="308" t="s">
        <v>563</v>
      </c>
      <c r="D138" s="352">
        <v>150000</v>
      </c>
      <c r="E138" s="395">
        <v>150000</v>
      </c>
      <c r="F138" s="391">
        <v>153750</v>
      </c>
      <c r="G138" s="352">
        <v>157500</v>
      </c>
      <c r="H138" s="394">
        <f>IFERROR(F138/D138-1,"")</f>
        <v>2.4999999999999911E-2</v>
      </c>
      <c r="I138" s="393">
        <f>U138-E138</f>
        <v>7500</v>
      </c>
      <c r="J138" s="52">
        <f>IFERROR(E138/E$151,"")</f>
        <v>4.4776119402985072E-2</v>
      </c>
      <c r="K138" s="391">
        <v>156000</v>
      </c>
      <c r="L138" s="307">
        <f>K138-E138</f>
        <v>6000</v>
      </c>
      <c r="M138" s="280">
        <f>IFERROR(L138/$I138,"")</f>
        <v>0.8</v>
      </c>
      <c r="N138" s="391">
        <v>151500</v>
      </c>
      <c r="O138" s="307">
        <f>N138-E138</f>
        <v>1500</v>
      </c>
      <c r="P138" s="280">
        <f>IFERROR(O138/$I138,"")</f>
        <v>0.2</v>
      </c>
      <c r="Q138" s="390">
        <v>150000</v>
      </c>
      <c r="R138" s="307">
        <f>Q138-E138</f>
        <v>0</v>
      </c>
      <c r="S138" s="280">
        <f>IFERROR(R138/$I138,"")</f>
        <v>0</v>
      </c>
      <c r="T138" s="55"/>
      <c r="U138" s="281">
        <f>SUM(E138,L138,O138,R138)</f>
        <v>157500</v>
      </c>
      <c r="V138" s="356">
        <f>U138/$U$151</f>
        <v>4.5415224913494812E-2</v>
      </c>
      <c r="W138" s="288">
        <f>IFERROR(U138/E138,"")</f>
        <v>1.05</v>
      </c>
      <c r="X138" s="389">
        <f>IFERROR(U138/F138,"")</f>
        <v>1.024390243902439</v>
      </c>
      <c r="Y138" s="352"/>
      <c r="Z138" s="388">
        <v>157500</v>
      </c>
      <c r="AA138" s="307">
        <f>Z138-SUM(R138,O138,L138)-E138</f>
        <v>0</v>
      </c>
      <c r="AB138" s="280">
        <f>IFERROR(AA138/I138,"")</f>
        <v>0</v>
      </c>
      <c r="AC138" s="280">
        <f>IFERROR(AA138/E138,"")</f>
        <v>0</v>
      </c>
      <c r="AD138" s="401">
        <f>IFERROR(AA138/U138,"")</f>
        <v>0</v>
      </c>
      <c r="AE138" s="279">
        <f>IFERROR(AD138*V138,0%)</f>
        <v>0</v>
      </c>
      <c r="AF138" s="278">
        <f>IFERROR((U138-E138)/E138,0%)</f>
        <v>0.05</v>
      </c>
      <c r="AG138" s="277">
        <f>IFERROR(AF138*J138,0%)</f>
        <v>2.2388059701492539E-3</v>
      </c>
      <c r="AH138" s="276" t="b">
        <f>ROUND((G138-E138),0)=ROUND(SUM(L138,O138,R138,AA138),0)</f>
        <v>1</v>
      </c>
      <c r="AI138" s="21"/>
    </row>
    <row r="139" spans="2:36" s="16" customFormat="1" outlineLevel="1" x14ac:dyDescent="0.3">
      <c r="B139" s="289"/>
      <c r="C139" s="308" t="s">
        <v>562</v>
      </c>
      <c r="D139" s="352">
        <v>100000</v>
      </c>
      <c r="E139" s="395">
        <v>100000</v>
      </c>
      <c r="F139" s="391">
        <v>102499.99999999999</v>
      </c>
      <c r="G139" s="352">
        <v>105000</v>
      </c>
      <c r="H139" s="394">
        <f>IFERROR(F139/D139-1,"")</f>
        <v>2.4999999999999911E-2</v>
      </c>
      <c r="I139" s="393">
        <f>U139-E139</f>
        <v>5000</v>
      </c>
      <c r="J139" s="52">
        <f>IFERROR(E139/E$151,"")</f>
        <v>2.9850746268656716E-2</v>
      </c>
      <c r="K139" s="391">
        <v>104000</v>
      </c>
      <c r="L139" s="307">
        <f>K139-E139</f>
        <v>4000</v>
      </c>
      <c r="M139" s="280">
        <f>IFERROR(L139/$I139,"")</f>
        <v>0.8</v>
      </c>
      <c r="N139" s="391">
        <v>101000</v>
      </c>
      <c r="O139" s="307">
        <f>N139-E139</f>
        <v>1000</v>
      </c>
      <c r="P139" s="280">
        <f>IFERROR(O139/$I139,"")</f>
        <v>0.2</v>
      </c>
      <c r="Q139" s="390">
        <v>100000</v>
      </c>
      <c r="R139" s="307">
        <f>Q139-E139</f>
        <v>0</v>
      </c>
      <c r="S139" s="280">
        <f>IFERROR(R139/$I139,"")</f>
        <v>0</v>
      </c>
      <c r="T139" s="55"/>
      <c r="U139" s="281">
        <f>SUM(E139,L139,O139,R139)</f>
        <v>105000</v>
      </c>
      <c r="V139" s="356">
        <f>U139/$U$151</f>
        <v>3.0276816608996539E-2</v>
      </c>
      <c r="W139" s="288">
        <f>IFERROR(U139/E139,"")</f>
        <v>1.05</v>
      </c>
      <c r="X139" s="389">
        <f>IFERROR(U139/F139,"")</f>
        <v>1.0243902439024393</v>
      </c>
      <c r="Y139" s="352"/>
      <c r="Z139" s="388">
        <v>105000</v>
      </c>
      <c r="AA139" s="307">
        <f>Z139-SUM(R139,O139,L139)-E139</f>
        <v>0</v>
      </c>
      <c r="AB139" s="280">
        <f>IFERROR(AA139/I139,"")</f>
        <v>0</v>
      </c>
      <c r="AC139" s="280">
        <f>IFERROR(AA139/E139,"")</f>
        <v>0</v>
      </c>
      <c r="AD139" s="401">
        <f>IFERROR(AA139/U139,"")</f>
        <v>0</v>
      </c>
      <c r="AE139" s="279">
        <f>IFERROR(AD139*V139,0%)</f>
        <v>0</v>
      </c>
      <c r="AF139" s="278">
        <f>IFERROR((U139-E139)/E139,0%)</f>
        <v>0.05</v>
      </c>
      <c r="AG139" s="277">
        <f>IFERROR(AF139*J139,0%)</f>
        <v>1.4925373134328358E-3</v>
      </c>
      <c r="AH139" s="276" t="b">
        <f>ROUND((G139-E139),0)=ROUND(SUM(L139,O139,R139,AA139),0)</f>
        <v>1</v>
      </c>
      <c r="AI139" s="21"/>
    </row>
    <row r="140" spans="2:36" s="16" customFormat="1" outlineLevel="1" x14ac:dyDescent="0.3">
      <c r="B140" s="289"/>
      <c r="C140" s="308" t="s">
        <v>561</v>
      </c>
      <c r="D140" s="352">
        <v>0</v>
      </c>
      <c r="E140" s="395">
        <v>0</v>
      </c>
      <c r="F140" s="391">
        <v>0</v>
      </c>
      <c r="G140" s="352">
        <v>0</v>
      </c>
      <c r="H140" s="394" t="str">
        <f>IFERROR(F140/D140-1,"")</f>
        <v/>
      </c>
      <c r="I140" s="393">
        <f>U140-E140</f>
        <v>0</v>
      </c>
      <c r="J140" s="52">
        <f>IFERROR(E140/E$151,"")</f>
        <v>0</v>
      </c>
      <c r="K140" s="391">
        <v>0</v>
      </c>
      <c r="L140" s="307">
        <f>K140-E140</f>
        <v>0</v>
      </c>
      <c r="M140" s="280" t="str">
        <f>IFERROR(L140/$I140,"")</f>
        <v/>
      </c>
      <c r="N140" s="391">
        <v>0</v>
      </c>
      <c r="O140" s="307">
        <f>N140-E140</f>
        <v>0</v>
      </c>
      <c r="P140" s="280" t="str">
        <f>IFERROR(O140/$I140,"")</f>
        <v/>
      </c>
      <c r="Q140" s="390">
        <v>0</v>
      </c>
      <c r="R140" s="307">
        <f>Q140-E140</f>
        <v>0</v>
      </c>
      <c r="S140" s="280" t="str">
        <f>IFERROR(R140/$I140,"")</f>
        <v/>
      </c>
      <c r="T140" s="55"/>
      <c r="U140" s="281">
        <f>SUM(E140,L140,O140,R140)</f>
        <v>0</v>
      </c>
      <c r="V140" s="356">
        <f>U140/$U$151</f>
        <v>0</v>
      </c>
      <c r="W140" s="288" t="str">
        <f>IFERROR(U140/E140,"")</f>
        <v/>
      </c>
      <c r="X140" s="389" t="str">
        <f>IFERROR(U140/F140,"")</f>
        <v/>
      </c>
      <c r="Y140" s="352"/>
      <c r="Z140" s="388">
        <v>0</v>
      </c>
      <c r="AA140" s="307">
        <f>Z140-SUM(R140,O140,L140)-E140</f>
        <v>0</v>
      </c>
      <c r="AB140" s="280" t="str">
        <f>IFERROR(AA140/I140,"")</f>
        <v/>
      </c>
      <c r="AC140" s="280" t="str">
        <f>IFERROR(AA140/E140,"")</f>
        <v/>
      </c>
      <c r="AD140" s="401" t="str">
        <f>IFERROR(AA140/U140,"")</f>
        <v/>
      </c>
      <c r="AE140" s="279">
        <f>IFERROR(AD140*V140,0%)</f>
        <v>0</v>
      </c>
      <c r="AF140" s="278">
        <f>IFERROR((U140-E140)/E140,0%)</f>
        <v>0</v>
      </c>
      <c r="AG140" s="277">
        <f>IFERROR(AF140*J140,0%)</f>
        <v>0</v>
      </c>
      <c r="AH140" s="276" t="b">
        <f>ROUND((G140-E140),0)=ROUND(SUM(L140,O140,R140,AA140),0)</f>
        <v>1</v>
      </c>
      <c r="AI140" s="21"/>
    </row>
    <row r="141" spans="2:36" s="16" customFormat="1" outlineLevel="1" x14ac:dyDescent="0.3">
      <c r="B141" s="289"/>
      <c r="C141" s="308" t="s">
        <v>561</v>
      </c>
      <c r="D141" s="352">
        <v>0</v>
      </c>
      <c r="E141" s="395">
        <v>0</v>
      </c>
      <c r="F141" s="391">
        <v>0</v>
      </c>
      <c r="G141" s="352">
        <v>0</v>
      </c>
      <c r="H141" s="394" t="str">
        <f>IFERROR(F141/D141-1,"")</f>
        <v/>
      </c>
      <c r="I141" s="393">
        <f>U141-E141</f>
        <v>0</v>
      </c>
      <c r="J141" s="52">
        <f>IFERROR(E141/E$151,"")</f>
        <v>0</v>
      </c>
      <c r="K141" s="391">
        <v>0</v>
      </c>
      <c r="L141" s="307">
        <f>K141-E141</f>
        <v>0</v>
      </c>
      <c r="M141" s="280" t="str">
        <f>IFERROR(L141/$I141,"")</f>
        <v/>
      </c>
      <c r="N141" s="391">
        <v>0</v>
      </c>
      <c r="O141" s="307">
        <f>N141-E141</f>
        <v>0</v>
      </c>
      <c r="P141" s="280" t="str">
        <f>IFERROR(O141/$I141,"")</f>
        <v/>
      </c>
      <c r="Q141" s="390">
        <v>0</v>
      </c>
      <c r="R141" s="307">
        <f>Q141-E141</f>
        <v>0</v>
      </c>
      <c r="S141" s="280" t="str">
        <f>IFERROR(R141/$I141,"")</f>
        <v/>
      </c>
      <c r="T141" s="55"/>
      <c r="U141" s="281">
        <f>SUM(E141,L141,O141,R141)</f>
        <v>0</v>
      </c>
      <c r="V141" s="356">
        <f>U141/$U$151</f>
        <v>0</v>
      </c>
      <c r="W141" s="288" t="str">
        <f>IFERROR(U141/E141,"")</f>
        <v/>
      </c>
      <c r="X141" s="389" t="str">
        <f>IFERROR(U141/F141,"")</f>
        <v/>
      </c>
      <c r="Y141" s="352"/>
      <c r="Z141" s="388">
        <v>0</v>
      </c>
      <c r="AA141" s="307">
        <f>Z141-SUM(R141,O141,L141)-E141</f>
        <v>0</v>
      </c>
      <c r="AB141" s="280" t="str">
        <f>IFERROR(AA141/I141,"")</f>
        <v/>
      </c>
      <c r="AC141" s="280" t="str">
        <f>IFERROR(AA141/E141,"")</f>
        <v/>
      </c>
      <c r="AD141" s="401" t="str">
        <f>IFERROR(AA141/U141,"")</f>
        <v/>
      </c>
      <c r="AE141" s="279">
        <f>IFERROR(AD141*V141,0%)</f>
        <v>0</v>
      </c>
      <c r="AF141" s="278">
        <f>IFERROR((U141-E141)/E141,0%)</f>
        <v>0</v>
      </c>
      <c r="AG141" s="277">
        <f>IFERROR(AF141*J141,0%)</f>
        <v>0</v>
      </c>
      <c r="AH141" s="276" t="b">
        <f>ROUND((G141-E141),0)=ROUND(SUM(L141,O141,R141,AA141),0)</f>
        <v>1</v>
      </c>
      <c r="AI141" s="21"/>
    </row>
    <row r="142" spans="2:36" s="16" customFormat="1" outlineLevel="1" x14ac:dyDescent="0.3">
      <c r="B142" s="289"/>
      <c r="C142" s="308" t="s">
        <v>561</v>
      </c>
      <c r="D142" s="352">
        <v>0</v>
      </c>
      <c r="E142" s="395">
        <v>0</v>
      </c>
      <c r="F142" s="391">
        <v>0</v>
      </c>
      <c r="G142" s="352">
        <v>0</v>
      </c>
      <c r="H142" s="394" t="str">
        <f>IFERROR(F142/D142-1,"")</f>
        <v/>
      </c>
      <c r="I142" s="393">
        <f>U142-E142</f>
        <v>0</v>
      </c>
      <c r="J142" s="52">
        <f>IFERROR(E142/E$151,"")</f>
        <v>0</v>
      </c>
      <c r="K142" s="391">
        <v>0</v>
      </c>
      <c r="L142" s="307">
        <f>K142-E142</f>
        <v>0</v>
      </c>
      <c r="M142" s="280" t="str">
        <f>IFERROR(L142/$I142,"")</f>
        <v/>
      </c>
      <c r="N142" s="391">
        <v>0</v>
      </c>
      <c r="O142" s="307">
        <f>N142-E142</f>
        <v>0</v>
      </c>
      <c r="P142" s="280" t="str">
        <f>IFERROR(O142/$I142,"")</f>
        <v/>
      </c>
      <c r="Q142" s="390">
        <v>0</v>
      </c>
      <c r="R142" s="307">
        <f>Q142-E142</f>
        <v>0</v>
      </c>
      <c r="S142" s="280" t="str">
        <f>IFERROR(R142/$I142,"")</f>
        <v/>
      </c>
      <c r="T142" s="55"/>
      <c r="U142" s="281">
        <f>SUM(E142,L142,O142,R142)</f>
        <v>0</v>
      </c>
      <c r="V142" s="356">
        <f>U142/$U$151</f>
        <v>0</v>
      </c>
      <c r="W142" s="288" t="str">
        <f>IFERROR(U142/E142,"")</f>
        <v/>
      </c>
      <c r="X142" s="389" t="str">
        <f>IFERROR(U142/F142,"")</f>
        <v/>
      </c>
      <c r="Y142" s="352"/>
      <c r="Z142" s="388">
        <v>0</v>
      </c>
      <c r="AA142" s="307">
        <f>Z142-SUM(R142,O142,L142)-E142</f>
        <v>0</v>
      </c>
      <c r="AB142" s="280" t="str">
        <f>IFERROR(AA142/I142,"")</f>
        <v/>
      </c>
      <c r="AC142" s="280" t="str">
        <f>IFERROR(AA142/E142,"")</f>
        <v/>
      </c>
      <c r="AD142" s="400" t="str">
        <f>IFERROR(AA142/U142,"")</f>
        <v/>
      </c>
      <c r="AE142" s="279">
        <f>IFERROR(AD142*V142,0%)</f>
        <v>0</v>
      </c>
      <c r="AF142" s="278">
        <f>IFERROR((U142-E142)/E142,0%)</f>
        <v>0</v>
      </c>
      <c r="AG142" s="277">
        <f>IFERROR(AF142*J142,0%)</f>
        <v>0</v>
      </c>
      <c r="AH142" s="276" t="b">
        <f>ROUND((G142-E142),0)=ROUND(SUM(L142,O142,R142,AA142),0)</f>
        <v>1</v>
      </c>
      <c r="AI142" s="21"/>
    </row>
    <row r="143" spans="2:36" s="16" customFormat="1" outlineLevel="1" x14ac:dyDescent="0.3">
      <c r="B143" s="289"/>
      <c r="C143" s="42" t="s">
        <v>560</v>
      </c>
      <c r="D143" s="350">
        <v>100000</v>
      </c>
      <c r="E143" s="380">
        <v>100000</v>
      </c>
      <c r="F143" s="384">
        <v>102499.99999999999</v>
      </c>
      <c r="G143" s="350">
        <v>104000</v>
      </c>
      <c r="H143" s="386">
        <f>IFERROR(F143/D143-1,"")</f>
        <v>2.4999999999999911E-2</v>
      </c>
      <c r="I143" s="383">
        <f>U143-E143</f>
        <v>4000</v>
      </c>
      <c r="J143" s="22">
        <f>IFERROR(E143/E$151,"")</f>
        <v>2.9850746268656716E-2</v>
      </c>
      <c r="K143" s="384">
        <v>104000</v>
      </c>
      <c r="L143" s="303">
        <f>K143-E143</f>
        <v>4000</v>
      </c>
      <c r="M143" s="266">
        <f>IFERROR(L143/$I143,"")</f>
        <v>1</v>
      </c>
      <c r="N143" s="384">
        <v>100000</v>
      </c>
      <c r="O143" s="307">
        <f>N143-E143</f>
        <v>0</v>
      </c>
      <c r="P143" s="266">
        <f>IFERROR(O143/$I143,"")</f>
        <v>0</v>
      </c>
      <c r="Q143" s="399">
        <v>100000</v>
      </c>
      <c r="R143" s="307">
        <f>Q143-E143</f>
        <v>0</v>
      </c>
      <c r="S143" s="266">
        <f>IFERROR(R143/$I143,"")</f>
        <v>0</v>
      </c>
      <c r="T143" s="55"/>
      <c r="U143" s="383">
        <f>SUM(E143,L143,O143,R143)</f>
        <v>104000</v>
      </c>
      <c r="V143" s="382">
        <f>U143/$U$151</f>
        <v>2.9988465974625143E-2</v>
      </c>
      <c r="W143" s="305">
        <f>IFERROR(U143/E143,"")</f>
        <v>1.04</v>
      </c>
      <c r="X143" s="381">
        <f>IFERROR(U143/F143,"")</f>
        <v>1.0146341463414636</v>
      </c>
      <c r="Y143" s="350"/>
      <c r="Z143" s="398">
        <v>104000</v>
      </c>
      <c r="AA143" s="303">
        <f>Z143-SUM(R143,O143,L143)-E143</f>
        <v>0</v>
      </c>
      <c r="AB143" s="266">
        <f>IFERROR(AA143/I143,"")</f>
        <v>0</v>
      </c>
      <c r="AC143" s="266">
        <f>IFERROR(AA143/E143,"")</f>
        <v>0</v>
      </c>
      <c r="AD143" s="264">
        <f>IFERROR(AA143/U143,"")</f>
        <v>0</v>
      </c>
      <c r="AE143" s="265">
        <f>IFERROR(AD143*V143,0%)</f>
        <v>0</v>
      </c>
      <c r="AF143" s="264">
        <f>IFERROR((U143-E143)/E143,0%)</f>
        <v>0.04</v>
      </c>
      <c r="AG143" s="263">
        <f>IFERROR(AF143*J143,0%)</f>
        <v>1.1940298507462687E-3</v>
      </c>
      <c r="AH143" s="299" t="b">
        <f>ROUND((G143-E143),0)=ROUND(SUM(L143,O143,R143,AA143),0)</f>
        <v>1</v>
      </c>
      <c r="AI143" s="21"/>
    </row>
    <row r="144" spans="2:36" s="16" customFormat="1" outlineLevel="1" x14ac:dyDescent="0.3">
      <c r="B144" s="289"/>
      <c r="C144" s="42" t="s">
        <v>303</v>
      </c>
      <c r="D144" s="257">
        <f>SUM(D145:D149)</f>
        <v>0</v>
      </c>
      <c r="E144" s="295">
        <f>SUM(E145:E149)</f>
        <v>0</v>
      </c>
      <c r="F144" s="295">
        <f>SUM(F145:F149)</f>
        <v>0</v>
      </c>
      <c r="G144" s="295">
        <f>SUM(G145:G149)</f>
        <v>0</v>
      </c>
      <c r="H144" s="251" t="str">
        <f>IFERROR(F144/D144-1,"")</f>
        <v/>
      </c>
      <c r="I144" s="257">
        <f>U144-E144</f>
        <v>0</v>
      </c>
      <c r="J144" s="259">
        <f>IFERROR(E144/E$151,"")</f>
        <v>0</v>
      </c>
      <c r="K144" s="257">
        <f>SUM(K145:K149)</f>
        <v>0</v>
      </c>
      <c r="L144" s="257">
        <f>SUM(L145:L149)</f>
        <v>0</v>
      </c>
      <c r="M144" s="294" t="str">
        <f>IFERROR(L144/$I144,"")</f>
        <v/>
      </c>
      <c r="N144" s="257">
        <f>SUM(N145:N149)</f>
        <v>0</v>
      </c>
      <c r="O144" s="257">
        <f>SUM(O145:O149)</f>
        <v>0</v>
      </c>
      <c r="P144" s="294" t="str">
        <f>IFERROR(O144/$I144,"")</f>
        <v/>
      </c>
      <c r="Q144" s="257">
        <f>SUM(Q145:Q149)</f>
        <v>0</v>
      </c>
      <c r="R144" s="257">
        <f>SUM(R145:R149)</f>
        <v>0</v>
      </c>
      <c r="S144" s="294" t="str">
        <f>IFERROR(R144/$I144,"")</f>
        <v/>
      </c>
      <c r="T144" s="55"/>
      <c r="U144" s="257">
        <f>SUM(U145:U149)</f>
        <v>0</v>
      </c>
      <c r="V144" s="256">
        <f>U144/$U$151</f>
        <v>0</v>
      </c>
      <c r="W144" s="322" t="str">
        <f>IFERROR(U144/E144,"")</f>
        <v/>
      </c>
      <c r="X144" s="251" t="str">
        <f>IFERROR(U144/F144,"")</f>
        <v/>
      </c>
      <c r="Y144" s="350"/>
      <c r="Z144" s="397">
        <f>SUM(Z145:Z149)</f>
        <v>0</v>
      </c>
      <c r="AA144" s="396">
        <f>SUM(AA145:AA149)</f>
        <v>0</v>
      </c>
      <c r="AB144" s="293" t="str">
        <f>IFERROR(AA144/I144,"")</f>
        <v/>
      </c>
      <c r="AC144" s="293" t="str">
        <f>IFERROR(AA144/E144,"")</f>
        <v/>
      </c>
      <c r="AD144" s="250" t="str">
        <f>IFERROR(AA144/U144,"")</f>
        <v/>
      </c>
      <c r="AE144" s="292">
        <f>IFERROR(AD144*V144,0%)</f>
        <v>0</v>
      </c>
      <c r="AF144" s="291">
        <f>IFERROR((U144-E144)/E144,0%)</f>
        <v>0</v>
      </c>
      <c r="AG144" s="290">
        <f>IFERROR(AF144*J144,0%)</f>
        <v>0</v>
      </c>
      <c r="AH144" s="246" t="b">
        <f>ROUND((G144-E144),0)=ROUND(SUM(L144,O144,R144,AA144),0)</f>
        <v>1</v>
      </c>
      <c r="AI144" s="21"/>
    </row>
    <row r="145" spans="2:36" s="16" customFormat="1" outlineLevel="1" x14ac:dyDescent="0.3">
      <c r="B145" s="289"/>
      <c r="C145" s="308" t="s">
        <v>559</v>
      </c>
      <c r="D145" s="352">
        <v>0</v>
      </c>
      <c r="E145" s="395">
        <v>0</v>
      </c>
      <c r="F145" s="391">
        <v>0</v>
      </c>
      <c r="G145" s="352">
        <v>0</v>
      </c>
      <c r="H145" s="394" t="str">
        <f>IFERROR(F145/D145-1,"")</f>
        <v/>
      </c>
      <c r="I145" s="393">
        <f>U145-E145</f>
        <v>0</v>
      </c>
      <c r="J145" s="52">
        <f>IFERROR(E145/E$151,"")</f>
        <v>0</v>
      </c>
      <c r="K145" s="391">
        <v>0</v>
      </c>
      <c r="L145" s="307">
        <f>K145-E145</f>
        <v>0</v>
      </c>
      <c r="M145" s="280" t="str">
        <f>IFERROR(L145/$I145,"")</f>
        <v/>
      </c>
      <c r="N145" s="391">
        <v>0</v>
      </c>
      <c r="O145" s="307">
        <f>N145-E145</f>
        <v>0</v>
      </c>
      <c r="P145" s="280" t="str">
        <f>IFERROR(O145/$I145,"")</f>
        <v/>
      </c>
      <c r="Q145" s="390">
        <v>0</v>
      </c>
      <c r="R145" s="307">
        <f>Q145-E145</f>
        <v>0</v>
      </c>
      <c r="S145" s="280" t="str">
        <f>IFERROR(R145/$I145,"")</f>
        <v/>
      </c>
      <c r="T145" s="55"/>
      <c r="U145" s="281">
        <f>SUM(E145,L145,O145,R145)</f>
        <v>0</v>
      </c>
      <c r="V145" s="356">
        <f>U145/$U$151</f>
        <v>0</v>
      </c>
      <c r="W145" s="288" t="str">
        <f>IFERROR(U145/E145,"")</f>
        <v/>
      </c>
      <c r="X145" s="389" t="str">
        <f>IFERROR(U145/F145,"")</f>
        <v/>
      </c>
      <c r="Y145" s="352"/>
      <c r="Z145" s="388">
        <v>0</v>
      </c>
      <c r="AA145" s="307">
        <f>Z145-SUM(R145,O145,L145)-E145</f>
        <v>0</v>
      </c>
      <c r="AB145" s="280" t="str">
        <f>IFERROR(AA145/I145,"")</f>
        <v/>
      </c>
      <c r="AC145" s="280" t="str">
        <f>IFERROR(AA145/E145,"")</f>
        <v/>
      </c>
      <c r="AD145" s="278" t="str">
        <f>IFERROR(AA145/U145,"")</f>
        <v/>
      </c>
      <c r="AE145" s="279">
        <f>IFERROR(AD145*V145,0%)</f>
        <v>0</v>
      </c>
      <c r="AF145" s="278">
        <f>IFERROR((U145-E145)/E145,0%)</f>
        <v>0</v>
      </c>
      <c r="AG145" s="277">
        <f>IFERROR(AF145*J145,0%)</f>
        <v>0</v>
      </c>
      <c r="AH145" s="276" t="b">
        <f>ROUND((G145-E145),0)=ROUND(SUM(L145,O145,R145,AA145),0)</f>
        <v>1</v>
      </c>
      <c r="AI145" s="21"/>
    </row>
    <row r="146" spans="2:36" s="16" customFormat="1" outlineLevel="1" x14ac:dyDescent="0.3">
      <c r="B146" s="289"/>
      <c r="C146" s="308" t="s">
        <v>558</v>
      </c>
      <c r="D146" s="352">
        <v>0</v>
      </c>
      <c r="E146" s="395">
        <v>0</v>
      </c>
      <c r="F146" s="391">
        <v>0</v>
      </c>
      <c r="G146" s="352">
        <v>0</v>
      </c>
      <c r="H146" s="394" t="str">
        <f>IFERROR(F146/D146-1,"")</f>
        <v/>
      </c>
      <c r="I146" s="393">
        <f>U146-E146</f>
        <v>0</v>
      </c>
      <c r="J146" s="52">
        <f>IFERROR(E146/E$151,"")</f>
        <v>0</v>
      </c>
      <c r="K146" s="391">
        <v>0</v>
      </c>
      <c r="L146" s="307">
        <f>K146-E146</f>
        <v>0</v>
      </c>
      <c r="M146" s="280" t="str">
        <f>IFERROR(L146/$I146,"")</f>
        <v/>
      </c>
      <c r="N146" s="391">
        <v>0</v>
      </c>
      <c r="O146" s="307">
        <f>N146-E146</f>
        <v>0</v>
      </c>
      <c r="P146" s="280" t="str">
        <f>IFERROR(O146/$I146,"")</f>
        <v/>
      </c>
      <c r="Q146" s="390">
        <v>0</v>
      </c>
      <c r="R146" s="307">
        <f>Q146-E146</f>
        <v>0</v>
      </c>
      <c r="S146" s="280" t="str">
        <f>IFERROR(R146/$I146,"")</f>
        <v/>
      </c>
      <c r="T146" s="55"/>
      <c r="U146" s="281">
        <f>SUM(E146,L146,O146,R146)</f>
        <v>0</v>
      </c>
      <c r="V146" s="356">
        <f>U146/$U$151</f>
        <v>0</v>
      </c>
      <c r="W146" s="288" t="str">
        <f>IFERROR(U146/E146,"")</f>
        <v/>
      </c>
      <c r="X146" s="389" t="str">
        <f>IFERROR(U146/F146,"")</f>
        <v/>
      </c>
      <c r="Y146" s="352"/>
      <c r="Z146" s="388">
        <v>0</v>
      </c>
      <c r="AA146" s="307">
        <f>Z146-SUM(R146,O146,L146)-E146</f>
        <v>0</v>
      </c>
      <c r="AB146" s="280" t="str">
        <f>IFERROR(AA146/I146,"")</f>
        <v/>
      </c>
      <c r="AC146" s="280" t="str">
        <f>IFERROR(AA146/E146,"")</f>
        <v/>
      </c>
      <c r="AD146" s="278" t="str">
        <f>IFERROR(AA146/U146,"")</f>
        <v/>
      </c>
      <c r="AE146" s="279">
        <f>IFERROR(AD146*V146,0%)</f>
        <v>0</v>
      </c>
      <c r="AF146" s="278">
        <f>IFERROR((U146-E146)/E146,0%)</f>
        <v>0</v>
      </c>
      <c r="AG146" s="277">
        <f>IFERROR(AF146*J146,0%)</f>
        <v>0</v>
      </c>
      <c r="AH146" s="276" t="b">
        <f>ROUND((G146-E146),0)=ROUND(SUM(L146,O146,R146,AA146),0)</f>
        <v>1</v>
      </c>
      <c r="AI146" s="21"/>
    </row>
    <row r="147" spans="2:36" s="16" customFormat="1" outlineLevel="1" x14ac:dyDescent="0.3">
      <c r="B147" s="289"/>
      <c r="C147" s="308" t="s">
        <v>557</v>
      </c>
      <c r="D147" s="352">
        <v>0</v>
      </c>
      <c r="E147" s="395">
        <v>0</v>
      </c>
      <c r="F147" s="391">
        <v>0</v>
      </c>
      <c r="G147" s="352">
        <v>0</v>
      </c>
      <c r="H147" s="394" t="str">
        <f>IFERROR(F147/D147-1,"")</f>
        <v/>
      </c>
      <c r="I147" s="393">
        <f>U147-E147</f>
        <v>0</v>
      </c>
      <c r="J147" s="52">
        <f>IFERROR(E147/E$151,"")</f>
        <v>0</v>
      </c>
      <c r="K147" s="392">
        <v>0</v>
      </c>
      <c r="L147" s="307">
        <f>K147-E147</f>
        <v>0</v>
      </c>
      <c r="M147" s="280" t="str">
        <f>IFERROR(L147/$I147,"")</f>
        <v/>
      </c>
      <c r="N147" s="391">
        <v>0</v>
      </c>
      <c r="O147" s="307">
        <f>N147-E147</f>
        <v>0</v>
      </c>
      <c r="P147" s="280" t="str">
        <f>IFERROR(O147/$I147,"")</f>
        <v/>
      </c>
      <c r="Q147" s="390">
        <v>0</v>
      </c>
      <c r="R147" s="307">
        <f>Q147-E147</f>
        <v>0</v>
      </c>
      <c r="S147" s="280" t="str">
        <f>IFERROR(R147/$I147,"")</f>
        <v/>
      </c>
      <c r="T147" s="55"/>
      <c r="U147" s="281">
        <f>SUM(E147,L147,O147,R147)</f>
        <v>0</v>
      </c>
      <c r="V147" s="356">
        <f>U147/$U$151</f>
        <v>0</v>
      </c>
      <c r="W147" s="288" t="str">
        <f>IFERROR(U147/E147,"")</f>
        <v/>
      </c>
      <c r="X147" s="389" t="str">
        <f>IFERROR(U147/F147,"")</f>
        <v/>
      </c>
      <c r="Y147" s="352"/>
      <c r="Z147" s="388">
        <v>0</v>
      </c>
      <c r="AA147" s="307">
        <f>Z147-SUM(R147,O147,L147)-E147</f>
        <v>0</v>
      </c>
      <c r="AB147" s="280" t="str">
        <f>IFERROR(AA147/I147,"")</f>
        <v/>
      </c>
      <c r="AC147" s="280" t="str">
        <f>IFERROR(AA147/E147,"")</f>
        <v/>
      </c>
      <c r="AD147" s="278" t="str">
        <f>IFERROR(AA147/U147,"")</f>
        <v/>
      </c>
      <c r="AE147" s="279">
        <f>IFERROR(AD147*V147,0%)</f>
        <v>0</v>
      </c>
      <c r="AF147" s="278">
        <f>IFERROR((U147-E147)/E147,0%)</f>
        <v>0</v>
      </c>
      <c r="AG147" s="277">
        <f>IFERROR(AF147*J147,0%)</f>
        <v>0</v>
      </c>
      <c r="AH147" s="276" t="b">
        <f>ROUND((G147-E147),0)=ROUND(SUM(L147,O147,R147,AA147),0)</f>
        <v>1</v>
      </c>
      <c r="AI147" s="21"/>
    </row>
    <row r="148" spans="2:36" s="16" customFormat="1" outlineLevel="1" x14ac:dyDescent="0.3">
      <c r="B148" s="289"/>
      <c r="C148" s="308" t="s">
        <v>557</v>
      </c>
      <c r="D148" s="352">
        <v>0</v>
      </c>
      <c r="E148" s="395">
        <v>0</v>
      </c>
      <c r="F148" s="391">
        <v>0</v>
      </c>
      <c r="G148" s="352">
        <v>0</v>
      </c>
      <c r="H148" s="394" t="str">
        <f>IFERROR(F148/D148-1,"")</f>
        <v/>
      </c>
      <c r="I148" s="393">
        <f>U148-E148</f>
        <v>0</v>
      </c>
      <c r="J148" s="52">
        <f>IFERROR(E148/E$151,"")</f>
        <v>0</v>
      </c>
      <c r="K148" s="392">
        <v>0</v>
      </c>
      <c r="L148" s="307">
        <f>K148-E148</f>
        <v>0</v>
      </c>
      <c r="M148" s="280" t="str">
        <f>IFERROR(L148/$I148,"")</f>
        <v/>
      </c>
      <c r="N148" s="391">
        <v>0</v>
      </c>
      <c r="O148" s="307">
        <f>N148-E148</f>
        <v>0</v>
      </c>
      <c r="P148" s="280" t="str">
        <f>IFERROR(O148/$I148,"")</f>
        <v/>
      </c>
      <c r="Q148" s="390">
        <v>0</v>
      </c>
      <c r="R148" s="307">
        <f>Q148-E148</f>
        <v>0</v>
      </c>
      <c r="S148" s="280" t="str">
        <f>IFERROR(R148/$I148,"")</f>
        <v/>
      </c>
      <c r="T148" s="55"/>
      <c r="U148" s="281">
        <f>SUM(E148,L148,O148,R148)</f>
        <v>0</v>
      </c>
      <c r="V148" s="356">
        <f>U148/$U$151</f>
        <v>0</v>
      </c>
      <c r="W148" s="288" t="str">
        <f>IFERROR(U148/E148,"")</f>
        <v/>
      </c>
      <c r="X148" s="389" t="str">
        <f>IFERROR(U148/F148,"")</f>
        <v/>
      </c>
      <c r="Y148" s="352"/>
      <c r="Z148" s="388">
        <v>0</v>
      </c>
      <c r="AA148" s="307">
        <f>Z148-SUM(R148,O148,L148)-E148</f>
        <v>0</v>
      </c>
      <c r="AB148" s="280" t="str">
        <f>IFERROR(AA148/I148,"")</f>
        <v/>
      </c>
      <c r="AC148" s="280" t="str">
        <f>IFERROR(AA148/E148,"")</f>
        <v/>
      </c>
      <c r="AD148" s="278" t="str">
        <f>IFERROR(AA148/U148,"")</f>
        <v/>
      </c>
      <c r="AE148" s="279">
        <f>IFERROR(AD148*V148,0%)</f>
        <v>0</v>
      </c>
      <c r="AF148" s="278">
        <f>IFERROR((U148-E148)/E148,0%)</f>
        <v>0</v>
      </c>
      <c r="AG148" s="277">
        <f>IFERROR(AF148*J148,0%)</f>
        <v>0</v>
      </c>
      <c r="AH148" s="276" t="b">
        <f>ROUND((G148-E148),0)=ROUND(SUM(L148,O148,R148,AA148),0)</f>
        <v>1</v>
      </c>
      <c r="AI148" s="21"/>
    </row>
    <row r="149" spans="2:36" s="16" customFormat="1" outlineLevel="1" x14ac:dyDescent="0.3">
      <c r="B149" s="289"/>
      <c r="C149" s="308" t="s">
        <v>557</v>
      </c>
      <c r="D149" s="352">
        <v>0</v>
      </c>
      <c r="E149" s="395">
        <v>0</v>
      </c>
      <c r="F149" s="391">
        <v>0</v>
      </c>
      <c r="G149" s="352">
        <v>0</v>
      </c>
      <c r="H149" s="394" t="str">
        <f>IFERROR(F149/D149-1,"")</f>
        <v/>
      </c>
      <c r="I149" s="393">
        <f>U149-E149</f>
        <v>0</v>
      </c>
      <c r="J149" s="52">
        <f>IFERROR(E149/E$151,"")</f>
        <v>0</v>
      </c>
      <c r="K149" s="392">
        <v>0</v>
      </c>
      <c r="L149" s="307">
        <f>K149-E149</f>
        <v>0</v>
      </c>
      <c r="M149" s="280" t="str">
        <f>IFERROR(L149/$I149,"")</f>
        <v/>
      </c>
      <c r="N149" s="391">
        <v>0</v>
      </c>
      <c r="O149" s="307">
        <f>N149-E149</f>
        <v>0</v>
      </c>
      <c r="P149" s="280" t="str">
        <f>IFERROR(O149/$I149,"")</f>
        <v/>
      </c>
      <c r="Q149" s="390">
        <v>0</v>
      </c>
      <c r="R149" s="307">
        <f>Q149-E149</f>
        <v>0</v>
      </c>
      <c r="S149" s="280" t="str">
        <f>IFERROR(R149/$I149,"")</f>
        <v/>
      </c>
      <c r="T149" s="55"/>
      <c r="U149" s="281">
        <f>SUM(E149,L149,O149,R149)</f>
        <v>0</v>
      </c>
      <c r="V149" s="356">
        <f>U149/$U$151</f>
        <v>0</v>
      </c>
      <c r="W149" s="288" t="str">
        <f>IFERROR(U149/E149,"")</f>
        <v/>
      </c>
      <c r="X149" s="389" t="str">
        <f>IFERROR(U149/F149,"")</f>
        <v/>
      </c>
      <c r="Y149" s="352"/>
      <c r="Z149" s="388">
        <v>0</v>
      </c>
      <c r="AA149" s="307">
        <f>Z149-SUM(R149,O149,L149)-E149</f>
        <v>0</v>
      </c>
      <c r="AB149" s="280" t="str">
        <f>IFERROR(AA149/I149,"")</f>
        <v/>
      </c>
      <c r="AC149" s="280" t="str">
        <f>IFERROR(AA149/E149,"")</f>
        <v/>
      </c>
      <c r="AD149" s="278" t="str">
        <f>IFERROR(AA149/U149,"")</f>
        <v/>
      </c>
      <c r="AE149" s="279">
        <f>IFERROR(AD149*V149,0%)</f>
        <v>0</v>
      </c>
      <c r="AF149" s="278">
        <f>IFERROR((U149-E149)/E149,0%)</f>
        <v>0</v>
      </c>
      <c r="AG149" s="277">
        <f>IFERROR(AF149*J149,0%)</f>
        <v>0</v>
      </c>
      <c r="AH149" s="276" t="b">
        <f>ROUND((G149-E149),0)=ROUND(SUM(L149,O149,R149,AA149),0)</f>
        <v>1</v>
      </c>
      <c r="AI149" s="21"/>
    </row>
    <row r="150" spans="2:36" s="16" customFormat="1" x14ac:dyDescent="0.3">
      <c r="B150" s="275"/>
      <c r="C150" s="23" t="s">
        <v>556</v>
      </c>
      <c r="D150" s="345">
        <v>-500000</v>
      </c>
      <c r="E150" s="387">
        <v>-500000</v>
      </c>
      <c r="F150" s="345">
        <v>-512499.99999999994</v>
      </c>
      <c r="G150" s="345">
        <v>-525000</v>
      </c>
      <c r="H150" s="386">
        <f>IFERROR(F150/D150-1,"")</f>
        <v>2.4999999999999911E-2</v>
      </c>
      <c r="I150" s="383">
        <f>U150-E150</f>
        <v>-25000</v>
      </c>
      <c r="J150" s="385">
        <f>IFERROR(E150/E$151,"")</f>
        <v>-0.14925373134328357</v>
      </c>
      <c r="K150" s="384">
        <v>-520000</v>
      </c>
      <c r="L150" s="303">
        <f>K150-E150</f>
        <v>-20000</v>
      </c>
      <c r="M150" s="266">
        <f>IFERROR(L150/$I150,"")</f>
        <v>0.8</v>
      </c>
      <c r="N150" s="384">
        <v>-505000</v>
      </c>
      <c r="O150" s="303">
        <f>N150-E150</f>
        <v>-5000</v>
      </c>
      <c r="P150" s="266">
        <f>IFERROR(O150/$I150,"")</f>
        <v>0.2</v>
      </c>
      <c r="Q150" s="384">
        <v>-500000</v>
      </c>
      <c r="R150" s="303">
        <f>Q150-E150</f>
        <v>0</v>
      </c>
      <c r="S150" s="266">
        <f>IFERROR(R150/$I150,"")</f>
        <v>0</v>
      </c>
      <c r="T150" s="45"/>
      <c r="U150" s="383">
        <f>SUM(E150,L150,O150,R150)</f>
        <v>-525000</v>
      </c>
      <c r="V150" s="382">
        <f>U150/$U$151</f>
        <v>-0.15138408304498269</v>
      </c>
      <c r="W150" s="305">
        <f>IFERROR(U150/E150,"")</f>
        <v>1.05</v>
      </c>
      <c r="X150" s="381">
        <f>IFERROR(U150/F150,"")</f>
        <v>1.024390243902439</v>
      </c>
      <c r="Y150" s="350"/>
      <c r="Z150" s="380">
        <v>-525000</v>
      </c>
      <c r="AA150" s="303">
        <f>Z150-SUM(R150,O150,L150)-E150</f>
        <v>0</v>
      </c>
      <c r="AB150" s="266">
        <f>IFERROR(AA150/I150,"")</f>
        <v>0</v>
      </c>
      <c r="AC150" s="266">
        <f>IFERROR(AA150/E150,"")</f>
        <v>0</v>
      </c>
      <c r="AD150" s="264">
        <f>IFERROR(AA150/U150,"")</f>
        <v>0</v>
      </c>
      <c r="AE150" s="265">
        <f>IFERROR(AD150*V150,0%)</f>
        <v>0</v>
      </c>
      <c r="AF150" s="264">
        <f>IFERROR((U150-E150)/E150,0%)</f>
        <v>0.05</v>
      </c>
      <c r="AG150" s="263">
        <f>IFERROR(AF150*J150,0%)</f>
        <v>-7.462686567164179E-3</v>
      </c>
      <c r="AH150" s="262" t="b">
        <f>ROUND((G150-E150),0)=ROUND(SUM(L150,O150,R150,AA150),0)</f>
        <v>1</v>
      </c>
      <c r="AI150" s="21"/>
      <c r="AJ150" s="21"/>
    </row>
    <row r="151" spans="2:36" s="16" customFormat="1" x14ac:dyDescent="0.3">
      <c r="C151" s="21" t="str">
        <f>"Overall "&amp;C118&amp;" Services"</f>
        <v>Overall IP Psych Services</v>
      </c>
      <c r="D151" s="257">
        <f>SUM(D119,D125,D129,D130,D131,D143,D144,D150)</f>
        <v>3350000</v>
      </c>
      <c r="E151" s="379">
        <f>SUM(E119,E125,E129,E130,E131,E143,E144,E150)</f>
        <v>3350000</v>
      </c>
      <c r="F151" s="295">
        <f>SUM(F119,F125,F129,F130,F131,F143,F144,F150)</f>
        <v>3425000</v>
      </c>
      <c r="G151" s="295">
        <f>SUM(G119,G125,G129,G130,G131,G143,G144,G150)</f>
        <v>3493000</v>
      </c>
      <c r="H151" s="251">
        <f>IFERROR(F151/D151-1,"")</f>
        <v>2.2388059701492491E-2</v>
      </c>
      <c r="I151" s="257">
        <f>SUM(I119,I125,I129,I130,I131,I143,I144,I150)</f>
        <v>117999.99999999977</v>
      </c>
      <c r="J151" s="259">
        <f>IFERROR(E151/E$151,"")</f>
        <v>1</v>
      </c>
      <c r="K151" s="257">
        <f>SUM(K119,K125,K129,K130,K131,K143,K144,K150)</f>
        <v>3444500</v>
      </c>
      <c r="L151" s="257">
        <f>SUM(L119,L125,L129,L130,L131,L143,L144,L150)</f>
        <v>94499.999999999884</v>
      </c>
      <c r="M151" s="251">
        <f>IFERROR(L151/$I151,"")</f>
        <v>0.80084745762711929</v>
      </c>
      <c r="N151" s="257">
        <f>SUM(N119,N125,N129,N130,N131,N143,N144,N150)</f>
        <v>3373500</v>
      </c>
      <c r="O151" s="257">
        <f>SUM(O119,O125,O129,O130,O131,O143,O144,O150)</f>
        <v>23499.999999999884</v>
      </c>
      <c r="P151" s="251">
        <f>IFERROR(O151/$I151,"")</f>
        <v>0.19915254237288077</v>
      </c>
      <c r="Q151" s="257">
        <f>SUM(Q119,Q125,Q129,Q130,Q131,Q143,Q144,Q150)</f>
        <v>3350000</v>
      </c>
      <c r="R151" s="257">
        <f>SUM(R119,R125,R129,R130,R131,R143,R144,R150)</f>
        <v>0</v>
      </c>
      <c r="S151" s="247">
        <f>IFERROR(R151/$I151,"")</f>
        <v>0</v>
      </c>
      <c r="T151" s="258"/>
      <c r="U151" s="257">
        <f>SUM(U119,U125,U129,U130,U131,U143,U144,U150)</f>
        <v>3468000</v>
      </c>
      <c r="V151" s="256">
        <f>SUM(V119,V125,V129,V130,V131,V143,V144,V150)</f>
        <v>1</v>
      </c>
      <c r="W151" s="255">
        <f>IFERROR(U151/E151,"")</f>
        <v>1.0352238805970149</v>
      </c>
      <c r="X151" s="254">
        <f>IFERROR(U151/F151,"")</f>
        <v>1.0125547445255474</v>
      </c>
      <c r="Y151" s="345"/>
      <c r="Z151" s="378">
        <f>SUM(Z119,Z125,Z129,Z130,Z131,Z143,Z144,Z150)</f>
        <v>3493000.01</v>
      </c>
      <c r="AA151" s="257">
        <f>SUM(AA119,AA125,AA129,AA130,AA131,AA143,AA144,AA150)</f>
        <v>25000.0100000003</v>
      </c>
      <c r="AB151" s="251">
        <f>IFERROR(AA151/I151,"")</f>
        <v>0.21186449152542669</v>
      </c>
      <c r="AC151" s="251">
        <f>IFERROR(AA151/E151,"")</f>
        <v>7.4626895522388959E-3</v>
      </c>
      <c r="AD151" s="250">
        <f>IFERROR(AA151/U151,"")</f>
        <v>7.2087687427913206E-3</v>
      </c>
      <c r="AE151" s="249">
        <f>SUM(AE119,AE125,AE129,AE130,AE131,AE143,AE144,AE150)</f>
        <v>7.2087687427913206E-3</v>
      </c>
      <c r="AF151" s="337">
        <f>IFERROR((U151-E151)/E151,0%)</f>
        <v>3.5223880597014923E-2</v>
      </c>
      <c r="AG151" s="377">
        <f>SUM(AG119,AG125,AG129,AG130,AG131,AG143,AG144,AG150)</f>
        <v>3.5223880597014853E-2</v>
      </c>
      <c r="AH151" s="376"/>
      <c r="AI151" s="245"/>
      <c r="AJ151" s="245"/>
    </row>
    <row r="152" spans="2:36" s="16" customFormat="1" x14ac:dyDescent="0.3">
      <c r="E152" s="372"/>
      <c r="F152" s="372"/>
      <c r="G152" s="372"/>
      <c r="H152" s="372"/>
      <c r="I152" s="372"/>
      <c r="J152" s="375"/>
      <c r="K152" s="372"/>
      <c r="L152" s="372"/>
      <c r="M152" s="372"/>
      <c r="N152" s="372"/>
      <c r="O152" s="372"/>
      <c r="P152" s="372"/>
      <c r="Q152" s="372"/>
      <c r="R152" s="372"/>
      <c r="S152" s="372"/>
      <c r="T152" s="372"/>
      <c r="U152" s="372"/>
      <c r="V152" s="372"/>
      <c r="W152" s="372"/>
      <c r="X152" s="372"/>
      <c r="Y152" s="372"/>
      <c r="Z152" s="372"/>
      <c r="AA152" s="374" t="b">
        <f>ROUND(Z151-SUM(R151,O151,L151)-E151,0)=ROUND(AA151,0)</f>
        <v>1</v>
      </c>
      <c r="AB152" s="373"/>
      <c r="AC152" s="373"/>
      <c r="AD152" s="51"/>
      <c r="AE152" s="19" t="b">
        <f>ROUND(AE151,4)=ROUND(AD151,4)</f>
        <v>1</v>
      </c>
      <c r="AF152" s="18"/>
      <c r="AG152" s="18" t="b">
        <f>AG151=AF151</f>
        <v>1</v>
      </c>
      <c r="AH152" s="372"/>
    </row>
    <row r="153" spans="2:36" s="16" customFormat="1" x14ac:dyDescent="0.3">
      <c r="C153" s="21"/>
      <c r="D153" s="21"/>
      <c r="E153" s="48"/>
      <c r="F153" s="48"/>
      <c r="G153" s="48"/>
      <c r="H153" s="48"/>
      <c r="I153" s="48"/>
      <c r="J153" s="49"/>
      <c r="K153" s="371" t="s">
        <v>581</v>
      </c>
      <c r="L153" s="371"/>
      <c r="M153" s="371"/>
      <c r="N153" s="371"/>
      <c r="O153" s="370"/>
      <c r="P153" s="369"/>
      <c r="Q153" s="48"/>
      <c r="R153" s="48"/>
      <c r="S153" s="48"/>
      <c r="T153" s="48"/>
      <c r="U153" s="48"/>
      <c r="V153" s="48"/>
      <c r="W153" s="48"/>
      <c r="X153" s="48"/>
      <c r="Y153" s="48"/>
      <c r="Z153" s="48"/>
      <c r="AA153" s="48"/>
      <c r="AB153" s="48"/>
      <c r="AC153" s="48"/>
      <c r="AD153" s="19"/>
      <c r="AE153" s="19"/>
      <c r="AF153" s="18"/>
      <c r="AG153" s="18"/>
      <c r="AH153" s="48"/>
    </row>
    <row r="154" spans="2:36" s="16" customFormat="1" ht="75" customHeight="1" x14ac:dyDescent="0.35">
      <c r="C154" s="368" t="s">
        <v>91</v>
      </c>
      <c r="D154" s="232" t="s">
        <v>534</v>
      </c>
      <c r="E154" s="231" t="s">
        <v>66</v>
      </c>
      <c r="F154" s="231" t="s">
        <v>580</v>
      </c>
      <c r="G154" s="231" t="s">
        <v>528</v>
      </c>
      <c r="H154" s="231" t="s">
        <v>526</v>
      </c>
      <c r="I154" s="231" t="s">
        <v>67</v>
      </c>
      <c r="J154" s="367" t="s">
        <v>59</v>
      </c>
      <c r="K154" s="231" t="s">
        <v>522</v>
      </c>
      <c r="L154" s="231" t="s">
        <v>520</v>
      </c>
      <c r="M154" s="232" t="s">
        <v>579</v>
      </c>
      <c r="N154" s="231" t="s">
        <v>518</v>
      </c>
      <c r="O154" s="231" t="s">
        <v>516</v>
      </c>
      <c r="P154" s="232" t="s">
        <v>578</v>
      </c>
      <c r="Q154" s="231" t="s">
        <v>514</v>
      </c>
      <c r="R154" s="231" t="s">
        <v>512</v>
      </c>
      <c r="S154" s="231" t="s">
        <v>577</v>
      </c>
      <c r="T154" s="231" t="s">
        <v>510</v>
      </c>
      <c r="U154" s="231" t="s">
        <v>508</v>
      </c>
      <c r="V154" s="231" t="s">
        <v>506</v>
      </c>
      <c r="W154" s="231" t="s">
        <v>504</v>
      </c>
      <c r="X154" s="231" t="s">
        <v>502</v>
      </c>
      <c r="Y154" s="366" t="s">
        <v>500</v>
      </c>
      <c r="Z154" s="231" t="s">
        <v>498</v>
      </c>
      <c r="AA154" s="232" t="s">
        <v>545</v>
      </c>
      <c r="AB154" s="232" t="s">
        <v>494</v>
      </c>
      <c r="AC154" s="231" t="s">
        <v>544</v>
      </c>
      <c r="AD154" s="231" t="s">
        <v>490</v>
      </c>
      <c r="AE154" s="365" t="s">
        <v>488</v>
      </c>
      <c r="AF154" s="231" t="s">
        <v>486</v>
      </c>
      <c r="AG154" s="365" t="s">
        <v>484</v>
      </c>
      <c r="AH154" s="232" t="s">
        <v>482</v>
      </c>
    </row>
    <row r="155" spans="2:36" s="16" customFormat="1" x14ac:dyDescent="0.3">
      <c r="B155" s="342" t="s">
        <v>576</v>
      </c>
      <c r="C155" s="47" t="s">
        <v>68</v>
      </c>
      <c r="D155" s="257">
        <f>D11+D47+D83+D119</f>
        <v>5781970</v>
      </c>
      <c r="E155" s="257">
        <f>E11+E47+E83+E119</f>
        <v>5826500</v>
      </c>
      <c r="F155" s="257">
        <f>F11+F47+F83+F119</f>
        <v>6000900</v>
      </c>
      <c r="G155" s="257">
        <f>G11+G47+G83+G119</f>
        <v>6181114</v>
      </c>
      <c r="H155" s="247">
        <f>IFERROR(F155/D155-1,"")</f>
        <v>3.7864257337896889E-2</v>
      </c>
      <c r="I155" s="257">
        <f>SUM(I156:I160)</f>
        <v>341613.99999999988</v>
      </c>
      <c r="J155" s="297">
        <f>IFERROR(E155/E$187,"")</f>
        <v>0.22612694778103351</v>
      </c>
      <c r="K155" s="257">
        <f>SUM(K156:K160)</f>
        <v>6036719</v>
      </c>
      <c r="L155" s="257">
        <f>SUM(L156:L160)</f>
        <v>210218.99999999991</v>
      </c>
      <c r="M155" s="339">
        <f>IFERROR(L155/$I155,"")</f>
        <v>0.61536997898212598</v>
      </c>
      <c r="N155" s="257">
        <f>SUM(N156:N160)</f>
        <v>5851956</v>
      </c>
      <c r="O155" s="257">
        <f>SUM(O156:O160)</f>
        <v>25455.999999999935</v>
      </c>
      <c r="P155" s="339">
        <f>IFERROR(O155/$I155,"")</f>
        <v>7.4516852353826088E-2</v>
      </c>
      <c r="Q155" s="257">
        <f>SUM(Q156:Q160)</f>
        <v>5826500</v>
      </c>
      <c r="R155" s="257">
        <f>SUM(R156:R160)</f>
        <v>0</v>
      </c>
      <c r="S155" s="294">
        <f>IFERROR(R155/$I155,"")</f>
        <v>0</v>
      </c>
      <c r="T155" s="45"/>
      <c r="U155" s="257">
        <f>SUM(U156:U160)</f>
        <v>6062175</v>
      </c>
      <c r="V155" s="256">
        <f>U155/$U$187</f>
        <v>0.22336134529948659</v>
      </c>
      <c r="W155" s="247">
        <f>IFERROR(U155/E155,"")</f>
        <v>1.0404488114648589</v>
      </c>
      <c r="X155" s="251">
        <f>IFERROR(U155/F155,"")</f>
        <v>1.0102109683547469</v>
      </c>
      <c r="Y155" s="364"/>
      <c r="Z155" s="257">
        <f>SUM(Z156:Z160)</f>
        <v>6181114.0099999998</v>
      </c>
      <c r="AA155" s="257">
        <f>SUM(AA156:AA160)</f>
        <v>118939.01000000004</v>
      </c>
      <c r="AB155" s="363">
        <f>IFERROR(AA155/I155,"")</f>
        <v>0.34816784440918719</v>
      </c>
      <c r="AC155" s="362">
        <f>IFERROR(AA155/E155,"")</f>
        <v>2.0413457478760839E-2</v>
      </c>
      <c r="AD155" s="360">
        <f>IFERROR(AA155/U155,"")</f>
        <v>1.9619857559374322E-2</v>
      </c>
      <c r="AE155" s="361">
        <f>IFERROR(AD155*V155,0%)</f>
        <v>4.3823177790461498E-3</v>
      </c>
      <c r="AF155" s="360">
        <f>IFERROR((U155-E155)/E155,0%)</f>
        <v>4.0448811464858833E-2</v>
      </c>
      <c r="AG155" s="359">
        <f>IFERROR(AF155*J155,0%)</f>
        <v>9.1465662779190021E-3</v>
      </c>
      <c r="AH155" s="358" t="b">
        <f>ROUND((G155-E155),0)=ROUND(SUM(L155,O155,R155,AA155),0)</f>
        <v>1</v>
      </c>
      <c r="AI155" s="21"/>
      <c r="AJ155" s="21"/>
    </row>
    <row r="156" spans="2:36" s="16" customFormat="1" x14ac:dyDescent="0.3">
      <c r="B156" s="289"/>
      <c r="C156" s="43" t="s">
        <v>575</v>
      </c>
      <c r="D156" s="281">
        <f>D12+D48+D84+D120</f>
        <v>2877000</v>
      </c>
      <c r="E156" s="281">
        <f>E12+E48+E84+E120</f>
        <v>2900000</v>
      </c>
      <c r="F156" s="281">
        <f>F12+F48+F84+F120</f>
        <v>2996250</v>
      </c>
      <c r="G156" s="281">
        <f>G12+G48+G84+G120</f>
        <v>3082506.25</v>
      </c>
      <c r="H156" s="288">
        <f>IFERROR(F156/D156-1,"")</f>
        <v>4.1449426485922869E-2</v>
      </c>
      <c r="I156" s="281">
        <f>I12+I48+I84+I120</f>
        <v>176006.25</v>
      </c>
      <c r="J156" s="287">
        <f>IFERROR(E156/E$187,"")</f>
        <v>0.11254924029262803</v>
      </c>
      <c r="K156" s="281">
        <f>K12+K48+K84+K120</f>
        <v>3021875</v>
      </c>
      <c r="L156" s="281">
        <f>L12+L48+L84+L120</f>
        <v>121875</v>
      </c>
      <c r="M156" s="351">
        <f>IFERROR(L156/$I156,"")</f>
        <v>0.69244700117183333</v>
      </c>
      <c r="N156" s="281">
        <f>N12+N48+N84+N120</f>
        <v>2906562.5</v>
      </c>
      <c r="O156" s="281">
        <f>O12+O48+O84+O120</f>
        <v>6562.5</v>
      </c>
      <c r="P156" s="351">
        <f>IFERROR(O156/$I156,"")</f>
        <v>3.7285607755406416E-2</v>
      </c>
      <c r="Q156" s="281">
        <f>Q12+Q48+Q84+Q120</f>
        <v>2900000</v>
      </c>
      <c r="R156" s="307">
        <f>R12+R48+R84+R120</f>
        <v>0</v>
      </c>
      <c r="S156" s="266">
        <f>IFERROR(R156/N156,"")</f>
        <v>0</v>
      </c>
      <c r="T156" s="45"/>
      <c r="U156" s="281">
        <f>SUM(E156,L156,O156,R156)</f>
        <v>3028437.5</v>
      </c>
      <c r="V156" s="356">
        <f>U156/$U$187</f>
        <v>0.11158303317792936</v>
      </c>
      <c r="W156" s="288">
        <f>IFERROR(U156/E156,"")</f>
        <v>1.0442887931034484</v>
      </c>
      <c r="X156" s="288">
        <f>IFERROR(U156/F156,"")</f>
        <v>1.0107425949103046</v>
      </c>
      <c r="Y156" s="352"/>
      <c r="Z156" s="282">
        <f>Z12+Z48+Z84+Z120</f>
        <v>3082506.25</v>
      </c>
      <c r="AA156" s="281">
        <f>Z156-SUM(R156,O156,L156)-E156</f>
        <v>54068.75</v>
      </c>
      <c r="AB156" s="351">
        <f>IFERROR(AA156/I156,"")</f>
        <v>0.30719789780192464</v>
      </c>
      <c r="AC156" s="351">
        <f>IFERROR(AA156/E156,"")</f>
        <v>1.8644396551724139E-2</v>
      </c>
      <c r="AD156" s="278">
        <f>IFERROR(AA156/U156,"")</f>
        <v>1.7853678670931794E-2</v>
      </c>
      <c r="AE156" s="279">
        <f>IFERROR(AD156*V156,0%)</f>
        <v>1.992167619486672E-3</v>
      </c>
      <c r="AF156" s="278">
        <f>IFERROR((U156-E156)/E156,0%)</f>
        <v>4.4288793103448278E-2</v>
      </c>
      <c r="AG156" s="277">
        <f>IFERROR(AF156*J156,0%)</f>
        <v>4.9846700172704872E-3</v>
      </c>
      <c r="AH156" s="276" t="b">
        <f>ROUND((G156-E156),0)=ROUND(SUM(L156,O156,R156,AA156),0)</f>
        <v>1</v>
      </c>
      <c r="AI156" s="21"/>
      <c r="AJ156" s="21"/>
    </row>
    <row r="157" spans="2:36" s="16" customFormat="1" x14ac:dyDescent="0.3">
      <c r="B157" s="289"/>
      <c r="C157" s="43" t="s">
        <v>574</v>
      </c>
      <c r="D157" s="281">
        <f>D13+D49+D85+D121</f>
        <v>1197400</v>
      </c>
      <c r="E157" s="281">
        <f>E13+E49+E85+E121</f>
        <v>1205000</v>
      </c>
      <c r="F157" s="281">
        <f>F13+F49+F85+F121</f>
        <v>1218600</v>
      </c>
      <c r="G157" s="281">
        <f>G13+G49+G85+G121</f>
        <v>1265512.25</v>
      </c>
      <c r="H157" s="288">
        <f>IFERROR(F157/D157-1,"")</f>
        <v>1.7705027559712816E-2</v>
      </c>
      <c r="I157" s="281">
        <f>I13+I49+I85+I121</f>
        <v>57912.249999999935</v>
      </c>
      <c r="J157" s="287">
        <f>IFERROR(E157/E$187,"")</f>
        <v>4.6766149845729924E-2</v>
      </c>
      <c r="K157" s="281">
        <f>K13+K49+K85+K121</f>
        <v>1231515</v>
      </c>
      <c r="L157" s="281">
        <f>L13+L49+L85+L121</f>
        <v>26514.999999999964</v>
      </c>
      <c r="M157" s="351">
        <f>IFERROR(L157/$I157,"")</f>
        <v>0.4578478646573047</v>
      </c>
      <c r="N157" s="281">
        <f>N13+N49+N85+N121</f>
        <v>1217010</v>
      </c>
      <c r="O157" s="281">
        <f>O13+O49+O85+O121</f>
        <v>12009.999999999978</v>
      </c>
      <c r="P157" s="351">
        <f>IFERROR(O157/$I157,"")</f>
        <v>0.20738272127226953</v>
      </c>
      <c r="Q157" s="281">
        <f>Q13+Q49+Q85+Q121</f>
        <v>1205000</v>
      </c>
      <c r="R157" s="307">
        <f>R13+R49+R85+R121</f>
        <v>0</v>
      </c>
      <c r="S157" s="266">
        <f>IFERROR(R157/N157,"")</f>
        <v>0</v>
      </c>
      <c r="T157" s="45"/>
      <c r="U157" s="281">
        <f>SUM(E157,L157,O157,R157)</f>
        <v>1243525</v>
      </c>
      <c r="V157" s="356">
        <f>U157/$U$187</f>
        <v>4.581778271223514E-2</v>
      </c>
      <c r="W157" s="288">
        <f>IFERROR(U157/E157,"")</f>
        <v>1.0319709543568465</v>
      </c>
      <c r="X157" s="288">
        <f>IFERROR(U157/F157,"")</f>
        <v>1.0204537994419827</v>
      </c>
      <c r="Y157" s="352"/>
      <c r="Z157" s="282">
        <f>Z13+Z49+Z85+Z121</f>
        <v>1265512.25</v>
      </c>
      <c r="AA157" s="281">
        <f>Z157-SUM(R157,O157,L157)-E157</f>
        <v>21987.25</v>
      </c>
      <c r="AB157" s="351">
        <f>IFERROR(AA157/I157,"")</f>
        <v>0.37966492408773661</v>
      </c>
      <c r="AC157" s="351">
        <f>IFERROR(AA157/E157,"")</f>
        <v>1.824668049792531E-2</v>
      </c>
      <c r="AD157" s="278">
        <f>IFERROR(AA157/U157,"")</f>
        <v>1.7681389598118252E-2</v>
      </c>
      <c r="AE157" s="279">
        <f>IFERROR(AD157*V157,0%)</f>
        <v>8.1012206665695668E-4</v>
      </c>
      <c r="AF157" s="278">
        <f>IFERROR((U157-E157)/E157,0%)</f>
        <v>3.1970954356846472E-2</v>
      </c>
      <c r="AG157" s="277">
        <f>IFERROR(AF157*J157,0%)</f>
        <v>1.495158442163274E-3</v>
      </c>
      <c r="AH157" s="276" t="b">
        <f>ROUND((G157-E157),0)=ROUND(SUM(L157,O157,R157,AA157),0)</f>
        <v>1</v>
      </c>
      <c r="AI157" s="21"/>
      <c r="AJ157" s="21"/>
    </row>
    <row r="158" spans="2:36" s="16" customFormat="1" x14ac:dyDescent="0.3">
      <c r="B158" s="289"/>
      <c r="C158" s="357" t="s">
        <v>573</v>
      </c>
      <c r="D158" s="281">
        <f>D14+D50+D86+D122</f>
        <v>250000</v>
      </c>
      <c r="E158" s="281">
        <f>E14+E50+E86+E122</f>
        <v>250000</v>
      </c>
      <c r="F158" s="281">
        <f>F14+F50+F86+F122</f>
        <v>256249.99999999997</v>
      </c>
      <c r="G158" s="281">
        <f>G14+G50+G86+G122</f>
        <v>262561.25</v>
      </c>
      <c r="H158" s="288">
        <f>IFERROR(F158/D158-1,"")</f>
        <v>2.4999999999999911E-2</v>
      </c>
      <c r="I158" s="281">
        <f>I14+I50+I86+I122</f>
        <v>11261.249999999971</v>
      </c>
      <c r="J158" s="287">
        <f>IFERROR(E158/E$187,"")</f>
        <v>9.7025207148817259E-3</v>
      </c>
      <c r="K158" s="281">
        <f>K14+K50+K86+K122</f>
        <v>259375</v>
      </c>
      <c r="L158" s="281">
        <f>L14+L50+L86+L122</f>
        <v>9374.9999999999854</v>
      </c>
      <c r="M158" s="351">
        <f>IFERROR(L158/$I158,"")</f>
        <v>0.8325008325008334</v>
      </c>
      <c r="N158" s="281">
        <f>N14+N50+N86+N122</f>
        <v>249312.5</v>
      </c>
      <c r="O158" s="281">
        <f>O14+O50+O86+O122</f>
        <v>-687.50000000001455</v>
      </c>
      <c r="P158" s="351">
        <f>IFERROR(O158/$I158,"")</f>
        <v>-6.1050061050062499E-2</v>
      </c>
      <c r="Q158" s="281">
        <f>Q14+Q50+Q86+Q122</f>
        <v>250000</v>
      </c>
      <c r="R158" s="307">
        <f>R14+R50+R86+R122</f>
        <v>0</v>
      </c>
      <c r="S158" s="266">
        <f>IFERROR(R158/N158,"")</f>
        <v>0</v>
      </c>
      <c r="T158" s="45"/>
      <c r="U158" s="281">
        <f>SUM(E158,L158,O158,R158)</f>
        <v>258687.5</v>
      </c>
      <c r="V158" s="356">
        <f>U158/$U$187</f>
        <v>9.5313625905159346E-3</v>
      </c>
      <c r="W158" s="288">
        <f>IFERROR(U158/E158,"")</f>
        <v>1.0347500000000001</v>
      </c>
      <c r="X158" s="288">
        <f>IFERROR(U158/F158,"")</f>
        <v>1.0095121951219512</v>
      </c>
      <c r="Y158" s="352"/>
      <c r="Z158" s="282">
        <f>Z14+Z50+Z86+Z122</f>
        <v>262561.25</v>
      </c>
      <c r="AA158" s="281">
        <f>Z158-SUM(R158,O158,L158)-E158</f>
        <v>3873.7500000000291</v>
      </c>
      <c r="AB158" s="351">
        <f>IFERROR(AA158/I158,"")</f>
        <v>0.34398934398934744</v>
      </c>
      <c r="AC158" s="351">
        <f>IFERROR(AA158/E158,"")</f>
        <v>1.5495000000000116E-2</v>
      </c>
      <c r="AD158" s="278">
        <f>IFERROR(AA158/U158,"")</f>
        <v>1.4974631553515454E-2</v>
      </c>
      <c r="AE158" s="279">
        <f>IFERROR(AD158*V158,0%)</f>
        <v>1.4272864299593672E-4</v>
      </c>
      <c r="AF158" s="278">
        <f>IFERROR((U158-E158)/E158,0%)</f>
        <v>3.4750000000000003E-2</v>
      </c>
      <c r="AG158" s="277">
        <f>IFERROR(AF158*J158,0%)</f>
        <v>3.3716259484214002E-4</v>
      </c>
      <c r="AH158" s="276" t="b">
        <f>ROUND((G158-E158),0)=ROUND(SUM(L158,O158,R158,AA158),0)</f>
        <v>1</v>
      </c>
      <c r="AI158" s="21"/>
      <c r="AJ158" s="21"/>
    </row>
    <row r="159" spans="2:36" s="16" customFormat="1" x14ac:dyDescent="0.3">
      <c r="B159" s="289"/>
      <c r="C159" s="43" t="s">
        <v>80</v>
      </c>
      <c r="D159" s="281">
        <f>D15+D51+D87+D123</f>
        <v>1352700</v>
      </c>
      <c r="E159" s="281">
        <f>E15+E51+E87+E123</f>
        <v>1365000</v>
      </c>
      <c r="F159" s="281">
        <f>F15+F51+F87+F123</f>
        <v>1419000</v>
      </c>
      <c r="G159" s="281">
        <f>G15+G51+G87+G123</f>
        <v>1457304.5</v>
      </c>
      <c r="H159" s="288">
        <f>IFERROR(F159/D159-1,"")</f>
        <v>4.9013084941228691E-2</v>
      </c>
      <c r="I159" s="281">
        <f>I15+I51+I87+I123</f>
        <v>89704.499999999942</v>
      </c>
      <c r="J159" s="287">
        <f>IFERROR(E159/E$187,"")</f>
        <v>5.2975763103254227E-2</v>
      </c>
      <c r="K159" s="281">
        <f>K15+K51+K87+K123</f>
        <v>1414404</v>
      </c>
      <c r="L159" s="281">
        <f>L15+L51+L87+L123</f>
        <v>49403.999999999971</v>
      </c>
      <c r="M159" s="351">
        <f>IFERROR(L159/$I159,"")</f>
        <v>0.55074160159189345</v>
      </c>
      <c r="N159" s="281">
        <f>N15+N51+N87+N123</f>
        <v>1372571</v>
      </c>
      <c r="O159" s="281">
        <f>O15+O51+O87+O123</f>
        <v>7570.9999999999709</v>
      </c>
      <c r="P159" s="351">
        <f>IFERROR(O159/$I159,"")</f>
        <v>8.43993333667762E-2</v>
      </c>
      <c r="Q159" s="281">
        <f>Q15+Q51+Q87+Q123</f>
        <v>1365000</v>
      </c>
      <c r="R159" s="307">
        <f>R15+R51+R87+R123</f>
        <v>0</v>
      </c>
      <c r="S159" s="266">
        <f>IFERROR(R159/N159,"")</f>
        <v>0</v>
      </c>
      <c r="T159" s="45"/>
      <c r="U159" s="281">
        <f>SUM(E159,L159,O159,R159)</f>
        <v>1421975</v>
      </c>
      <c r="V159" s="356">
        <f>U159/$U$187</f>
        <v>5.2392787899101803E-2</v>
      </c>
      <c r="W159" s="288">
        <f>IFERROR(U159/E159,"")</f>
        <v>1.0417399267399268</v>
      </c>
      <c r="X159" s="288">
        <f>IFERROR(U159/F159,"")</f>
        <v>1.0020965468639886</v>
      </c>
      <c r="Y159" s="352"/>
      <c r="Z159" s="282">
        <f>Z15+Z51+Z87+Z123</f>
        <v>1457304.51</v>
      </c>
      <c r="AA159" s="281">
        <f>Z159-SUM(R159,O159,L159)-E159</f>
        <v>35329.510000000009</v>
      </c>
      <c r="AB159" s="351">
        <f>IFERROR(AA159/I159,"")</f>
        <v>0.39384322971534352</v>
      </c>
      <c r="AC159" s="351">
        <f>IFERROR(AA159/E159,"")</f>
        <v>2.5882424908424916E-2</v>
      </c>
      <c r="AD159" s="278">
        <f>IFERROR(AA159/U159,"")</f>
        <v>2.4845380544664997E-2</v>
      </c>
      <c r="AE159" s="279">
        <f>IFERROR(AD159*V159,0%)</f>
        <v>1.3017187531491037E-3</v>
      </c>
      <c r="AF159" s="278">
        <f>IFERROR((U159-E159)/E159,0%)</f>
        <v>4.1739926739926742E-2</v>
      </c>
      <c r="AG159" s="277">
        <f>IFERROR(AF159*J159,0%)</f>
        <v>2.2112044709215457E-3</v>
      </c>
      <c r="AH159" s="276" t="b">
        <f>ROUND((G159-E159),0)=ROUND(SUM(L159,O159,R159,AA159),0)</f>
        <v>1</v>
      </c>
      <c r="AI159" s="21"/>
      <c r="AJ159" s="21"/>
    </row>
    <row r="160" spans="2:36" s="16" customFormat="1" x14ac:dyDescent="0.3">
      <c r="B160" s="289"/>
      <c r="C160" s="43" t="s">
        <v>82</v>
      </c>
      <c r="D160" s="281">
        <f>D16+D52+D88+D124</f>
        <v>104870</v>
      </c>
      <c r="E160" s="281">
        <f>E16+E52+E88+E124</f>
        <v>106500</v>
      </c>
      <c r="F160" s="281">
        <f>F16+F52+F88+F124</f>
        <v>110800</v>
      </c>
      <c r="G160" s="281">
        <f>G16+G52+G88+G124</f>
        <v>113229.75</v>
      </c>
      <c r="H160" s="288">
        <f>IFERROR(F160/D160-1,"")</f>
        <v>5.6546200057213669E-2</v>
      </c>
      <c r="I160" s="281">
        <f>I16+I52+I88+I124</f>
        <v>6729.7499999999927</v>
      </c>
      <c r="J160" s="287">
        <f>IFERROR(E160/E$187,"")</f>
        <v>4.1332738245396152E-3</v>
      </c>
      <c r="K160" s="281">
        <f>K16+K52+K88+K124</f>
        <v>109550</v>
      </c>
      <c r="L160" s="281">
        <f>L16+L52+L88+L124</f>
        <v>3050</v>
      </c>
      <c r="M160" s="351">
        <f>IFERROR(L160/$I160,"")</f>
        <v>0.45321148631078467</v>
      </c>
      <c r="N160" s="281">
        <f>N16+N52+N88+N124</f>
        <v>106500</v>
      </c>
      <c r="O160" s="281">
        <f>O16+O52+O88+O124</f>
        <v>0</v>
      </c>
      <c r="P160" s="351">
        <f>IFERROR(O160/$I160,"")</f>
        <v>0</v>
      </c>
      <c r="Q160" s="281">
        <f>Q16+Q52+Q88+Q124</f>
        <v>106500</v>
      </c>
      <c r="R160" s="307">
        <f>R16+R52+R88+R124</f>
        <v>0</v>
      </c>
      <c r="S160" s="266">
        <f>IFERROR(R160/N160,"")</f>
        <v>0</v>
      </c>
      <c r="T160" s="45"/>
      <c r="U160" s="281">
        <f>SUM(E160,L160,O160,R160)</f>
        <v>109550</v>
      </c>
      <c r="V160" s="356">
        <f>U160/$U$187</f>
        <v>4.0363789197043563E-3</v>
      </c>
      <c r="W160" s="288">
        <f>IFERROR(U160/E160,"")</f>
        <v>1.0286384976525822</v>
      </c>
      <c r="X160" s="288">
        <f>IFERROR(U160/F160,"")</f>
        <v>0.98871841155234652</v>
      </c>
      <c r="Y160" s="352"/>
      <c r="Z160" s="282">
        <f>Z16+Z52+Z88+Z124</f>
        <v>113229.75</v>
      </c>
      <c r="AA160" s="281">
        <f>Z160-SUM(R160,O160,L160)-E160</f>
        <v>3679.75</v>
      </c>
      <c r="AB160" s="351">
        <f>IFERROR(AA160/I160,"")</f>
        <v>0.54678851368921644</v>
      </c>
      <c r="AC160" s="351">
        <f>IFERROR(AA160/E160,"")</f>
        <v>3.4551643192488261E-2</v>
      </c>
      <c r="AD160" s="278">
        <f>IFERROR(AA160/U160,"")</f>
        <v>3.358968507530808E-2</v>
      </c>
      <c r="AE160" s="279">
        <f>IFERROR(AD160*V160,0%)</f>
        <v>1.3558069675748157E-4</v>
      </c>
      <c r="AF160" s="278">
        <f>IFERROR((U160-E160)/E160,0%)</f>
        <v>2.8638497652582161E-2</v>
      </c>
      <c r="AG160" s="277">
        <f>IFERROR(AF160*J160,0%)</f>
        <v>1.1837075272155706E-4</v>
      </c>
      <c r="AH160" s="276" t="b">
        <f>ROUND((G160-E160),0)=ROUND(SUM(L160,O160,R160,AA160),0)</f>
        <v>1</v>
      </c>
      <c r="AI160" s="21"/>
      <c r="AJ160" s="21"/>
    </row>
    <row r="161" spans="2:36" s="16" customFormat="1" x14ac:dyDescent="0.3">
      <c r="B161" s="289"/>
      <c r="C161" s="47" t="s">
        <v>69</v>
      </c>
      <c r="D161" s="257">
        <f>SUM(D162:D164)</f>
        <v>4267000</v>
      </c>
      <c r="E161" s="257">
        <f>SUM(E162:E164)</f>
        <v>4300000</v>
      </c>
      <c r="F161" s="257">
        <f>SUM(F162:F164)</f>
        <v>4407500</v>
      </c>
      <c r="G161" s="257">
        <f>SUM(G162:G164)</f>
        <v>4491411.1999999993</v>
      </c>
      <c r="H161" s="247">
        <f>IFERROR(F161/D161-1,"")</f>
        <v>3.292711506913526E-2</v>
      </c>
      <c r="I161" s="257">
        <f>SUM(I162:I164)</f>
        <v>189411.19999999902</v>
      </c>
      <c r="J161" s="297">
        <f>IFERROR(E161/E$187,"")</f>
        <v>0.16688335629596568</v>
      </c>
      <c r="K161" s="257">
        <f>SUM(K162:K164)</f>
        <v>4398900</v>
      </c>
      <c r="L161" s="257">
        <f>SUM(L162:L164)</f>
        <v>98899.999999999447</v>
      </c>
      <c r="M161" s="339">
        <f>IFERROR(L161/$I161,"")</f>
        <v>0.52214441384669941</v>
      </c>
      <c r="N161" s="257">
        <f>SUM(N162:N164)</f>
        <v>4304299.9999999991</v>
      </c>
      <c r="O161" s="257">
        <f>SUM(O162:O164)</f>
        <v>4299.9999999993888</v>
      </c>
      <c r="P161" s="339">
        <f>IFERROR(O161/$I161,"")</f>
        <v>2.2701931036809918E-2</v>
      </c>
      <c r="Q161" s="257">
        <f>SUM(Q162:Q164)</f>
        <v>4300000</v>
      </c>
      <c r="R161" s="257">
        <f>SUM(R162:R164)</f>
        <v>0</v>
      </c>
      <c r="S161" s="294">
        <f>IFERROR(R161/$I161,"")</f>
        <v>0</v>
      </c>
      <c r="T161" s="55"/>
      <c r="U161" s="295">
        <f>SUM(U162:U164)</f>
        <v>4403199.9999999991</v>
      </c>
      <c r="V161" s="355">
        <f>U161/$U$187</f>
        <v>0.16223627256268569</v>
      </c>
      <c r="W161" s="251">
        <f>IFERROR(U161/E161,"")</f>
        <v>1.0239999999999998</v>
      </c>
      <c r="X161" s="251">
        <f>IFERROR(U161/F161,"")</f>
        <v>0.99902439024390222</v>
      </c>
      <c r="Y161" s="350"/>
      <c r="Z161" s="295">
        <f>SUM(Z162:Z164)</f>
        <v>4491411.1999999993</v>
      </c>
      <c r="AA161" s="295">
        <f>SUM(AA162:AA164)</f>
        <v>88211.200000000652</v>
      </c>
      <c r="AB161" s="339">
        <f>IFERROR(AA161/I161,"")</f>
        <v>0.46571269280803407</v>
      </c>
      <c r="AC161" s="354">
        <f>IFERROR(AA161/E161,"")</f>
        <v>2.0514232558139688E-2</v>
      </c>
      <c r="AD161" s="250">
        <f>IFERROR(AA161/U161,"")</f>
        <v>2.0033430232558293E-2</v>
      </c>
      <c r="AE161" s="292">
        <f>IFERROR(AD161*V161,0%)</f>
        <v>3.2501490475748749E-3</v>
      </c>
      <c r="AF161" s="250">
        <f>IFERROR((U161-E161)/E161,0%)</f>
        <v>2.3999999999999782E-2</v>
      </c>
      <c r="AG161" s="336">
        <f>IFERROR(AF161*J161,0%)</f>
        <v>4.0052005511031401E-3</v>
      </c>
      <c r="AH161" s="246" t="b">
        <f>ROUND((G161-E161),0)=ROUND(SUM(L161,O161,R161,AA161),0)</f>
        <v>1</v>
      </c>
      <c r="AI161" s="21"/>
      <c r="AJ161" s="21"/>
    </row>
    <row r="162" spans="2:36" s="16" customFormat="1" x14ac:dyDescent="0.3">
      <c r="B162" s="289"/>
      <c r="C162" s="43" t="s">
        <v>572</v>
      </c>
      <c r="D162" s="281">
        <f>D18+D54+D90+D126</f>
        <v>3225000</v>
      </c>
      <c r="E162" s="281">
        <f>E18+E54+E90+E126</f>
        <v>3250000</v>
      </c>
      <c r="F162" s="281">
        <f>F18+F54+F90+F126</f>
        <v>3331249.9999999995</v>
      </c>
      <c r="G162" s="281">
        <f>G18+G54+G90+G126</f>
        <v>3394823.9999999995</v>
      </c>
      <c r="H162" s="288">
        <f>IFERROR(F162/D162-1,"")</f>
        <v>3.2945736434108364E-2</v>
      </c>
      <c r="I162" s="281">
        <f>I18+I54+I90+I126</f>
        <v>143323.99999999919</v>
      </c>
      <c r="J162" s="287">
        <f>IFERROR(E162/E$187,"")</f>
        <v>0.12613276929346245</v>
      </c>
      <c r="K162" s="281">
        <f>K18+K54+K90+K126</f>
        <v>3324749.9999999995</v>
      </c>
      <c r="L162" s="281">
        <f>L18+L54+L90+L126</f>
        <v>74749.999999999534</v>
      </c>
      <c r="M162" s="351">
        <f>IFERROR(L162/$I162,"")</f>
        <v>0.5215455890150984</v>
      </c>
      <c r="N162" s="281">
        <f>N18+N54+N90+N126</f>
        <v>3253249.9999999995</v>
      </c>
      <c r="O162" s="281">
        <f>O18+O54+O90+O126</f>
        <v>3249.9999999995343</v>
      </c>
      <c r="P162" s="351">
        <f>IFERROR(O162/$I162,"")</f>
        <v>2.2675895174566387E-2</v>
      </c>
      <c r="Q162" s="281">
        <f>Q18+Q54+Q90+Q126</f>
        <v>3250000</v>
      </c>
      <c r="R162" s="307">
        <f>R18+R54+R90+R126</f>
        <v>0</v>
      </c>
      <c r="S162" s="266">
        <f>IFERROR(R162/$I162,"")</f>
        <v>0</v>
      </c>
      <c r="T162" s="45"/>
      <c r="U162" s="286">
        <f>SUM(E162,L162,O162,R162)</f>
        <v>3327999.9999999991</v>
      </c>
      <c r="V162" s="285">
        <f>U162/$U$187</f>
        <v>0.12262043856482058</v>
      </c>
      <c r="W162" s="284">
        <f>IFERROR(U162/E162,"")</f>
        <v>1.0239999999999998</v>
      </c>
      <c r="X162" s="284">
        <f>IFERROR(U162/F162,"")</f>
        <v>0.99902439024390233</v>
      </c>
      <c r="Y162" s="352"/>
      <c r="Z162" s="282">
        <f>Z18+Z54+Z90+Z126</f>
        <v>3394823.9999999995</v>
      </c>
      <c r="AA162" s="281">
        <f>Z162-SUM(R162,O162,L162)-E162</f>
        <v>66824.000000000466</v>
      </c>
      <c r="AB162" s="351">
        <f>IFERROR(AA162/I162,"")</f>
        <v>0.466244313583216</v>
      </c>
      <c r="AC162" s="351">
        <f>IFERROR(AA162/E162,"")</f>
        <v>2.0561230769230911E-2</v>
      </c>
      <c r="AD162" s="278">
        <f>IFERROR(AA162/U162,"")</f>
        <v>2.0079326923077068E-2</v>
      </c>
      <c r="AE162" s="279">
        <f>IFERROR(AD162*V162,0%)</f>
        <v>2.4621358733941195E-3</v>
      </c>
      <c r="AF162" s="278">
        <f>IFERROR((U162-E162)/E162,0%)</f>
        <v>2.3999999999999713E-2</v>
      </c>
      <c r="AG162" s="277">
        <f>IFERROR(AF162*J162,0%)</f>
        <v>3.0271864630430625E-3</v>
      </c>
      <c r="AH162" s="276" t="b">
        <f>ROUND((G162-E162),0)=ROUND(SUM(L162,O162,R162,AA162),0)</f>
        <v>1</v>
      </c>
      <c r="AI162" s="21"/>
      <c r="AJ162" s="21"/>
    </row>
    <row r="163" spans="2:36" s="16" customFormat="1" x14ac:dyDescent="0.3">
      <c r="B163" s="289"/>
      <c r="C163" s="43" t="s">
        <v>571</v>
      </c>
      <c r="D163" s="281">
        <f>D19+D55+D91+D127</f>
        <v>1042000</v>
      </c>
      <c r="E163" s="281">
        <f>E19+E55+E91+E127</f>
        <v>1050000</v>
      </c>
      <c r="F163" s="281">
        <f>F19+F55+F91+F127</f>
        <v>1076250</v>
      </c>
      <c r="G163" s="281">
        <f>G19+G55+G91+G127</f>
        <v>1096587.2</v>
      </c>
      <c r="H163" s="288">
        <f>IFERROR(F163/D163-1,"")</f>
        <v>3.286948176583504E-2</v>
      </c>
      <c r="I163" s="281">
        <f>I19+I55+I91+I127</f>
        <v>46087.199999999837</v>
      </c>
      <c r="J163" s="287">
        <f>IFERROR(E163/E$187,"")</f>
        <v>4.0750587002503252E-2</v>
      </c>
      <c r="K163" s="281">
        <f>K19+K55+K91+K127</f>
        <v>1074150</v>
      </c>
      <c r="L163" s="281">
        <f>L19+L55+L91+L127</f>
        <v>24149.999999999913</v>
      </c>
      <c r="M163" s="351">
        <f>IFERROR(L163/$I163,"")</f>
        <v>0.52400666562516274</v>
      </c>
      <c r="N163" s="281">
        <f>N19+N55+N91+N127</f>
        <v>1051049.9999999998</v>
      </c>
      <c r="O163" s="281">
        <f>O19+O55+O91+O127</f>
        <v>1049.9999999998545</v>
      </c>
      <c r="P163" s="351">
        <f>IFERROR(O163/$I163,"")</f>
        <v>2.278289850543878E-2</v>
      </c>
      <c r="Q163" s="281">
        <f>Q19+Q55+Q91+Q127</f>
        <v>1050000</v>
      </c>
      <c r="R163" s="307">
        <f>R19+R55+R91+R127</f>
        <v>0</v>
      </c>
      <c r="S163" s="266">
        <f>IFERROR(R163/$I163,"")</f>
        <v>0</v>
      </c>
      <c r="T163" s="45"/>
      <c r="U163" s="286">
        <f>SUM(E163,L163,O163,R163)</f>
        <v>1075199.9999999998</v>
      </c>
      <c r="V163" s="285">
        <f>U163/$U$187</f>
        <v>3.9615833997865113E-2</v>
      </c>
      <c r="W163" s="284">
        <f>IFERROR(U163/E163,"")</f>
        <v>1.0239999999999998</v>
      </c>
      <c r="X163" s="284">
        <f>IFERROR(U163/F163,"")</f>
        <v>0.99902439024390222</v>
      </c>
      <c r="Y163" s="352"/>
      <c r="Z163" s="282">
        <f>Z19+Z55+Z91+Z127</f>
        <v>1096587.2</v>
      </c>
      <c r="AA163" s="281">
        <f>Z163-SUM(R163,O163,L163)-E163</f>
        <v>21387.200000000186</v>
      </c>
      <c r="AB163" s="351">
        <f>IFERROR(AA163/I163,"")</f>
        <v>0.46405943515770676</v>
      </c>
      <c r="AC163" s="351">
        <f>IFERROR(AA163/E163,"")</f>
        <v>2.0368761904762084E-2</v>
      </c>
      <c r="AD163" s="278">
        <f>IFERROR(AA163/U163,"")</f>
        <v>1.9891369047619224E-2</v>
      </c>
      <c r="AE163" s="279">
        <f>IFERROR(AD163*V163,0%)</f>
        <v>7.8801317418075538E-4</v>
      </c>
      <c r="AF163" s="278">
        <f>IFERROR((U163-E163)/E163,0%)</f>
        <v>2.3999999999999778E-2</v>
      </c>
      <c r="AG163" s="277">
        <f>IFERROR(AF163*J163,0%)</f>
        <v>9.7801408806006893E-4</v>
      </c>
      <c r="AH163" s="276" t="b">
        <f>ROUND((G163-E163),0)=ROUND(SUM(L163,O163,R163,AA163),0)</f>
        <v>1</v>
      </c>
      <c r="AI163" s="21"/>
      <c r="AJ163" s="21"/>
    </row>
    <row r="164" spans="2:36" s="16" customFormat="1" x14ac:dyDescent="0.3">
      <c r="B164" s="289"/>
      <c r="C164" s="353" t="s">
        <v>82</v>
      </c>
      <c r="D164" s="281">
        <f>D20+D56+D92+D128</f>
        <v>0</v>
      </c>
      <c r="E164" s="281">
        <f>E20+E56+E92+E128</f>
        <v>0</v>
      </c>
      <c r="F164" s="281">
        <f>F20+F56+F92+F128</f>
        <v>0</v>
      </c>
      <c r="G164" s="281">
        <f>G20+G56+G92+G128</f>
        <v>0</v>
      </c>
      <c r="H164" s="288" t="str">
        <f>IFERROR(F164/D164-1,"")</f>
        <v/>
      </c>
      <c r="I164" s="281">
        <f>I20+I56+I92+I128</f>
        <v>0</v>
      </c>
      <c r="J164" s="287">
        <f>IFERROR(E164/E$187,"")</f>
        <v>0</v>
      </c>
      <c r="K164" s="281">
        <f>K20+K56+K92+K128</f>
        <v>0</v>
      </c>
      <c r="L164" s="281">
        <f>L20+L56+L92+L128</f>
        <v>0</v>
      </c>
      <c r="M164" s="351" t="str">
        <f>IFERROR(L164/$I164,"")</f>
        <v/>
      </c>
      <c r="N164" s="281">
        <f>N20+N56+N92+N128</f>
        <v>0</v>
      </c>
      <c r="O164" s="281">
        <f>O20+O56+O92+O128</f>
        <v>0</v>
      </c>
      <c r="P164" s="351" t="str">
        <f>IFERROR(O164/$I164,"")</f>
        <v/>
      </c>
      <c r="Q164" s="281">
        <f>Q20+Q56+Q92+Q128</f>
        <v>0</v>
      </c>
      <c r="R164" s="307">
        <f>R20+R56+R92+R128</f>
        <v>0</v>
      </c>
      <c r="S164" s="266" t="str">
        <f>IFERROR(R164/$I164,"")</f>
        <v/>
      </c>
      <c r="T164" s="45"/>
      <c r="U164" s="286">
        <f>SUM(E164,L164,O164,R164)</f>
        <v>0</v>
      </c>
      <c r="V164" s="285">
        <f>U164/$U$187</f>
        <v>0</v>
      </c>
      <c r="W164" s="284" t="str">
        <f>IFERROR(U164/E164,"")</f>
        <v/>
      </c>
      <c r="X164" s="284" t="str">
        <f>IFERROR(U164/F164,"")</f>
        <v/>
      </c>
      <c r="Y164" s="352"/>
      <c r="Z164" s="282">
        <f>Z20+Z56+Z92+Z128</f>
        <v>0</v>
      </c>
      <c r="AA164" s="281">
        <f>Z164-SUM(R164,O164,L164)-E164</f>
        <v>0</v>
      </c>
      <c r="AB164" s="351" t="str">
        <f>IFERROR(AA164/I164,"")</f>
        <v/>
      </c>
      <c r="AC164" s="351" t="str">
        <f>IFERROR(AA164/E164,"")</f>
        <v/>
      </c>
      <c r="AD164" s="278" t="str">
        <f>IFERROR(AA164/U164,"")</f>
        <v/>
      </c>
      <c r="AE164" s="279">
        <f>IFERROR(AD164*V164,0%)</f>
        <v>0</v>
      </c>
      <c r="AF164" s="278">
        <f>IFERROR((U164-E164)/E164,0%)</f>
        <v>0</v>
      </c>
      <c r="AG164" s="277">
        <f>IFERROR(AF164*J164,0%)</f>
        <v>0</v>
      </c>
      <c r="AH164" s="276" t="b">
        <f>ROUND((G164-E164),0)=ROUND(SUM(L164,O164,R164,AA164),0)</f>
        <v>1</v>
      </c>
      <c r="AI164" s="21"/>
      <c r="AJ164" s="21"/>
    </row>
    <row r="165" spans="2:36" s="16" customFormat="1" x14ac:dyDescent="0.3">
      <c r="B165" s="289"/>
      <c r="C165" s="47" t="s">
        <v>70</v>
      </c>
      <c r="D165" s="300">
        <f>D21+D57+D93+D129</f>
        <v>4560000</v>
      </c>
      <c r="E165" s="300">
        <f>E21+E57+E93+E129</f>
        <v>4600000</v>
      </c>
      <c r="F165" s="300">
        <f>F21+F57+F93+F129</f>
        <v>4762000</v>
      </c>
      <c r="G165" s="300">
        <f>G21+G57+G93+G129</f>
        <v>5038100</v>
      </c>
      <c r="H165" s="305">
        <f>IFERROR(F165/D165-1,"")</f>
        <v>4.4298245614035059E-2</v>
      </c>
      <c r="I165" s="300">
        <f>I21+I57+I93+I129</f>
        <v>428100</v>
      </c>
      <c r="J165" s="304">
        <f>IFERROR(E165/E$187,"")</f>
        <v>0.17852638115382377</v>
      </c>
      <c r="K165" s="300">
        <f>K21+K57+K93+K129</f>
        <v>4740000</v>
      </c>
      <c r="L165" s="300">
        <f>L21+L57+L93+L129</f>
        <v>140000</v>
      </c>
      <c r="M165" s="349">
        <f>IFERROR(L165/$I165,"")</f>
        <v>0.32702639570193881</v>
      </c>
      <c r="N165" s="300">
        <f>N21+N57+N93+N129</f>
        <v>4778000</v>
      </c>
      <c r="O165" s="300">
        <f>O21+O57+O93+O129</f>
        <v>178000</v>
      </c>
      <c r="P165" s="349">
        <f>IFERROR(O165/$I165,"")</f>
        <v>0.41579070310675076</v>
      </c>
      <c r="Q165" s="300">
        <f>Q21+Q57+Q93+Q129</f>
        <v>4600000</v>
      </c>
      <c r="R165" s="303">
        <f>R21+R57+R93+R129</f>
        <v>0</v>
      </c>
      <c r="S165" s="266">
        <f>IFERROR(R165/$I165,"")</f>
        <v>0</v>
      </c>
      <c r="T165" s="45"/>
      <c r="U165" s="346">
        <f>SUM(E165,L165,O165,R165)</f>
        <v>4918000</v>
      </c>
      <c r="V165" s="271">
        <f>U165/$U$187</f>
        <v>0.18120412165318142</v>
      </c>
      <c r="W165" s="270">
        <f>IFERROR(U165/E165,"")</f>
        <v>1.0691304347826087</v>
      </c>
      <c r="X165" s="270">
        <f>IFERROR(U165/F165,"")</f>
        <v>1.0327593448131038</v>
      </c>
      <c r="Y165" s="350"/>
      <c r="Z165" s="301">
        <f>Z21+Z57+Z93+Z129</f>
        <v>5038100</v>
      </c>
      <c r="AA165" s="300">
        <f>Z165-SUM(R165,O165,L165)-E165</f>
        <v>120100</v>
      </c>
      <c r="AB165" s="349">
        <f>IFERROR(AA165/I165,"")</f>
        <v>0.28054192945573464</v>
      </c>
      <c r="AC165" s="349">
        <f>IFERROR(AA165/E165,"")</f>
        <v>2.6108695652173913E-2</v>
      </c>
      <c r="AD165" s="264">
        <f>IFERROR(AA165/U165,"")</f>
        <v>2.442049613664091E-2</v>
      </c>
      <c r="AE165" s="265">
        <f>IFERROR(AD165*V165,0%)</f>
        <v>4.4250945527749266E-3</v>
      </c>
      <c r="AF165" s="264">
        <f>IFERROR((U165-E165)/E165,0%)</f>
        <v>6.9130434782608691E-2</v>
      </c>
      <c r="AG165" s="263">
        <f>IFERROR(AF165*J165,0%)</f>
        <v>1.2341606349329555E-2</v>
      </c>
      <c r="AH165" s="299" t="b">
        <f>ROUND((G165-E165),0)=ROUND(SUM(L165,O165,R165,AA165),0)</f>
        <v>1</v>
      </c>
      <c r="AI165" s="21"/>
      <c r="AJ165" s="21"/>
    </row>
    <row r="166" spans="2:36" s="16" customFormat="1" x14ac:dyDescent="0.3">
      <c r="B166" s="275"/>
      <c r="C166" s="348" t="s">
        <v>570</v>
      </c>
      <c r="D166" s="343">
        <f>D22+D58+D94+D130</f>
        <v>-1985000</v>
      </c>
      <c r="E166" s="343">
        <f>E22+E58+E94+E130</f>
        <v>-2000000</v>
      </c>
      <c r="F166" s="343">
        <f>F22+F58+F94+F130</f>
        <v>-2049999.9999999998</v>
      </c>
      <c r="G166" s="343">
        <f>G22+G58+G94+G130</f>
        <v>-2151775</v>
      </c>
      <c r="H166" s="347">
        <f>IFERROR(F166/D166-1,"")</f>
        <v>3.2745591939546514E-2</v>
      </c>
      <c r="I166" s="343">
        <f>I22+I58+I94+I130</f>
        <v>-151775</v>
      </c>
      <c r="J166" s="304">
        <f>IFERROR(E166/E$187,"")</f>
        <v>-7.7620165719053807E-2</v>
      </c>
      <c r="K166" s="343">
        <f>K22+K58+K94+K130</f>
        <v>-2080000</v>
      </c>
      <c r="L166" s="343">
        <f>L22+L58+L94+L130</f>
        <v>-80000</v>
      </c>
      <c r="M166" s="266">
        <f>IFERROR(L166/$I166,"")</f>
        <v>0.52709603030802177</v>
      </c>
      <c r="N166" s="343">
        <f>N22+N58+N94+N130</f>
        <v>-2020000</v>
      </c>
      <c r="O166" s="343">
        <f>O22+O58+O94+O130</f>
        <v>-20000</v>
      </c>
      <c r="P166" s="266">
        <f>IFERROR(O166/$I166,"")</f>
        <v>0.13177400757700544</v>
      </c>
      <c r="Q166" s="343">
        <f>Q22+Q58+Q94+Q130</f>
        <v>-2000000</v>
      </c>
      <c r="R166" s="307">
        <f>R22+R58+R94+R130</f>
        <v>0</v>
      </c>
      <c r="S166" s="280">
        <f>IFERROR(R166/$I166,"")</f>
        <v>0</v>
      </c>
      <c r="T166" s="55"/>
      <c r="U166" s="346">
        <f>SUM(E166,L166,O166,R166)</f>
        <v>-2100000</v>
      </c>
      <c r="V166" s="271">
        <f>U166/$U$187</f>
        <v>-7.7374675777080321E-2</v>
      </c>
      <c r="W166" s="270">
        <f>IFERROR(U166/E166,"")</f>
        <v>1.05</v>
      </c>
      <c r="X166" s="270">
        <f>IFERROR(U166/F166,"")</f>
        <v>1.024390243902439</v>
      </c>
      <c r="Y166" s="345"/>
      <c r="Z166" s="344">
        <f>Z22+Z58+Z94+Z130</f>
        <v>-2151775</v>
      </c>
      <c r="AA166" s="343">
        <f>Z166-SUM(R166,O166,L166)-E166</f>
        <v>-51775</v>
      </c>
      <c r="AB166" s="266">
        <f>IFERROR(AA166/I166,"")</f>
        <v>0.34112996211497282</v>
      </c>
      <c r="AC166" s="266">
        <f>IFERROR(AA166/E166,"")</f>
        <v>2.5887500000000001E-2</v>
      </c>
      <c r="AD166" s="264">
        <f>IFERROR(AA166/U166,"")</f>
        <v>2.4654761904761905E-2</v>
      </c>
      <c r="AE166" s="265">
        <f>IFERROR(AD166*V166,0%)</f>
        <v>-1.9076542087420637E-3</v>
      </c>
      <c r="AF166" s="264">
        <f>IFERROR((U166-E166)/E166,0%)</f>
        <v>0.05</v>
      </c>
      <c r="AG166" s="263">
        <f>IFERROR(AF166*J166,0%)</f>
        <v>-3.8810082859526904E-3</v>
      </c>
      <c r="AH166" s="299" t="b">
        <f>ROUND((G166-E166),0)=ROUND(SUM(L166,O166,R166,AA166),0)</f>
        <v>1</v>
      </c>
      <c r="AI166" s="21"/>
    </row>
    <row r="167" spans="2:36" s="16" customFormat="1" x14ac:dyDescent="0.3">
      <c r="B167" s="342" t="s">
        <v>569</v>
      </c>
      <c r="C167" s="341" t="s">
        <v>72</v>
      </c>
      <c r="D167" s="295">
        <f>SUM(D168:D173)</f>
        <v>14563500</v>
      </c>
      <c r="E167" s="295">
        <f>SUM(E168:E173)</f>
        <v>14700000</v>
      </c>
      <c r="F167" s="295">
        <f>SUM(F168:F173)</f>
        <v>15245075</v>
      </c>
      <c r="G167" s="295">
        <f>SUM(G168:G173)</f>
        <v>16114360.6775</v>
      </c>
      <c r="H167" s="251">
        <f>IFERROR(F167/D167-1,"")</f>
        <v>4.6800219727400671E-2</v>
      </c>
      <c r="I167" s="295">
        <f>SUM(I168:I173)</f>
        <v>1414360.6774999991</v>
      </c>
      <c r="J167" s="297">
        <f>IFERROR(E167/E$187,"")</f>
        <v>0.57050821803504548</v>
      </c>
      <c r="K167" s="295">
        <f>SUM(K168:K173)</f>
        <v>15232600</v>
      </c>
      <c r="L167" s="295">
        <f>SUM(L168:L173)</f>
        <v>532599.99999999977</v>
      </c>
      <c r="M167" s="339">
        <f>IFERROR(L167/$I167,"")</f>
        <v>0.37656589897664211</v>
      </c>
      <c r="N167" s="295">
        <f>SUM(N168:N173)</f>
        <v>14934362.5</v>
      </c>
      <c r="O167" s="295">
        <f>SUM(O168:O173)</f>
        <v>234362.49999999977</v>
      </c>
      <c r="P167" s="339">
        <f>IFERROR(O167/$I167,"")</f>
        <v>0.16570207566450101</v>
      </c>
      <c r="Q167" s="295">
        <f>SUM(Q168:Q173)</f>
        <v>14772475.5</v>
      </c>
      <c r="R167" s="295">
        <f>SUM(R168:R173)</f>
        <v>72475.499999999753</v>
      </c>
      <c r="S167" s="294">
        <f>IFERROR(R167/$I167,"")</f>
        <v>5.1242586953213563E-2</v>
      </c>
      <c r="T167" s="340"/>
      <c r="U167" s="257">
        <f>SUM(U168:U173)</f>
        <v>15539438</v>
      </c>
      <c r="V167" s="256">
        <f>U167/$U$187</f>
        <v>0.57255189381335303</v>
      </c>
      <c r="W167" s="247">
        <f>IFERROR(U167/E167,"")</f>
        <v>1.05710462585034</v>
      </c>
      <c r="X167" s="251">
        <f>IFERROR(U167/F167,"")</f>
        <v>1.0193087275726751</v>
      </c>
      <c r="Y167" s="296"/>
      <c r="Z167" s="257">
        <f>SUM(Z168:Z173)</f>
        <v>16114360.6775</v>
      </c>
      <c r="AA167" s="257">
        <f>SUM(AA168:AA173)</f>
        <v>574922.67750000057</v>
      </c>
      <c r="AB167" s="339">
        <f>IFERROR(AA167/I167,"")</f>
        <v>0.40648943840564383</v>
      </c>
      <c r="AC167" s="339">
        <f>IFERROR(AA167/E167,"")</f>
        <v>3.9110386224489833E-2</v>
      </c>
      <c r="AD167" s="338">
        <f>IFERROR(AA167/U167,"")</f>
        <v>3.699764930366211E-2</v>
      </c>
      <c r="AE167" s="337">
        <f>IFERROR(AD167*V167,0%)</f>
        <v>2.1183074175454022E-2</v>
      </c>
      <c r="AF167" s="250">
        <f>IFERROR((U167-E167)/E167,0%)</f>
        <v>5.7104625850340138E-2</v>
      </c>
      <c r="AG167" s="336">
        <f>IFERROR(AF167*J167,0%)</f>
        <v>3.2578658335435544E-2</v>
      </c>
      <c r="AH167" s="246" t="b">
        <f>ROUND((G167-E167),0)=ROUND(SUM(L167,O167,R167,AA167),0)</f>
        <v>1</v>
      </c>
      <c r="AI167" s="21"/>
      <c r="AJ167" s="21"/>
    </row>
    <row r="168" spans="2:36" s="16" customFormat="1" ht="14.4" customHeight="1" outlineLevel="1" x14ac:dyDescent="0.3">
      <c r="B168" s="289"/>
      <c r="C168" s="333" t="s">
        <v>568</v>
      </c>
      <c r="D168" s="281">
        <f>D24+D60+D96+D132</f>
        <v>5848000</v>
      </c>
      <c r="E168" s="281">
        <f>E24+E60+E96+E132</f>
        <v>5900000</v>
      </c>
      <c r="F168" s="281">
        <f>F24+F60+F96+F132</f>
        <v>6065300</v>
      </c>
      <c r="G168" s="281">
        <f>G24+G60+G96+G132</f>
        <v>6400845.5150000006</v>
      </c>
      <c r="H168" s="288">
        <f>IFERROR(F168/D168-1,"")</f>
        <v>3.7158002735978135E-2</v>
      </c>
      <c r="I168" s="281">
        <f>I24+I60+I96+I132</f>
        <v>500845.51500000013</v>
      </c>
      <c r="J168" s="287">
        <f>IFERROR(E168/E$187,"")</f>
        <v>0.22897948887120875</v>
      </c>
      <c r="K168" s="281">
        <f>K24+K60+K96+K132</f>
        <v>6061800</v>
      </c>
      <c r="L168" s="307">
        <f>L24+L60+L96+L132</f>
        <v>161800</v>
      </c>
      <c r="M168" s="280">
        <f>IFERROR(L168/$I168,"")</f>
        <v>0.32305370649071291</v>
      </c>
      <c r="N168" s="281">
        <f>N24+N60+N96+N132</f>
        <v>5983475</v>
      </c>
      <c r="O168" s="307">
        <f>O24+O60+O96+O132</f>
        <v>83475</v>
      </c>
      <c r="P168" s="280">
        <f>IFERROR(O168/$I168,"")</f>
        <v>0.16666815914284464</v>
      </c>
      <c r="Q168" s="281">
        <f>Q24+Q60+Q96+Q132</f>
        <v>5928725.5</v>
      </c>
      <c r="R168" s="307">
        <f>R24+R60+R96+R132</f>
        <v>28725.5</v>
      </c>
      <c r="S168" s="280">
        <f>IFERROR(R168/$I168,"")</f>
        <v>5.7354012643998607E-2</v>
      </c>
      <c r="T168" s="55"/>
      <c r="U168" s="335">
        <f>U24+U60+U96+U132</f>
        <v>6174000.5</v>
      </c>
      <c r="V168" s="285">
        <f>U168/$U$187</f>
        <v>0.22748156520715798</v>
      </c>
      <c r="W168" s="284">
        <f>IFERROR(U168/E168,"")</f>
        <v>1.0464407627118644</v>
      </c>
      <c r="X168" s="284">
        <f>IFERROR(U168/F168,"")</f>
        <v>1.0179217021416913</v>
      </c>
      <c r="Y168" s="283"/>
      <c r="Z168" s="282">
        <f>Z24+Z60+Z96+Z132</f>
        <v>6400845.5150000006</v>
      </c>
      <c r="AA168" s="307">
        <f>Z168-SUM(R168,O168,L168)-E168</f>
        <v>226845.0150000006</v>
      </c>
      <c r="AB168" s="280">
        <f>IFERROR(AA168/I168,"")</f>
        <v>0.45292412172244478</v>
      </c>
      <c r="AC168" s="280">
        <f>IFERROR(AA168/E168,"")</f>
        <v>3.8448307627118747E-2</v>
      </c>
      <c r="AD168" s="311">
        <f>IFERROR(AA168/U168,"")</f>
        <v>3.6741981961290832E-2</v>
      </c>
      <c r="AE168" s="279">
        <f>IFERROR(AD168*V168,0%)</f>
        <v>8.358123565367602E-3</v>
      </c>
      <c r="AF168" s="278">
        <f>IFERROR((U168-E168)/E168,0%)</f>
        <v>4.6440762711864404E-2</v>
      </c>
      <c r="AG168" s="277">
        <f>IFERROR(AF168*J168,0%)</f>
        <v>1.0633982108551801E-2</v>
      </c>
      <c r="AH168" s="276" t="b">
        <f>ROUND((G168-E168),0)=ROUND(SUM(L168,O168,R168,AA168),0)</f>
        <v>1</v>
      </c>
      <c r="AI168" s="21"/>
    </row>
    <row r="169" spans="2:36" s="16" customFormat="1" outlineLevel="1" x14ac:dyDescent="0.3">
      <c r="B169" s="289"/>
      <c r="C169" s="333" t="s">
        <v>567</v>
      </c>
      <c r="D169" s="281">
        <f>D25+D61+D97+D133</f>
        <v>3912000</v>
      </c>
      <c r="E169" s="281">
        <f>E25+E61+E97+E133</f>
        <v>3950000</v>
      </c>
      <c r="F169" s="281">
        <f>F25+F61+F97+F133</f>
        <v>4062200</v>
      </c>
      <c r="G169" s="281">
        <f>G25+G61+G97+G133</f>
        <v>4302668.4749999996</v>
      </c>
      <c r="H169" s="288">
        <f>IFERROR(F169/D169-1,"")</f>
        <v>3.8394683026584886E-2</v>
      </c>
      <c r="I169" s="281">
        <f>I25+I61+I97+I133</f>
        <v>352668.47499999939</v>
      </c>
      <c r="J169" s="287">
        <f>IFERROR(E169/E$187,"")</f>
        <v>0.15329982729513128</v>
      </c>
      <c r="K169" s="281">
        <f>K25+K61+K97+K133</f>
        <v>4055700</v>
      </c>
      <c r="L169" s="307">
        <f>L25+L61+L97+L133</f>
        <v>105699.99999999988</v>
      </c>
      <c r="M169" s="280">
        <f>IFERROR(L169/$I169,"")</f>
        <v>0.29971490930682154</v>
      </c>
      <c r="N169" s="281">
        <f>N25+N61+N97+N133</f>
        <v>4011025</v>
      </c>
      <c r="O169" s="307">
        <f>O25+O61+O97+O133</f>
        <v>61024.999999999884</v>
      </c>
      <c r="P169" s="280">
        <f>IFERROR(O169/$I169,"")</f>
        <v>0.17303786509412272</v>
      </c>
      <c r="Q169" s="281">
        <f>Q25+Q61+Q97+Q133</f>
        <v>3972500</v>
      </c>
      <c r="R169" s="307">
        <f>R25+R61+R97+R133</f>
        <v>22499.999999999884</v>
      </c>
      <c r="S169" s="280">
        <f>IFERROR(R169/$I169,"")</f>
        <v>6.3799294790950409E-2</v>
      </c>
      <c r="T169" s="55"/>
      <c r="U169" s="334">
        <f>U25+U61+U97+U133</f>
        <v>4139224.9999999995</v>
      </c>
      <c r="V169" s="285">
        <f>U169/$U$187</f>
        <v>0.1525100915920882</v>
      </c>
      <c r="W169" s="284">
        <f>IFERROR(U169/E169,"")</f>
        <v>1.0479050632911391</v>
      </c>
      <c r="X169" s="284">
        <f>IFERROR(U169/F169,"")</f>
        <v>1.0189614002264782</v>
      </c>
      <c r="Y169" s="283"/>
      <c r="Z169" s="282">
        <f>Z25+Z61+Z97+Z133</f>
        <v>4302668.4749999996</v>
      </c>
      <c r="AA169" s="307">
        <f>Z169-SUM(R169,O169,L169)-E169</f>
        <v>163443.47500000009</v>
      </c>
      <c r="AB169" s="280">
        <f>IFERROR(AA169/I169,"")</f>
        <v>0.46344793080810631</v>
      </c>
      <c r="AC169" s="280">
        <f>IFERROR(AA169/E169,"")</f>
        <v>4.1378094936708881E-2</v>
      </c>
      <c r="AD169" s="310">
        <f>IFERROR(AA169/U169,"")</f>
        <v>3.9486492036552766E-2</v>
      </c>
      <c r="AE169" s="279">
        <f>IFERROR(AD169*V169,0%)</f>
        <v>6.0220885171449233E-3</v>
      </c>
      <c r="AF169" s="278">
        <f>IFERROR((U169-E169)/E169,0%)</f>
        <v>4.7905063291139124E-2</v>
      </c>
      <c r="AG169" s="277">
        <f>IFERROR(AF169*J169,0%)</f>
        <v>7.3438379290939612E-3</v>
      </c>
      <c r="AH169" s="276" t="b">
        <f>ROUND((G169-E169),0)=ROUND(SUM(L169,O169,R169,AA169),0)</f>
        <v>1</v>
      </c>
      <c r="AI169" s="21"/>
    </row>
    <row r="170" spans="2:36" s="16" customFormat="1" outlineLevel="1" x14ac:dyDescent="0.3">
      <c r="B170" s="289"/>
      <c r="C170" s="333" t="s">
        <v>566</v>
      </c>
      <c r="D170" s="281">
        <f>D26+D62+D98+D134</f>
        <v>2527500</v>
      </c>
      <c r="E170" s="281">
        <f>E26+E62+E98+E134</f>
        <v>2550000</v>
      </c>
      <c r="F170" s="281">
        <f>F26+F62+F98+F134</f>
        <v>2617575</v>
      </c>
      <c r="G170" s="281">
        <f>G26+G62+G98+G134</f>
        <v>2781196.6874999995</v>
      </c>
      <c r="H170" s="288">
        <f>IFERROR(F170/D170-1,"")</f>
        <v>3.5637982195845685E-2</v>
      </c>
      <c r="I170" s="281">
        <f>I26+I62+I98+I134</f>
        <v>231196.68749999953</v>
      </c>
      <c r="J170" s="287">
        <f>IFERROR(E170/E$187,"")</f>
        <v>9.8965711291793601E-2</v>
      </c>
      <c r="K170" s="281">
        <f>K26+K62+K98+K134</f>
        <v>2608825</v>
      </c>
      <c r="L170" s="307">
        <f>L26+L62+L98+L134</f>
        <v>58824.999999999884</v>
      </c>
      <c r="M170" s="280">
        <f>IFERROR(L170/$I170,"")</f>
        <v>0.25443703643029059</v>
      </c>
      <c r="N170" s="281">
        <f>N26+N62+N98+N134</f>
        <v>2611362.5</v>
      </c>
      <c r="O170" s="307">
        <f>O26+O62+O98+O134</f>
        <v>61362.499999999884</v>
      </c>
      <c r="P170" s="280">
        <f>IFERROR(O170/$I170,"")</f>
        <v>0.26541253970172046</v>
      </c>
      <c r="Q170" s="281">
        <f>Q26+Q62+Q98+Q134</f>
        <v>2568750</v>
      </c>
      <c r="R170" s="307">
        <f>R26+R62+R98+R134</f>
        <v>18749.999999999884</v>
      </c>
      <c r="S170" s="280">
        <f>IFERROR(R170/$I170,"")</f>
        <v>8.1099777867708084E-2</v>
      </c>
      <c r="T170" s="55"/>
      <c r="U170" s="334">
        <f>U26+U62+U98+U134</f>
        <v>2688937.4999999995</v>
      </c>
      <c r="V170" s="285">
        <f>U170/$U$187</f>
        <v>9.9074127260634692E-2</v>
      </c>
      <c r="W170" s="284">
        <f>IFERROR(U170/E170,"")</f>
        <v>1.0544852941176468</v>
      </c>
      <c r="X170" s="284">
        <f>IFERROR(U170/F170,"")</f>
        <v>1.0272628291452965</v>
      </c>
      <c r="Y170" s="283"/>
      <c r="Z170" s="282">
        <f>Z26+Z62+Z98+Z134</f>
        <v>2781196.6874999995</v>
      </c>
      <c r="AA170" s="307">
        <f>Z170-SUM(R170,O170,L170)-E170</f>
        <v>92259.1875</v>
      </c>
      <c r="AB170" s="280">
        <f>IFERROR(AA170/I170,"")</f>
        <v>0.39905064600028139</v>
      </c>
      <c r="AC170" s="280">
        <f>IFERROR(AA170/E170,"")</f>
        <v>3.6180073529411765E-2</v>
      </c>
      <c r="AD170" s="310">
        <f>IFERROR(AA170/U170,"")</f>
        <v>3.4310647793040938E-2</v>
      </c>
      <c r="AE170" s="279">
        <f>IFERROR(AD170*V170,0%)</f>
        <v>3.3992974858425527E-3</v>
      </c>
      <c r="AF170" s="278">
        <f>IFERROR((U170-E170)/E170,0%)</f>
        <v>5.4485294117646875E-2</v>
      </c>
      <c r="AG170" s="277">
        <f>IFERROR(AF170*J170,0%)</f>
        <v>5.3921758872955009E-3</v>
      </c>
      <c r="AH170" s="276" t="b">
        <f>ROUND((G170-E170),0)=ROUND(SUM(L170,O170,R170,AA170),0)</f>
        <v>1</v>
      </c>
      <c r="AI170" s="21"/>
    </row>
    <row r="171" spans="2:36" s="16" customFormat="1" outlineLevel="1" x14ac:dyDescent="0.3">
      <c r="B171" s="289"/>
      <c r="C171" s="333" t="s">
        <v>565</v>
      </c>
      <c r="D171" s="281">
        <f>D27+D63+D99+D135</f>
        <v>0</v>
      </c>
      <c r="E171" s="281">
        <f>E27+E63+E99+E135</f>
        <v>0</v>
      </c>
      <c r="F171" s="281">
        <f>F27+F63+F99+F135</f>
        <v>0</v>
      </c>
      <c r="G171" s="281">
        <f>G27+G63+G99+G135</f>
        <v>0</v>
      </c>
      <c r="H171" s="288" t="str">
        <f>IFERROR(F171/D171-1,"")</f>
        <v/>
      </c>
      <c r="I171" s="281">
        <f>I27+I63+I99+I135</f>
        <v>0</v>
      </c>
      <c r="J171" s="287">
        <f>IFERROR(E171/E$187,"")</f>
        <v>0</v>
      </c>
      <c r="K171" s="281">
        <f>K27+K63+K99+K135</f>
        <v>0</v>
      </c>
      <c r="L171" s="307">
        <f>L27+L63+L99+L135</f>
        <v>0</v>
      </c>
      <c r="M171" s="280" t="str">
        <f>IFERROR(L171/$I171,"")</f>
        <v/>
      </c>
      <c r="N171" s="281">
        <f>N27+N63+N99+N135</f>
        <v>0</v>
      </c>
      <c r="O171" s="307">
        <f>O27+O63+O99+O135</f>
        <v>0</v>
      </c>
      <c r="P171" s="280" t="str">
        <f>IFERROR(O171/$I171,"")</f>
        <v/>
      </c>
      <c r="Q171" s="281">
        <f>Q27+Q63+Q99+Q135</f>
        <v>0</v>
      </c>
      <c r="R171" s="307">
        <f>R27+R63+R99+R135</f>
        <v>0</v>
      </c>
      <c r="S171" s="280" t="str">
        <f>IFERROR(R171/$I171,"")</f>
        <v/>
      </c>
      <c r="T171" s="55"/>
      <c r="U171" s="334">
        <f>U27+U63+U99+U135</f>
        <v>0</v>
      </c>
      <c r="V171" s="285">
        <f>U171/$U$187</f>
        <v>0</v>
      </c>
      <c r="W171" s="284" t="str">
        <f>IFERROR(U171/E171,"")</f>
        <v/>
      </c>
      <c r="X171" s="284" t="str">
        <f>IFERROR(U171/F171,"")</f>
        <v/>
      </c>
      <c r="Y171" s="283"/>
      <c r="Z171" s="282">
        <f>Z27+Z63+Z99+Z135</f>
        <v>0</v>
      </c>
      <c r="AA171" s="307">
        <f>Z171-SUM(R171,O171,L171)-E171</f>
        <v>0</v>
      </c>
      <c r="AB171" s="280" t="str">
        <f>IFERROR(AA171/I171,"")</f>
        <v/>
      </c>
      <c r="AC171" s="280" t="str">
        <f>IFERROR(AA171/E171,"")</f>
        <v/>
      </c>
      <c r="AD171" s="310" t="str">
        <f>IFERROR(AA171/U171,"")</f>
        <v/>
      </c>
      <c r="AE171" s="279">
        <f>IFERROR(AD171*V171,0%)</f>
        <v>0</v>
      </c>
      <c r="AF171" s="278">
        <f>IFERROR((U171-E171)/E171,0%)</f>
        <v>0</v>
      </c>
      <c r="AG171" s="277">
        <f>IFERROR(AF171*J171,0%)</f>
        <v>0</v>
      </c>
      <c r="AH171" s="276" t="b">
        <f>ROUND((G171-E171),0)=ROUND(SUM(L171,O171,R171,AA171),0)</f>
        <v>1</v>
      </c>
      <c r="AI171" s="21"/>
    </row>
    <row r="172" spans="2:36" s="16" customFormat="1" outlineLevel="1" x14ac:dyDescent="0.3">
      <c r="B172" s="289"/>
      <c r="C172" s="333" t="s">
        <v>564</v>
      </c>
      <c r="D172" s="281">
        <f>D28+D64+D100+D136</f>
        <v>0</v>
      </c>
      <c r="E172" s="281">
        <f>E28+E64+E100+E136</f>
        <v>0</v>
      </c>
      <c r="F172" s="281">
        <f>F28+F64+F100+F136</f>
        <v>0</v>
      </c>
      <c r="G172" s="281">
        <f>G28+G64+G100+G136</f>
        <v>0</v>
      </c>
      <c r="H172" s="288" t="str">
        <f>IFERROR(F172/D172-1,"")</f>
        <v/>
      </c>
      <c r="I172" s="281">
        <f>I28+I64+I100+I136</f>
        <v>0</v>
      </c>
      <c r="J172" s="287">
        <f>IFERROR(E172/E$187,"")</f>
        <v>0</v>
      </c>
      <c r="K172" s="281">
        <f>K28+K64+K100+K136</f>
        <v>0</v>
      </c>
      <c r="L172" s="307">
        <f>L28+L64+L100+L136</f>
        <v>0</v>
      </c>
      <c r="M172" s="280" t="str">
        <f>IFERROR(L172/$I172,"")</f>
        <v/>
      </c>
      <c r="N172" s="281">
        <f>N28+N64+N100+N136</f>
        <v>0</v>
      </c>
      <c r="O172" s="307">
        <f>O28+O64+O100+O136</f>
        <v>0</v>
      </c>
      <c r="P172" s="280" t="str">
        <f>IFERROR(O172/$I172,"")</f>
        <v/>
      </c>
      <c r="Q172" s="281">
        <f>Q28+Q64+Q100+Q136</f>
        <v>0</v>
      </c>
      <c r="R172" s="307">
        <f>R28+R64+R100+R136</f>
        <v>0</v>
      </c>
      <c r="S172" s="280" t="str">
        <f>IFERROR(R172/$I172,"")</f>
        <v/>
      </c>
      <c r="T172" s="55"/>
      <c r="U172" s="332">
        <f>U28+U64+U100+U136</f>
        <v>0</v>
      </c>
      <c r="V172" s="285">
        <f>U172/$U$187</f>
        <v>0</v>
      </c>
      <c r="W172" s="284" t="str">
        <f>IFERROR(U172/E172,"")</f>
        <v/>
      </c>
      <c r="X172" s="284" t="str">
        <f>IFERROR(U172/F172,"")</f>
        <v/>
      </c>
      <c r="Y172" s="283"/>
      <c r="Z172" s="282">
        <f>Z28+Z64+Z100+Z136</f>
        <v>0</v>
      </c>
      <c r="AA172" s="307">
        <f>Z172-SUM(R172,O172,L172)-E172</f>
        <v>0</v>
      </c>
      <c r="AB172" s="280" t="str">
        <f>IFERROR(AA172/I172,"")</f>
        <v/>
      </c>
      <c r="AC172" s="280" t="str">
        <f>IFERROR(AA172/E172,"")</f>
        <v/>
      </c>
      <c r="AD172" s="331" t="str">
        <f>IFERROR(AA172/U172,"")</f>
        <v/>
      </c>
      <c r="AE172" s="279">
        <f>IFERROR(AD172*V172,0%)</f>
        <v>0</v>
      </c>
      <c r="AF172" s="278">
        <f>IFERROR((U172-E172)/E172,0%)</f>
        <v>0</v>
      </c>
      <c r="AG172" s="277">
        <f>IFERROR(AF172*J172,0%)</f>
        <v>0</v>
      </c>
      <c r="AH172" s="276" t="b">
        <f>ROUND((G172-E172),0)=ROUND(SUM(L172,O172,R172,AA172),0)</f>
        <v>1</v>
      </c>
      <c r="AI172" s="21"/>
    </row>
    <row r="173" spans="2:36" s="16" customFormat="1" outlineLevel="1" x14ac:dyDescent="0.3">
      <c r="B173" s="289"/>
      <c r="C173" s="330" t="s">
        <v>77</v>
      </c>
      <c r="D173" s="327">
        <f>SUM(D174:D178)</f>
        <v>2276000</v>
      </c>
      <c r="E173" s="327">
        <f>SUM(E174:E178)</f>
        <v>2300000</v>
      </c>
      <c r="F173" s="327">
        <f>SUM(F174:F178)</f>
        <v>2500000</v>
      </c>
      <c r="G173" s="327">
        <f>SUM(G174:G178)</f>
        <v>2629650</v>
      </c>
      <c r="H173" s="329">
        <f>IFERROR(F173/D173-1,"")</f>
        <v>9.8418277680140553E-2</v>
      </c>
      <c r="I173" s="327">
        <f>SUM(I174:I178)</f>
        <v>329649.99999999994</v>
      </c>
      <c r="J173" s="328">
        <f>IFERROR(E173/E$187,"")</f>
        <v>8.9263190576911886E-2</v>
      </c>
      <c r="K173" s="327">
        <f>SUM(K174:K178)</f>
        <v>2506275</v>
      </c>
      <c r="L173" s="327">
        <f>SUM(L174:L178)</f>
        <v>206275</v>
      </c>
      <c r="M173" s="326">
        <f>IFERROR(L173/$I173,"")</f>
        <v>0.62573942059760368</v>
      </c>
      <c r="N173" s="327">
        <f>SUM(N174:N178)</f>
        <v>2328500</v>
      </c>
      <c r="O173" s="327">
        <f>SUM(O174:O178)</f>
        <v>28500</v>
      </c>
      <c r="P173" s="326">
        <f>IFERROR(O173/$I173,"")</f>
        <v>8.6455331412103764E-2</v>
      </c>
      <c r="Q173" s="327">
        <f>SUM(Q174:Q178)</f>
        <v>2302500</v>
      </c>
      <c r="R173" s="327">
        <f>SUM(R174:R178)</f>
        <v>2499.9999999999854</v>
      </c>
      <c r="S173" s="326">
        <f>IFERROR(R173/$I173,"")</f>
        <v>7.5838010010616892E-3</v>
      </c>
      <c r="T173" s="325"/>
      <c r="U173" s="324">
        <f>SUM(U174:U178)</f>
        <v>2537275</v>
      </c>
      <c r="V173" s="323">
        <f>U173/$U$187</f>
        <v>9.348610975347213E-2</v>
      </c>
      <c r="W173" s="322">
        <f>IFERROR(U173/E173,"")</f>
        <v>1.1031630434782609</v>
      </c>
      <c r="X173" s="321">
        <f>IFERROR(U173/F173,"")</f>
        <v>1.01491</v>
      </c>
      <c r="Y173" s="320"/>
      <c r="Z173" s="319">
        <f>SUM(Z174:Z178)</f>
        <v>2629650</v>
      </c>
      <c r="AA173" s="318">
        <f>SUM(AA174:AA178)</f>
        <v>92374.999999999884</v>
      </c>
      <c r="AB173" s="317">
        <f>IFERROR(AA173/I173,"")</f>
        <v>0.28022144698923068</v>
      </c>
      <c r="AC173" s="317">
        <f>IFERROR(AA173/E173,"")</f>
        <v>4.0163043478260822E-2</v>
      </c>
      <c r="AD173" s="316">
        <f>IFERROR(AA173/U173,"")</f>
        <v>3.6407169108590862E-2</v>
      </c>
      <c r="AE173" s="315">
        <f>IFERROR(AD173*V173,0%)</f>
        <v>3.4035646070989453E-3</v>
      </c>
      <c r="AF173" s="314">
        <f>IFERROR((U173-E173)/E173,0%)</f>
        <v>0.10316304347826087</v>
      </c>
      <c r="AG173" s="313">
        <f>IFERROR(AF173*J173,0%)</f>
        <v>9.2086624104942474E-3</v>
      </c>
      <c r="AH173" s="312" t="b">
        <f>ROUND((G173-E173),0)=ROUND(SUM(L173,O173,R173,AA173),0)</f>
        <v>1</v>
      </c>
      <c r="AI173" s="21"/>
    </row>
    <row r="174" spans="2:36" s="16" customFormat="1" outlineLevel="1" x14ac:dyDescent="0.3">
      <c r="B174" s="289"/>
      <c r="C174" s="308" t="s">
        <v>563</v>
      </c>
      <c r="D174" s="281">
        <f>D30+D66+D102+D138</f>
        <v>1780000</v>
      </c>
      <c r="E174" s="281">
        <f>E30+E66+E102+E138</f>
        <v>1800000</v>
      </c>
      <c r="F174" s="281">
        <f>F30+F66+F102+F138</f>
        <v>1982500</v>
      </c>
      <c r="G174" s="281">
        <f>G30+G66+G102+G138</f>
        <v>2090500</v>
      </c>
      <c r="H174" s="288">
        <f>IFERROR(F174/D174-1,"")</f>
        <v>0.1137640449438202</v>
      </c>
      <c r="I174" s="281">
        <f>I30+I66+I102+I138</f>
        <v>290500</v>
      </c>
      <c r="J174" s="287">
        <f>IFERROR(E174/E$187,"")</f>
        <v>6.9858149147148427E-2</v>
      </c>
      <c r="K174" s="281">
        <f>K30+K66+K102+K138</f>
        <v>1984750</v>
      </c>
      <c r="L174" s="281">
        <f>L30+L66+L102+L138</f>
        <v>184750</v>
      </c>
      <c r="M174" s="280">
        <f>IFERROR(L174/$I174,"")</f>
        <v>0.63597246127366613</v>
      </c>
      <c r="N174" s="281">
        <f>N30+N66+N102+N138</f>
        <v>1826500</v>
      </c>
      <c r="O174" s="281">
        <f>O30+O66+O102+O138</f>
        <v>26500</v>
      </c>
      <c r="P174" s="280">
        <f>IFERROR(O174/$I174,"")</f>
        <v>9.1222030981067126E-2</v>
      </c>
      <c r="Q174" s="281">
        <f>Q30+Q66+Q102+Q138</f>
        <v>1800000</v>
      </c>
      <c r="R174" s="307">
        <f>R30+R66+R102+R138</f>
        <v>0</v>
      </c>
      <c r="S174" s="280">
        <f>IFERROR(R174/$I174,"")</f>
        <v>0</v>
      </c>
      <c r="T174" s="55"/>
      <c r="U174" s="286">
        <f>SUM(E174,L174,O174,R174)</f>
        <v>2011250</v>
      </c>
      <c r="V174" s="285">
        <f>U174/$U$187</f>
        <v>7.4104674598406084E-2</v>
      </c>
      <c r="W174" s="284">
        <f>IFERROR(U174/E174,"")</f>
        <v>1.117361111111111</v>
      </c>
      <c r="X174" s="284">
        <f>IFERROR(U174/F174,"")</f>
        <v>1.014501891551072</v>
      </c>
      <c r="Y174" s="283"/>
      <c r="Z174" s="282">
        <f>Z30+Z66+Z102+Z138</f>
        <v>2090500</v>
      </c>
      <c r="AA174" s="281">
        <f>Z174-SUM(R174,O174,L174)-E174</f>
        <v>79250</v>
      </c>
      <c r="AB174" s="280">
        <f>IFERROR(AA174/I174,"")</f>
        <v>0.2728055077452668</v>
      </c>
      <c r="AC174" s="280">
        <f>IFERROR(AA174/E174,"")</f>
        <v>4.4027777777777777E-2</v>
      </c>
      <c r="AD174" s="311">
        <f>IFERROR(AA174/U174,"")</f>
        <v>3.9403356121814795E-2</v>
      </c>
      <c r="AE174" s="279">
        <f>IFERROR(AD174*V174,0%)</f>
        <v>2.9199728834921976E-3</v>
      </c>
      <c r="AF174" s="278">
        <f>IFERROR((U174-E174)/E174,0%)</f>
        <v>0.11736111111111111</v>
      </c>
      <c r="AG174" s="277">
        <f>IFERROR(AF174*J174,0%)</f>
        <v>8.1986300040750582E-3</v>
      </c>
      <c r="AH174" s="276" t="b">
        <f>ROUND((G174-E174),0)=ROUND(SUM(L174,O174,R174,AA174),0)</f>
        <v>1</v>
      </c>
      <c r="AI174" s="21"/>
    </row>
    <row r="175" spans="2:36" s="16" customFormat="1" outlineLevel="1" x14ac:dyDescent="0.3">
      <c r="B175" s="289"/>
      <c r="C175" s="308" t="s">
        <v>562</v>
      </c>
      <c r="D175" s="281">
        <f>D31+D67+D103+D139</f>
        <v>496000</v>
      </c>
      <c r="E175" s="281">
        <f>E31+E67+E103+E139</f>
        <v>500000</v>
      </c>
      <c r="F175" s="281">
        <f>F31+F67+F103+F139</f>
        <v>517500</v>
      </c>
      <c r="G175" s="281">
        <f>G31+G67+G103+G139</f>
        <v>539149.99999999988</v>
      </c>
      <c r="H175" s="288">
        <f>IFERROR(F175/D175-1,"")</f>
        <v>4.3346774193548487E-2</v>
      </c>
      <c r="I175" s="281">
        <f>I31+I67+I103+I139</f>
        <v>39149.999999999927</v>
      </c>
      <c r="J175" s="287">
        <f>IFERROR(E175/E$187,"")</f>
        <v>1.9405041429763452E-2</v>
      </c>
      <c r="K175" s="281">
        <f>K31+K67+K103+K139</f>
        <v>521525</v>
      </c>
      <c r="L175" s="281">
        <f>L31+L67+L103+L139</f>
        <v>21524.999999999985</v>
      </c>
      <c r="M175" s="280">
        <f>IFERROR(L175/$I175,"")</f>
        <v>0.54980842911877459</v>
      </c>
      <c r="N175" s="281">
        <f>N31+N67+N103+N139</f>
        <v>502000</v>
      </c>
      <c r="O175" s="281">
        <f>O31+O67+O103+O139</f>
        <v>2000</v>
      </c>
      <c r="P175" s="280">
        <f>IFERROR(O175/$I175,"")</f>
        <v>5.1085568326947731E-2</v>
      </c>
      <c r="Q175" s="281">
        <f>Q31+Q67+Q103+Q139</f>
        <v>502500</v>
      </c>
      <c r="R175" s="307">
        <f>R31+R67+R103+R139</f>
        <v>2499.9999999999854</v>
      </c>
      <c r="S175" s="280">
        <f>IFERROR(R175/$I175,"")</f>
        <v>6.3856960408684299E-2</v>
      </c>
      <c r="T175" s="55"/>
      <c r="U175" s="286">
        <f>SUM(E175,L175,O175,R175)</f>
        <v>526025</v>
      </c>
      <c r="V175" s="285">
        <f>U175/$U$187</f>
        <v>1.9381435155066035E-2</v>
      </c>
      <c r="W175" s="284">
        <f>IFERROR(U175/E175,"")</f>
        <v>1.0520499999999999</v>
      </c>
      <c r="X175" s="284">
        <f>IFERROR(U175/F175,"")</f>
        <v>1.0164734299516909</v>
      </c>
      <c r="Y175" s="283"/>
      <c r="Z175" s="282">
        <f>Z31+Z67+Z103+Z139</f>
        <v>539149.99999999988</v>
      </c>
      <c r="AA175" s="281">
        <f>Z175-SUM(R175,O175,L175)-E175</f>
        <v>13124.999999999884</v>
      </c>
      <c r="AB175" s="280">
        <f>IFERROR(AA175/I175,"")</f>
        <v>0.33524904214559154</v>
      </c>
      <c r="AC175" s="280">
        <f>IFERROR(AA175/E175,"")</f>
        <v>2.6249999999999767E-2</v>
      </c>
      <c r="AD175" s="310">
        <f>IFERROR(AA175/U175,"")</f>
        <v>2.495128558528565E-2</v>
      </c>
      <c r="AE175" s="279">
        <f>IFERROR(AD175*V175,0%)</f>
        <v>4.8359172360674772E-4</v>
      </c>
      <c r="AF175" s="278">
        <f>IFERROR((U175-E175)/E175,0%)</f>
        <v>5.2049999999999999E-2</v>
      </c>
      <c r="AG175" s="277">
        <f>IFERROR(AF175*J175,0%)</f>
        <v>1.0100324064191877E-3</v>
      </c>
      <c r="AH175" s="276" t="b">
        <f>ROUND((G175-E175),0)=ROUND(SUM(L175,O175,R175,AA175),0)</f>
        <v>1</v>
      </c>
      <c r="AI175" s="21"/>
    </row>
    <row r="176" spans="2:36" s="16" customFormat="1" outlineLevel="1" x14ac:dyDescent="0.3">
      <c r="B176" s="289"/>
      <c r="C176" s="308" t="s">
        <v>561</v>
      </c>
      <c r="D176" s="281">
        <f>D32+D68+D104+D140</f>
        <v>0</v>
      </c>
      <c r="E176" s="281">
        <f>E32+E68+E104+E140</f>
        <v>0</v>
      </c>
      <c r="F176" s="281">
        <f>F32+F68+F104+F140</f>
        <v>0</v>
      </c>
      <c r="G176" s="281">
        <f>G32+G68+G104+G140</f>
        <v>0</v>
      </c>
      <c r="H176" s="288" t="str">
        <f>IFERROR(F176/D176-1,"")</f>
        <v/>
      </c>
      <c r="I176" s="281">
        <f>I32+I68+I104+I140</f>
        <v>0</v>
      </c>
      <c r="J176" s="287">
        <f>IFERROR(E176/E$187,"")</f>
        <v>0</v>
      </c>
      <c r="K176" s="281">
        <f>K32+K68+K104+K140</f>
        <v>0</v>
      </c>
      <c r="L176" s="281">
        <f>L32+L68+L104+L140</f>
        <v>0</v>
      </c>
      <c r="M176" s="280" t="str">
        <f>IFERROR(L176/$I176,"")</f>
        <v/>
      </c>
      <c r="N176" s="281">
        <f>N32+N68+N104+N140</f>
        <v>0</v>
      </c>
      <c r="O176" s="281">
        <f>O32+O68+O104+O140</f>
        <v>0</v>
      </c>
      <c r="P176" s="280" t="str">
        <f>IFERROR(O176/$I176,"")</f>
        <v/>
      </c>
      <c r="Q176" s="281">
        <f>Q32+Q68+Q104+Q140</f>
        <v>0</v>
      </c>
      <c r="R176" s="307">
        <f>R32+R68+R104+R140</f>
        <v>0</v>
      </c>
      <c r="S176" s="280" t="str">
        <f>IFERROR(R176/$I176,"")</f>
        <v/>
      </c>
      <c r="T176" s="55"/>
      <c r="U176" s="286">
        <f>SUM(E176,L176,O176,R176)</f>
        <v>0</v>
      </c>
      <c r="V176" s="285">
        <f>U176/$U$187</f>
        <v>0</v>
      </c>
      <c r="W176" s="284" t="str">
        <f>IFERROR(U176/E176,"")</f>
        <v/>
      </c>
      <c r="X176" s="284" t="str">
        <f>IFERROR(U176/F176,"")</f>
        <v/>
      </c>
      <c r="Y176" s="283"/>
      <c r="Z176" s="282">
        <f>Z32+Z68+Z104+Z140</f>
        <v>0</v>
      </c>
      <c r="AA176" s="281">
        <f>Z176-SUM(R176,O176,L176)-E176</f>
        <v>0</v>
      </c>
      <c r="AB176" s="280" t="str">
        <f>IFERROR(AA176/I176,"")</f>
        <v/>
      </c>
      <c r="AC176" s="280" t="str">
        <f>IFERROR(AA176/E176,"")</f>
        <v/>
      </c>
      <c r="AD176" s="309" t="str">
        <f>IFERROR(AA176/U176,"")</f>
        <v/>
      </c>
      <c r="AE176" s="279">
        <f>IFERROR(AD176*V176,0%)</f>
        <v>0</v>
      </c>
      <c r="AF176" s="278">
        <f>IFERROR((U176-E176)/E176,0%)</f>
        <v>0</v>
      </c>
      <c r="AG176" s="277">
        <f>IFERROR(AF176*J176,0%)</f>
        <v>0</v>
      </c>
      <c r="AH176" s="276" t="b">
        <f>ROUND((G176-E176),0)=ROUND(SUM(L176,O176,R176,AA176),0)</f>
        <v>1</v>
      </c>
      <c r="AI176" s="21"/>
    </row>
    <row r="177" spans="2:36" s="16" customFormat="1" outlineLevel="1" x14ac:dyDescent="0.3">
      <c r="B177" s="289"/>
      <c r="C177" s="308" t="s">
        <v>561</v>
      </c>
      <c r="D177" s="281">
        <f>D33+D69+D105+D141</f>
        <v>0</v>
      </c>
      <c r="E177" s="281">
        <f>E33+E69+E105+E141</f>
        <v>0</v>
      </c>
      <c r="F177" s="281">
        <f>F33+F69+F105+F141</f>
        <v>0</v>
      </c>
      <c r="G177" s="281">
        <f>G33+G69+G105+G141</f>
        <v>0</v>
      </c>
      <c r="H177" s="288" t="str">
        <f>IFERROR(F177/D177-1,"")</f>
        <v/>
      </c>
      <c r="I177" s="281">
        <f>I33+I69+I105+I141</f>
        <v>0</v>
      </c>
      <c r="J177" s="287">
        <f>IFERROR(E177/E$187,"")</f>
        <v>0</v>
      </c>
      <c r="K177" s="281">
        <f>K33+K69+K105+K141</f>
        <v>0</v>
      </c>
      <c r="L177" s="281">
        <f>L33+L69+L105+L141</f>
        <v>0</v>
      </c>
      <c r="M177" s="280" t="str">
        <f>IFERROR(L177/$I177,"")</f>
        <v/>
      </c>
      <c r="N177" s="281">
        <f>N33+N69+N105+N141</f>
        <v>0</v>
      </c>
      <c r="O177" s="281">
        <f>O33+O69+O105+O141</f>
        <v>0</v>
      </c>
      <c r="P177" s="280" t="str">
        <f>IFERROR(O177/$I177,"")</f>
        <v/>
      </c>
      <c r="Q177" s="281">
        <f>Q33+Q69+Q105+Q141</f>
        <v>0</v>
      </c>
      <c r="R177" s="307">
        <f>R33+R69+R105+R141</f>
        <v>0</v>
      </c>
      <c r="S177" s="280" t="str">
        <f>IFERROR(R177/$I177,"")</f>
        <v/>
      </c>
      <c r="T177" s="55"/>
      <c r="U177" s="286">
        <f>SUM(E177,L177,O177,R177)</f>
        <v>0</v>
      </c>
      <c r="V177" s="285">
        <f>U177/$U$187</f>
        <v>0</v>
      </c>
      <c r="W177" s="284" t="str">
        <f>IFERROR(U177/E177,"")</f>
        <v/>
      </c>
      <c r="X177" s="284" t="str">
        <f>IFERROR(U177/F177,"")</f>
        <v/>
      </c>
      <c r="Y177" s="283"/>
      <c r="Z177" s="282">
        <f>Z33+Z69+Z105+Z141</f>
        <v>0</v>
      </c>
      <c r="AA177" s="281">
        <f>Z177-SUM(R177,O177,L177)-E177</f>
        <v>0</v>
      </c>
      <c r="AB177" s="280" t="str">
        <f>IFERROR(AA177/I177,"")</f>
        <v/>
      </c>
      <c r="AC177" s="280" t="str">
        <f>IFERROR(AA177/E177,"")</f>
        <v/>
      </c>
      <c r="AD177" s="309" t="str">
        <f>IFERROR(AA177/U177,"")</f>
        <v/>
      </c>
      <c r="AE177" s="279">
        <f>IFERROR(AD177*V177,0%)</f>
        <v>0</v>
      </c>
      <c r="AF177" s="278">
        <f>IFERROR((U177-E177)/E177,0%)</f>
        <v>0</v>
      </c>
      <c r="AG177" s="277">
        <f>IFERROR(AF177*J177,0%)</f>
        <v>0</v>
      </c>
      <c r="AH177" s="276" t="b">
        <f>ROUND((G177-E177),0)=ROUND(SUM(L177,O177,R177,AA177),0)</f>
        <v>1</v>
      </c>
      <c r="AI177" s="21"/>
    </row>
    <row r="178" spans="2:36" s="16" customFormat="1" outlineLevel="1" x14ac:dyDescent="0.3">
      <c r="B178" s="289"/>
      <c r="C178" s="308" t="s">
        <v>561</v>
      </c>
      <c r="D178" s="281">
        <f>D34+D70+D106+D142</f>
        <v>0</v>
      </c>
      <c r="E178" s="281">
        <f>E34+E70+E106+E142</f>
        <v>0</v>
      </c>
      <c r="F178" s="281">
        <f>F34+F70+F106+F142</f>
        <v>0</v>
      </c>
      <c r="G178" s="281">
        <f>G34+G70+G106+G142</f>
        <v>0</v>
      </c>
      <c r="H178" s="288" t="str">
        <f>IFERROR(F178/D178-1,"")</f>
        <v/>
      </c>
      <c r="I178" s="281">
        <f>I34+I70+I106+I142</f>
        <v>0</v>
      </c>
      <c r="J178" s="287">
        <f>IFERROR(E178/E$187,"")</f>
        <v>0</v>
      </c>
      <c r="K178" s="281">
        <f>K34+K70+K106+K142</f>
        <v>0</v>
      </c>
      <c r="L178" s="281">
        <f>L34+L70+L106+L142</f>
        <v>0</v>
      </c>
      <c r="M178" s="280" t="str">
        <f>IFERROR(L178/$I178,"")</f>
        <v/>
      </c>
      <c r="N178" s="281">
        <f>N34+N70+N106+N142</f>
        <v>0</v>
      </c>
      <c r="O178" s="281">
        <f>O34+O70+O106+O142</f>
        <v>0</v>
      </c>
      <c r="P178" s="280" t="str">
        <f>IFERROR(O178/$I178,"")</f>
        <v/>
      </c>
      <c r="Q178" s="281">
        <f>Q34+Q70+Q106+Q142</f>
        <v>0</v>
      </c>
      <c r="R178" s="307">
        <f>R34+R70+R106+R142</f>
        <v>0</v>
      </c>
      <c r="S178" s="280" t="str">
        <f>IFERROR(R178/$I178,"")</f>
        <v/>
      </c>
      <c r="T178" s="55"/>
      <c r="U178" s="286">
        <f>SUM(E178,L178,O178,R178)</f>
        <v>0</v>
      </c>
      <c r="V178" s="285">
        <f>U178/$U$187</f>
        <v>0</v>
      </c>
      <c r="W178" s="284" t="str">
        <f>IFERROR(U178/E178,"")</f>
        <v/>
      </c>
      <c r="X178" s="284" t="str">
        <f>IFERROR(U178/F178,"")</f>
        <v/>
      </c>
      <c r="Y178" s="283"/>
      <c r="Z178" s="282">
        <f>Z34+Z70+Z106+Z142</f>
        <v>0</v>
      </c>
      <c r="AA178" s="281">
        <f>Z178-SUM(R178,O178,L178)-E178</f>
        <v>0</v>
      </c>
      <c r="AB178" s="280" t="str">
        <f>IFERROR(AA178/I178,"")</f>
        <v/>
      </c>
      <c r="AC178" s="280" t="str">
        <f>IFERROR(AA178/E178,"")</f>
        <v/>
      </c>
      <c r="AD178" s="306" t="str">
        <f>IFERROR(AA178/U178,"")</f>
        <v/>
      </c>
      <c r="AE178" s="279">
        <f>IFERROR(AD178*V178,0%)</f>
        <v>0</v>
      </c>
      <c r="AF178" s="278">
        <f>IFERROR((U178-E178)/E178,0%)</f>
        <v>0</v>
      </c>
      <c r="AG178" s="277">
        <f>IFERROR(AF178*J178,0%)</f>
        <v>0</v>
      </c>
      <c r="AH178" s="276" t="b">
        <f>ROUND((G178-E178),0)=ROUND(SUM(L178,O178,R178,AA178),0)</f>
        <v>1</v>
      </c>
      <c r="AI178" s="21"/>
    </row>
    <row r="179" spans="2:36" s="16" customFormat="1" outlineLevel="1" x14ac:dyDescent="0.3">
      <c r="B179" s="289"/>
      <c r="C179" s="298" t="s">
        <v>560</v>
      </c>
      <c r="D179" s="300">
        <f>D35+D71+D107+D143</f>
        <v>397000</v>
      </c>
      <c r="E179" s="300">
        <f>E35+E71+E107+E143</f>
        <v>400000</v>
      </c>
      <c r="F179" s="300">
        <f>F35+F71+F107+F143</f>
        <v>409999.99999999994</v>
      </c>
      <c r="G179" s="300">
        <f>G35+G71+G107+G143</f>
        <v>427890</v>
      </c>
      <c r="H179" s="305">
        <f>IFERROR(F179/D179-1,"")</f>
        <v>3.2745591939546514E-2</v>
      </c>
      <c r="I179" s="300">
        <f>I35+I71+I107+I143</f>
        <v>27889.999999999956</v>
      </c>
      <c r="J179" s="304">
        <f>IFERROR(E179/E$187,"")</f>
        <v>1.5524033143810761E-2</v>
      </c>
      <c r="K179" s="300">
        <f>K35+K71+K107+K143</f>
        <v>414500</v>
      </c>
      <c r="L179" s="300">
        <f>L35+L71+L107+L143</f>
        <v>14499.999999999985</v>
      </c>
      <c r="M179" s="266">
        <f>IFERROR(L179/$I179,"")</f>
        <v>0.51989960559340298</v>
      </c>
      <c r="N179" s="300">
        <f>N35+N71+N107+N143</f>
        <v>404550</v>
      </c>
      <c r="O179" s="300">
        <f>O35+O71+O107+O143</f>
        <v>4549.9999999999854</v>
      </c>
      <c r="P179" s="266">
        <f>IFERROR(O179/$I179,"")</f>
        <v>0.16314091072068815</v>
      </c>
      <c r="Q179" s="300">
        <f>Q35+Q71+Q107+Q143</f>
        <v>400000</v>
      </c>
      <c r="R179" s="303">
        <f>R35+R71+R107+R143</f>
        <v>0</v>
      </c>
      <c r="S179" s="266">
        <f>IFERROR(R179/$I179,"")</f>
        <v>0</v>
      </c>
      <c r="T179" s="55"/>
      <c r="U179" s="302">
        <f>SUM(E179,L179,O179,R179)</f>
        <v>419050</v>
      </c>
      <c r="V179" s="271">
        <f>U179/$U$187</f>
        <v>1.5439932325897861E-2</v>
      </c>
      <c r="W179" s="270">
        <f>IFERROR(U179/E179,"")</f>
        <v>1.047625</v>
      </c>
      <c r="X179" s="270">
        <f>IFERROR(U179/F179,"")</f>
        <v>1.0220731707317074</v>
      </c>
      <c r="Y179" s="296"/>
      <c r="Z179" s="301">
        <f>Z35+Z71+Z107+Z143</f>
        <v>427890</v>
      </c>
      <c r="AA179" s="300">
        <f>Z179-SUM(R179,O179,L179)-E179</f>
        <v>8840</v>
      </c>
      <c r="AB179" s="266">
        <f>IFERROR(AA179/I179,"")</f>
        <v>0.31695948368590943</v>
      </c>
      <c r="AC179" s="266">
        <f>IFERROR(AA179/E179,"")</f>
        <v>2.2100000000000002E-2</v>
      </c>
      <c r="AD179" s="264">
        <f>IFERROR(AA179/U179,"")</f>
        <v>2.1095334685598377E-2</v>
      </c>
      <c r="AE179" s="265">
        <f>IFERROR(AD179*V179,0%)</f>
        <v>3.2571053993780475E-4</v>
      </c>
      <c r="AF179" s="264">
        <f>IFERROR((U179-E179)/E179,0%)</f>
        <v>4.7625000000000001E-2</v>
      </c>
      <c r="AG179" s="263">
        <f>IFERROR(AF179*J179,0%)</f>
        <v>7.393320784739875E-4</v>
      </c>
      <c r="AH179" s="299" t="b">
        <f>ROUND((G179-E179),0)=ROUND(SUM(L179,O179,R179,AA179),0)</f>
        <v>1</v>
      </c>
      <c r="AI179" s="21"/>
    </row>
    <row r="180" spans="2:36" s="16" customFormat="1" outlineLevel="1" x14ac:dyDescent="0.3">
      <c r="B180" s="289"/>
      <c r="C180" s="298" t="s">
        <v>303</v>
      </c>
      <c r="D180" s="295">
        <f>SUM(D181:D185)</f>
        <v>435600</v>
      </c>
      <c r="E180" s="295">
        <f>SUM(E181:E185)</f>
        <v>440000</v>
      </c>
      <c r="F180" s="295">
        <f>SUM(F181:F185)</f>
        <v>496000</v>
      </c>
      <c r="G180" s="295">
        <f>SUM(G181:G185)</f>
        <v>509428.5</v>
      </c>
      <c r="H180" s="251">
        <f>IFERROR(F180/D180-1,"")</f>
        <v>0.1386593204775024</v>
      </c>
      <c r="I180" s="295">
        <f>SUM(I181:I185)</f>
        <v>69428.499999999985</v>
      </c>
      <c r="J180" s="297">
        <f>IFERROR(E180/E$187,"")</f>
        <v>1.7076436458191839E-2</v>
      </c>
      <c r="K180" s="295">
        <f>SUM(K181:K185)</f>
        <v>493500</v>
      </c>
      <c r="L180" s="295">
        <f>SUM(L181:L185)</f>
        <v>53500</v>
      </c>
      <c r="M180" s="294">
        <f>IFERROR(L180/$I180,"")</f>
        <v>0.77057692446185655</v>
      </c>
      <c r="N180" s="295">
        <f>SUM(N181:N185)</f>
        <v>448300</v>
      </c>
      <c r="O180" s="295">
        <f>SUM(O181:O185)</f>
        <v>8300</v>
      </c>
      <c r="P180" s="294">
        <f>IFERROR(O180/$I180,"")</f>
        <v>0.11954744809408242</v>
      </c>
      <c r="Q180" s="295">
        <f>SUM(Q181:Q185)</f>
        <v>442000</v>
      </c>
      <c r="R180" s="295">
        <f>SUM(R181:R185)</f>
        <v>2000</v>
      </c>
      <c r="S180" s="294">
        <f>IFERROR(R180/$I180,"")</f>
        <v>2.8806613998574079E-2</v>
      </c>
      <c r="T180" s="55"/>
      <c r="U180" s="257">
        <f>SUM(U181:U185)</f>
        <v>503800</v>
      </c>
      <c r="V180" s="256">
        <f>U180/$U$187</f>
        <v>1.8562553169758602E-2</v>
      </c>
      <c r="W180" s="247">
        <f>IFERROR(U180/E180,"")</f>
        <v>1.145</v>
      </c>
      <c r="X180" s="251">
        <f>IFERROR(U180/F180,"")</f>
        <v>1.0157258064516128</v>
      </c>
      <c r="Y180" s="296"/>
      <c r="Z180" s="295">
        <f>SUM(Z181:Z185)</f>
        <v>509428.5</v>
      </c>
      <c r="AA180" s="257">
        <f>SUM(AA181:AA185)</f>
        <v>5628.5</v>
      </c>
      <c r="AB180" s="294">
        <f>IFERROR(AA180/I180,"")</f>
        <v>8.1069013445487101E-2</v>
      </c>
      <c r="AC180" s="293">
        <f>IFERROR(AA180/E180,"")</f>
        <v>1.2792045454545455E-2</v>
      </c>
      <c r="AD180" s="250">
        <f>IFERROR(AA180/U180,"")</f>
        <v>1.1172092100039699E-2</v>
      </c>
      <c r="AE180" s="292">
        <f>IFERROR(AD180*V180,0%)</f>
        <v>2.0738255362442694E-4</v>
      </c>
      <c r="AF180" s="291">
        <f>IFERROR((U180-E180)/E180,0%)</f>
        <v>0.14499999999999999</v>
      </c>
      <c r="AG180" s="290">
        <f>IFERROR(AF180*J180,0%)</f>
        <v>2.4760832864378166E-3</v>
      </c>
      <c r="AH180" s="246" t="b">
        <f>ROUND((G180-E180),0)=ROUND(SUM(L180,O180,R180,AA180),0)</f>
        <v>1</v>
      </c>
      <c r="AI180" s="21"/>
    </row>
    <row r="181" spans="2:36" s="16" customFormat="1" outlineLevel="1" x14ac:dyDescent="0.3">
      <c r="B181" s="289"/>
      <c r="C181" s="43" t="s">
        <v>559</v>
      </c>
      <c r="D181" s="281">
        <f>D37+D73+D109+D145</f>
        <v>316800</v>
      </c>
      <c r="E181" s="281">
        <f>E37+E73+E109+E145</f>
        <v>320000</v>
      </c>
      <c r="F181" s="281">
        <f>F37+F73+F109+F145</f>
        <v>373000</v>
      </c>
      <c r="G181" s="281">
        <f>G37+G73+G109+G145</f>
        <v>383987.5</v>
      </c>
      <c r="H181" s="288">
        <f>IFERROR(F181/D181-1,"")</f>
        <v>0.17739898989898983</v>
      </c>
      <c r="I181" s="281">
        <f>I37+I73+I109+I145</f>
        <v>63987.499999999993</v>
      </c>
      <c r="J181" s="287">
        <f>IFERROR(E181/E$187,"")</f>
        <v>1.241922651504861E-2</v>
      </c>
      <c r="K181" s="281">
        <f>K37+K73+K109+K145</f>
        <v>371000</v>
      </c>
      <c r="L181" s="281">
        <f>L37+L73+L109+L145</f>
        <v>51000</v>
      </c>
      <c r="M181" s="280">
        <f>IFERROR(L181/$I181,"")</f>
        <v>0.79703067005274475</v>
      </c>
      <c r="N181" s="281">
        <f>N37+N73+N109+N145</f>
        <v>327000</v>
      </c>
      <c r="O181" s="281">
        <f>O37+O73+O109+O145</f>
        <v>7000</v>
      </c>
      <c r="P181" s="280">
        <f>IFERROR(O181/$I181,"")</f>
        <v>0.10939636647782772</v>
      </c>
      <c r="Q181" s="281">
        <f>Q37+Q73+Q109+Q145</f>
        <v>322000</v>
      </c>
      <c r="R181" s="281">
        <f>R37+R73+R109+R145</f>
        <v>2000</v>
      </c>
      <c r="S181" s="280">
        <f>IFERROR(R181/$I181,"")</f>
        <v>3.1256104707950774E-2</v>
      </c>
      <c r="T181" s="55"/>
      <c r="U181" s="286">
        <f>SUM(E181,L181,O181,R181)</f>
        <v>380000</v>
      </c>
      <c r="V181" s="285">
        <f>U181/$U$187</f>
        <v>1.40011318072812E-2</v>
      </c>
      <c r="W181" s="284">
        <f>IFERROR(U181/E181,"")</f>
        <v>1.1875</v>
      </c>
      <c r="X181" s="284">
        <f>IFERROR(U181/F181,"")</f>
        <v>1.0187667560321716</v>
      </c>
      <c r="Y181" s="283"/>
      <c r="Z181" s="282">
        <f>Z37+Z73+Z109+Z145</f>
        <v>383987.5</v>
      </c>
      <c r="AA181" s="281">
        <f>Z181-SUM(R181,O181,L181)-E181</f>
        <v>3987.5</v>
      </c>
      <c r="AB181" s="280">
        <f>IFERROR(AA181/I181,"")</f>
        <v>6.2316858761476857E-2</v>
      </c>
      <c r="AC181" s="280">
        <f>IFERROR(AA181/E181,"")</f>
        <v>1.24609375E-2</v>
      </c>
      <c r="AD181" s="278">
        <f>IFERROR(AA181/U181,"")</f>
        <v>1.0493421052631579E-2</v>
      </c>
      <c r="AE181" s="279">
        <f>IFERROR(AD181*V181,0%)</f>
        <v>1.4691977126719417E-4</v>
      </c>
      <c r="AF181" s="278">
        <f>IFERROR((U181-E181)/E181,0%)</f>
        <v>0.1875</v>
      </c>
      <c r="AG181" s="277">
        <f>IFERROR(AF181*J181,0%)</f>
        <v>2.3286049715716146E-3</v>
      </c>
      <c r="AH181" s="276" t="b">
        <f>ROUND((G181-E181),0)=ROUND(SUM(L181,O181,R181,AA181),0)</f>
        <v>1</v>
      </c>
      <c r="AI181" s="21"/>
    </row>
    <row r="182" spans="2:36" s="16" customFormat="1" outlineLevel="1" x14ac:dyDescent="0.3">
      <c r="B182" s="289"/>
      <c r="C182" s="43" t="s">
        <v>558</v>
      </c>
      <c r="D182" s="281">
        <f>D38+D74+D110+D146</f>
        <v>118800</v>
      </c>
      <c r="E182" s="281">
        <f>E38+E74+E110+E146</f>
        <v>120000</v>
      </c>
      <c r="F182" s="281">
        <f>F38+F74+F110+F146</f>
        <v>122999.99999999999</v>
      </c>
      <c r="G182" s="281">
        <f>G38+G74+G110+G146</f>
        <v>125441</v>
      </c>
      <c r="H182" s="288">
        <f>IFERROR(F182/D182-1,"")</f>
        <v>3.5353535353535248E-2</v>
      </c>
      <c r="I182" s="281">
        <f>I38+I74+I110+I146</f>
        <v>5440.9999999999964</v>
      </c>
      <c r="J182" s="287">
        <f>IFERROR(E182/E$187,"")</f>
        <v>4.6572099431432283E-3</v>
      </c>
      <c r="K182" s="281">
        <f>K38+K74+K110+K146</f>
        <v>122500</v>
      </c>
      <c r="L182" s="281">
        <f>L38+L74+L110+L146</f>
        <v>2500</v>
      </c>
      <c r="M182" s="280">
        <f>IFERROR(L182/$I182,"")</f>
        <v>0.45947436133063807</v>
      </c>
      <c r="N182" s="281">
        <f>N38+N74+N110+N146</f>
        <v>121300</v>
      </c>
      <c r="O182" s="281">
        <f>O38+O74+O110+O146</f>
        <v>1300</v>
      </c>
      <c r="P182" s="280">
        <f>IFERROR(O182/$I182,"")</f>
        <v>0.23892666789193179</v>
      </c>
      <c r="Q182" s="281">
        <f>Q38+Q74+Q110+Q146</f>
        <v>120000</v>
      </c>
      <c r="R182" s="281">
        <f>R38+R74+R110+R146</f>
        <v>0</v>
      </c>
      <c r="S182" s="280">
        <f>IFERROR(R182/$I182,"")</f>
        <v>0</v>
      </c>
      <c r="T182" s="55"/>
      <c r="U182" s="286">
        <f>SUM(E182,L182,O182,R182)</f>
        <v>123800</v>
      </c>
      <c r="V182" s="285">
        <f>U182/$U$187</f>
        <v>4.5614213624774018E-3</v>
      </c>
      <c r="W182" s="284">
        <f>IFERROR(U182/E182,"")</f>
        <v>1.0316666666666667</v>
      </c>
      <c r="X182" s="284">
        <f>IFERROR(U182/F182,"")</f>
        <v>1.0065040650406505</v>
      </c>
      <c r="Y182" s="283"/>
      <c r="Z182" s="282">
        <f>Z38+Z74+Z110+Z146</f>
        <v>125441</v>
      </c>
      <c r="AA182" s="281">
        <f>Z182-SUM(R182,O182,L182)-E182</f>
        <v>1641</v>
      </c>
      <c r="AB182" s="280">
        <f>IFERROR(AA182/I182,"")</f>
        <v>0.30159897077743081</v>
      </c>
      <c r="AC182" s="280">
        <f>IFERROR(AA182/E182,"")</f>
        <v>1.3675E-2</v>
      </c>
      <c r="AD182" s="278">
        <f>IFERROR(AA182/U182,"")</f>
        <v>1.3255250403877221E-2</v>
      </c>
      <c r="AE182" s="279">
        <f>IFERROR(AD182*V182,0%)</f>
        <v>6.0462782357232768E-5</v>
      </c>
      <c r="AF182" s="278">
        <f>IFERROR((U182-E182)/E182,0%)</f>
        <v>3.1666666666666669E-2</v>
      </c>
      <c r="AG182" s="277">
        <f>IFERROR(AF182*J182,0%)</f>
        <v>1.4747831486620224E-4</v>
      </c>
      <c r="AH182" s="276" t="b">
        <f>ROUND((G182-E182),0)=ROUND(SUM(L182,O182,R182,AA182),0)</f>
        <v>1</v>
      </c>
      <c r="AI182" s="21"/>
    </row>
    <row r="183" spans="2:36" s="16" customFormat="1" outlineLevel="1" x14ac:dyDescent="0.3">
      <c r="B183" s="289"/>
      <c r="C183" s="43" t="s">
        <v>557</v>
      </c>
      <c r="D183" s="281">
        <f>D39+D75+D111+D147</f>
        <v>0</v>
      </c>
      <c r="E183" s="281">
        <f>E39+E75+E111+E147</f>
        <v>0</v>
      </c>
      <c r="F183" s="281">
        <f>F39+F75+F111+F147</f>
        <v>0</v>
      </c>
      <c r="G183" s="281">
        <f>G39+G75+G111+G147</f>
        <v>0</v>
      </c>
      <c r="H183" s="288" t="str">
        <f>IFERROR(F183/D183-1,"")</f>
        <v/>
      </c>
      <c r="I183" s="281">
        <f>I39+I75+I111+I147</f>
        <v>0</v>
      </c>
      <c r="J183" s="287">
        <f>IFERROR(E183/E$187,"")</f>
        <v>0</v>
      </c>
      <c r="K183" s="281">
        <f>K39+K75+K111+K147</f>
        <v>0</v>
      </c>
      <c r="L183" s="281">
        <f>L39+L75+L111+L147</f>
        <v>0</v>
      </c>
      <c r="M183" s="280" t="str">
        <f>IFERROR(L183/$I183,"")</f>
        <v/>
      </c>
      <c r="N183" s="281">
        <f>N39+N75+N111+N147</f>
        <v>0</v>
      </c>
      <c r="O183" s="281">
        <f>O39+O75+O111+O147</f>
        <v>0</v>
      </c>
      <c r="P183" s="280" t="str">
        <f>IFERROR(O183/$I183,"")</f>
        <v/>
      </c>
      <c r="Q183" s="281">
        <f>Q39+Q75+Q111+Q147</f>
        <v>0</v>
      </c>
      <c r="R183" s="281">
        <f>R39+R75+R111+R147</f>
        <v>0</v>
      </c>
      <c r="S183" s="280" t="str">
        <f>IFERROR(R183/$I183,"")</f>
        <v/>
      </c>
      <c r="T183" s="55"/>
      <c r="U183" s="286">
        <f>SUM(E183,L183,O183,R183)</f>
        <v>0</v>
      </c>
      <c r="V183" s="285">
        <f>U183/$U$187</f>
        <v>0</v>
      </c>
      <c r="W183" s="284" t="str">
        <f>IFERROR(U183/E183,"")</f>
        <v/>
      </c>
      <c r="X183" s="284" t="str">
        <f>IFERROR(U183/F183,"")</f>
        <v/>
      </c>
      <c r="Y183" s="283"/>
      <c r="Z183" s="282">
        <f>Z39+Z75+Z111+Z147</f>
        <v>0</v>
      </c>
      <c r="AA183" s="281">
        <f>Z183-SUM(R183,O183,L183)-E183</f>
        <v>0</v>
      </c>
      <c r="AB183" s="280" t="str">
        <f>IFERROR(AA183/I183,"")</f>
        <v/>
      </c>
      <c r="AC183" s="280" t="str">
        <f>IFERROR(AA183/E183,"")</f>
        <v/>
      </c>
      <c r="AD183" s="278" t="str">
        <f>IFERROR(AA183/U183,"")</f>
        <v/>
      </c>
      <c r="AE183" s="279">
        <f>IFERROR(AD183*V183,0%)</f>
        <v>0</v>
      </c>
      <c r="AF183" s="278">
        <f>IFERROR((U183-E183)/E183,0%)</f>
        <v>0</v>
      </c>
      <c r="AG183" s="277">
        <f>IFERROR(AF183*J183,0%)</f>
        <v>0</v>
      </c>
      <c r="AH183" s="276" t="b">
        <f>ROUND((G183-E183),0)=ROUND(SUM(L183,O183,R183,AA183),0)</f>
        <v>1</v>
      </c>
      <c r="AI183" s="21"/>
    </row>
    <row r="184" spans="2:36" s="16" customFormat="1" outlineLevel="1" x14ac:dyDescent="0.3">
      <c r="B184" s="289"/>
      <c r="C184" s="43" t="s">
        <v>557</v>
      </c>
      <c r="D184" s="281">
        <f>D40+D76+D112+D148</f>
        <v>0</v>
      </c>
      <c r="E184" s="281">
        <f>E40+E76+E112+E148</f>
        <v>0</v>
      </c>
      <c r="F184" s="281">
        <f>F40+F76+F112+F148</f>
        <v>0</v>
      </c>
      <c r="G184" s="281">
        <f>G40+G76+G112+G148</f>
        <v>0</v>
      </c>
      <c r="H184" s="288" t="str">
        <f>IFERROR(F184/D184-1,"")</f>
        <v/>
      </c>
      <c r="I184" s="281">
        <f>I40+I76+I112+I148</f>
        <v>0</v>
      </c>
      <c r="J184" s="287">
        <f>IFERROR(E184/E$187,"")</f>
        <v>0</v>
      </c>
      <c r="K184" s="281">
        <f>K40+K76+K112+K148</f>
        <v>0</v>
      </c>
      <c r="L184" s="281">
        <f>L40+L76+L112+L148</f>
        <v>0</v>
      </c>
      <c r="M184" s="280" t="str">
        <f>IFERROR(L184/$I184,"")</f>
        <v/>
      </c>
      <c r="N184" s="281">
        <f>N40+N76+N112+N148</f>
        <v>0</v>
      </c>
      <c r="O184" s="281">
        <f>O40+O76+O112+O148</f>
        <v>0</v>
      </c>
      <c r="P184" s="280" t="str">
        <f>IFERROR(O184/$I184,"")</f>
        <v/>
      </c>
      <c r="Q184" s="281">
        <f>Q40+Q76+Q112+Q148</f>
        <v>0</v>
      </c>
      <c r="R184" s="281">
        <f>R40+R76+R112+R148</f>
        <v>0</v>
      </c>
      <c r="S184" s="280" t="str">
        <f>IFERROR(R184/$I184,"")</f>
        <v/>
      </c>
      <c r="T184" s="55"/>
      <c r="U184" s="286">
        <f>SUM(E184,L184,O184,R184)</f>
        <v>0</v>
      </c>
      <c r="V184" s="285">
        <f>U184/$U$187</f>
        <v>0</v>
      </c>
      <c r="W184" s="284" t="str">
        <f>IFERROR(U184/E184,"")</f>
        <v/>
      </c>
      <c r="X184" s="284" t="str">
        <f>IFERROR(U184/F184,"")</f>
        <v/>
      </c>
      <c r="Y184" s="283"/>
      <c r="Z184" s="282">
        <f>Z40+Z76+Z112+Z148</f>
        <v>0</v>
      </c>
      <c r="AA184" s="281">
        <f>Z184-SUM(R184,O184,L184)-E184</f>
        <v>0</v>
      </c>
      <c r="AB184" s="280" t="str">
        <f>IFERROR(AA184/I184,"")</f>
        <v/>
      </c>
      <c r="AC184" s="280" t="str">
        <f>IFERROR(AA184/E184,"")</f>
        <v/>
      </c>
      <c r="AD184" s="278" t="str">
        <f>IFERROR(AA184/U184,"")</f>
        <v/>
      </c>
      <c r="AE184" s="279">
        <f>IFERROR(AD184*V184,0%)</f>
        <v>0</v>
      </c>
      <c r="AF184" s="278">
        <f>IFERROR((U184-E184)/E184,0%)</f>
        <v>0</v>
      </c>
      <c r="AG184" s="277">
        <f>IFERROR(AF184*J184,0%)</f>
        <v>0</v>
      </c>
      <c r="AH184" s="276" t="b">
        <f>ROUND((G184-E184),0)=ROUND(SUM(L184,O184,R184,AA184),0)</f>
        <v>1</v>
      </c>
      <c r="AI184" s="21"/>
    </row>
    <row r="185" spans="2:36" s="16" customFormat="1" outlineLevel="1" x14ac:dyDescent="0.3">
      <c r="B185" s="289"/>
      <c r="C185" s="43" t="s">
        <v>557</v>
      </c>
      <c r="D185" s="281">
        <f>D41+D77+D113+D149</f>
        <v>0</v>
      </c>
      <c r="E185" s="281">
        <f>E41+E77+E113+E149</f>
        <v>0</v>
      </c>
      <c r="F185" s="281">
        <f>F41+F77+F113+F149</f>
        <v>0</v>
      </c>
      <c r="G185" s="281">
        <f>G41+G77+G113+G149</f>
        <v>0</v>
      </c>
      <c r="H185" s="288" t="str">
        <f>IFERROR(F185/D185-1,"")</f>
        <v/>
      </c>
      <c r="I185" s="281">
        <f>I41+I77+I113+I149</f>
        <v>0</v>
      </c>
      <c r="J185" s="287">
        <f>IFERROR(E185/E$187,"")</f>
        <v>0</v>
      </c>
      <c r="K185" s="281">
        <f>K41+K77+K113+K149</f>
        <v>0</v>
      </c>
      <c r="L185" s="281">
        <f>L41+L77+L113+L149</f>
        <v>0</v>
      </c>
      <c r="M185" s="280" t="str">
        <f>IFERROR(L185/$I185,"")</f>
        <v/>
      </c>
      <c r="N185" s="281">
        <f>N41+N77+N113+N149</f>
        <v>0</v>
      </c>
      <c r="O185" s="281">
        <f>O41+O77+O113+O149</f>
        <v>0</v>
      </c>
      <c r="P185" s="280" t="str">
        <f>IFERROR(O185/$I185,"")</f>
        <v/>
      </c>
      <c r="Q185" s="281">
        <f>Q41+Q77+Q113+Q149</f>
        <v>0</v>
      </c>
      <c r="R185" s="281">
        <f>R41+R77+R113+R149</f>
        <v>0</v>
      </c>
      <c r="S185" s="280" t="str">
        <f>IFERROR(R185/$I185,"")</f>
        <v/>
      </c>
      <c r="T185" s="55"/>
      <c r="U185" s="286">
        <f>SUM(E185,L185,O185,R185)</f>
        <v>0</v>
      </c>
      <c r="V185" s="285">
        <f>U185/$U$187</f>
        <v>0</v>
      </c>
      <c r="W185" s="284" t="str">
        <f>IFERROR(U185/E185,"")</f>
        <v/>
      </c>
      <c r="X185" s="284" t="str">
        <f>IFERROR(U185/F185,"")</f>
        <v/>
      </c>
      <c r="Y185" s="283"/>
      <c r="Z185" s="282">
        <f>Z41+Z77+Z113+Z149</f>
        <v>0</v>
      </c>
      <c r="AA185" s="281">
        <f>Z185-SUM(R185,O185,L185)-E185</f>
        <v>0</v>
      </c>
      <c r="AB185" s="280" t="str">
        <f>IFERROR(AA185/I185,"")</f>
        <v/>
      </c>
      <c r="AC185" s="280" t="str">
        <f>IFERROR(AA185/E185,"")</f>
        <v/>
      </c>
      <c r="AD185" s="278" t="str">
        <f>IFERROR(AA185/U185,"")</f>
        <v/>
      </c>
      <c r="AE185" s="279">
        <f>IFERROR(AD185*V185,0%)</f>
        <v>0</v>
      </c>
      <c r="AF185" s="278">
        <f>IFERROR((U185-E185)/E185,0%)</f>
        <v>0</v>
      </c>
      <c r="AG185" s="277">
        <f>IFERROR(AF185*J185,0%)</f>
        <v>0</v>
      </c>
      <c r="AH185" s="276" t="b">
        <f>ROUND((G185-E185),0)=ROUND(SUM(L185,O185,R185,AA185),0)</f>
        <v>1</v>
      </c>
      <c r="AI185" s="21"/>
    </row>
    <row r="186" spans="2:36" s="16" customFormat="1" x14ac:dyDescent="0.3">
      <c r="B186" s="275"/>
      <c r="C186" s="23" t="s">
        <v>556</v>
      </c>
      <c r="D186" s="267">
        <f>D42+D78+D114+D150</f>
        <v>-2480000</v>
      </c>
      <c r="E186" s="267">
        <f>E42+E78+E114+E150</f>
        <v>-2500000</v>
      </c>
      <c r="F186" s="267">
        <f>F42+F78+F114+F150</f>
        <v>-2557500</v>
      </c>
      <c r="G186" s="267">
        <f>G42+G78+G114+G150</f>
        <v>-2648625</v>
      </c>
      <c r="H186" s="274">
        <f>IFERROR(F186/D186-1,"")</f>
        <v>3.125E-2</v>
      </c>
      <c r="I186" s="267">
        <f>I42+I78+I114+I150</f>
        <v>-148625</v>
      </c>
      <c r="J186" s="273">
        <f>IFERROR(E186/E$187,"")</f>
        <v>-9.7025207148817266E-2</v>
      </c>
      <c r="K186" s="267">
        <f>K42+K78+K114+K150</f>
        <v>-2580000</v>
      </c>
      <c r="L186" s="267">
        <f>L42+L78+L114+L150</f>
        <v>-80000</v>
      </c>
      <c r="M186" s="266">
        <f>IFERROR(L186/$I186,"")</f>
        <v>0.53826745164003365</v>
      </c>
      <c r="N186" s="267">
        <f>N42+N78+N114+N150</f>
        <v>-2525000</v>
      </c>
      <c r="O186" s="267">
        <f>O42+O78+O114+O150</f>
        <v>-25000</v>
      </c>
      <c r="P186" s="266">
        <f>IFERROR(O186/$I186,"")</f>
        <v>0.16820857863751051</v>
      </c>
      <c r="Q186" s="267">
        <f>Q42+Q78+Q114+Q150</f>
        <v>-2500000</v>
      </c>
      <c r="R186" s="267">
        <f>R42+R78+R114+R150</f>
        <v>0</v>
      </c>
      <c r="S186" s="266">
        <f>IFERROR(R186/$I186,"")</f>
        <v>0</v>
      </c>
      <c r="T186" s="45"/>
      <c r="U186" s="272">
        <f>SUM(E186,L186,O186,R186)</f>
        <v>-2605000</v>
      </c>
      <c r="V186" s="271">
        <f>U186/$U$187</f>
        <v>-9.5981443047282969E-2</v>
      </c>
      <c r="W186" s="270">
        <f>IFERROR(U186/E186,"")</f>
        <v>1.042</v>
      </c>
      <c r="X186" s="270">
        <f>IFERROR(U186/F186,"")</f>
        <v>1.0185728250244379</v>
      </c>
      <c r="Y186" s="269"/>
      <c r="Z186" s="268">
        <f>Z42+Z78+Z114+Z150</f>
        <v>-2648625</v>
      </c>
      <c r="AA186" s="267">
        <f>Z186-SUM(R186,O186,L186)-E186</f>
        <v>-43625</v>
      </c>
      <c r="AB186" s="266">
        <f>IFERROR(AA186/I186,"")</f>
        <v>0.29352396972245587</v>
      </c>
      <c r="AC186" s="266">
        <f>IFERROR(AA186/E186,"")</f>
        <v>1.745E-2</v>
      </c>
      <c r="AD186" s="264">
        <f>IFERROR(AA186/U186,"")</f>
        <v>1.6746641074856045E-2</v>
      </c>
      <c r="AE186" s="265">
        <f>IFERROR(AD186*V186,0%)</f>
        <v>-1.6073667765595851E-3</v>
      </c>
      <c r="AF186" s="264">
        <f>IFERROR((U186-E186)/E186,0%)</f>
        <v>4.2000000000000003E-2</v>
      </c>
      <c r="AG186" s="263">
        <f>IFERROR(AF186*J186,0%)</f>
        <v>-4.0750587002503251E-3</v>
      </c>
      <c r="AH186" s="262" t="b">
        <f>ROUND((G186-E186),0)=ROUND(SUM(L186,O186,R186,AA186),0)</f>
        <v>1</v>
      </c>
      <c r="AI186" s="21"/>
      <c r="AJ186" s="21"/>
    </row>
    <row r="187" spans="2:36" s="16" customFormat="1" x14ac:dyDescent="0.3">
      <c r="B187" s="261"/>
      <c r="C187" s="21" t="s">
        <v>92</v>
      </c>
      <c r="D187" s="252">
        <f>SUM(D155,D161,D165:D166,D167,D179,D180,D186)</f>
        <v>25540070</v>
      </c>
      <c r="E187" s="252">
        <f>SUM(E155,E161,E165:E166,E167,E179,E180,E186)</f>
        <v>25766500</v>
      </c>
      <c r="F187" s="252">
        <f>SUM(F155,F161,F165:F166,F167,F179,F180,F186)</f>
        <v>26713975</v>
      </c>
      <c r="G187" s="252">
        <f>SUM(G155,G161,G165:G166,G167,G179,G180,G186)</f>
        <v>27961904.377499998</v>
      </c>
      <c r="H187" s="260">
        <f>IFERROR(F187/D187-1,"")</f>
        <v>4.5963264783534186E-2</v>
      </c>
      <c r="I187" s="252">
        <f>SUM(I155,I161,I165:I166,I167,I179,I180,I186)</f>
        <v>2170404.3774999981</v>
      </c>
      <c r="J187" s="259">
        <f>SUM(J155,J161,J165,J166,J167,J179,J180,J186)</f>
        <v>0.99999999999999989</v>
      </c>
      <c r="K187" s="252">
        <f>SUM(K155,K161,K165:K166,K167,K179,K180,K186)</f>
        <v>26656219</v>
      </c>
      <c r="L187" s="252">
        <f>SUM(L155,L161,L165:L166,L167,L179,L180,L186)</f>
        <v>889718.99999999907</v>
      </c>
      <c r="M187" s="251">
        <f>IFERROR(L187/$I187,"")</f>
        <v>0.40993236524192361</v>
      </c>
      <c r="N187" s="252">
        <f>SUM(N155,N161,N165:N166,N167,N179,N180,N186)</f>
        <v>26176468.5</v>
      </c>
      <c r="O187" s="252">
        <f>SUM(O155,O161,O165:O166,O167,O179,O180,O186)</f>
        <v>409968.49999999907</v>
      </c>
      <c r="P187" s="251">
        <f>IFERROR(O187/$I187,"")</f>
        <v>0.18889037648929982</v>
      </c>
      <c r="Q187" s="252">
        <f>SUM(Q155,Q161,Q165:Q166,Q167,Q179,Q180,Q186)</f>
        <v>25840975.5</v>
      </c>
      <c r="R187" s="257">
        <f>SUM(R155,R161,R165:R166,R167,R179,R180,R186)</f>
        <v>74475.499999999753</v>
      </c>
      <c r="S187" s="251">
        <f>IFERROR(R187/$I187,"")</f>
        <v>3.4314112509202133E-2</v>
      </c>
      <c r="T187" s="258"/>
      <c r="U187" s="257">
        <f>SUM(U155,U161,U165,U166,U167,U179,U180,U186)</f>
        <v>27140663</v>
      </c>
      <c r="V187" s="256">
        <f>SUM(V155,V161,V165,V166,V167,V179,V180,V186)</f>
        <v>0.99999999999999978</v>
      </c>
      <c r="W187" s="255">
        <f>IFERROR(U187/E187,"")</f>
        <v>1.0533313798924961</v>
      </c>
      <c r="X187" s="254">
        <f>IFERROR(U187/F187,"")</f>
        <v>1.0159724638508496</v>
      </c>
      <c r="Y187" s="253"/>
      <c r="Z187" s="252">
        <f>SUM(Z155,Z161,Z165:Z166,Z167,Z179,Z180,Z186)</f>
        <v>27961904.387499999</v>
      </c>
      <c r="AA187" s="252">
        <f>SUM(AA155,AA161,AA165:AA166,AA167,AA179,AA180,AA186)</f>
        <v>821241.38750000123</v>
      </c>
      <c r="AB187" s="251">
        <f>IFERROR(AA187/I187,"")</f>
        <v>0.37838174121541179</v>
      </c>
      <c r="AC187" s="251">
        <f>IFERROR(AA187/E187,"")</f>
        <v>3.1872446296547889E-2</v>
      </c>
      <c r="AD187" s="250">
        <f>IFERROR(AA187/U187,"")</f>
        <v>3.0258707663110559E-2</v>
      </c>
      <c r="AE187" s="249">
        <f>SUM(AE155,AE161,AE165,AE166,AE167,AE179,AE180,AE186)</f>
        <v>3.0258707663110555E-2</v>
      </c>
      <c r="AF187" s="248">
        <f>IFERROR((U187-E187)/E187,0%)</f>
        <v>5.3331379892496068E-2</v>
      </c>
      <c r="AG187" s="247">
        <f>SUM(AG155,AG161,AG165,AG166,AG167,AG179,AG180,AG186)</f>
        <v>5.3331379892496027E-2</v>
      </c>
      <c r="AH187" s="246"/>
      <c r="AI187" s="21"/>
      <c r="AJ187" s="245"/>
    </row>
    <row r="188" spans="2:36" s="16" customFormat="1" x14ac:dyDescent="0.3">
      <c r="C188" s="16" t="s">
        <v>555</v>
      </c>
      <c r="D188" s="244" t="b">
        <f>ROUND(D187,2)=ROUND(SUM(D43,D79,D115,D151),2)</f>
        <v>1</v>
      </c>
      <c r="E188" s="244" t="b">
        <f>ROUND(E187,2)=ROUND(SUM(E43,E79,E115,E151),2)</f>
        <v>1</v>
      </c>
      <c r="F188" s="244" t="b">
        <f>ROUND(F187,2)=ROUND(SUM(F43,F79,F115,F151),2)</f>
        <v>1</v>
      </c>
      <c r="G188" s="244" t="b">
        <f>ROUND(G187,2)=ROUND(SUM(G43,G79,G115,G151),2)</f>
        <v>1</v>
      </c>
      <c r="H188" s="244"/>
      <c r="I188" s="244" t="b">
        <f>ROUND(I187,2)=ROUND(SUM(I43,I79,I115,I151),2)</f>
        <v>1</v>
      </c>
      <c r="J188" s="244"/>
      <c r="K188" s="244" t="b">
        <f>ROUND(K187,2)=ROUND(SUM(K43,K79,K115,K151),2)</f>
        <v>1</v>
      </c>
      <c r="L188" s="244" t="b">
        <f>ROUND(L187,2)=ROUND(SUM(L43,L79,L115,L151),2)</f>
        <v>1</v>
      </c>
      <c r="M188" s="244"/>
      <c r="N188" s="244" t="b">
        <f>ROUND(N187,2)=ROUND(SUM(N43,N79,N115,N151),2)</f>
        <v>1</v>
      </c>
      <c r="O188" s="244" t="b">
        <f>ROUND(O187,2)=ROUND(SUM(O43,O79,O115,O151),2)</f>
        <v>1</v>
      </c>
      <c r="P188" s="244"/>
      <c r="Q188" s="244" t="b">
        <f>ROUND(Q187,2)=ROUND(SUM(Q43,Q79,Q115,Q151),2)</f>
        <v>1</v>
      </c>
      <c r="R188" s="244" t="b">
        <f>ROUND(R187,2)=ROUND(SUM(R43,R79,R115,R151),2)</f>
        <v>1</v>
      </c>
      <c r="S188" s="244"/>
      <c r="T188" s="20"/>
      <c r="U188" s="244" t="b">
        <f>ROUND(U187,2)=ROUND(SUM(U43,U79,G115,U151),2)</f>
        <v>0</v>
      </c>
      <c r="V188" s="244"/>
      <c r="W188" s="244"/>
      <c r="X188" s="244"/>
      <c r="Y188" s="244"/>
      <c r="Z188" s="244" t="b">
        <f>ROUND(Z187,2)=ROUND(SUM(Z43,Z79,Z115,Z151),2)</f>
        <v>1</v>
      </c>
      <c r="AA188" s="244" t="b">
        <f>ROUND(AA187,2)=ROUND(SUM(AA43,AA79,AA115,AA151),2)</f>
        <v>1</v>
      </c>
      <c r="AB188" s="244"/>
      <c r="AC188" s="244"/>
      <c r="AD188" s="19"/>
      <c r="AE188" s="19"/>
      <c r="AF188" s="18"/>
      <c r="AG188" s="18"/>
      <c r="AH188" s="20"/>
    </row>
    <row r="189" spans="2:36" s="16" customFormat="1" x14ac:dyDescent="0.3">
      <c r="F189" s="17"/>
      <c r="G189" s="17"/>
      <c r="H189" s="17"/>
      <c r="J189" s="17"/>
      <c r="T189" s="243"/>
      <c r="AB189" s="242"/>
      <c r="AC189" s="242" t="s">
        <v>554</v>
      </c>
      <c r="AD189" s="241">
        <f>MAX(AD167:AD178)</f>
        <v>3.9486492036552766E-2</v>
      </c>
    </row>
    <row r="190" spans="2:36" s="16" customFormat="1" x14ac:dyDescent="0.3">
      <c r="C190" s="54" t="s">
        <v>93</v>
      </c>
      <c r="D190" s="54"/>
      <c r="F190" s="17"/>
      <c r="G190" s="17"/>
      <c r="H190" s="17"/>
      <c r="J190" s="17"/>
      <c r="T190" s="240"/>
      <c r="AB190" s="240"/>
      <c r="AC190" s="240" t="s">
        <v>480</v>
      </c>
      <c r="AD190" s="239">
        <v>6.5000000000000002E-2</v>
      </c>
      <c r="AE190" s="238"/>
    </row>
    <row r="191" spans="2:36" s="16" customFormat="1" x14ac:dyDescent="0.3">
      <c r="C191" s="16" t="s">
        <v>94</v>
      </c>
      <c r="F191" s="17"/>
      <c r="G191" s="17"/>
      <c r="H191" s="17"/>
      <c r="J191" s="17"/>
      <c r="AB191" s="237"/>
      <c r="AC191" s="237" t="s">
        <v>553</v>
      </c>
      <c r="AD191" s="236">
        <v>0.7</v>
      </c>
      <c r="AE191" s="235"/>
    </row>
  </sheetData>
  <mergeCells count="10">
    <mergeCell ref="B119:B130"/>
    <mergeCell ref="B131:B150"/>
    <mergeCell ref="B155:B166"/>
    <mergeCell ref="B167:B186"/>
    <mergeCell ref="B11:B22"/>
    <mergeCell ref="B23:B42"/>
    <mergeCell ref="B47:B58"/>
    <mergeCell ref="B59:B78"/>
    <mergeCell ref="B83:B94"/>
    <mergeCell ref="B95:B114"/>
  </mergeCells>
  <conditionalFormatting sqref="AA44">
    <cfRule type="expression" dxfId="9" priority="6">
      <formula>AA44 = FALSE</formula>
    </cfRule>
  </conditionalFormatting>
  <conditionalFormatting sqref="AA80">
    <cfRule type="expression" dxfId="8" priority="5">
      <formula>AA80 = FALSE</formula>
    </cfRule>
  </conditionalFormatting>
  <conditionalFormatting sqref="AA116">
    <cfRule type="expression" dxfId="7" priority="4">
      <formula>AA116 = FALSE</formula>
    </cfRule>
  </conditionalFormatting>
  <conditionalFormatting sqref="AA152">
    <cfRule type="expression" dxfId="6" priority="3">
      <formula>AA152 = FALSE</formula>
    </cfRule>
  </conditionalFormatting>
  <conditionalFormatting sqref="AD167:AD178">
    <cfRule type="cellIs" dxfId="5" priority="2" operator="greaterThan">
      <formula>0.03</formula>
    </cfRule>
  </conditionalFormatting>
  <conditionalFormatting sqref="AD189">
    <cfRule type="cellIs" dxfId="4" priority="7" operator="greaterThan">
      <formula>0.03</formula>
    </cfRule>
  </conditionalFormatting>
  <conditionalFormatting sqref="AF187">
    <cfRule type="cellIs" dxfId="3" priority="1" operator="greaterThan">
      <formula>0.035</formula>
    </cfRule>
  </conditionalFormatting>
  <conditionalFormatting sqref="AH11:AH42 AH47:AH78 AH83:AH114 AH119:AH150 AH155:AH186">
    <cfRule type="expression" dxfId="2" priority="8">
      <formula>AH11 = FALSE</formula>
    </cfRule>
  </conditionalFormatting>
  <dataValidations count="1">
    <dataValidation type="list" allowBlank="1" showInputMessage="1" showErrorMessage="1" sqref="F8:H8" xr:uid="{A2561356-D3C4-4094-ABF4-FFA290C9D1A8}">
      <formula1>$AX$21:$AX$32</formula1>
    </dataValidation>
  </dataValidations>
  <pageMargins left="0.7" right="0.7" top="0.75" bottom="0.75"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2B3FF-70D0-4799-939D-DE8D45F01204}">
  <sheetPr>
    <tabColor theme="9" tint="0.79998168889431442"/>
  </sheetPr>
  <dimension ref="B2:V29"/>
  <sheetViews>
    <sheetView tabSelected="1" topLeftCell="B1" workbookViewId="0">
      <selection activeCell="D57" sqref="D57"/>
    </sheetView>
  </sheetViews>
  <sheetFormatPr defaultRowHeight="14.4" x14ac:dyDescent="0.3"/>
  <cols>
    <col min="1" max="1" width="3" style="66" customWidth="1"/>
    <col min="2" max="2" width="40.21875" style="66" bestFit="1" customWidth="1"/>
    <col min="3" max="3" width="16" style="66" customWidth="1"/>
    <col min="4" max="4" width="16.109375" style="66" customWidth="1"/>
    <col min="5" max="6" width="10.5546875" style="66" customWidth="1"/>
    <col min="7" max="7" width="14.88671875" style="66" customWidth="1"/>
    <col min="8" max="8" width="16" style="66" customWidth="1"/>
    <col min="9" max="10" width="10.5546875" style="66" customWidth="1"/>
    <col min="11" max="11" width="15.109375" style="66" bestFit="1" customWidth="1"/>
    <col min="12" max="12" width="10.5546875" style="66" customWidth="1"/>
    <col min="13" max="13" width="13.77734375" style="66" customWidth="1"/>
    <col min="14" max="14" width="14.88671875" style="66" bestFit="1" customWidth="1"/>
    <col min="15" max="15" width="11.21875" style="66" customWidth="1"/>
    <col min="16" max="16" width="15.109375" style="66" customWidth="1"/>
    <col min="17" max="17" width="8.88671875" style="66"/>
    <col min="18" max="18" width="12.21875" style="66" bestFit="1" customWidth="1"/>
    <col min="19" max="19" width="13.21875" style="66" bestFit="1" customWidth="1"/>
    <col min="20" max="22" width="13.88671875" style="66" bestFit="1" customWidth="1"/>
    <col min="23" max="16384" width="8.88671875" style="66"/>
  </cols>
  <sheetData>
    <row r="2" spans="2:22" s="66" customFormat="1" x14ac:dyDescent="0.3">
      <c r="B2" s="91"/>
    </row>
    <row r="3" spans="2:22" s="66" customFormat="1" x14ac:dyDescent="0.3">
      <c r="B3" s="144" t="s">
        <v>618</v>
      </c>
      <c r="C3" s="478" t="str">
        <f>'Comm Rate Decomp - v2026'!F8</f>
        <v>January</v>
      </c>
    </row>
    <row r="5" spans="2:22" s="66" customFormat="1" x14ac:dyDescent="0.3">
      <c r="C5" s="131" t="s">
        <v>617</v>
      </c>
      <c r="D5" s="132"/>
      <c r="E5" s="477"/>
      <c r="F5" s="476" t="s">
        <v>616</v>
      </c>
      <c r="G5" s="475"/>
      <c r="H5" s="474"/>
    </row>
    <row r="6" spans="2:22" s="66" customFormat="1" ht="72" x14ac:dyDescent="0.3">
      <c r="C6" s="473" t="s">
        <v>615</v>
      </c>
      <c r="D6" s="473" t="s">
        <v>614</v>
      </c>
      <c r="E6" s="473" t="s">
        <v>613</v>
      </c>
      <c r="F6" s="473" t="s">
        <v>612</v>
      </c>
      <c r="G6" s="473" t="s">
        <v>611</v>
      </c>
      <c r="H6" s="473" t="s">
        <v>610</v>
      </c>
    </row>
    <row r="7" spans="2:22" s="66" customFormat="1" x14ac:dyDescent="0.3">
      <c r="B7" s="144" t="s">
        <v>609</v>
      </c>
      <c r="C7" s="471" cm="1">
        <f t="array" ref="C7">IF(C3="January",SUM(H14:K14)/SUM(D14:G14)-1,IF(C3="April",SUM(I14:L14)/SUM(E14:H14)-1,IF(C3="August",SUM(J14:M14/F14:I14)-1,"N/A")))</f>
        <v>4.0173486936417868E-2</v>
      </c>
      <c r="D7" s="472">
        <f>SUM(G14:J14)/SUM(C14:F14)-1</f>
        <v>3.6997649303662339E-2</v>
      </c>
      <c r="E7" s="471">
        <f>'Comm Rate Decomp - v2026'!AD167</f>
        <v>3.699764930366211E-2</v>
      </c>
      <c r="F7" s="470" t="b">
        <f>ROUND(SUM(C14:F14),0)=ROUND('Comm Rate Decomp - v2026'!U167,0)</f>
        <v>1</v>
      </c>
      <c r="G7" s="470" t="b">
        <f>ROUND(SUM(G14:J14),0)=ROUND('Comm Rate Decomp - v2026'!Z167,0)</f>
        <v>1</v>
      </c>
      <c r="H7" s="470" t="b">
        <f>ROUND(D7,2)=ROUND('Comm Rate Decomp - v2026'!AD167,2)</f>
        <v>1</v>
      </c>
    </row>
    <row r="11" spans="2:22" s="66" customFormat="1" x14ac:dyDescent="0.3">
      <c r="N11" s="469"/>
      <c r="P11" s="469"/>
      <c r="Q11" s="462"/>
      <c r="R11" s="469"/>
      <c r="S11" s="462"/>
    </row>
    <row r="12" spans="2:22" s="66" customFormat="1" x14ac:dyDescent="0.3">
      <c r="C12" s="468" t="s">
        <v>608</v>
      </c>
      <c r="D12" s="467"/>
      <c r="E12" s="467"/>
      <c r="F12" s="466"/>
      <c r="G12" s="468" t="s">
        <v>607</v>
      </c>
      <c r="H12" s="467"/>
      <c r="I12" s="467"/>
      <c r="J12" s="466"/>
      <c r="K12" s="468" t="s">
        <v>606</v>
      </c>
      <c r="L12" s="467"/>
      <c r="M12" s="467"/>
      <c r="N12" s="466"/>
      <c r="O12" s="462"/>
      <c r="P12" s="461"/>
      <c r="Q12" s="462"/>
      <c r="R12" s="461"/>
      <c r="S12" s="465"/>
    </row>
    <row r="13" spans="2:22" s="66" customFormat="1" ht="43.2" x14ac:dyDescent="0.3">
      <c r="B13" s="66" t="s">
        <v>605</v>
      </c>
      <c r="C13" s="464" t="s">
        <v>604</v>
      </c>
      <c r="D13" s="464" t="s">
        <v>603</v>
      </c>
      <c r="E13" s="464" t="s">
        <v>602</v>
      </c>
      <c r="F13" s="464" t="s">
        <v>601</v>
      </c>
      <c r="G13" s="464" t="s">
        <v>604</v>
      </c>
      <c r="H13" s="464" t="s">
        <v>603</v>
      </c>
      <c r="I13" s="464" t="s">
        <v>602</v>
      </c>
      <c r="J13" s="464" t="s">
        <v>601</v>
      </c>
      <c r="K13" s="464" t="s">
        <v>604</v>
      </c>
      <c r="L13" s="464" t="s">
        <v>603</v>
      </c>
      <c r="M13" s="464" t="s">
        <v>602</v>
      </c>
      <c r="N13" s="464" t="s">
        <v>601</v>
      </c>
      <c r="O13" s="463" t="s">
        <v>600</v>
      </c>
      <c r="P13" s="463" t="s">
        <v>599</v>
      </c>
      <c r="Q13" s="462"/>
      <c r="R13" s="461"/>
      <c r="S13" s="462"/>
    </row>
    <row r="14" spans="2:22" s="66" customFormat="1" x14ac:dyDescent="0.3">
      <c r="B14" s="67" t="str">
        <f>'Comm Rate Decomp - v2026'!C167</f>
        <v>Commercial</v>
      </c>
      <c r="C14" s="460">
        <f>SUM(C15:C20)</f>
        <v>3807162.31</v>
      </c>
      <c r="D14" s="460">
        <f>SUM(D15:D20)</f>
        <v>3910758.563333333</v>
      </c>
      <c r="E14" s="460">
        <f>SUM(E15:E20)</f>
        <v>3910758.563333333</v>
      </c>
      <c r="F14" s="460">
        <f>SUM(F15:F20)</f>
        <v>3910758.563333333</v>
      </c>
      <c r="G14" s="460">
        <f>SUM(G15:G20)</f>
        <v>3910758.563333333</v>
      </c>
      <c r="H14" s="460">
        <f>SUM(H15:H20)</f>
        <v>4067867.3713888889</v>
      </c>
      <c r="I14" s="460">
        <f>SUM(I15:I20)</f>
        <v>4067867.3713888889</v>
      </c>
      <c r="J14" s="460">
        <f>SUM(J15:J20)</f>
        <v>4067867.3713888889</v>
      </c>
      <c r="K14" s="460">
        <f>SUM(K15:K20)</f>
        <v>4067867.3713888889</v>
      </c>
      <c r="L14" s="460">
        <f>SUM(L15:L20)</f>
        <v>4067867.3713888889</v>
      </c>
      <c r="M14" s="460">
        <f>SUM(M15:M20)</f>
        <v>4067867.3713888889</v>
      </c>
      <c r="N14" s="460">
        <f>SUM(N15:N20)</f>
        <v>4067867.3713888889</v>
      </c>
      <c r="O14" s="241">
        <f>IFERROR(SUM(G14:J14)/SUM(C14:F14)-1,"")</f>
        <v>3.6997649303662339E-2</v>
      </c>
      <c r="P14" s="241">
        <f>IFERROR(IF($C$3="January",SUM(H14:K14)/SUM(D14:G14)-1,IF($C$3="April",SUM(I14:L14)/SUM(E14:H14)-1,IF($C$3="July",SUM(J14:M14)/SUM(F14:I14)-1,"N/A"))),"")</f>
        <v>4.0173486936417868E-2</v>
      </c>
      <c r="Q14" s="462"/>
      <c r="R14" s="461"/>
      <c r="S14" s="459"/>
      <c r="T14" s="458"/>
      <c r="U14" s="458"/>
      <c r="V14" s="458"/>
    </row>
    <row r="15" spans="2:22" s="66" customFormat="1" x14ac:dyDescent="0.3">
      <c r="B15" s="66" t="str">
        <f>'Comm Rate Decomp - v2026'!C168</f>
        <v>Champ Choice Care</v>
      </c>
      <c r="C15" s="457">
        <v>1512630.1225000001</v>
      </c>
      <c r="D15" s="457">
        <v>1553790.1258333332</v>
      </c>
      <c r="E15" s="457">
        <v>1553790.1258333332</v>
      </c>
      <c r="F15" s="457">
        <v>1553790.1258333332</v>
      </c>
      <c r="G15" s="457">
        <v>1553790.1258333332</v>
      </c>
      <c r="H15" s="457">
        <v>1615685.1297222225</v>
      </c>
      <c r="I15" s="457">
        <v>1615685.1297222225</v>
      </c>
      <c r="J15" s="457">
        <v>1615685.1297222225</v>
      </c>
      <c r="K15" s="457">
        <v>1615685.1297222225</v>
      </c>
      <c r="L15" s="457">
        <v>1615685.1297222225</v>
      </c>
      <c r="M15" s="457">
        <v>1615685.1297222225</v>
      </c>
      <c r="N15" s="457">
        <v>1615685.1297222225</v>
      </c>
      <c r="O15" s="241">
        <f>IFERROR(SUM(G15:J15)/SUM(C15:F15)-1,"")</f>
        <v>3.6741981961290859E-2</v>
      </c>
      <c r="P15" s="241">
        <f>IFERROR(IF($C$3="January",SUM(H15:K15)/SUM(D15:G15)-1,IF($C$3="April",SUM(I15:L15)/SUM(E15:H15)-1,IF($C$3="July",SUM(J15:M15)/SUM(F15:I15)-1,"N/A"))),"")</f>
        <v>3.9834854694866584E-2</v>
      </c>
      <c r="Q15" s="462"/>
      <c r="R15" s="461"/>
      <c r="S15" s="459"/>
      <c r="T15" s="458"/>
      <c r="U15" s="458"/>
      <c r="V15" s="458"/>
    </row>
    <row r="16" spans="2:22" s="66" customFormat="1" x14ac:dyDescent="0.3">
      <c r="B16" s="66" t="str">
        <f>'Comm Rate Decomp - v2026'!C169</f>
        <v>Memphre Mutual</v>
      </c>
      <c r="C16" s="457">
        <v>1014110.1249999999</v>
      </c>
      <c r="D16" s="457">
        <v>1041704.9583333331</v>
      </c>
      <c r="E16" s="457">
        <v>1041704.9583333331</v>
      </c>
      <c r="F16" s="457">
        <v>1041704.9583333331</v>
      </c>
      <c r="G16" s="457">
        <v>1041704.9583333331</v>
      </c>
      <c r="H16" s="457">
        <v>1086987.8388888889</v>
      </c>
      <c r="I16" s="457">
        <v>1086987.8388888889</v>
      </c>
      <c r="J16" s="457">
        <v>1086987.8388888889</v>
      </c>
      <c r="K16" s="457">
        <v>1086987.8388888889</v>
      </c>
      <c r="L16" s="457">
        <v>1086987.8388888889</v>
      </c>
      <c r="M16" s="457">
        <v>1086987.8388888889</v>
      </c>
      <c r="N16" s="457">
        <v>1086987.8388888889</v>
      </c>
      <c r="O16" s="241">
        <f>IFERROR(SUM(G16:J16)/SUM(C16:F16)-1,"")</f>
        <v>3.9486492036553189E-2</v>
      </c>
      <c r="P16" s="241">
        <f>IFERROR(IF($C$3="January",SUM(H16:K16)/SUM(D16:G16)-1,IF($C$3="April",SUM(I16:L16)/SUM(E16:H16)-1,IF($C$3="July",SUM(J16:M16)/SUM(F16:I16)-1,"N/A"))),"")</f>
        <v>4.3469967377332885E-2</v>
      </c>
      <c r="S16" s="459"/>
      <c r="T16" s="458"/>
      <c r="U16" s="458"/>
      <c r="V16" s="458"/>
    </row>
    <row r="17" spans="2:22" s="66" customFormat="1" x14ac:dyDescent="0.3">
      <c r="B17" s="66" t="str">
        <f>'Comm Rate Decomp - v2026'!C170</f>
        <v>Cream of the Maple Crop Co-op</v>
      </c>
      <c r="C17" s="457">
        <v>658789.68749999988</v>
      </c>
      <c r="D17" s="457">
        <v>676715.93749999988</v>
      </c>
      <c r="E17" s="457">
        <v>676715.93749999988</v>
      </c>
      <c r="F17" s="457">
        <v>676715.93749999988</v>
      </c>
      <c r="G17" s="457">
        <v>676715.93749999988</v>
      </c>
      <c r="H17" s="457">
        <v>701493.58333333314</v>
      </c>
      <c r="I17" s="457">
        <v>701493.58333333314</v>
      </c>
      <c r="J17" s="457">
        <v>701493.58333333314</v>
      </c>
      <c r="K17" s="457">
        <v>701493.58333333314</v>
      </c>
      <c r="L17" s="457">
        <v>701493.58333333314</v>
      </c>
      <c r="M17" s="457">
        <v>701493.58333333314</v>
      </c>
      <c r="N17" s="457">
        <v>701493.58333333314</v>
      </c>
      <c r="O17" s="241">
        <f>IFERROR(SUM(G17:J17)/SUM(C17:F17)-1,"")</f>
        <v>3.4310647793040827E-2</v>
      </c>
      <c r="P17" s="241">
        <f>IFERROR(IF($C$3="January",SUM(H17:K17)/SUM(D17:G17)-1,IF($C$3="April",SUM(I17:L17)/SUM(E17:H17)-1,IF($C$3="July",SUM(J17:M17)/SUM(F17:I17)-1,"N/A"))),"")</f>
        <v>3.6614544538243976E-2</v>
      </c>
      <c r="S17" s="459"/>
      <c r="T17" s="458"/>
      <c r="U17" s="458"/>
      <c r="V17" s="458"/>
    </row>
    <row r="18" spans="2:22" s="66" customFormat="1" x14ac:dyDescent="0.3">
      <c r="B18" s="66" t="str">
        <f>'Comm Rate Decomp - v2026'!C171</f>
        <v>Commercial Payer #4</v>
      </c>
      <c r="C18" s="457"/>
      <c r="D18" s="457"/>
      <c r="E18" s="457"/>
      <c r="F18" s="457"/>
      <c r="G18" s="457"/>
      <c r="H18" s="457"/>
      <c r="I18" s="457"/>
      <c r="J18" s="457"/>
      <c r="K18" s="457"/>
      <c r="L18" s="457"/>
      <c r="M18" s="457"/>
      <c r="N18" s="457"/>
      <c r="O18" s="241" t="str">
        <f>IFERROR(SUM(G18:J18)/SUM(C18:F18)-1,"")</f>
        <v/>
      </c>
      <c r="P18" s="241" t="str">
        <f>IFERROR(IF($C$3="January",SUM(H18:K18)/SUM(D18:G18)-1,IF($C$3="April",SUM(I18:L18)/SUM(E18:H18)-1,IF($C$3="July",SUM(J18:M18)/SUM(F18:I18)-1,"N/A"))),"")</f>
        <v/>
      </c>
      <c r="S18" s="459"/>
      <c r="T18" s="458"/>
      <c r="U18" s="458"/>
      <c r="V18" s="458"/>
    </row>
    <row r="19" spans="2:22" s="66" customFormat="1" x14ac:dyDescent="0.3">
      <c r="B19" s="66" t="str">
        <f>'Comm Rate Decomp - v2026'!C172</f>
        <v>Commercial Payer #5</v>
      </c>
      <c r="C19" s="457"/>
      <c r="D19" s="457"/>
      <c r="E19" s="457"/>
      <c r="F19" s="457"/>
      <c r="G19" s="457"/>
      <c r="H19" s="457"/>
      <c r="I19" s="457"/>
      <c r="J19" s="457"/>
      <c r="K19" s="457"/>
      <c r="L19" s="457"/>
      <c r="M19" s="457"/>
      <c r="N19" s="457"/>
      <c r="O19" s="241" t="str">
        <f>IFERROR(SUM(G19:J19)/SUM(C19:F19)-1,"")</f>
        <v/>
      </c>
      <c r="P19" s="241" t="str">
        <f>IFERROR(IF($C$3="January",SUM(H19:K19)/SUM(D19:G19)-1,IF($C$3="April",SUM(I19:L19)/SUM(E19:H19)-1,IF($C$3="July",SUM(J19:M19)/SUM(F19:I19)-1,"N/A"))),"")</f>
        <v/>
      </c>
      <c r="S19" s="459"/>
      <c r="T19" s="458"/>
      <c r="U19" s="458"/>
      <c r="V19" s="458"/>
    </row>
    <row r="20" spans="2:22" s="66" customFormat="1" x14ac:dyDescent="0.3">
      <c r="B20" s="67" t="str">
        <f>'Comm Rate Decomp - v2026'!C173</f>
        <v>All other Commercial</v>
      </c>
      <c r="C20" s="460">
        <f>SUM(C21:C25)</f>
        <v>621632.375</v>
      </c>
      <c r="D20" s="460">
        <f>SUM(D21:D25)</f>
        <v>638547.54166666663</v>
      </c>
      <c r="E20" s="460">
        <f>SUM(E21:E25)</f>
        <v>638547.54166666663</v>
      </c>
      <c r="F20" s="460">
        <f>SUM(F21:F25)</f>
        <v>638547.54166666663</v>
      </c>
      <c r="G20" s="460">
        <f>SUM(G21:G25)</f>
        <v>638547.54166666663</v>
      </c>
      <c r="H20" s="460">
        <f>SUM(H21:H25)</f>
        <v>663700.8194444445</v>
      </c>
      <c r="I20" s="460">
        <f>SUM(I21:I25)</f>
        <v>663700.8194444445</v>
      </c>
      <c r="J20" s="460">
        <f>SUM(J21:J25)</f>
        <v>663700.8194444445</v>
      </c>
      <c r="K20" s="460">
        <f>SUM(K21:K25)</f>
        <v>663700.8194444445</v>
      </c>
      <c r="L20" s="460">
        <f>SUM(L21:L25)</f>
        <v>663700.8194444445</v>
      </c>
      <c r="M20" s="460">
        <f>SUM(M21:M25)</f>
        <v>663700.8194444445</v>
      </c>
      <c r="N20" s="460">
        <f>SUM(N21:N25)</f>
        <v>663700.8194444445</v>
      </c>
      <c r="O20" s="241">
        <f>IFERROR(SUM(G20:J20)/SUM(C20:F20)-1,"")</f>
        <v>3.6407169108591209E-2</v>
      </c>
      <c r="P20" s="241">
        <f>IFERROR(IF($C$3="January",SUM(H20:K20)/SUM(D20:G20)-1,IF($C$3="April",SUM(I20:L20)/SUM(E20:H20)-1,IF($C$3="July",SUM(J20:M20)/SUM(F20:I20)-1,"N/A"))),"")</f>
        <v>3.9391393962813659E-2</v>
      </c>
      <c r="S20" s="459"/>
      <c r="T20" s="458"/>
      <c r="U20" s="458"/>
      <c r="V20" s="458"/>
    </row>
    <row r="21" spans="2:22" s="66" customFormat="1" x14ac:dyDescent="0.3">
      <c r="B21" s="66" t="str">
        <f>'Comm Rate Decomp - v2026'!C174</f>
        <v>Self funded plan(s)</v>
      </c>
      <c r="C21" s="457">
        <v>492756.25</v>
      </c>
      <c r="D21" s="457">
        <v>506164.58333333331</v>
      </c>
      <c r="E21" s="457">
        <v>506164.58333333331</v>
      </c>
      <c r="F21" s="457">
        <v>506164.58333333331</v>
      </c>
      <c r="G21" s="457">
        <v>506164.58333333331</v>
      </c>
      <c r="H21" s="457">
        <v>528111.80555555562</v>
      </c>
      <c r="I21" s="457">
        <v>528111.80555555562</v>
      </c>
      <c r="J21" s="457">
        <v>528111.80555555562</v>
      </c>
      <c r="K21" s="457">
        <v>528111.80555555562</v>
      </c>
      <c r="L21" s="457">
        <f>K21</f>
        <v>528111.80555555562</v>
      </c>
      <c r="M21" s="457">
        <f>L21</f>
        <v>528111.80555555562</v>
      </c>
      <c r="N21" s="457">
        <f>M21</f>
        <v>528111.80555555562</v>
      </c>
      <c r="O21" s="241">
        <f>IFERROR(SUM(G21:J21)/SUM(C21:F21)-1,"")</f>
        <v>3.9403356121815003E-2</v>
      </c>
      <c r="P21" s="241">
        <f>IFERROR(IF($C$3="January",SUM(H21:K21)/SUM(D21:G21)-1,IF($C$3="April",SUM(I21:L21)/SUM(E21:H21)-1,IF($C$3="July",SUM(J21:M21)/SUM(F21:I21)-1,"N/A"))),"")</f>
        <v>4.3359853582977781E-2</v>
      </c>
      <c r="S21" s="459"/>
      <c r="T21" s="458"/>
      <c r="U21" s="458"/>
      <c r="V21" s="458"/>
    </row>
    <row r="22" spans="2:22" s="66" customFormat="1" x14ac:dyDescent="0.3">
      <c r="B22" s="66" t="str">
        <f>'Comm Rate Decomp - v2026'!C175</f>
        <v>Workman's Comp</v>
      </c>
      <c r="C22" s="457">
        <v>128876.125</v>
      </c>
      <c r="D22" s="457">
        <v>132382.95833333334</v>
      </c>
      <c r="E22" s="457">
        <v>132382.95833333334</v>
      </c>
      <c r="F22" s="457">
        <v>132382.95833333334</v>
      </c>
      <c r="G22" s="457">
        <v>132382.95833333334</v>
      </c>
      <c r="H22" s="457">
        <v>135589.01388888885</v>
      </c>
      <c r="I22" s="457">
        <v>135589.01388888885</v>
      </c>
      <c r="J22" s="457">
        <v>135589.01388888885</v>
      </c>
      <c r="K22" s="457">
        <v>135589.01388888885</v>
      </c>
      <c r="L22" s="457">
        <f>K22</f>
        <v>135589.01388888885</v>
      </c>
      <c r="M22" s="457">
        <f>L22</f>
        <v>135589.01388888885</v>
      </c>
      <c r="N22" s="457">
        <f>M22</f>
        <v>135589.01388888885</v>
      </c>
      <c r="O22" s="241">
        <f>IFERROR(SUM(G22:J22)/SUM(C22:F22)-1,"")</f>
        <v>2.4951285585285587E-2</v>
      </c>
      <c r="P22" s="241">
        <f>IFERROR(IF($C$3="January",SUM(H22:K22)/SUM(D22:G22)-1,IF($C$3="April",SUM(I22:L22)/SUM(E22:H22)-1,IF($C$3="July",SUM(J22:M22)/SUM(F22:I22)-1,"N/A"))),"")</f>
        <v>2.4218038302806555E-2</v>
      </c>
      <c r="S22" s="459"/>
      <c r="T22" s="458"/>
      <c r="U22" s="458"/>
      <c r="V22" s="458"/>
    </row>
    <row r="23" spans="2:22" s="66" customFormat="1" x14ac:dyDescent="0.3">
      <c r="B23" s="66" t="str">
        <f>'Comm Rate Decomp - v2026'!C176</f>
        <v>Additional Commercial Payers</v>
      </c>
      <c r="C23" s="457"/>
      <c r="D23" s="457"/>
      <c r="E23" s="457"/>
      <c r="F23" s="457"/>
      <c r="G23" s="457"/>
      <c r="H23" s="457"/>
      <c r="I23" s="457"/>
      <c r="J23" s="457"/>
      <c r="K23" s="457"/>
      <c r="L23" s="457"/>
      <c r="M23" s="457"/>
      <c r="N23" s="457"/>
      <c r="O23" s="241" t="str">
        <f>IFERROR(SUM(G23:J23)/SUM(C23:F23)-1,"")</f>
        <v/>
      </c>
      <c r="P23" s="241" t="str">
        <f>IFERROR(IF($C$3="January",SUM(H23:K23)/SUM(D23:G23)-1,IF($C$3="April",SUM(I23:L23)/SUM(E23:H23)-1,IF($C$3="July",SUM(J23:M23)/SUM(F23:I23)-1,"N/A"))),"")</f>
        <v/>
      </c>
    </row>
    <row r="24" spans="2:22" s="66" customFormat="1" x14ac:dyDescent="0.3">
      <c r="B24" s="66" t="str">
        <f>'Comm Rate Decomp - v2026'!C177</f>
        <v>Additional Commercial Payers</v>
      </c>
      <c r="C24" s="457"/>
      <c r="D24" s="457"/>
      <c r="E24" s="457"/>
      <c r="F24" s="457"/>
      <c r="G24" s="457"/>
      <c r="H24" s="457"/>
      <c r="I24" s="457"/>
      <c r="J24" s="457"/>
      <c r="K24" s="457"/>
      <c r="L24" s="457"/>
      <c r="M24" s="457"/>
      <c r="N24" s="457"/>
      <c r="O24" s="241" t="str">
        <f>IFERROR(SUM(G24:J24)/SUM(C24:F24)-1,"")</f>
        <v/>
      </c>
      <c r="P24" s="241" t="str">
        <f>IFERROR(IF($C$3="January",SUM(H24:K24)/SUM(D24:G24)-1,IF($C$3="April",SUM(I24:L24)/SUM(E24:H24)-1,IF($C$3="July",SUM(J24:M24)/SUM(F24:I24)-1,"N/A"))),"")</f>
        <v/>
      </c>
    </row>
    <row r="25" spans="2:22" s="66" customFormat="1" x14ac:dyDescent="0.3">
      <c r="B25" s="66" t="str">
        <f>'Comm Rate Decomp - v2026'!C178</f>
        <v>Additional Commercial Payers</v>
      </c>
      <c r="C25" s="155"/>
      <c r="D25" s="155"/>
      <c r="E25" s="155"/>
      <c r="F25" s="155"/>
      <c r="G25" s="155"/>
      <c r="H25" s="155"/>
      <c r="I25" s="155"/>
      <c r="J25" s="155"/>
      <c r="K25" s="155"/>
      <c r="L25" s="155"/>
      <c r="M25" s="155"/>
      <c r="N25" s="155"/>
      <c r="O25" s="241" t="str">
        <f>IFERROR(SUM(G25:J25)/SUM(C25:F25)-1,"")</f>
        <v/>
      </c>
      <c r="P25" s="241" t="str">
        <f>IFERROR(IF($C$3="January",SUM(H25:K25)/SUM(D25:G25)-1,IF($C$3="April",SUM(I25:L25)/SUM(E25:H25)-1,IF($C$3="July",SUM(J25:M25)/SUM(F25:I25)-1,"N/A"))),"")</f>
        <v/>
      </c>
    </row>
    <row r="26" spans="2:22" s="66" customFormat="1" x14ac:dyDescent="0.3">
      <c r="K26" s="456" t="s">
        <v>598</v>
      </c>
    </row>
    <row r="28" spans="2:22" s="66" customFormat="1" x14ac:dyDescent="0.3">
      <c r="N28" s="455" t="s">
        <v>554</v>
      </c>
      <c r="O28" s="454">
        <f>MAX(O14:O25)</f>
        <v>3.9486492036553189E-2</v>
      </c>
      <c r="P28" s="454">
        <f>MAX(P14:P25)</f>
        <v>4.3469967377332885E-2</v>
      </c>
    </row>
    <row r="29" spans="2:22" s="66" customFormat="1" x14ac:dyDescent="0.3">
      <c r="N29" s="242"/>
    </row>
  </sheetData>
  <conditionalFormatting sqref="O14:P25">
    <cfRule type="cellIs" dxfId="1" priority="2" operator="greaterThan">
      <formula>0.03</formula>
    </cfRule>
  </conditionalFormatting>
  <conditionalFormatting sqref="O28:P28">
    <cfRule type="cellIs" dxfId="0" priority="1" operator="greaterThan">
      <formula>0.03</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18dbc17e-cec9-4211-a89f-0bf74a616302" xsi:nil="true"/>
    <lcf76f155ced4ddcb4097134ff3c332f xmlns="2819d22d-c924-42b3-954a-d3b43813cc67">
      <Terms xmlns="http://schemas.microsoft.com/office/infopath/2007/PartnerControls"/>
    </lcf76f155ced4ddcb4097134ff3c332f>
    <SharedWithUsers xmlns="18dbc17e-cec9-4211-a89f-0bf74a616302">
      <UserInfo>
        <DisplayName>LaJeunesse, Kristen</DisplayName>
        <AccountId>132</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7" ma:contentTypeDescription="Create a new document." ma:contentTypeScope="" ma:versionID="d175c38aaee3ac6428a490f41afbe164">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a5b784b79ee7d46f29d38b4b483c1c3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cb61913b-1a94-4df5-bbf5-603f3215decd}" ma:internalName="TaxCatchAll" ma:showField="CatchAllData" ma:web="18dbc17e-cec9-4211-a89f-0bf74a6163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FFB0FF5-1CCE-4BC9-B3F3-E23961196E34}">
  <ds:schemaRefs>
    <ds:schemaRef ds:uri="http://schemas.microsoft.com/sharepoint/v3/contenttype/forms"/>
  </ds:schemaRefs>
</ds:datastoreItem>
</file>

<file path=customXml/itemProps2.xml><?xml version="1.0" encoding="utf-8"?>
<ds:datastoreItem xmlns:ds="http://schemas.openxmlformats.org/officeDocument/2006/customXml" ds:itemID="{30317688-5374-4F9C-943F-DC924B507EE6}">
  <ds:schemaRefs>
    <ds:schemaRef ds:uri="http://schemas.microsoft.com/office/infopath/2007/PartnerControls"/>
    <ds:schemaRef ds:uri="http://purl.org/dc/elements/1.1/"/>
    <ds:schemaRef ds:uri="http://schemas.openxmlformats.org/package/2006/metadata/core-properties"/>
    <ds:schemaRef ds:uri="http://purl.org/dc/terms/"/>
    <ds:schemaRef ds:uri="http://purl.org/dc/dcmitype/"/>
    <ds:schemaRef ds:uri="http://schemas.microsoft.com/office/2006/documentManagement/types"/>
    <ds:schemaRef ds:uri="http://www.w3.org/XML/1998/namespace"/>
    <ds:schemaRef ds:uri="18dbc17e-cec9-4211-a89f-0bf74a616302"/>
    <ds:schemaRef ds:uri="2819d22d-c924-42b3-954a-d3b43813cc67"/>
    <ds:schemaRef ds:uri="http://schemas.microsoft.com/office/2006/metadata/properties"/>
  </ds:schemaRefs>
</ds:datastoreItem>
</file>

<file path=customXml/itemProps3.xml><?xml version="1.0" encoding="utf-8"?>
<ds:datastoreItem xmlns:ds="http://schemas.openxmlformats.org/officeDocument/2006/customXml" ds:itemID="{691CC577-0E20-495C-80A1-1C4DBED29E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340B Data</vt:lpstr>
      <vt:lpstr>Network suppl.</vt:lpstr>
      <vt:lpstr>Referral Lags and Visit Lags</vt:lpstr>
      <vt:lpstr>Margin on Services</vt:lpstr>
      <vt:lpstr>Contingency Plan</vt:lpstr>
      <vt:lpstr>Clinical Productivity</vt:lpstr>
      <vt:lpstr>Labor Expense</vt:lpstr>
      <vt:lpstr>Case Mix</vt:lpstr>
      <vt:lpstr>Capital Expenses</vt:lpstr>
      <vt:lpstr>Regional Collaborations</vt:lpstr>
      <vt:lpstr>Cost Inflation</vt:lpstr>
      <vt:lpstr>Instructions - Hospitals v2026</vt:lpstr>
      <vt:lpstr>Comm Rate Decomp - v2026</vt:lpstr>
      <vt:lpstr>Commercial Reimbursement v2026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Sutter, Matthew</dc:creator>
  <cp:keywords/>
  <dc:description/>
  <cp:lastModifiedBy>Vigario, Janelle</cp:lastModifiedBy>
  <cp:revision/>
  <dcterms:created xsi:type="dcterms:W3CDTF">2024-03-08T16:43:57Z</dcterms:created>
  <dcterms:modified xsi:type="dcterms:W3CDTF">2025-03-12T14:00:24Z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y fmtid="{D5CDD505-2E9C-101B-9397-08002B2CF9AE}" pid="3" name="MediaServiceImageTags">
    <vt:lpwstr/>
  </property>
</Properties>
</file>