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72.16.4.26\finser\ACCOUNTING\BUDGET\FY23\SH\Budget Guidance\GMCB Workbooks\"/>
    </mc:Choice>
  </mc:AlternateContent>
  <xr:revisionPtr revIDLastSave="0" documentId="13_ncr:1_{D01F54E2-5B5D-4929-9FB3-3CC5C1D41C40}" xr6:coauthVersionLast="47" xr6:coauthVersionMax="47" xr10:uidLastSave="{00000000-0000-0000-0000-000000000000}"/>
  <bookViews>
    <workbookView xWindow="-19320" yWindow="-120" windowWidth="19440" windowHeight="15000" tabRatio="800" activeTab="1"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Reconciliation'!$B$6:$O$108</definedName>
    <definedName name="_xlnm.Print_Area" localSheetId="2">'2. Charge and NPR Detail'!$A$2:$H$71</definedName>
    <definedName name="_xlnm.Print_Area" localSheetId="3">'3. Utilization'!$B$1:$D$24</definedName>
    <definedName name="_xlnm.Print_Area" localSheetId="4">'4. Inflation'!$B$1:$D$21</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5" l="1"/>
  <c r="J61" i="13" l="1"/>
  <c r="I61" i="13"/>
  <c r="H61" i="13"/>
  <c r="F61" i="13"/>
  <c r="E47" i="13"/>
  <c r="I41" i="13"/>
  <c r="E61" i="13" l="1"/>
  <c r="D62" i="15"/>
  <c r="F62" i="15"/>
  <c r="D14" i="15"/>
  <c r="F14" i="15"/>
  <c r="G62" i="15"/>
  <c r="E62" i="15"/>
  <c r="E22" i="7" l="1"/>
  <c r="D22" i="15" l="1"/>
  <c r="G14" i="15"/>
  <c r="E14" i="15"/>
  <c r="F60" i="13" l="1"/>
  <c r="E53" i="13"/>
  <c r="D53" i="13" s="1"/>
  <c r="E54" i="13"/>
  <c r="D54" i="13" s="1"/>
  <c r="E52" i="13"/>
  <c r="D52" i="13" s="1"/>
  <c r="E42" i="13"/>
  <c r="E43" i="13"/>
  <c r="E41" i="13"/>
  <c r="D59" i="13"/>
  <c r="D58" i="13"/>
  <c r="D57" i="13"/>
  <c r="D60" i="15"/>
  <c r="C61" i="15"/>
  <c r="C63" i="15"/>
  <c r="C64" i="15"/>
  <c r="C65" i="15"/>
  <c r="C66" i="15"/>
  <c r="C67" i="15"/>
  <c r="C68" i="15"/>
  <c r="C69" i="15"/>
  <c r="C19" i="15"/>
  <c r="C20" i="20" l="1"/>
  <c r="C19" i="20"/>
  <c r="D15" i="20"/>
  <c r="C15" i="20" s="1"/>
  <c r="G86" i="13" l="1"/>
  <c r="C18" i="20" l="1"/>
  <c r="H13" i="20"/>
  <c r="C17" i="20" l="1"/>
  <c r="C11" i="7" l="1"/>
  <c r="C12" i="7"/>
  <c r="C13" i="7"/>
  <c r="C14" i="7"/>
  <c r="C15" i="7"/>
  <c r="C16" i="7"/>
  <c r="C17" i="7"/>
  <c r="C18" i="7"/>
  <c r="C19" i="7"/>
  <c r="C20" i="7"/>
  <c r="C21" i="7"/>
  <c r="C22" i="7"/>
  <c r="C10" i="7"/>
  <c r="K15" i="13" l="1"/>
  <c r="H70" i="15"/>
  <c r="G60" i="15"/>
  <c r="G70" i="15" s="1"/>
  <c r="F60" i="15"/>
  <c r="F70" i="15" s="1"/>
  <c r="E60" i="15"/>
  <c r="C59" i="15"/>
  <c r="H22" i="15"/>
  <c r="H24" i="15" s="1"/>
  <c r="H25" i="15" s="1"/>
  <c r="C21" i="15"/>
  <c r="C20" i="15"/>
  <c r="C18" i="15"/>
  <c r="C17" i="15"/>
  <c r="C16" i="15"/>
  <c r="C15" i="15"/>
  <c r="C14" i="15"/>
  <c r="C13" i="15"/>
  <c r="G12" i="15"/>
  <c r="G22" i="15" s="1"/>
  <c r="G24" i="15" s="1"/>
  <c r="G25" i="15" s="1"/>
  <c r="F12" i="15"/>
  <c r="F22" i="15" s="1"/>
  <c r="F24" i="15" s="1"/>
  <c r="F25" i="15" s="1"/>
  <c r="E12" i="15"/>
  <c r="E22" i="15" s="1"/>
  <c r="E24" i="15" s="1"/>
  <c r="E25" i="15" s="1"/>
  <c r="D12" i="15"/>
  <c r="C11" i="15"/>
  <c r="F72" i="15" l="1"/>
  <c r="F73" i="15" s="1"/>
  <c r="G72" i="15"/>
  <c r="G73" i="15" s="1"/>
  <c r="H72" i="15"/>
  <c r="H73" i="15" s="1"/>
  <c r="C12" i="15"/>
  <c r="C22" i="15" s="1"/>
  <c r="C24" i="15" s="1"/>
  <c r="C25" i="15" s="1"/>
  <c r="E70" i="15"/>
  <c r="C60" i="15"/>
  <c r="D24" i="15"/>
  <c r="D25" i="15" s="1"/>
  <c r="E72" i="15" l="1"/>
  <c r="E73" i="15" s="1"/>
  <c r="D14" i="16"/>
  <c r="J60" i="13"/>
  <c r="I60" i="13"/>
  <c r="H60" i="13"/>
  <c r="G60" i="13"/>
  <c r="E60" i="13"/>
  <c r="F63" i="13" s="1"/>
  <c r="D60" i="13"/>
  <c r="C60" i="13"/>
  <c r="J45" i="13"/>
  <c r="I45" i="13"/>
  <c r="H45" i="13"/>
  <c r="G45" i="13"/>
  <c r="F45" i="13"/>
  <c r="H63" i="13" l="1"/>
  <c r="E63" i="13" s="1"/>
  <c r="I63" i="13"/>
  <c r="J63" i="13"/>
  <c r="D11" i="16"/>
  <c r="C26" i="7" l="1"/>
  <c r="D25" i="7"/>
  <c r="D15" i="7"/>
  <c r="C12" i="20" l="1"/>
  <c r="G34" i="15"/>
  <c r="F34" i="15"/>
  <c r="C78" i="15"/>
  <c r="D8" i="16"/>
  <c r="D12" i="16"/>
  <c r="D19" i="16"/>
  <c r="D10" i="16"/>
  <c r="D9" i="16"/>
  <c r="C23" i="7"/>
  <c r="D21" i="16" l="1"/>
  <c r="D22" i="16" s="1"/>
  <c r="D15" i="16" s="1"/>
  <c r="D16" i="16" s="1"/>
  <c r="C13" i="20"/>
  <c r="C14" i="20"/>
  <c r="C16" i="20"/>
  <c r="C21" i="20"/>
  <c r="E22" i="20"/>
  <c r="F22" i="20"/>
  <c r="D22" i="20"/>
  <c r="E35" i="13"/>
  <c r="C35" i="13"/>
  <c r="E25" i="13"/>
  <c r="C25" i="13"/>
  <c r="E15" i="16" l="1"/>
  <c r="F15" i="16" s="1"/>
  <c r="E14" i="16"/>
  <c r="F14" i="16" s="1"/>
  <c r="E15" i="13"/>
  <c r="K14" i="13" s="1"/>
  <c r="F7" i="16"/>
  <c r="B10" i="4"/>
  <c r="B14" i="4"/>
  <c r="B13" i="4"/>
  <c r="B12" i="4"/>
  <c r="B11" i="4"/>
  <c r="K22" i="20"/>
  <c r="J22" i="20"/>
  <c r="G22" i="20"/>
  <c r="H22" i="20"/>
  <c r="I22" i="20"/>
  <c r="D41" i="13"/>
  <c r="D71" i="13"/>
  <c r="C71" i="13"/>
  <c r="C15" i="13"/>
  <c r="H71" i="13"/>
  <c r="G71" i="13"/>
  <c r="F71" i="13"/>
  <c r="E70" i="13"/>
  <c r="E69" i="13"/>
  <c r="E68" i="13"/>
  <c r="E67" i="13"/>
  <c r="E66" i="13"/>
  <c r="C45" i="13"/>
  <c r="E44" i="13"/>
  <c r="E45" i="13" s="1"/>
  <c r="D43" i="13"/>
  <c r="D42" i="13"/>
  <c r="F47" i="13" l="1"/>
  <c r="H47" i="13"/>
  <c r="I47" i="13"/>
  <c r="J47" i="13"/>
  <c r="E13" i="16"/>
  <c r="F13" i="16" s="1"/>
  <c r="E11" i="16"/>
  <c r="F11" i="16" s="1"/>
  <c r="E9" i="16"/>
  <c r="F9" i="16" s="1"/>
  <c r="E10" i="16"/>
  <c r="F10" i="16" s="1"/>
  <c r="E12" i="16"/>
  <c r="F12" i="16" s="1"/>
  <c r="E8" i="16"/>
  <c r="D45" i="13"/>
  <c r="C75" i="13"/>
  <c r="C22" i="20"/>
  <c r="D75" i="13"/>
  <c r="E71" i="13"/>
  <c r="F75" i="13" s="1"/>
  <c r="D23" i="7"/>
  <c r="C76" i="13"/>
  <c r="E16" i="16" l="1"/>
  <c r="F8" i="16"/>
  <c r="F16" i="16" s="1"/>
  <c r="C77" i="13"/>
  <c r="E75" i="13"/>
  <c r="B15" i="4"/>
  <c r="F76" i="13" l="1"/>
  <c r="F77" i="13" s="1"/>
  <c r="B5" i="4"/>
  <c r="D76" i="13" l="1"/>
  <c r="D77" i="13" s="1"/>
  <c r="B6" i="4" l="1"/>
  <c r="E76" i="13"/>
  <c r="E77" i="13" s="1"/>
  <c r="C30" i="15" l="1"/>
  <c r="D83" i="15" s="1"/>
  <c r="D41" i="15" l="1"/>
  <c r="D79" i="15"/>
  <c r="D46" i="15"/>
  <c r="D102" i="15"/>
  <c r="D80" i="15"/>
  <c r="D40" i="15"/>
  <c r="D43" i="15"/>
  <c r="D32" i="15"/>
  <c r="D44" i="15"/>
  <c r="D38" i="15"/>
  <c r="D31" i="15"/>
  <c r="D91" i="15"/>
  <c r="D35" i="15"/>
  <c r="D101" i="15"/>
  <c r="D100" i="15"/>
  <c r="D89" i="15"/>
  <c r="D86" i="15"/>
  <c r="D92" i="15"/>
  <c r="D98" i="15"/>
  <c r="D99" i="15"/>
  <c r="D96" i="15"/>
  <c r="D97" i="15"/>
  <c r="D95" i="15"/>
  <c r="D33" i="15"/>
  <c r="D81" i="15"/>
  <c r="D94" i="15"/>
  <c r="D34" i="15"/>
  <c r="D88" i="15"/>
  <c r="D42" i="15" l="1"/>
  <c r="D37" i="15"/>
  <c r="D90" i="15"/>
  <c r="D93" i="15"/>
  <c r="D85" i="15"/>
  <c r="D84" i="15" l="1"/>
  <c r="D45" i="15"/>
  <c r="D36" i="15"/>
  <c r="D82" i="15" l="1"/>
  <c r="E103" i="15" l="1"/>
  <c r="D87" i="15" l="1"/>
  <c r="D103" i="15" s="1"/>
  <c r="C103" i="15"/>
  <c r="F103" i="15" l="1"/>
  <c r="C105" i="15"/>
  <c r="C106" i="15" s="1"/>
  <c r="D39" i="15"/>
  <c r="D47" i="15" s="1"/>
  <c r="C47" i="15"/>
  <c r="C49" i="15" l="1"/>
  <c r="C50" i="15" s="1"/>
  <c r="F11" i="13" l="1"/>
  <c r="F12" i="13" s="1"/>
  <c r="F13" i="13" s="1"/>
  <c r="F15" i="13" s="1"/>
  <c r="C62" i="15" l="1"/>
  <c r="C70" i="15" s="1"/>
  <c r="C72" i="15" s="1"/>
  <c r="C73" i="15" s="1"/>
  <c r="B7" i="4" s="1"/>
  <c r="D70" i="15"/>
  <c r="D72" i="15" s="1"/>
  <c r="D7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Kayda Wescott</author>
  </authors>
  <commentList>
    <comment ref="C44" authorId="0" shapeId="0" xr:uid="{460E19F1-3496-448D-8806-B5F4096AFEDF}">
      <text>
        <r>
          <rPr>
            <b/>
            <sz val="9"/>
            <color indexed="81"/>
            <rFont val="Tahoma"/>
            <family val="2"/>
          </rPr>
          <t>Equipment, Maint &amp; Repairs</t>
        </r>
        <r>
          <rPr>
            <sz val="9"/>
            <color indexed="81"/>
            <rFont val="Tahoma"/>
            <family val="2"/>
          </rPr>
          <t xml:space="preserve">
</t>
        </r>
      </text>
    </comment>
    <comment ref="C45" authorId="0" shapeId="0" xr:uid="{F11B91CF-7376-4A7E-8AC7-772FA5932190}">
      <text>
        <r>
          <rPr>
            <sz val="9"/>
            <color indexed="81"/>
            <rFont val="Tahoma"/>
            <family val="2"/>
          </rPr>
          <t xml:space="preserve">incl non provider mgmt &amp; contr svcs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Kayda Wescott</author>
  </authors>
  <commentList>
    <comment ref="D17" authorId="0" shapeId="0" xr:uid="{2939559C-DA61-41B2-8527-6C706FA1FCD1}">
      <text>
        <r>
          <rPr>
            <b/>
            <sz val="9"/>
            <color indexed="81"/>
            <rFont val="Tahoma"/>
            <family val="2"/>
          </rPr>
          <t>rec'd in FY20</t>
        </r>
      </text>
    </comment>
  </commentList>
</comments>
</file>

<file path=xl/sharedStrings.xml><?xml version="1.0" encoding="utf-8"?>
<sst xmlns="http://schemas.openxmlformats.org/spreadsheetml/2006/main" count="393" uniqueCount="272">
  <si>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</si>
  <si>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</si>
  <si>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</si>
  <si>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</si>
  <si>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</si>
  <si>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</si>
  <si>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</si>
  <si>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</si>
  <si>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</si>
  <si>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</si>
  <si>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</si>
  <si>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</si>
  <si>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</si>
  <si>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</si>
  <si>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</si>
  <si>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</si>
  <si>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</si>
  <si>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</si>
  <si>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</si>
  <si>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</si>
  <si>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</si>
  <si>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</si>
  <si>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</si>
  <si>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</si>
  <si>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</si>
  <si>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</si>
  <si>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</si>
  <si>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</si>
  <si>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</si>
  <si>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</si>
  <si>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</si>
  <si>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</si>
  <si>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</si>
  <si>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Fringe</t>
  </si>
  <si>
    <t>Travelers (nurses)</t>
  </si>
  <si>
    <t>Drugs</t>
  </si>
  <si>
    <t>Health Care Provider Tax</t>
  </si>
  <si>
    <t>Cost Savings</t>
  </si>
  <si>
    <t>Other (specify, add additional rows as necessary)</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</si>
  <si>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</si>
  <si>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</si>
  <si>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</si>
  <si>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</si>
  <si>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</si>
  <si>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</si>
  <si>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</si>
  <si>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</si>
  <si>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</si>
  <si>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</si>
  <si>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</si>
  <si>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</si>
  <si>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</si>
  <si>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</si>
  <si>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</si>
  <si>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</si>
  <si>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</si>
  <si>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</si>
  <si>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</si>
  <si>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</si>
  <si>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</si>
  <si>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</si>
  <si>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</si>
  <si>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</si>
  <si>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</si>
  <si>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</si>
  <si>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</si>
  <si>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</si>
  <si>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</si>
  <si>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</si>
  <si>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</si>
  <si>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</si>
  <si>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</si>
  <si>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</si>
  <si>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</si>
  <si>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</si>
  <si>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</si>
  <si>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</si>
  <si>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</si>
  <si>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</si>
  <si>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</si>
  <si>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</si>
  <si>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</si>
  <si>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</si>
  <si>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</si>
  <si>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</si>
  <si>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</si>
  <si>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</si>
  <si>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</si>
  <si>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</si>
  <si>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</si>
  <si>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</si>
  <si>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</si>
  <si>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</si>
  <si>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</si>
  <si>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</si>
  <si>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</si>
  <si>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</si>
  <si>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</si>
  <si>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</si>
  <si>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Wages/Compensation - Non-Medical Staff</t>
  </si>
  <si>
    <t>Medical Supplies</t>
  </si>
  <si>
    <t>Non-Medical Supplies</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</si>
  <si>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</si>
  <si>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</si>
  <si>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</si>
  <si>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</si>
  <si>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</si>
  <si>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</si>
  <si>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</si>
  <si>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</si>
  <si>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</si>
  <si>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</si>
  <si>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</si>
  <si>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</si>
  <si>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</si>
  <si>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</si>
  <si>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</si>
  <si>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</si>
  <si>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</si>
  <si>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</si>
  <si>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</si>
  <si>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</si>
  <si>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</si>
  <si>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</si>
  <si>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</si>
  <si>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</si>
  <si>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</si>
  <si>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</si>
  <si>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</si>
  <si>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</si>
  <si>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</si>
  <si>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</si>
  <si>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</si>
  <si>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</si>
  <si>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</si>
  <si>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</si>
  <si>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</si>
  <si>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</si>
  <si>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</si>
  <si>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</si>
  <si>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</si>
  <si>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</si>
  <si>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</si>
  <si>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</si>
  <si>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</si>
  <si>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</si>
  <si>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</si>
  <si>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</si>
  <si>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</si>
  <si>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</si>
  <si>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</si>
  <si>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</si>
  <si>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</si>
  <si>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</si>
  <si>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</si>
  <si>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</si>
  <si>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</si>
  <si>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</si>
  <si>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</si>
  <si>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</si>
  <si>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</si>
  <si>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</si>
  <si>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</si>
  <si>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</si>
  <si>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</si>
  <si>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</si>
  <si>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</si>
  <si>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</si>
  <si>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</si>
  <si>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</si>
  <si>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</si>
  <si>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</si>
  <si>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</si>
  <si>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</si>
  <si>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</si>
  <si>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</si>
  <si>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</si>
  <si>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</si>
  <si>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</si>
  <si>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</si>
  <si>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</si>
  <si>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</si>
  <si>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</si>
  <si>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</si>
  <si>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</si>
  <si>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</si>
  <si>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</si>
  <si>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</si>
  <si>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</si>
  <si>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</si>
  <si>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</si>
  <si>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</si>
  <si>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</si>
  <si>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</si>
  <si>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</si>
  <si>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</si>
  <si>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</si>
  <si>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</si>
  <si>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</si>
  <si>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</si>
  <si>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</si>
  <si>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</si>
  <si>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</si>
  <si>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</si>
  <si>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</si>
  <si>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</si>
  <si>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</si>
  <si>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</si>
  <si>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</si>
  <si>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</si>
  <si>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</si>
  <si>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</si>
  <si>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</si>
  <si>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</si>
  <si>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</si>
  <si>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</si>
  <si>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No</t>
  </si>
  <si>
    <t>n/a</t>
  </si>
  <si>
    <t>Yes</t>
  </si>
  <si>
    <t>Charity Care</t>
  </si>
  <si>
    <t>Bad Debt</t>
  </si>
  <si>
    <t>Surgeries</t>
  </si>
  <si>
    <t>Emergency Dept</t>
  </si>
  <si>
    <t>Lab</t>
  </si>
  <si>
    <t>Other Purchased Services</t>
  </si>
  <si>
    <t>Utilities</t>
  </si>
  <si>
    <t>Inflation included in increases below</t>
  </si>
  <si>
    <t>Salaries -Staff</t>
  </si>
  <si>
    <t>Salaries-Providers</t>
  </si>
  <si>
    <t>Locum tenans (MDs)/Contracted Physicians</t>
  </si>
  <si>
    <t>USDA Emergency Rural Health Care</t>
  </si>
  <si>
    <t>American Rescue Plan Act</t>
  </si>
  <si>
    <t>Radiology excluding Nuclear Med</t>
  </si>
  <si>
    <t>Nuclear Med</t>
  </si>
  <si>
    <t>Inpatient Psych</t>
  </si>
  <si>
    <t>Clinic plus Chemotherapy Drugs</t>
  </si>
  <si>
    <t>Prof Svcs - General Surgery</t>
  </si>
  <si>
    <t>Prof Svcs - Podiatry (new service FY22)</t>
  </si>
  <si>
    <t>Physical Therapy</t>
  </si>
  <si>
    <t>All Others</t>
  </si>
  <si>
    <t>Pain Management (new for FY23)</t>
  </si>
  <si>
    <t>Inpatient  Acute</t>
  </si>
  <si>
    <t>Gross Revenues higher in FY22 actual vs. FY22 bud on a per day basis</t>
  </si>
  <si>
    <t>Recruiting and Advertising</t>
  </si>
  <si>
    <t>All Other</t>
  </si>
  <si>
    <t>not sure of this column is calculated how intended</t>
  </si>
  <si>
    <t>Management &amp; Contract Services</t>
  </si>
  <si>
    <t>2% COLA December 2022 and Market Adjustments (see Narrative)</t>
  </si>
  <si>
    <t>Other Non Medical Supplies</t>
  </si>
  <si>
    <t>Staff Education and Training</t>
  </si>
  <si>
    <t>Minor Equipment</t>
  </si>
  <si>
    <t>Food</t>
  </si>
  <si>
    <t>Dues &amp; Subscriptions</t>
  </si>
  <si>
    <t>Interest</t>
  </si>
  <si>
    <t>Depreciation</t>
  </si>
  <si>
    <t>incl In Phys Fees</t>
  </si>
  <si>
    <t>incl in Phys Fees/Management &amp; Contract Svcs</t>
  </si>
  <si>
    <t xml:space="preserve">all commercial reported in In-State, system does not allow us to easily extract </t>
  </si>
  <si>
    <t>IP Psych Unit State Funds (VT DMH) - Operating</t>
  </si>
  <si>
    <t>COVID-19 Cornovirus Relief Funds (Adult Day)</t>
  </si>
  <si>
    <t>Small Rural Health Improvement Grant</t>
  </si>
  <si>
    <t>Misc. Grants Anticipated for FY23</t>
  </si>
  <si>
    <t>Projected</t>
  </si>
  <si>
    <t>50600.002/10270.000</t>
  </si>
  <si>
    <t>COVID-19 Provider Relief Phase 4</t>
  </si>
  <si>
    <t>FY 2023 Proposed Budget not including rate increase</t>
  </si>
  <si>
    <t>IP Psych Unit State Funds (VT DMH) - Construction</t>
  </si>
  <si>
    <t>FY23 Budget</t>
  </si>
  <si>
    <t>Total Medicare (*)</t>
  </si>
  <si>
    <t>Total Commercial(*)</t>
  </si>
  <si>
    <t>(*) Medicare Advantage NPR was reclassed from Commercial to Medicare.</t>
  </si>
  <si>
    <t>Includes DSH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</si>
</sst>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3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
      <sz val="9"/>
      <color indexed="81"/>
      <name val="Tahoma"/>
      <family val="2"/>
    </font>
    <font>
      <b/>
      <sz val="9"/>
      <color indexed="81"/>
      <name val="Tahoma"/>
      <family val="2"/>
    </font>
    <font>
      <sz val="11"/>
      <color rgb="FFFF0000"/>
      <name val="Calibri"/>
      <family val="2"/>
      <scheme val="minor"/>
    </font>
    <font>
      <sz val="14"/>
      <color rgb="FFFF0000"/>
      <name val="Calibri"/>
      <family val="2"/>
      <scheme val="minor"/>
    </font>
    <font>
      <sz val="11"/>
      <color rgb="FF0070C0"/>
      <name val="Calibri"/>
      <family val="2"/>
    </font>
    <font>
      <b/>
      <sz val="11"/>
      <color rgb="FF0070C0"/>
      <name val="Calibri"/>
      <family val="2"/>
    </font>
    <font>
      <b/>
      <sz val="14"/>
      <color rgb="FF0000FF"/>
      <name val="Calibri"/>
      <family val="2"/>
      <scheme val="minor"/>
    </font>
    <font>
      <sz val="11"/>
      <name val="Calibri"/>
      <family val="2"/>
      <scheme val="minor"/>
    </font>
    <font>
      <b/>
      <sz val="11"/>
      <name val="Calibri"/>
      <family val="2"/>
      <scheme val="minor"/>
    </font>
    <font>
      <sz val="11"/>
      <color rgb="FFFF0000"/>
      <name val="Calibri"/>
      <family val="2"/>
    </font>
    <font>
      <b/>
      <sz val="11"/>
      <color rgb="FFFF0000"/>
      <name val="Calibri"/>
      <family val="2"/>
    </font>
    <font>
      <b/>
      <sz val="11"/>
      <color theme="5" tint="-0.249977111117893"/>
      <name val="Calibri"/>
      <family val="2"/>
    </font>
    <font>
      <sz val="9"/>
      <color rgb="FFFF0000"/>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
      <patternFill patternType="solid">
        <fgColor rgb="FFFFC00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80">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8" xfId="5" applyFont="1" applyBorder="1"/>
    <xf numFmtId="0" fontId="8" fillId="0" borderId="11" xfId="5" applyFont="1" applyBorder="1"/>
    <xf numFmtId="0" fontId="8" fillId="0" borderId="12" xfId="5" applyFont="1" applyBorder="1"/>
    <xf numFmtId="0" fontId="8" fillId="0" borderId="13"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166" fontId="0" fillId="2" borderId="4" xfId="1" applyNumberFormat="1" applyFont="1" applyFill="1" applyBorder="1" applyProtection="1"/>
    <xf numFmtId="9" fontId="4" fillId="6" borderId="4" xfId="3" applyFont="1" applyFill="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9" fontId="24" fillId="3" borderId="4" xfId="3" applyFont="1" applyFill="1" applyBorder="1"/>
    <xf numFmtId="9" fontId="4" fillId="9" borderId="0" xfId="3" applyFont="1" applyFill="1" applyBorder="1"/>
    <xf numFmtId="0" fontId="8" fillId="4" borderId="9" xfId="5" applyFont="1" applyFill="1" applyBorder="1"/>
    <xf numFmtId="0" fontId="8" fillId="0" borderId="9" xfId="5" applyFont="1" applyBorder="1"/>
    <xf numFmtId="0" fontId="8" fillId="0" borderId="36" xfId="5" applyFont="1" applyBorder="1"/>
    <xf numFmtId="0" fontId="8" fillId="0" borderId="37" xfId="5" applyFont="1" applyBorder="1"/>
    <xf numFmtId="0" fontId="8" fillId="0" borderId="38" xfId="5" applyFont="1" applyBorder="1"/>
    <xf numFmtId="0" fontId="8" fillId="0" borderId="39" xfId="5" applyFont="1" applyBorder="1"/>
    <xf numFmtId="0" fontId="2" fillId="0" borderId="0" xfId="0" applyFont="1" applyFill="1" applyBorder="1" applyAlignment="1">
      <alignment horizontal="center"/>
    </xf>
    <xf numFmtId="165" fontId="1" fillId="0" borderId="0" xfId="0" applyNumberFormat="1" applyFont="1" applyFill="1" applyBorder="1"/>
    <xf numFmtId="165" fontId="1" fillId="0" borderId="15" xfId="0" applyNumberFormat="1" applyFont="1" applyFill="1" applyBorder="1"/>
    <xf numFmtId="165" fontId="1" fillId="0" borderId="17" xfId="0" applyNumberFormat="1" applyFont="1" applyFill="1" applyBorder="1"/>
    <xf numFmtId="44" fontId="1" fillId="0" borderId="23" xfId="2" applyFont="1" applyFill="1" applyBorder="1"/>
    <xf numFmtId="165" fontId="1" fillId="0" borderId="22" xfId="0" applyNumberFormat="1" applyFont="1" applyFill="1" applyBorder="1"/>
    <xf numFmtId="0" fontId="18" fillId="9" borderId="0" xfId="0" applyFont="1" applyFill="1"/>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166" fontId="4" fillId="0" borderId="4" xfId="1" applyNumberFormat="1" applyFont="1" applyFill="1" applyBorder="1"/>
    <xf numFmtId="44" fontId="4" fillId="6" borderId="4" xfId="2" applyFont="1" applyFill="1" applyBorder="1"/>
    <xf numFmtId="0" fontId="4" fillId="0" borderId="0" xfId="5" applyAlignment="1">
      <alignment horizontal="right"/>
    </xf>
    <xf numFmtId="165" fontId="0" fillId="0" borderId="4" xfId="2" applyNumberFormat="1" applyFont="1" applyBorder="1" applyAlignment="1">
      <alignment horizontal="center"/>
    </xf>
    <xf numFmtId="42" fontId="0" fillId="0" borderId="0" xfId="0" applyNumberFormat="1"/>
    <xf numFmtId="166" fontId="0" fillId="0" borderId="4" xfId="1" applyNumberFormat="1" applyFont="1" applyBorder="1" applyAlignment="1">
      <alignment horizontal="center"/>
    </xf>
    <xf numFmtId="166" fontId="0" fillId="0" borderId="4" xfId="1" applyNumberFormat="1" applyFont="1" applyFill="1" applyBorder="1" applyAlignment="1">
      <alignment horizontal="center"/>
    </xf>
    <xf numFmtId="166" fontId="0" fillId="5" borderId="0" xfId="1" applyNumberFormat="1" applyFont="1" applyFill="1" applyBorder="1" applyAlignment="1">
      <alignment horizontal="center"/>
    </xf>
    <xf numFmtId="166" fontId="0" fillId="0" borderId="4" xfId="1" applyNumberFormat="1" applyFont="1" applyFill="1" applyBorder="1" applyProtection="1">
      <protection locked="0"/>
    </xf>
    <xf numFmtId="9" fontId="0" fillId="0" borderId="0" xfId="3" applyFont="1" applyFill="1" applyBorder="1" applyAlignment="1">
      <alignment horizontal="left"/>
    </xf>
    <xf numFmtId="43" fontId="0" fillId="0" borderId="0" xfId="1" applyFont="1" applyFill="1" applyBorder="1" applyAlignment="1">
      <alignment horizontal="center"/>
    </xf>
    <xf numFmtId="166" fontId="0" fillId="0" borderId="0" xfId="1" applyNumberFormat="1" applyFont="1" applyFill="1" applyBorder="1" applyAlignment="1">
      <alignment horizontal="center"/>
    </xf>
    <xf numFmtId="0" fontId="0" fillId="0" borderId="4" xfId="0" applyFill="1" applyBorder="1" applyAlignment="1">
      <alignment horizontal="right"/>
    </xf>
    <xf numFmtId="164" fontId="0" fillId="0" borderId="4" xfId="3" applyNumberFormat="1" applyFont="1" applyFill="1" applyBorder="1" applyAlignment="1">
      <alignment horizontal="center"/>
    </xf>
    <xf numFmtId="164" fontId="24" fillId="3" borderId="4" xfId="3" applyNumberFormat="1" applyFont="1" applyFill="1" applyBorder="1"/>
    <xf numFmtId="165" fontId="5" fillId="0" borderId="4" xfId="2" applyNumberFormat="1" applyFont="1" applyFill="1" applyBorder="1"/>
    <xf numFmtId="9" fontId="4" fillId="0" borderId="4" xfId="3" applyFont="1" applyFill="1" applyBorder="1"/>
    <xf numFmtId="0" fontId="5" fillId="0" borderId="0" xfId="5" applyFont="1" applyBorder="1" applyAlignment="1">
      <alignment wrapText="1"/>
    </xf>
    <xf numFmtId="167" fontId="4" fillId="0" borderId="0" xfId="5" applyNumberFormat="1"/>
    <xf numFmtId="164" fontId="4" fillId="0" borderId="0" xfId="3" applyNumberFormat="1" applyFont="1"/>
    <xf numFmtId="166" fontId="4" fillId="0" borderId="0" xfId="1" applyNumberFormat="1" applyFont="1"/>
    <xf numFmtId="166" fontId="4" fillId="0" borderId="0" xfId="5" applyNumberFormat="1"/>
    <xf numFmtId="166" fontId="5" fillId="0" borderId="0" xfId="1" applyNumberFormat="1" applyFont="1"/>
    <xf numFmtId="166" fontId="5" fillId="6" borderId="4" xfId="1" applyNumberFormat="1" applyFont="1" applyFill="1" applyBorder="1"/>
    <xf numFmtId="166" fontId="4" fillId="6" borderId="4" xfId="1" applyNumberFormat="1" applyFont="1" applyFill="1" applyBorder="1"/>
    <xf numFmtId="166" fontId="4" fillId="5" borderId="0" xfId="1" applyNumberFormat="1" applyFont="1" applyFill="1" applyBorder="1"/>
    <xf numFmtId="166" fontId="5" fillId="12" borderId="4" xfId="1" applyNumberFormat="1" applyFont="1" applyFill="1" applyBorder="1"/>
    <xf numFmtId="9" fontId="5" fillId="6" borderId="4" xfId="3" applyFont="1" applyFill="1" applyBorder="1"/>
    <xf numFmtId="10" fontId="5" fillId="0" borderId="4" xfId="3" applyNumberFormat="1" applyFont="1" applyBorder="1"/>
    <xf numFmtId="166" fontId="5" fillId="0" borderId="4" xfId="3" applyNumberFormat="1" applyFont="1" applyBorder="1"/>
    <xf numFmtId="0" fontId="8" fillId="0" borderId="12" xfId="5" applyFont="1" applyFill="1" applyBorder="1"/>
    <xf numFmtId="0" fontId="8" fillId="0" borderId="6" xfId="5" applyFont="1" applyBorder="1" applyAlignment="1">
      <alignment horizontal="center" vertical="top" wrapText="1"/>
    </xf>
    <xf numFmtId="0" fontId="8" fillId="0" borderId="7" xfId="5" applyFont="1" applyBorder="1" applyAlignment="1">
      <alignment horizontal="center" vertical="top" wrapText="1"/>
    </xf>
    <xf numFmtId="0" fontId="8" fillId="0" borderId="9" xfId="5" applyFont="1" applyBorder="1" applyAlignment="1">
      <alignment horizontal="center" vertical="top"/>
    </xf>
    <xf numFmtId="0" fontId="8" fillId="0" borderId="10" xfId="5" applyFont="1" applyBorder="1" applyAlignment="1">
      <alignment horizontal="center" vertical="top"/>
    </xf>
    <xf numFmtId="0" fontId="0" fillId="0" borderId="15" xfId="0" applyBorder="1" applyAlignment="1">
      <alignment horizontal="center" vertical="center" wrapText="1"/>
    </xf>
    <xf numFmtId="166" fontId="0" fillId="3" borderId="4" xfId="1" applyNumberFormat="1" applyFont="1" applyFill="1" applyBorder="1" applyProtection="1">
      <protection locked="0"/>
    </xf>
    <xf numFmtId="166" fontId="0" fillId="0" borderId="4" xfId="1" quotePrefix="1" applyNumberFormat="1" applyFont="1" applyBorder="1" applyAlignment="1" applyProtection="1">
      <alignment horizontal="right"/>
      <protection locked="0"/>
    </xf>
    <xf numFmtId="0" fontId="0" fillId="0" borderId="4" xfId="0" applyBorder="1" applyAlignment="1">
      <alignment horizontal="left"/>
    </xf>
    <xf numFmtId="0" fontId="0" fillId="5" borderId="4" xfId="0" applyFill="1" applyBorder="1" applyAlignment="1">
      <alignment horizontal="left"/>
    </xf>
    <xf numFmtId="44" fontId="0" fillId="0" borderId="4" xfId="2" applyFont="1" applyFill="1" applyBorder="1" applyProtection="1">
      <protection locked="0"/>
    </xf>
    <xf numFmtId="9" fontId="0" fillId="0" borderId="4" xfId="3" applyFont="1" applyFill="1" applyBorder="1" applyAlignment="1">
      <alignment horizontal="center"/>
    </xf>
    <xf numFmtId="164" fontId="0" fillId="0" borderId="0" xfId="3" applyNumberFormat="1" applyFont="1" applyFill="1" applyAlignment="1">
      <alignment horizontal="center"/>
    </xf>
    <xf numFmtId="44" fontId="4" fillId="0" borderId="4" xfId="2" applyFont="1" applyFill="1" applyBorder="1"/>
    <xf numFmtId="166" fontId="4" fillId="0" borderId="4" xfId="1" applyNumberFormat="1" applyFont="1" applyBorder="1"/>
    <xf numFmtId="0" fontId="2" fillId="0" borderId="0" xfId="0" applyFont="1"/>
    <xf numFmtId="165" fontId="0" fillId="0" borderId="4" xfId="2" applyNumberFormat="1" applyFont="1" applyFill="1" applyBorder="1" applyAlignment="1">
      <alignment horizontal="center"/>
    </xf>
    <xf numFmtId="0" fontId="0" fillId="0" borderId="4" xfId="0" applyBorder="1" applyAlignment="1">
      <alignment wrapText="1"/>
    </xf>
    <xf numFmtId="0" fontId="8" fillId="0" borderId="11" xfId="5" applyFont="1" applyFill="1" applyBorder="1" applyAlignment="1">
      <alignment horizontal="left" indent="2"/>
    </xf>
    <xf numFmtId="0" fontId="8" fillId="0" borderId="5" xfId="5" applyFont="1" applyFill="1" applyBorder="1" applyAlignment="1">
      <alignment horizontal="left" indent="2"/>
    </xf>
    <xf numFmtId="164" fontId="0" fillId="5" borderId="4" xfId="3" applyNumberFormat="1" applyFont="1" applyFill="1" applyBorder="1"/>
    <xf numFmtId="0" fontId="0" fillId="0" borderId="4" xfId="0" applyFill="1" applyBorder="1" applyAlignment="1" applyProtection="1">
      <alignment horizontal="right"/>
      <protection locked="0"/>
    </xf>
    <xf numFmtId="0" fontId="6" fillId="0" borderId="0" xfId="0" applyFont="1" applyFill="1"/>
    <xf numFmtId="165" fontId="4" fillId="0" borderId="0" xfId="5" applyNumberFormat="1"/>
    <xf numFmtId="166" fontId="5" fillId="0" borderId="0" xfId="5" applyNumberFormat="1" applyFont="1" applyFill="1"/>
    <xf numFmtId="0" fontId="5" fillId="0" borderId="0" xfId="5" applyFont="1" applyFill="1"/>
    <xf numFmtId="165" fontId="30" fillId="0" borderId="0" xfId="2" applyNumberFormat="1" applyFont="1" applyFill="1"/>
    <xf numFmtId="0" fontId="30" fillId="0" borderId="0" xfId="5" applyFont="1" applyFill="1"/>
    <xf numFmtId="0" fontId="31" fillId="0" borderId="0" xfId="5" applyFont="1" applyFill="1"/>
    <xf numFmtId="165" fontId="20" fillId="0" borderId="4" xfId="2" applyNumberFormat="1" applyFont="1" applyFill="1" applyBorder="1"/>
    <xf numFmtId="0" fontId="5" fillId="0" borderId="4" xfId="5" applyFont="1" applyFill="1" applyBorder="1"/>
    <xf numFmtId="0" fontId="5" fillId="0" borderId="4" xfId="5" applyFont="1" applyFill="1" applyBorder="1" applyAlignment="1">
      <alignment horizontal="center" wrapText="1"/>
    </xf>
    <xf numFmtId="165" fontId="1" fillId="0" borderId="0" xfId="2" applyNumberFormat="1" applyFont="1" applyFill="1" applyBorder="1"/>
    <xf numFmtId="165" fontId="1" fillId="0" borderId="0" xfId="2" applyNumberFormat="1" applyFont="1" applyFill="1"/>
    <xf numFmtId="165" fontId="1" fillId="0" borderId="17" xfId="2" applyNumberFormat="1" applyFont="1" applyFill="1" applyBorder="1"/>
    <xf numFmtId="0" fontId="16" fillId="0" borderId="0" xfId="0" applyFont="1" applyFill="1"/>
    <xf numFmtId="165" fontId="2" fillId="0" borderId="22" xfId="0" applyNumberFormat="1" applyFont="1" applyFill="1" applyBorder="1"/>
    <xf numFmtId="0" fontId="32" fillId="0" borderId="0" xfId="5" applyFont="1" applyFill="1" applyBorder="1" applyAlignment="1">
      <alignment horizontal="center"/>
    </xf>
    <xf numFmtId="0" fontId="1" fillId="0" borderId="15" xfId="0" applyFont="1" applyFill="1" applyBorder="1"/>
    <xf numFmtId="0" fontId="5" fillId="6" borderId="4" xfId="5" applyFont="1" applyFill="1" applyBorder="1" applyAlignment="1">
      <alignment wrapText="1"/>
    </xf>
    <xf numFmtId="0" fontId="17" fillId="0" borderId="0" xfId="0" applyFont="1" applyFill="1" applyAlignment="1">
      <alignment horizontal="center"/>
    </xf>
    <xf numFmtId="0" fontId="2" fillId="0" borderId="3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xf>
    <xf numFmtId="0" fontId="2" fillId="0" borderId="7" xfId="0" applyFont="1" applyFill="1" applyBorder="1" applyAlignment="1">
      <alignment horizont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165" fontId="1" fillId="0" borderId="0" xfId="0" applyNumberFormat="1" applyFont="1" applyFill="1"/>
    <xf numFmtId="0" fontId="17" fillId="0" borderId="0" xfId="0" applyFont="1" applyFill="1"/>
    <xf numFmtId="165" fontId="2" fillId="0" borderId="0" xfId="2" applyNumberFormat="1" applyFont="1" applyFill="1" applyBorder="1"/>
    <xf numFmtId="165" fontId="2" fillId="0" borderId="0" xfId="2" applyNumberFormat="1" applyFont="1" applyFill="1"/>
    <xf numFmtId="165" fontId="2" fillId="0" borderId="17" xfId="2" applyNumberFormat="1" applyFont="1" applyFill="1" applyBorder="1"/>
    <xf numFmtId="0" fontId="2" fillId="0" borderId="34" xfId="0" applyFont="1" applyFill="1" applyBorder="1" applyAlignment="1">
      <alignment horizontal="left" indent="3"/>
    </xf>
    <xf numFmtId="44" fontId="1" fillId="0" borderId="34" xfId="2" applyFont="1" applyFill="1" applyBorder="1"/>
    <xf numFmtId="44" fontId="1" fillId="0" borderId="32" xfId="2" applyFont="1" applyFill="1" applyBorder="1"/>
    <xf numFmtId="44" fontId="1" fillId="0" borderId="33" xfId="2" applyFont="1" applyFill="1" applyBorder="1"/>
    <xf numFmtId="0" fontId="33" fillId="0" borderId="15" xfId="0" applyFont="1" applyFill="1" applyBorder="1"/>
    <xf numFmtId="0" fontId="33" fillId="0" borderId="15" xfId="0" applyFont="1" applyFill="1" applyBorder="1" applyAlignment="1">
      <alignment wrapText="1"/>
    </xf>
    <xf numFmtId="0" fontId="34" fillId="0" borderId="15" xfId="0" applyFont="1" applyFill="1" applyBorder="1"/>
    <xf numFmtId="0" fontId="2" fillId="0" borderId="15" xfId="0" applyFont="1" applyFill="1" applyBorder="1" applyAlignment="1">
      <alignment horizontal="center" vertical="center"/>
    </xf>
    <xf numFmtId="0" fontId="2" fillId="0" borderId="17" xfId="0" applyFont="1" applyFill="1" applyBorder="1" applyAlignment="1">
      <alignment horizontal="center"/>
    </xf>
    <xf numFmtId="0" fontId="29" fillId="0" borderId="0" xfId="0" applyFont="1" applyFill="1"/>
    <xf numFmtId="166" fontId="28" fillId="0" borderId="0" xfId="1" applyNumberFormat="1" applyFont="1" applyFill="1"/>
    <xf numFmtId="165" fontId="24" fillId="0" borderId="23" xfId="2" applyNumberFormat="1" applyFont="1" applyFill="1" applyBorder="1"/>
    <xf numFmtId="165" fontId="4" fillId="3" borderId="4" xfId="2" applyNumberFormat="1" applyFont="1" applyFill="1" applyBorder="1" applyAlignment="1"/>
    <xf numFmtId="165" fontId="4" fillId="3" borderId="4" xfId="2" applyNumberFormat="1" applyFont="1" applyFill="1" applyBorder="1"/>
    <xf numFmtId="10" fontId="4" fillId="11" borderId="0" xfId="3" applyNumberFormat="1" applyFont="1" applyFill="1" applyBorder="1"/>
    <xf numFmtId="10" fontId="4" fillId="11" borderId="14" xfId="3" applyNumberFormat="1" applyFont="1" applyFill="1" applyBorder="1"/>
    <xf numFmtId="166" fontId="4" fillId="5" borderId="0" xfId="5" applyNumberFormat="1" applyFill="1"/>
    <xf numFmtId="9" fontId="35" fillId="9" borderId="0" xfId="3" applyFont="1" applyFill="1" applyBorder="1"/>
    <xf numFmtId="9" fontId="36" fillId="9" borderId="0" xfId="3" applyFont="1" applyFill="1" applyBorder="1"/>
    <xf numFmtId="0" fontId="0" fillId="16" borderId="4" xfId="0" applyFont="1" applyFill="1" applyBorder="1" applyAlignment="1">
      <alignment horizontal="left"/>
    </xf>
    <xf numFmtId="164" fontId="0" fillId="16" borderId="4" xfId="3" applyNumberFormat="1" applyFont="1" applyFill="1" applyBorder="1"/>
    <xf numFmtId="9" fontId="37" fillId="9" borderId="0" xfId="3" applyFont="1" applyFill="1" applyBorder="1"/>
    <xf numFmtId="165" fontId="4" fillId="0" borderId="4" xfId="2" applyNumberFormat="1" applyFont="1" applyFill="1" applyBorder="1"/>
    <xf numFmtId="166" fontId="5" fillId="0" borderId="4" xfId="1" applyNumberFormat="1" applyFont="1" applyFill="1" applyBorder="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4" fillId="0" borderId="34" xfId="5" applyBorder="1" applyAlignment="1">
      <alignment horizontal="left"/>
    </xf>
    <xf numFmtId="0" fontId="4" fillId="0" borderId="32" xfId="5" applyBorder="1" applyAlignment="1">
      <alignment horizontal="left"/>
    </xf>
    <xf numFmtId="0" fontId="5" fillId="0" borderId="1" xfId="8" applyFont="1" applyBorder="1" applyAlignment="1">
      <alignment horizontal="left"/>
    </xf>
    <xf numFmtId="0" fontId="5" fillId="0" borderId="2" xfId="8" applyFont="1" applyBorder="1" applyAlignment="1">
      <alignment horizontal="left"/>
    </xf>
    <xf numFmtId="166" fontId="5" fillId="2" borderId="1" xfId="5" applyNumberFormat="1"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2" borderId="1" xfId="5" applyFont="1" applyFill="1" applyBorder="1" applyAlignment="1">
      <alignment horizontal="center"/>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166" fontId="5" fillId="3" borderId="4" xfId="1" applyNumberFormat="1" applyFont="1" applyFill="1" applyBorder="1" applyAlignment="1">
      <alignment horizontal="center" wrapText="1"/>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2" fillId="5" borderId="0" xfId="5" applyFont="1" applyFill="1" applyAlignment="1">
      <alignment horizontal="center" vertical="top"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xf numFmtId="164" fontId="2" fillId="0" borderId="15" xfId="3" applyNumberFormat="1" applyFont="1" applyBorder="1" applyAlignment="1">
      <alignment horizontal="center" vertical="center" wrapText="1"/>
    </xf>
    <xf numFmtId="165" fontId="0" fillId="0" borderId="4" xfId="0" applyNumberFormat="1" applyFill="1" applyBorder="1"/>
    <xf numFmtId="0" fontId="5" fillId="0" borderId="1" xfId="5" applyFont="1" applyFill="1" applyBorder="1" applyAlignment="1">
      <alignment horizontal="center" wrapText="1"/>
    </xf>
    <xf numFmtId="0" fontId="5" fillId="0" borderId="3" xfId="5" applyFont="1" applyFill="1" applyBorder="1" applyAlignment="1">
      <alignment horizontal="center" wrapText="1"/>
    </xf>
    <xf numFmtId="166" fontId="20" fillId="0" borderId="4" xfId="1" applyNumberFormat="1" applyFont="1" applyFill="1" applyBorder="1"/>
    <xf numFmtId="0" fontId="37" fillId="0" borderId="0" xfId="5" applyFont="1" applyFill="1" applyBorder="1" applyAlignment="1">
      <alignment wrapText="1"/>
    </xf>
    <xf numFmtId="0" fontId="37" fillId="0" borderId="0" xfId="5" applyFont="1" applyFill="1"/>
    <xf numFmtId="165" fontId="37" fillId="0" borderId="0" xfId="2" applyNumberFormat="1" applyFont="1" applyFill="1" applyBorder="1" applyAlignment="1"/>
    <xf numFmtId="165" fontId="37" fillId="0" borderId="0" xfId="2" applyNumberFormat="1" applyFont="1" applyFill="1" applyBorder="1"/>
    <xf numFmtId="9" fontId="4" fillId="0" borderId="0" xfId="3" applyFont="1" applyFill="1" applyBorder="1"/>
    <xf numFmtId="44" fontId="38" fillId="0" borderId="0" xfId="2" applyFont="1" applyFill="1" applyBorder="1" applyAlignment="1">
      <alignment horizontal="center" wrapText="1"/>
    </xf>
    <xf numFmtId="44" fontId="4" fillId="0" borderId="0" xfId="2" applyFont="1" applyFill="1" applyBorder="1"/>
    <xf numFmtId="44" fontId="38" fillId="0" borderId="0" xfId="2" applyFont="1" applyFill="1" applyBorder="1" applyAlignment="1">
      <alignment vertical="top"/>
    </xf>
    <xf numFmtId="9" fontId="37" fillId="0" borderId="0" xfId="3" applyFont="1" applyFill="1" applyBorder="1"/>
    <xf numFmtId="9" fontId="36" fillId="0" borderId="0" xfId="3" applyFont="1" applyFill="1" applyBorder="1"/>
    <xf numFmtId="0" fontId="5" fillId="0" borderId="1" xfId="5" applyFont="1" applyFill="1" applyBorder="1" applyAlignment="1">
      <alignment horizontal="center" vertical="center" wrapText="1"/>
    </xf>
    <xf numFmtId="0" fontId="5" fillId="0" borderId="3" xfId="5" applyFont="1" applyFill="1" applyBorder="1" applyAlignment="1">
      <alignment horizontal="center" vertical="center" wrapText="1"/>
    </xf>
    <xf numFmtId="0" fontId="5" fillId="0" borderId="4" xfId="5" applyFont="1" applyFill="1" applyBorder="1" applyAlignment="1">
      <alignment horizontal="center" vertical="center" wrapText="1"/>
    </xf>
    <xf numFmtId="9" fontId="0" fillId="0" borderId="0" xfId="3" applyFont="1" applyFill="1" applyBorder="1"/>
    <xf numFmtId="0" fontId="0" fillId="0" borderId="15"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166" fontId="0" fillId="0" borderId="0" xfId="1" applyNumberFormat="1" applyFont="1" applyFill="1"/>
    <xf numFmtId="10" fontId="0" fillId="0" borderId="0" xfId="3" applyNumberFormat="1" applyFont="1" applyFill="1"/>
  </cellXfs>
  <cellStyles count="9">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Normal 2 2" xfId="8" xr:uid="{A8155CDA-6B8A-4C17-BE65-E5EB055003A9}"/>
    <cellStyle name="Percent" xfId="3" builtinId="5"/>
  </cellStyles>
  <dxfs count="0"/>
  <tableStyles count="0" defaultTableStyle="TableStyleMedium2" defaultPivotStyle="PivotStyleLight16"/>
  <colors>
    <mruColors>
      <color rgb="FF0000FF"/>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21" Type="http://schemas.openxmlformats.org/officeDocument/2006/relationships/externalLink" Target="externalLinks/externalLink1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customXml" Target="../customXml/item2.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583321</xdr:colOff>
      <xdr:row>37</xdr:row>
      <xdr:rowOff>21899</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8184271" y="4898699"/>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7</xdr:col>
      <xdr:colOff>76200</xdr:colOff>
      <xdr:row>48</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lpha5\FINSER\ACCOUNTING\BUDGET\FY23\SH\Expenses\Copy%20of%20FY23%20Expense%20(non%20wages)%20Input%2007062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lpha5\FINSER\ACCOUNTING\BUDGET\FY23\SH\FTES\Copy%20of%20FY23%20SH%20FTE%20BUDG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 AET Listing by Dept"/>
      <sheetName val="Mgr Expense Budget Instructions"/>
      <sheetName val="Summary"/>
      <sheetName val="Notes &amp; Questions"/>
      <sheetName val="Gross Revenue"/>
      <sheetName val="Gross Revenue Pre Rev Chg"/>
      <sheetName val="ACO"/>
      <sheetName val="MSSA Revenue"/>
      <sheetName val="Travelers"/>
      <sheetName val="Wages"/>
      <sheetName val="Locums"/>
      <sheetName val="Other Exp"/>
      <sheetName val="Other Rev"/>
      <sheetName val="Pharmacy"/>
      <sheetName val="Other Exp Detail (2)"/>
      <sheetName val="Other Exp Detail"/>
      <sheetName val="MAY TB"/>
      <sheetName val="Ded From Rev"/>
      <sheetName val="TB Mike 062822"/>
      <sheetName val="TB Mike 062922"/>
      <sheetName val="Ded From Rev 0630 (2)"/>
      <sheetName val="Ded From Rev 0630"/>
      <sheetName val="Fy22 AnnualizedAdj"/>
      <sheetName val="Inflation Pivot"/>
      <sheetName val="Inflation"/>
      <sheetName val="TB Master"/>
      <sheetName val="GMCB Salaries per FTE"/>
      <sheetName val="Income Stmt Compare Summary"/>
      <sheetName val="Income Statement"/>
      <sheetName val="Balance Sheet"/>
      <sheetName val="Income Statement Clean"/>
      <sheetName val="Income Stmt Pre Gross Rev Adj"/>
      <sheetName val="Dept Bud Sum"/>
      <sheetName val="Dept Color Code"/>
      <sheetName val="004"/>
      <sheetName val="008"/>
      <sheetName val="009"/>
      <sheetName val="010"/>
      <sheetName val="011"/>
      <sheetName val="013"/>
      <sheetName val="014"/>
      <sheetName val="015"/>
      <sheetName val="017"/>
      <sheetName val="018"/>
      <sheetName val="019"/>
      <sheetName val="020"/>
      <sheetName val="021"/>
      <sheetName val="022"/>
      <sheetName val="023"/>
      <sheetName val="024"/>
      <sheetName val="025"/>
      <sheetName val="026"/>
      <sheetName val="027"/>
      <sheetName val="028"/>
      <sheetName val="029"/>
      <sheetName val="031"/>
      <sheetName val="032"/>
      <sheetName val="033"/>
      <sheetName val="035"/>
      <sheetName val="036"/>
      <sheetName val="037"/>
      <sheetName val="039"/>
      <sheetName val="040"/>
      <sheetName val="041"/>
      <sheetName val="042"/>
      <sheetName val="043"/>
      <sheetName val="044"/>
      <sheetName val="045"/>
      <sheetName val="046"/>
      <sheetName val="047"/>
      <sheetName val="048"/>
      <sheetName val="049"/>
      <sheetName val="050"/>
      <sheetName val="052"/>
      <sheetName val="053"/>
      <sheetName val="054"/>
      <sheetName val="055"/>
      <sheetName val="056"/>
      <sheetName val="057"/>
      <sheetName val="058"/>
      <sheetName val="060"/>
      <sheetName val="061"/>
      <sheetName val="062"/>
      <sheetName val="063"/>
      <sheetName val="064"/>
      <sheetName val="065"/>
      <sheetName val="066"/>
      <sheetName val="067"/>
      <sheetName val="068"/>
      <sheetName val="069"/>
      <sheetName val="071"/>
      <sheetName val="072"/>
      <sheetName val="073"/>
      <sheetName val="075"/>
      <sheetName val="076"/>
      <sheetName val="080"/>
      <sheetName val="081"/>
      <sheetName val="082"/>
      <sheetName val="083"/>
      <sheetName val="084"/>
      <sheetName val="085"/>
      <sheetName val="086"/>
      <sheetName val="087"/>
      <sheetName val="088"/>
      <sheetName val="089"/>
      <sheetName val="090"/>
      <sheetName val="091"/>
      <sheetName val="092"/>
      <sheetName val="093"/>
      <sheetName val="094"/>
      <sheetName val="096"/>
      <sheetName val="097"/>
      <sheetName val="098"/>
      <sheetName val="Pivot Table by Dep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4">
          <cell r="D4">
            <v>77705.512499999953</v>
          </cell>
        </row>
        <row r="6">
          <cell r="D6">
            <v>102893.83499999996</v>
          </cell>
        </row>
        <row r="8">
          <cell r="D8">
            <v>80015.870000000112</v>
          </cell>
        </row>
        <row r="9">
          <cell r="D9">
            <v>504480.99404999893</v>
          </cell>
        </row>
        <row r="158">
          <cell r="G158">
            <v>29499.139999999992</v>
          </cell>
        </row>
      </sheetData>
      <sheetData sheetId="24"/>
      <sheetData sheetId="25"/>
      <sheetData sheetId="26"/>
      <sheetData sheetId="27">
        <row r="9">
          <cell r="I9">
            <v>9.971855131213761E-2</v>
          </cell>
        </row>
      </sheetData>
      <sheetData sheetId="28">
        <row r="24">
          <cell r="W24">
            <v>1182306.5557291284</v>
          </cell>
        </row>
        <row r="37">
          <cell r="G37">
            <v>57327249.185714275</v>
          </cell>
          <cell r="H37">
            <v>55043929.297434561</v>
          </cell>
          <cell r="U37">
            <v>59887227.505730182</v>
          </cell>
        </row>
      </sheetData>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E Budget Instructions"/>
      <sheetName val="Manager - AET Listing by Dept"/>
      <sheetName val="Employee Dept Detail"/>
      <sheetName val="FTE Budget Input"/>
      <sheetName val="Notes"/>
      <sheetName val="FTE Detail"/>
      <sheetName val="Lookup"/>
      <sheetName val="FY22 FTEs by Emp"/>
      <sheetName val="FTE Comparison PIVOT"/>
      <sheetName val="FTE Comparisons"/>
      <sheetName val="Questions"/>
      <sheetName val="Traveler Detail"/>
      <sheetName val="Traveler Budget "/>
      <sheetName val="Traveler Budget DONT USE"/>
      <sheetName val="VHS Calc"/>
      <sheetName val="Comparison"/>
      <sheetName val="FY23 FTE BUDGET GL"/>
      <sheetName val="Extra Pay"/>
      <sheetName val="Sheet2"/>
      <sheetName val="Market Adj"/>
      <sheetName val="FY23 FTE BUDGET Master"/>
      <sheetName val="AVG RATES INCL MKT"/>
      <sheetName val="AVG Rates OLD"/>
      <sheetName val="Market Adj Summary FY22"/>
      <sheetName val="Sheet3"/>
      <sheetName val="Sheet1"/>
      <sheetName val="NEW FTES"/>
      <sheetName val="Analytics-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1">
          <cell r="F21">
            <v>323000</v>
          </cell>
        </row>
        <row r="22">
          <cell r="F22">
            <v>267000</v>
          </cell>
        </row>
      </sheetData>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3"/>
  <sheetViews>
    <sheetView workbookViewId="0">
      <selection activeCell="C23" sqref="C23"/>
    </sheetView>
  </sheetViews>
  <sheetFormatPr defaultRowHeight="14.5" x14ac:dyDescent="0.35"/>
  <cols>
    <col min="1" max="1" width="16.26953125" customWidth="1"/>
    <col min="2" max="2" width="66.7265625" style="26" customWidth="1"/>
    <col min="3" max="3" width="17.453125" customWidth="1"/>
  </cols>
  <sheetData>
    <row r="1" spans="1:3" ht="18.5" x14ac:dyDescent="0.45">
      <c r="A1" s="277" t="s">
        <v>214</v>
      </c>
      <c r="B1" s="277"/>
    </row>
    <row r="2" spans="1:3" x14ac:dyDescent="0.35">
      <c r="A2" s="278" t="s">
        <v>0</v>
      </c>
      <c r="B2" s="278"/>
    </row>
    <row r="3" spans="1:3" ht="166.9" customHeight="1" x14ac:dyDescent="0.35">
      <c r="A3" s="276" t="s">
        <v>1</v>
      </c>
      <c r="B3" s="276"/>
    </row>
    <row r="4" spans="1:3" x14ac:dyDescent="0.35">
      <c r="B4" s="41"/>
    </row>
    <row r="5" spans="1:3" ht="15.5" x14ac:dyDescent="0.35">
      <c r="A5" s="99" t="s">
        <v>2</v>
      </c>
      <c r="B5" s="25" t="s">
        <v>3</v>
      </c>
      <c r="C5" s="40"/>
    </row>
    <row r="6" spans="1:3" ht="15.5" x14ac:dyDescent="0.35">
      <c r="A6" s="99" t="s">
        <v>2</v>
      </c>
      <c r="B6" s="40" t="s">
        <v>4</v>
      </c>
      <c r="C6" s="40"/>
    </row>
    <row r="7" spans="1:3" ht="15.5" x14ac:dyDescent="0.35">
      <c r="A7" s="98" t="s">
        <v>5</v>
      </c>
      <c r="B7" s="40" t="s">
        <v>6</v>
      </c>
      <c r="C7" s="40"/>
    </row>
    <row r="8" spans="1:3" ht="15.5" x14ac:dyDescent="0.35">
      <c r="A8" s="99" t="s">
        <v>2</v>
      </c>
      <c r="B8" s="25" t="s">
        <v>7</v>
      </c>
      <c r="C8" s="40"/>
    </row>
    <row r="9" spans="1:3" ht="15.5" x14ac:dyDescent="0.35">
      <c r="A9" s="99" t="s">
        <v>2</v>
      </c>
      <c r="B9" s="25" t="s">
        <v>208</v>
      </c>
      <c r="C9" s="40"/>
    </row>
    <row r="10" spans="1:3" ht="15.5" x14ac:dyDescent="0.35">
      <c r="A10" s="99" t="s">
        <v>2</v>
      </c>
      <c r="B10" s="167" t="s">
        <v>209</v>
      </c>
      <c r="C10" s="40"/>
    </row>
    <row r="11" spans="1:3" x14ac:dyDescent="0.35">
      <c r="C11" s="27"/>
    </row>
    <row r="12" spans="1:3" x14ac:dyDescent="0.35">
      <c r="C12" s="27"/>
    </row>
    <row r="13" spans="1:3" x14ac:dyDescent="0.35">
      <c r="C13" s="27"/>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rgb="FFFF0000"/>
  </sheetPr>
  <dimension ref="A2:W107"/>
  <sheetViews>
    <sheetView showGridLines="0" tabSelected="1" topLeftCell="B1" zoomScale="90" zoomScaleNormal="90" zoomScaleSheetLayoutView="80" workbookViewId="0">
      <selection activeCell="B8" sqref="B8"/>
    </sheetView>
  </sheetViews>
  <sheetFormatPr defaultRowHeight="14.5" x14ac:dyDescent="0.35"/>
  <cols>
    <col min="1" max="1" width="4.453125" customWidth="1"/>
    <col min="2" max="2" width="58.1796875" customWidth="1"/>
    <col min="3" max="5" width="16.453125" customWidth="1"/>
    <col min="6" max="7" width="18.26953125" customWidth="1"/>
    <col min="8" max="8" width="19.7265625" customWidth="1"/>
    <col min="9" max="9" width="16.453125" customWidth="1"/>
    <col min="10" max="10" width="25.26953125" customWidth="1"/>
    <col min="11" max="11" width="19.7265625" customWidth="1"/>
    <col min="12" max="12" width="16.453125" customWidth="1"/>
    <col min="13" max="13" width="15.1796875" customWidth="1"/>
    <col min="14" max="14" width="24.54296875" customWidth="1"/>
    <col min="16" max="16" width="36" customWidth="1"/>
    <col min="22" max="22" width="15.26953125" bestFit="1" customWidth="1"/>
    <col min="23" max="23" width="10.26953125" bestFit="1" customWidth="1"/>
  </cols>
  <sheetData>
    <row r="2" spans="1:15" x14ac:dyDescent="0.35">
      <c r="B2" s="280" t="s">
        <v>8</v>
      </c>
      <c r="C2" s="280"/>
      <c r="D2" s="280"/>
      <c r="E2" s="280"/>
      <c r="F2" s="280"/>
      <c r="G2" s="280"/>
      <c r="H2" s="280"/>
      <c r="I2" s="280"/>
      <c r="J2" s="280"/>
      <c r="K2" s="280"/>
      <c r="L2" s="280"/>
      <c r="M2" s="280"/>
      <c r="N2" s="280"/>
      <c r="O2" s="280"/>
    </row>
    <row r="3" spans="1:15" ht="21" x14ac:dyDescent="0.5">
      <c r="B3" s="281" t="s">
        <v>9</v>
      </c>
      <c r="C3" s="282"/>
      <c r="D3" s="282"/>
      <c r="E3" s="282"/>
      <c r="F3" s="282"/>
      <c r="G3" s="282"/>
      <c r="H3" s="282"/>
      <c r="I3" s="282"/>
      <c r="J3" s="282"/>
      <c r="K3" s="282"/>
      <c r="L3" s="282"/>
      <c r="M3" s="282"/>
      <c r="N3" s="282"/>
      <c r="O3" s="283"/>
    </row>
    <row r="4" spans="1:15" ht="21" x14ac:dyDescent="0.5">
      <c r="B4" s="287" t="s">
        <v>10</v>
      </c>
      <c r="C4" s="288"/>
      <c r="D4" s="288"/>
      <c r="E4" s="288"/>
      <c r="F4" s="288"/>
      <c r="G4" s="288"/>
      <c r="H4" s="288"/>
      <c r="I4" s="288"/>
      <c r="J4" s="288"/>
      <c r="K4" s="288"/>
      <c r="L4" s="288"/>
      <c r="M4" s="288"/>
      <c r="N4" s="288"/>
      <c r="O4" s="289"/>
    </row>
    <row r="6" spans="1:15" ht="18.5" x14ac:dyDescent="0.45">
      <c r="B6" s="284" t="s">
        <v>11</v>
      </c>
      <c r="C6" s="285"/>
      <c r="D6" s="285"/>
      <c r="E6" s="285"/>
      <c r="F6" s="285"/>
      <c r="G6" s="285"/>
      <c r="H6" s="285"/>
      <c r="I6" s="285"/>
      <c r="J6" s="285"/>
      <c r="K6" s="285"/>
      <c r="L6" s="285"/>
      <c r="M6" s="285"/>
      <c r="N6" s="285"/>
      <c r="O6" s="286"/>
    </row>
    <row r="7" spans="1:15" s="50" customFormat="1" ht="18.5" x14ac:dyDescent="0.45">
      <c r="B7" s="49"/>
      <c r="C7" s="49"/>
      <c r="D7" s="49"/>
      <c r="E7" s="49"/>
      <c r="F7" s="49"/>
      <c r="G7" s="49"/>
      <c r="H7" s="49"/>
      <c r="I7" s="49"/>
      <c r="J7" s="49"/>
      <c r="K7" s="49"/>
      <c r="L7" s="49"/>
      <c r="M7" s="49"/>
      <c r="N7" s="49"/>
      <c r="O7" s="49"/>
    </row>
    <row r="8" spans="1:15" ht="29.25" customHeight="1" x14ac:dyDescent="0.45">
      <c r="B8" s="85" t="s">
        <v>152</v>
      </c>
      <c r="C8" s="4"/>
    </row>
    <row r="9" spans="1:15" ht="23.25" customHeight="1" x14ac:dyDescent="0.45">
      <c r="B9" s="261"/>
      <c r="C9" s="262"/>
      <c r="D9" s="262"/>
      <c r="E9" s="262"/>
      <c r="F9" s="262"/>
      <c r="G9" s="262"/>
      <c r="H9" s="75"/>
      <c r="I9" s="75"/>
      <c r="K9" s="27"/>
    </row>
    <row r="10" spans="1:15" s="91" customFormat="1" x14ac:dyDescent="0.35">
      <c r="B10" s="90" t="s">
        <v>12</v>
      </c>
      <c r="C10" s="90" t="s">
        <v>13</v>
      </c>
      <c r="D10" s="90" t="s">
        <v>268</v>
      </c>
      <c r="E10" s="90" t="s">
        <v>15</v>
      </c>
      <c r="F10" s="90" t="s">
        <v>269</v>
      </c>
      <c r="G10" s="90" t="s">
        <v>17</v>
      </c>
      <c r="H10" s="90" t="s">
        <v>18</v>
      </c>
      <c r="I10" s="205"/>
      <c r="J10" s="92"/>
    </row>
    <row r="11" spans="1:15" x14ac:dyDescent="0.35">
      <c r="B11" s="5" t="s">
        <v>153</v>
      </c>
      <c r="C11" s="80">
        <f>SUM(D11:H11)</f>
        <v>54689912</v>
      </c>
      <c r="D11" s="206">
        <v>22746547</v>
      </c>
      <c r="E11" s="206">
        <v>6127683</v>
      </c>
      <c r="F11" s="206">
        <v>24702279</v>
      </c>
      <c r="G11" s="206">
        <v>289519</v>
      </c>
      <c r="H11" s="206">
        <v>823884</v>
      </c>
      <c r="I11" s="205"/>
      <c r="J11" s="92"/>
      <c r="K11" s="91"/>
    </row>
    <row r="12" spans="1:15" ht="14.5" customHeight="1" x14ac:dyDescent="0.35">
      <c r="A12" s="290"/>
      <c r="B12" s="8" t="s">
        <v>19</v>
      </c>
      <c r="C12" s="80">
        <f>SUM(D12:G12)</f>
        <v>2847925</v>
      </c>
      <c r="D12" s="178">
        <f>485667-D19</f>
        <v>352822</v>
      </c>
      <c r="E12" s="178">
        <f>145640-E19</f>
        <v>145523</v>
      </c>
      <c r="F12" s="84">
        <f>1557490-F19</f>
        <v>1583239</v>
      </c>
      <c r="G12" s="84">
        <f>26985-G19</f>
        <v>766341</v>
      </c>
      <c r="H12" s="84"/>
      <c r="I12" s="356">
        <f>+F12/F11</f>
        <v>6.4092831272774473E-2</v>
      </c>
      <c r="J12" s="92"/>
      <c r="K12" s="91"/>
      <c r="L12" s="21"/>
      <c r="M12" s="22"/>
    </row>
    <row r="13" spans="1:15" x14ac:dyDescent="0.35">
      <c r="A13" s="290"/>
      <c r="B13" s="8" t="s">
        <v>20</v>
      </c>
      <c r="C13" s="80">
        <f>SUM(D13:H13)</f>
        <v>-73884</v>
      </c>
      <c r="D13" s="178"/>
      <c r="E13" s="178"/>
      <c r="F13" s="84"/>
      <c r="G13" s="84"/>
      <c r="H13" s="84">
        <v>-73884</v>
      </c>
      <c r="I13" s="205"/>
      <c r="J13" s="92"/>
      <c r="K13" s="91"/>
      <c r="L13" s="21"/>
      <c r="M13" s="22"/>
    </row>
    <row r="14" spans="1:15" x14ac:dyDescent="0.35">
      <c r="A14" s="290"/>
      <c r="B14" s="8" t="s">
        <v>21</v>
      </c>
      <c r="C14" s="80">
        <f>SUM(D14:H14)</f>
        <v>1946829</v>
      </c>
      <c r="D14" s="178">
        <f>28131926-23232214</f>
        <v>4899712</v>
      </c>
      <c r="E14" s="178">
        <f>5226258-6273323</f>
        <v>-1047065</v>
      </c>
      <c r="F14" s="178">
        <f>24370896-26259769</f>
        <v>-1888873</v>
      </c>
      <c r="G14" s="178">
        <f>299559-316504</f>
        <v>-16945</v>
      </c>
      <c r="H14" s="84"/>
      <c r="I14" s="205"/>
      <c r="J14" s="92"/>
      <c r="K14" s="91"/>
      <c r="L14" s="21"/>
      <c r="M14" s="22"/>
    </row>
    <row r="15" spans="1:15" x14ac:dyDescent="0.35">
      <c r="A15" s="290"/>
      <c r="B15" s="8" t="s">
        <v>22</v>
      </c>
      <c r="C15" s="80">
        <f t="shared" ref="C15:C18" si="0">SUM(D15:H15)</f>
        <v>0</v>
      </c>
      <c r="D15" s="178"/>
      <c r="E15" s="178"/>
      <c r="F15" s="84"/>
      <c r="G15" s="84"/>
      <c r="H15" s="84"/>
      <c r="I15" s="205"/>
      <c r="J15" s="92"/>
      <c r="K15" s="91"/>
      <c r="L15" s="21"/>
      <c r="M15" s="22"/>
    </row>
    <row r="16" spans="1:15" x14ac:dyDescent="0.35">
      <c r="A16" s="290"/>
      <c r="B16" s="10" t="s">
        <v>23</v>
      </c>
      <c r="C16" s="80">
        <f t="shared" si="0"/>
        <v>0</v>
      </c>
      <c r="D16" s="178"/>
      <c r="E16" s="178"/>
      <c r="F16" s="207"/>
      <c r="G16" s="207"/>
      <c r="H16" s="207"/>
      <c r="I16" s="205"/>
      <c r="J16" s="92"/>
      <c r="K16" s="91"/>
      <c r="L16" s="21"/>
      <c r="M16" s="22"/>
    </row>
    <row r="17" spans="1:23" x14ac:dyDescent="0.35">
      <c r="A17" s="290"/>
      <c r="B17" s="10" t="s">
        <v>24</v>
      </c>
      <c r="C17" s="80">
        <f t="shared" si="0"/>
        <v>0</v>
      </c>
      <c r="D17" s="178"/>
      <c r="E17" s="178"/>
      <c r="F17" s="84"/>
      <c r="G17" s="84"/>
      <c r="H17" s="84"/>
      <c r="I17" s="205"/>
      <c r="J17" s="92"/>
      <c r="K17" s="91"/>
      <c r="L17" s="21"/>
      <c r="M17" s="22"/>
    </row>
    <row r="18" spans="1:23" x14ac:dyDescent="0.35">
      <c r="A18" s="290"/>
      <c r="B18" s="10" t="s">
        <v>25</v>
      </c>
      <c r="C18" s="80">
        <f t="shared" si="0"/>
        <v>0</v>
      </c>
      <c r="D18" s="178"/>
      <c r="E18" s="178"/>
      <c r="F18" s="84"/>
      <c r="G18" s="84"/>
      <c r="H18" s="84"/>
      <c r="I18" s="205"/>
      <c r="J18" s="92"/>
      <c r="K18" s="91"/>
      <c r="L18" s="21"/>
      <c r="M18" s="22"/>
    </row>
    <row r="19" spans="1:23" x14ac:dyDescent="0.35">
      <c r="A19" s="290"/>
      <c r="B19" s="182" t="s">
        <v>26</v>
      </c>
      <c r="C19" s="80">
        <f>SUM(D19:H19)</f>
        <v>-632143</v>
      </c>
      <c r="D19" s="178">
        <v>132845</v>
      </c>
      <c r="E19" s="178">
        <v>117</v>
      </c>
      <c r="F19" s="84">
        <v>-25749</v>
      </c>
      <c r="G19" s="84">
        <v>-739356</v>
      </c>
      <c r="H19" s="84"/>
      <c r="I19" s="205"/>
      <c r="J19" s="92"/>
      <c r="K19" s="91"/>
      <c r="L19" s="21"/>
      <c r="M19" s="22"/>
    </row>
    <row r="20" spans="1:23" x14ac:dyDescent="0.35">
      <c r="B20" s="79" t="s">
        <v>27</v>
      </c>
      <c r="C20" s="80">
        <f>SUM(D20:H20)</f>
        <v>0</v>
      </c>
      <c r="D20" s="178"/>
      <c r="E20" s="178"/>
      <c r="F20" s="207"/>
      <c r="G20" s="207"/>
      <c r="H20" s="207"/>
      <c r="I20" s="205"/>
      <c r="J20" s="92"/>
      <c r="K20" s="91"/>
      <c r="O20" s="21"/>
      <c r="P20" s="22"/>
    </row>
    <row r="21" spans="1:23" x14ac:dyDescent="0.35">
      <c r="B21" s="79" t="s">
        <v>27</v>
      </c>
      <c r="C21" s="80">
        <f>SUM(D21:H21)</f>
        <v>0</v>
      </c>
      <c r="D21" s="178"/>
      <c r="E21" s="178"/>
      <c r="F21" s="207"/>
      <c r="G21" s="207"/>
      <c r="H21" s="207"/>
      <c r="I21" s="205"/>
      <c r="J21" s="92"/>
      <c r="K21" s="91"/>
      <c r="O21" s="21"/>
      <c r="P21" s="22"/>
    </row>
    <row r="22" spans="1:23" x14ac:dyDescent="0.35">
      <c r="B22" s="11" t="s">
        <v>154</v>
      </c>
      <c r="C22" s="6">
        <f t="shared" ref="C22:H22" si="1">SUM(C11:C21)</f>
        <v>58778639</v>
      </c>
      <c r="D22" s="6">
        <f t="shared" si="1"/>
        <v>28131926</v>
      </c>
      <c r="E22" s="47">
        <f t="shared" si="1"/>
        <v>5226258</v>
      </c>
      <c r="F22" s="47">
        <f t="shared" si="1"/>
        <v>24370896</v>
      </c>
      <c r="G22" s="47">
        <f t="shared" si="1"/>
        <v>299559</v>
      </c>
      <c r="H22" s="47">
        <f t="shared" si="1"/>
        <v>750000</v>
      </c>
      <c r="I22" s="205"/>
      <c r="J22" s="92"/>
      <c r="K22" s="91"/>
      <c r="O22" s="21"/>
      <c r="P22" s="22"/>
    </row>
    <row r="23" spans="1:23" x14ac:dyDescent="0.35">
      <c r="C23" s="14"/>
      <c r="D23" s="15"/>
      <c r="I23" s="205"/>
      <c r="J23" s="92"/>
      <c r="K23" s="91"/>
      <c r="O23" s="21"/>
      <c r="P23" s="22"/>
    </row>
    <row r="24" spans="1:23" x14ac:dyDescent="0.35">
      <c r="B24" s="208" t="s">
        <v>155</v>
      </c>
      <c r="C24" s="19">
        <f t="shared" ref="C24:H24" si="2">+C22-C11</f>
        <v>4088727</v>
      </c>
      <c r="D24" s="19">
        <f t="shared" si="2"/>
        <v>5385379</v>
      </c>
      <c r="E24" s="19">
        <f t="shared" si="2"/>
        <v>-901425</v>
      </c>
      <c r="F24" s="357">
        <f t="shared" si="2"/>
        <v>-331383</v>
      </c>
      <c r="G24" s="19">
        <f t="shared" si="2"/>
        <v>10040</v>
      </c>
      <c r="H24" s="19">
        <f t="shared" si="2"/>
        <v>-73884</v>
      </c>
      <c r="I24" s="205"/>
      <c r="J24" s="92"/>
      <c r="K24" s="91"/>
      <c r="O24" s="21"/>
      <c r="P24" s="22"/>
    </row>
    <row r="25" spans="1:23" x14ac:dyDescent="0.35">
      <c r="B25" s="209" t="s">
        <v>156</v>
      </c>
      <c r="C25" s="220">
        <f t="shared" ref="C25:H25" si="3">(C24)/C11</f>
        <v>7.4761996325757488E-2</v>
      </c>
      <c r="D25" s="220">
        <f t="shared" si="3"/>
        <v>0.23675589090511187</v>
      </c>
      <c r="E25" s="220">
        <f t="shared" si="3"/>
        <v>-0.1471069897055706</v>
      </c>
      <c r="F25" s="220">
        <f t="shared" si="3"/>
        <v>-1.341507801770031E-2</v>
      </c>
      <c r="G25" s="220">
        <f t="shared" si="3"/>
        <v>3.4678207647857305E-2</v>
      </c>
      <c r="H25" s="220">
        <f t="shared" si="3"/>
        <v>-8.9677673070480801E-2</v>
      </c>
      <c r="I25" s="205"/>
      <c r="J25" s="92"/>
      <c r="K25" s="91"/>
      <c r="O25" s="21"/>
      <c r="P25" s="22"/>
    </row>
    <row r="26" spans="1:23" s="149" customFormat="1" x14ac:dyDescent="0.35">
      <c r="B26" s="374" t="s">
        <v>270</v>
      </c>
      <c r="C26" s="374"/>
      <c r="D26" s="374"/>
      <c r="E26" s="374"/>
      <c r="F26" s="374"/>
      <c r="G26" s="374"/>
      <c r="H26" s="374"/>
      <c r="I26" s="375"/>
      <c r="J26" s="376"/>
      <c r="K26" s="377"/>
      <c r="O26" s="378"/>
      <c r="P26" s="379"/>
    </row>
    <row r="27" spans="1:23" ht="28.15" customHeight="1" x14ac:dyDescent="0.45">
      <c r="B27" s="85" t="s">
        <v>157</v>
      </c>
      <c r="C27" s="4"/>
      <c r="D27" s="53"/>
      <c r="E27" s="15"/>
      <c r="K27" s="91"/>
      <c r="V27" s="21"/>
      <c r="W27" s="22"/>
    </row>
    <row r="28" spans="1:23" ht="18.5" x14ac:dyDescent="0.45">
      <c r="B28" s="85"/>
      <c r="C28" s="4"/>
      <c r="D28" s="15"/>
      <c r="E28" s="15"/>
      <c r="V28" s="21"/>
      <c r="W28" s="22"/>
    </row>
    <row r="29" spans="1:23" s="78" customFormat="1" x14ac:dyDescent="0.35">
      <c r="B29" s="87" t="s">
        <v>28</v>
      </c>
      <c r="C29" s="87" t="s">
        <v>29</v>
      </c>
      <c r="D29" s="87" t="s">
        <v>30</v>
      </c>
      <c r="E29" s="146"/>
      <c r="F29" s="147"/>
      <c r="G29" s="147"/>
      <c r="H29" s="147"/>
      <c r="V29" s="88"/>
      <c r="W29" s="89"/>
    </row>
    <row r="30" spans="1:23" x14ac:dyDescent="0.35">
      <c r="B30" s="5" t="s">
        <v>153</v>
      </c>
      <c r="C30" s="80">
        <f>'[20]Income Statement'!$H$37</f>
        <v>55043929.297434561</v>
      </c>
      <c r="D30" s="7"/>
      <c r="E30" s="160"/>
      <c r="F30" s="160"/>
      <c r="G30" s="149"/>
      <c r="H30" s="149"/>
      <c r="V30" s="21"/>
      <c r="W30" s="22"/>
    </row>
    <row r="31" spans="1:23" x14ac:dyDescent="0.35">
      <c r="B31" s="8" t="s">
        <v>31</v>
      </c>
      <c r="C31" s="84">
        <v>640000</v>
      </c>
      <c r="D31" s="9">
        <f>+C31/C$30</f>
        <v>1.1627076921447694E-2</v>
      </c>
      <c r="E31" s="148"/>
      <c r="F31" s="76"/>
      <c r="G31" s="149"/>
      <c r="H31" s="149"/>
      <c r="V31" s="21"/>
    </row>
    <row r="32" spans="1:23" x14ac:dyDescent="0.35">
      <c r="B32" s="145" t="s">
        <v>176</v>
      </c>
      <c r="C32" s="141">
        <v>1094480.9940499989</v>
      </c>
      <c r="D32" s="9">
        <f t="shared" ref="D32:D46" si="4">+C32/C$30</f>
        <v>1.9883772979502928E-2</v>
      </c>
      <c r="E32" s="150"/>
      <c r="F32" s="76"/>
      <c r="G32" s="149"/>
      <c r="H32" s="149"/>
      <c r="V32" s="21"/>
    </row>
    <row r="33" spans="2:22" x14ac:dyDescent="0.35">
      <c r="B33" s="145" t="s">
        <v>226</v>
      </c>
      <c r="C33" s="141">
        <v>-1094480.9940499989</v>
      </c>
      <c r="D33" s="9">
        <f t="shared" si="4"/>
        <v>-1.9883772979502928E-2</v>
      </c>
      <c r="E33" s="150"/>
      <c r="F33" s="76"/>
      <c r="G33" s="149"/>
      <c r="H33" s="149"/>
      <c r="V33" s="21"/>
    </row>
    <row r="34" spans="2:22" x14ac:dyDescent="0.35">
      <c r="B34" s="10" t="s">
        <v>227</v>
      </c>
      <c r="C34" s="178">
        <v>542306.55572912842</v>
      </c>
      <c r="D34" s="9">
        <f t="shared" si="4"/>
        <v>9.8522500601061526E-3</v>
      </c>
      <c r="E34" s="179"/>
      <c r="F34" s="181">
        <f>SUM(F32:F33)</f>
        <v>0</v>
      </c>
      <c r="G34" s="181">
        <f>SUM(G32:G33)</f>
        <v>0</v>
      </c>
      <c r="H34" s="149"/>
      <c r="V34" s="21"/>
    </row>
    <row r="35" spans="2:22" x14ac:dyDescent="0.35">
      <c r="B35" s="182" t="s">
        <v>228</v>
      </c>
      <c r="C35" s="178">
        <v>412930.2379999999</v>
      </c>
      <c r="D35" s="9">
        <f t="shared" si="4"/>
        <v>7.50183068815266E-3</v>
      </c>
      <c r="E35" s="179" t="s">
        <v>255</v>
      </c>
      <c r="F35" s="148"/>
      <c r="G35" s="149"/>
      <c r="H35" s="149"/>
      <c r="V35" s="21"/>
    </row>
    <row r="36" spans="2:22" x14ac:dyDescent="0.35">
      <c r="B36" s="10" t="s">
        <v>33</v>
      </c>
      <c r="C36" s="84">
        <v>-243078.18078140169</v>
      </c>
      <c r="D36" s="9">
        <f t="shared" si="4"/>
        <v>-4.4160761029233223E-3</v>
      </c>
      <c r="E36" s="148"/>
      <c r="F36" s="148"/>
      <c r="G36" s="149"/>
      <c r="H36" s="149"/>
      <c r="V36" s="21"/>
    </row>
    <row r="37" spans="2:22" x14ac:dyDescent="0.35">
      <c r="B37" s="10" t="s">
        <v>34</v>
      </c>
      <c r="C37" s="84">
        <v>1572704.7999999998</v>
      </c>
      <c r="D37" s="9">
        <f t="shared" si="4"/>
        <v>2.8571812006765642E-2</v>
      </c>
      <c r="E37" s="148"/>
      <c r="F37" s="180"/>
      <c r="G37" s="149"/>
      <c r="H37" s="149"/>
      <c r="V37" s="21"/>
    </row>
    <row r="38" spans="2:22" x14ac:dyDescent="0.35">
      <c r="B38" s="182" t="s">
        <v>229</v>
      </c>
      <c r="C38" s="84">
        <v>338699.99999999936</v>
      </c>
      <c r="D38" s="9">
        <f t="shared" si="4"/>
        <v>6.1532671145223851E-3</v>
      </c>
      <c r="E38" s="179" t="s">
        <v>256</v>
      </c>
      <c r="F38" s="148"/>
      <c r="G38" s="149"/>
      <c r="H38" s="149"/>
      <c r="V38" s="21"/>
    </row>
    <row r="39" spans="2:22" x14ac:dyDescent="0.35">
      <c r="B39" s="10" t="s">
        <v>35</v>
      </c>
      <c r="C39" s="84">
        <v>7124.0124999997206</v>
      </c>
      <c r="D39" s="9">
        <f t="shared" si="4"/>
        <v>1.2942412707320569E-4</v>
      </c>
      <c r="E39" s="148"/>
      <c r="F39" s="148"/>
      <c r="G39" s="149"/>
      <c r="H39" s="149"/>
    </row>
    <row r="40" spans="2:22" x14ac:dyDescent="0.35">
      <c r="B40" s="10" t="s">
        <v>36</v>
      </c>
      <c r="C40" s="84">
        <v>694718.34873246308</v>
      </c>
      <c r="D40" s="9">
        <f t="shared" si="4"/>
        <v>1.2621161999146051E-2</v>
      </c>
      <c r="E40" s="148"/>
      <c r="F40" s="148"/>
      <c r="G40" s="149"/>
      <c r="H40" s="149"/>
    </row>
    <row r="41" spans="2:22" x14ac:dyDescent="0.35">
      <c r="B41" s="10" t="s">
        <v>37</v>
      </c>
      <c r="C41" s="84"/>
      <c r="D41" s="9">
        <f>+C41/C$30</f>
        <v>0</v>
      </c>
      <c r="E41" s="148"/>
      <c r="F41" s="148"/>
      <c r="G41" s="149"/>
      <c r="H41" s="149"/>
    </row>
    <row r="42" spans="2:22" x14ac:dyDescent="0.35">
      <c r="B42" s="79" t="s">
        <v>179</v>
      </c>
      <c r="C42" s="84">
        <v>243122.66134153702</v>
      </c>
      <c r="D42" s="9">
        <f>+C42/C$30</f>
        <v>4.416884194945514E-3</v>
      </c>
      <c r="E42" s="148"/>
      <c r="F42" s="148"/>
      <c r="G42" s="149"/>
      <c r="H42" s="149"/>
    </row>
    <row r="43" spans="2:22" x14ac:dyDescent="0.35">
      <c r="B43" s="79" t="s">
        <v>180</v>
      </c>
      <c r="C43" s="84"/>
      <c r="D43" s="9">
        <f t="shared" ref="D43:D44" si="5">+C43/C$30</f>
        <v>0</v>
      </c>
      <c r="E43" s="148"/>
      <c r="F43" s="148"/>
      <c r="G43" s="149"/>
      <c r="H43" s="149"/>
    </row>
    <row r="44" spans="2:22" x14ac:dyDescent="0.35">
      <c r="B44" s="79" t="s">
        <v>181</v>
      </c>
      <c r="C44" s="178">
        <v>74283</v>
      </c>
      <c r="D44" s="9">
        <f t="shared" si="5"/>
        <v>1.3495221171185923E-3</v>
      </c>
      <c r="E44" s="148"/>
      <c r="F44" s="148"/>
      <c r="G44" s="149"/>
      <c r="H44" s="149"/>
    </row>
    <row r="45" spans="2:22" x14ac:dyDescent="0.35">
      <c r="B45" s="79" t="s">
        <v>182</v>
      </c>
      <c r="C45" s="84">
        <v>496609.3751455968</v>
      </c>
      <c r="D45" s="9">
        <f t="shared" si="4"/>
        <v>9.0220553198905144E-3</v>
      </c>
      <c r="E45" s="179"/>
      <c r="F45" s="148"/>
      <c r="G45" s="149"/>
      <c r="H45" s="149"/>
    </row>
    <row r="46" spans="2:22" x14ac:dyDescent="0.35">
      <c r="B46" s="79" t="s">
        <v>38</v>
      </c>
      <c r="C46" s="178">
        <v>63877</v>
      </c>
      <c r="D46" s="9">
        <f t="shared" si="4"/>
        <v>1.1604731132989288E-3</v>
      </c>
      <c r="E46" s="148"/>
      <c r="F46" s="148"/>
      <c r="G46" s="149"/>
      <c r="H46" s="149"/>
    </row>
    <row r="47" spans="2:22" x14ac:dyDescent="0.35">
      <c r="B47" s="11" t="s">
        <v>154</v>
      </c>
      <c r="C47" s="12">
        <f>SUM(C30:C46)</f>
        <v>59887227.108101889</v>
      </c>
      <c r="D47" s="13">
        <f>SUM(D31:D46)</f>
        <v>8.7989681559544036E-2</v>
      </c>
      <c r="E47" s="148"/>
      <c r="F47" s="148"/>
      <c r="G47" s="149"/>
      <c r="H47" s="149"/>
    </row>
    <row r="48" spans="2:22" x14ac:dyDescent="0.35">
      <c r="B48" s="76"/>
      <c r="C48" s="77"/>
      <c r="D48" s="70"/>
      <c r="E48" s="148"/>
      <c r="F48" s="148"/>
    </row>
    <row r="49" spans="1:23" x14ac:dyDescent="0.35">
      <c r="B49" s="28" t="s">
        <v>155</v>
      </c>
      <c r="C49" s="57">
        <f>+C47-C30</f>
        <v>4843297.8106673285</v>
      </c>
      <c r="D49" s="70"/>
      <c r="E49" s="70"/>
    </row>
    <row r="50" spans="1:23" x14ac:dyDescent="0.35">
      <c r="B50" s="48" t="s">
        <v>156</v>
      </c>
      <c r="C50" s="220">
        <f>(C49)/C30</f>
        <v>8.7989681559544133E-2</v>
      </c>
      <c r="D50" s="70"/>
      <c r="E50" s="70"/>
    </row>
    <row r="51" spans="1:23" x14ac:dyDescent="0.35">
      <c r="B51" s="101"/>
      <c r="C51" s="53"/>
      <c r="D51" s="53"/>
      <c r="E51" s="53"/>
      <c r="F51" s="53"/>
      <c r="G51" s="53"/>
      <c r="H51" s="53"/>
      <c r="O51" s="21"/>
      <c r="P51" s="22"/>
    </row>
    <row r="53" spans="1:23" ht="18.5" x14ac:dyDescent="0.45">
      <c r="B53" s="284" t="s">
        <v>39</v>
      </c>
      <c r="C53" s="285"/>
      <c r="D53" s="285"/>
      <c r="E53" s="285"/>
      <c r="F53" s="285"/>
      <c r="G53" s="285"/>
      <c r="H53" s="285"/>
      <c r="I53" s="285"/>
      <c r="J53" s="285"/>
      <c r="K53" s="285"/>
      <c r="L53" s="285"/>
      <c r="M53" s="285"/>
      <c r="N53" s="285"/>
      <c r="O53" s="286"/>
      <c r="V53" s="21"/>
      <c r="W53" s="22"/>
    </row>
    <row r="54" spans="1:23" x14ac:dyDescent="0.35">
      <c r="B54" s="17"/>
    </row>
    <row r="55" spans="1:23" ht="18.5" x14ac:dyDescent="0.45">
      <c r="B55" s="85" t="s">
        <v>158</v>
      </c>
      <c r="C55" s="4"/>
    </row>
    <row r="56" spans="1:23" ht="18.5" x14ac:dyDescent="0.45">
      <c r="B56" s="85"/>
      <c r="C56" s="4"/>
      <c r="D56" s="4"/>
      <c r="E56" s="4"/>
      <c r="F56" s="4"/>
      <c r="G56" s="4"/>
      <c r="H56" s="4"/>
    </row>
    <row r="57" spans="1:23" ht="18.5" x14ac:dyDescent="0.45">
      <c r="B57" s="85" t="s">
        <v>40</v>
      </c>
      <c r="C57" s="222"/>
      <c r="D57" s="222"/>
      <c r="E57" s="222"/>
      <c r="F57" s="222"/>
      <c r="G57" s="222"/>
      <c r="H57" s="222"/>
    </row>
    <row r="58" spans="1:23" s="78" customFormat="1" x14ac:dyDescent="0.35">
      <c r="B58" s="86" t="s">
        <v>12</v>
      </c>
      <c r="C58" s="86" t="s">
        <v>13</v>
      </c>
      <c r="D58" s="86" t="s">
        <v>14</v>
      </c>
      <c r="E58" s="86" t="s">
        <v>15</v>
      </c>
      <c r="F58" s="86" t="s">
        <v>16</v>
      </c>
      <c r="G58" s="86" t="s">
        <v>17</v>
      </c>
      <c r="H58" s="86" t="s">
        <v>18</v>
      </c>
    </row>
    <row r="59" spans="1:23" x14ac:dyDescent="0.35">
      <c r="B59" s="5" t="s">
        <v>159</v>
      </c>
      <c r="C59" s="206">
        <f>SUM(D59:H59)</f>
        <v>51720947</v>
      </c>
      <c r="D59" s="206">
        <v>22185263</v>
      </c>
      <c r="E59" s="206">
        <v>3742548</v>
      </c>
      <c r="F59" s="206">
        <v>24765533</v>
      </c>
      <c r="G59" s="206">
        <v>272289</v>
      </c>
      <c r="H59" s="206">
        <v>755314</v>
      </c>
    </row>
    <row r="60" spans="1:23" x14ac:dyDescent="0.35">
      <c r="A60" s="279"/>
      <c r="B60" s="8" t="s">
        <v>19</v>
      </c>
      <c r="C60" s="206">
        <f>SUM(D60:H60)</f>
        <v>2718957</v>
      </c>
      <c r="D60" s="178">
        <f>485667-D67-1</f>
        <v>537482</v>
      </c>
      <c r="E60" s="178">
        <f>145640-E67</f>
        <v>162710</v>
      </c>
      <c r="F60" s="178">
        <f>1557490-F67</f>
        <v>1586721</v>
      </c>
      <c r="G60" s="178">
        <f>26985-G67</f>
        <v>432044</v>
      </c>
      <c r="H60" s="84"/>
      <c r="L60" s="21"/>
      <c r="M60" s="22"/>
    </row>
    <row r="61" spans="1:23" x14ac:dyDescent="0.35">
      <c r="A61" s="279"/>
      <c r="B61" s="8" t="s">
        <v>20</v>
      </c>
      <c r="C61" s="206">
        <f t="shared" ref="C61:C69" si="6">SUM(D61:H61)</f>
        <v>-5314</v>
      </c>
      <c r="D61" s="178"/>
      <c r="E61" s="178"/>
      <c r="F61" s="84"/>
      <c r="G61" s="84"/>
      <c r="H61" s="84">
        <v>-5314</v>
      </c>
      <c r="L61" s="21"/>
      <c r="M61" s="22"/>
    </row>
    <row r="62" spans="1:23" x14ac:dyDescent="0.35">
      <c r="A62" s="279"/>
      <c r="B62" s="8" t="s">
        <v>21</v>
      </c>
      <c r="C62" s="206">
        <f t="shared" si="6"/>
        <v>4847225</v>
      </c>
      <c r="D62" s="178">
        <f>28131926-D59-D60-D67</f>
        <v>5460997</v>
      </c>
      <c r="E62" s="178">
        <f>5226258-E59-E60-E67</f>
        <v>1338070</v>
      </c>
      <c r="F62" s="178">
        <f>24370896-F59-F60-F67</f>
        <v>-1952127</v>
      </c>
      <c r="G62" s="178">
        <f>299559-G59-G60-G67</f>
        <v>285</v>
      </c>
      <c r="H62" s="84"/>
      <c r="L62" s="21"/>
      <c r="M62" s="22"/>
    </row>
    <row r="63" spans="1:23" x14ac:dyDescent="0.35">
      <c r="A63" s="279"/>
      <c r="B63" s="8" t="s">
        <v>22</v>
      </c>
      <c r="C63" s="206">
        <f t="shared" si="6"/>
        <v>0</v>
      </c>
      <c r="D63" s="81"/>
      <c r="E63" s="210"/>
      <c r="F63" s="82"/>
      <c r="G63" s="82"/>
      <c r="H63" s="82"/>
      <c r="L63" s="21"/>
      <c r="M63" s="22"/>
    </row>
    <row r="64" spans="1:23" x14ac:dyDescent="0.35">
      <c r="B64" s="10" t="s">
        <v>23</v>
      </c>
      <c r="C64" s="206">
        <f t="shared" si="6"/>
        <v>0</v>
      </c>
      <c r="D64" s="81"/>
      <c r="E64" s="210"/>
      <c r="F64" s="83"/>
      <c r="G64" s="83"/>
      <c r="H64" s="83"/>
      <c r="L64" s="21"/>
      <c r="M64" s="22"/>
    </row>
    <row r="65" spans="2:23" x14ac:dyDescent="0.35">
      <c r="B65" s="10" t="s">
        <v>24</v>
      </c>
      <c r="C65" s="206">
        <f t="shared" si="6"/>
        <v>0</v>
      </c>
      <c r="D65" s="81"/>
      <c r="E65" s="210"/>
      <c r="F65" s="82"/>
      <c r="G65" s="82"/>
      <c r="H65" s="82"/>
      <c r="L65" s="21"/>
      <c r="M65" s="22"/>
    </row>
    <row r="66" spans="2:23" x14ac:dyDescent="0.35">
      <c r="B66" s="10" t="s">
        <v>25</v>
      </c>
      <c r="C66" s="206">
        <f t="shared" si="6"/>
        <v>0</v>
      </c>
      <c r="D66" s="81"/>
      <c r="E66" s="210"/>
      <c r="F66" s="82"/>
      <c r="G66" s="82"/>
      <c r="H66" s="82"/>
      <c r="L66" s="21"/>
      <c r="M66" s="22"/>
    </row>
    <row r="67" spans="2:23" x14ac:dyDescent="0.35">
      <c r="B67" s="182" t="s">
        <v>26</v>
      </c>
      <c r="C67" s="206">
        <f t="shared" si="6"/>
        <v>-503176</v>
      </c>
      <c r="D67" s="178">
        <v>-51816</v>
      </c>
      <c r="E67" s="178">
        <v>-17070</v>
      </c>
      <c r="F67" s="84">
        <v>-29231</v>
      </c>
      <c r="G67" s="84">
        <v>-405059</v>
      </c>
      <c r="H67" s="84"/>
      <c r="L67" s="21"/>
      <c r="M67" s="22"/>
    </row>
    <row r="68" spans="2:23" x14ac:dyDescent="0.35">
      <c r="B68" s="79" t="s">
        <v>27</v>
      </c>
      <c r="C68" s="206">
        <f t="shared" si="6"/>
        <v>0</v>
      </c>
      <c r="D68" s="81"/>
      <c r="E68" s="210"/>
      <c r="F68" s="83"/>
      <c r="G68" s="83"/>
      <c r="H68" s="83"/>
      <c r="L68" s="21"/>
      <c r="M68" s="22"/>
    </row>
    <row r="69" spans="2:23" x14ac:dyDescent="0.35">
      <c r="B69" s="79" t="s">
        <v>27</v>
      </c>
      <c r="C69" s="206">
        <f t="shared" si="6"/>
        <v>0</v>
      </c>
      <c r="D69" s="81"/>
      <c r="E69" s="210"/>
      <c r="F69" s="83"/>
      <c r="G69" s="83"/>
      <c r="H69" s="83"/>
      <c r="L69" s="21"/>
      <c r="M69" s="22"/>
    </row>
    <row r="70" spans="2:23" x14ac:dyDescent="0.35">
      <c r="B70" s="11" t="s">
        <v>154</v>
      </c>
      <c r="C70" s="6">
        <f t="shared" ref="C70:H70" si="7">SUM(C59:C69)</f>
        <v>58778639</v>
      </c>
      <c r="D70" s="47">
        <f t="shared" si="7"/>
        <v>28131926</v>
      </c>
      <c r="E70" s="47">
        <f t="shared" si="7"/>
        <v>5226258</v>
      </c>
      <c r="F70" s="47">
        <f t="shared" si="7"/>
        <v>24370896</v>
      </c>
      <c r="G70" s="47">
        <f t="shared" si="7"/>
        <v>299559</v>
      </c>
      <c r="H70" s="47">
        <f t="shared" si="7"/>
        <v>750000</v>
      </c>
      <c r="L70" s="21"/>
      <c r="M70" s="22"/>
    </row>
    <row r="71" spans="2:23" x14ac:dyDescent="0.35">
      <c r="L71" s="21"/>
      <c r="M71" s="22"/>
    </row>
    <row r="72" spans="2:23" x14ac:dyDescent="0.35">
      <c r="B72" s="28" t="s">
        <v>162</v>
      </c>
      <c r="C72" s="57">
        <f t="shared" ref="C72:H72" si="8">+C70-C59</f>
        <v>7057692</v>
      </c>
      <c r="D72" s="57">
        <f t="shared" si="8"/>
        <v>5946663</v>
      </c>
      <c r="E72" s="57">
        <f t="shared" si="8"/>
        <v>1483710</v>
      </c>
      <c r="F72" s="57">
        <f t="shared" si="8"/>
        <v>-394637</v>
      </c>
      <c r="G72" s="57">
        <f t="shared" si="8"/>
        <v>27270</v>
      </c>
      <c r="H72" s="57">
        <f t="shared" si="8"/>
        <v>-5314</v>
      </c>
      <c r="L72" s="21"/>
      <c r="M72" s="22"/>
    </row>
    <row r="73" spans="2:23" x14ac:dyDescent="0.35">
      <c r="B73" s="271" t="s">
        <v>161</v>
      </c>
      <c r="C73" s="272">
        <f>C72/C59</f>
        <v>0.13645713022230627</v>
      </c>
      <c r="D73" s="272">
        <f t="shared" ref="D73:H73" si="9">D72/D59</f>
        <v>0.26804563912539597</v>
      </c>
      <c r="E73" s="272">
        <f t="shared" si="9"/>
        <v>0.39644381314548272</v>
      </c>
      <c r="F73" s="272">
        <f t="shared" si="9"/>
        <v>-1.5934928596125914E-2</v>
      </c>
      <c r="G73" s="272">
        <f t="shared" si="9"/>
        <v>0.10015094256470147</v>
      </c>
      <c r="H73" s="272">
        <f t="shared" si="9"/>
        <v>-7.0354845799230521E-3</v>
      </c>
      <c r="L73" s="21"/>
      <c r="M73" s="22"/>
    </row>
    <row r="74" spans="2:23" x14ac:dyDescent="0.35">
      <c r="B74" s="101"/>
      <c r="C74" s="53"/>
      <c r="D74" s="53"/>
      <c r="E74" s="53"/>
      <c r="F74" s="53"/>
      <c r="G74" s="53"/>
      <c r="H74" s="53"/>
      <c r="I74" s="53"/>
      <c r="K74" s="22"/>
      <c r="L74" s="22"/>
      <c r="M74" s="14"/>
      <c r="N74" s="23"/>
      <c r="V74" s="21"/>
      <c r="W74" s="22"/>
    </row>
    <row r="75" spans="2:23" ht="19.899999999999999" customHeight="1" x14ac:dyDescent="0.45">
      <c r="B75" s="85" t="s">
        <v>160</v>
      </c>
      <c r="C75" s="4"/>
      <c r="D75" s="88"/>
      <c r="E75" s="15"/>
      <c r="F75" s="88"/>
      <c r="G75" s="88"/>
      <c r="I75" s="23"/>
      <c r="V75" s="21"/>
      <c r="W75" s="22"/>
    </row>
    <row r="76" spans="2:23" ht="6.5" customHeight="1" x14ac:dyDescent="0.45">
      <c r="B76" s="85"/>
      <c r="C76" s="4"/>
      <c r="D76" s="15"/>
      <c r="E76" s="15"/>
      <c r="V76" s="21"/>
      <c r="W76" s="22"/>
    </row>
    <row r="77" spans="2:23" x14ac:dyDescent="0.35">
      <c r="B77" s="87" t="s">
        <v>28</v>
      </c>
      <c r="C77" s="87" t="s">
        <v>29</v>
      </c>
      <c r="D77" s="87" t="s">
        <v>30</v>
      </c>
      <c r="E77" s="15"/>
      <c r="V77" s="21"/>
      <c r="W77" s="22"/>
    </row>
    <row r="78" spans="2:23" x14ac:dyDescent="0.35">
      <c r="B78" s="5" t="s">
        <v>159</v>
      </c>
      <c r="C78" s="80">
        <f>'[20]Income Statement'!$G$37</f>
        <v>57327249.185714275</v>
      </c>
      <c r="D78" s="7"/>
      <c r="E78" s="15"/>
      <c r="V78" s="21"/>
      <c r="W78" s="22"/>
    </row>
    <row r="79" spans="2:23" x14ac:dyDescent="0.35">
      <c r="B79" s="8" t="s">
        <v>31</v>
      </c>
      <c r="C79" s="178">
        <v>640000</v>
      </c>
      <c r="D79" s="9">
        <f>+C79/C$30</f>
        <v>1.1627076921447694E-2</v>
      </c>
      <c r="E79" s="15"/>
      <c r="V79" s="21"/>
    </row>
    <row r="80" spans="2:23" x14ac:dyDescent="0.35">
      <c r="B80" s="182" t="s">
        <v>32</v>
      </c>
      <c r="C80" s="178">
        <v>936471.35750000004</v>
      </c>
      <c r="D80" s="183">
        <f t="shared" ref="D80:D102" si="10">+C80/C$30</f>
        <v>1.7013163294351631E-2</v>
      </c>
      <c r="E80" s="15"/>
      <c r="V80" s="21"/>
    </row>
    <row r="81" spans="2:22" x14ac:dyDescent="0.35">
      <c r="B81" s="182" t="s">
        <v>226</v>
      </c>
      <c r="C81" s="178">
        <v>-936471.35750000004</v>
      </c>
      <c r="D81" s="183">
        <f t="shared" si="10"/>
        <v>-1.7013163294351631E-2</v>
      </c>
      <c r="E81" s="15"/>
      <c r="V81" s="21"/>
    </row>
    <row r="82" spans="2:22" x14ac:dyDescent="0.35">
      <c r="B82" s="10" t="s">
        <v>227</v>
      </c>
      <c r="C82" s="178">
        <v>1544990.1500148401</v>
      </c>
      <c r="D82" s="9">
        <f t="shared" si="10"/>
        <v>2.8068311432971185E-2</v>
      </c>
      <c r="E82" s="15"/>
      <c r="V82" s="21"/>
    </row>
    <row r="83" spans="2:22" x14ac:dyDescent="0.35">
      <c r="B83" s="182" t="s">
        <v>228</v>
      </c>
      <c r="C83" s="178">
        <v>323173.75800000055</v>
      </c>
      <c r="D83" s="183">
        <f t="shared" si="10"/>
        <v>5.8711970988427013E-3</v>
      </c>
      <c r="E83" s="15"/>
      <c r="V83" s="21"/>
    </row>
    <row r="84" spans="2:22" x14ac:dyDescent="0.35">
      <c r="B84" s="182" t="s">
        <v>33</v>
      </c>
      <c r="C84" s="178">
        <v>480889.48421860021</v>
      </c>
      <c r="D84" s="183">
        <f t="shared" si="10"/>
        <v>8.7364672245702681E-3</v>
      </c>
      <c r="E84" s="15"/>
      <c r="V84" s="21"/>
    </row>
    <row r="85" spans="2:22" x14ac:dyDescent="0.35">
      <c r="B85" s="182" t="s">
        <v>34</v>
      </c>
      <c r="C85" s="178">
        <v>-1154430.0199999996</v>
      </c>
      <c r="D85" s="183">
        <f t="shared" si="10"/>
        <v>-2.0972885379638116E-2</v>
      </c>
      <c r="E85" s="54"/>
      <c r="V85" s="21"/>
    </row>
    <row r="86" spans="2:22" x14ac:dyDescent="0.35">
      <c r="B86" s="182" t="s">
        <v>229</v>
      </c>
      <c r="C86" s="178">
        <v>-473969</v>
      </c>
      <c r="D86" s="183">
        <f t="shared" si="10"/>
        <v>-8.6107406584088157E-3</v>
      </c>
      <c r="E86" s="70"/>
      <c r="V86" s="21"/>
    </row>
    <row r="87" spans="2:22" x14ac:dyDescent="0.35">
      <c r="B87" s="10" t="s">
        <v>35</v>
      </c>
      <c r="C87" s="84">
        <v>-508561.22249999992</v>
      </c>
      <c r="D87" s="9">
        <f t="shared" si="10"/>
        <v>-9.2391882082390239E-3</v>
      </c>
      <c r="E87" s="54"/>
    </row>
    <row r="88" spans="2:22" x14ac:dyDescent="0.35">
      <c r="B88" s="10" t="s">
        <v>36</v>
      </c>
      <c r="C88" s="84">
        <v>271987.41873246292</v>
      </c>
      <c r="D88" s="9">
        <f t="shared" si="10"/>
        <v>4.941279123856797E-3</v>
      </c>
      <c r="E88" s="54"/>
    </row>
    <row r="89" spans="2:22" x14ac:dyDescent="0.35">
      <c r="B89" s="10" t="s">
        <v>37</v>
      </c>
      <c r="C89" s="84"/>
      <c r="D89" s="9">
        <f t="shared" si="10"/>
        <v>0</v>
      </c>
      <c r="E89" s="54"/>
    </row>
    <row r="90" spans="2:22" x14ac:dyDescent="0.35">
      <c r="B90" s="79" t="s">
        <v>179</v>
      </c>
      <c r="C90" s="84">
        <v>311660.36999999965</v>
      </c>
      <c r="D90" s="9">
        <f t="shared" ref="D90:D91" si="11">+C90/C$30</f>
        <v>5.662029836495071E-3</v>
      </c>
      <c r="E90" s="54"/>
    </row>
    <row r="91" spans="2:22" x14ac:dyDescent="0.35">
      <c r="B91" s="79" t="s">
        <v>180</v>
      </c>
      <c r="C91" s="84"/>
      <c r="D91" s="9">
        <f t="shared" si="11"/>
        <v>0</v>
      </c>
      <c r="E91" s="54"/>
    </row>
    <row r="92" spans="2:22" x14ac:dyDescent="0.35">
      <c r="B92" s="79" t="s">
        <v>181</v>
      </c>
      <c r="C92" s="84">
        <v>31239</v>
      </c>
      <c r="D92" s="9">
        <f t="shared" si="10"/>
        <v>5.6752852492047588E-4</v>
      </c>
      <c r="E92" s="54"/>
    </row>
    <row r="93" spans="2:22" x14ac:dyDescent="0.35">
      <c r="B93" s="79" t="s">
        <v>182</v>
      </c>
      <c r="C93" s="84">
        <v>368656.41499999969</v>
      </c>
      <c r="D93" s="9">
        <f t="shared" ref="D93:D101" si="12">+C93/C$30</f>
        <v>6.6974945231095939E-3</v>
      </c>
      <c r="E93" s="54"/>
    </row>
    <row r="94" spans="2:22" x14ac:dyDescent="0.35">
      <c r="B94" s="221" t="s">
        <v>243</v>
      </c>
      <c r="C94" s="178">
        <v>294046</v>
      </c>
      <c r="D94" s="183">
        <f t="shared" si="12"/>
        <v>5.3420241569437634E-3</v>
      </c>
      <c r="E94" s="54"/>
    </row>
    <row r="95" spans="2:22" x14ac:dyDescent="0.35">
      <c r="B95" s="79" t="s">
        <v>248</v>
      </c>
      <c r="C95" s="84">
        <v>121192</v>
      </c>
      <c r="D95" s="9">
        <f t="shared" si="12"/>
        <v>2.2017323535376389E-3</v>
      </c>
      <c r="E95" s="54"/>
    </row>
    <row r="96" spans="2:22" x14ac:dyDescent="0.35">
      <c r="B96" s="79" t="s">
        <v>249</v>
      </c>
      <c r="C96" s="84">
        <v>79249</v>
      </c>
      <c r="D96" s="9">
        <f t="shared" si="12"/>
        <v>1.4397409671059506E-3</v>
      </c>
      <c r="E96" s="54"/>
    </row>
    <row r="97" spans="2:16" x14ac:dyDescent="0.35">
      <c r="B97" s="79" t="s">
        <v>250</v>
      </c>
      <c r="C97" s="84">
        <v>64160</v>
      </c>
      <c r="D97" s="9">
        <f t="shared" si="12"/>
        <v>1.1656144613751314E-3</v>
      </c>
      <c r="E97" s="54"/>
    </row>
    <row r="98" spans="2:16" x14ac:dyDescent="0.35">
      <c r="B98" s="79" t="s">
        <v>251</v>
      </c>
      <c r="C98" s="84">
        <v>50095</v>
      </c>
      <c r="D98" s="9">
        <f t="shared" si="12"/>
        <v>9.100912787186285E-4</v>
      </c>
      <c r="E98" s="54"/>
    </row>
    <row r="99" spans="2:16" x14ac:dyDescent="0.35">
      <c r="B99" s="79" t="s">
        <v>252</v>
      </c>
      <c r="C99" s="84">
        <v>42638</v>
      </c>
      <c r="D99" s="9">
        <f t="shared" si="12"/>
        <v>7.7461766527607318E-4</v>
      </c>
      <c r="E99" s="54"/>
    </row>
    <row r="100" spans="2:16" x14ac:dyDescent="0.35">
      <c r="B100" s="79" t="s">
        <v>254</v>
      </c>
      <c r="C100" s="84">
        <v>32591</v>
      </c>
      <c r="D100" s="9">
        <f t="shared" si="12"/>
        <v>5.9209072491703404E-4</v>
      </c>
      <c r="E100" s="54"/>
    </row>
    <row r="101" spans="2:16" x14ac:dyDescent="0.35">
      <c r="B101" s="79" t="s">
        <v>253</v>
      </c>
      <c r="C101" s="84">
        <v>24718</v>
      </c>
      <c r="D101" s="9">
        <f t="shared" si="12"/>
        <v>4.4905951147553768E-4</v>
      </c>
      <c r="E101" s="54"/>
    </row>
    <row r="102" spans="2:16" x14ac:dyDescent="0.35">
      <c r="B102" s="79" t="s">
        <v>38</v>
      </c>
      <c r="C102" s="84">
        <v>15653</v>
      </c>
      <c r="D102" s="9">
        <f t="shared" si="10"/>
        <v>2.8437286726784496E-4</v>
      </c>
      <c r="E102" s="54"/>
    </row>
    <row r="103" spans="2:16" x14ac:dyDescent="0.35">
      <c r="B103" s="11" t="s">
        <v>154</v>
      </c>
      <c r="C103" s="12">
        <f>SUM(C78:C102)</f>
        <v>59887227.539180174</v>
      </c>
      <c r="D103" s="13">
        <f>SUM(D79:D102)</f>
        <v>4.6507914426545435E-2</v>
      </c>
      <c r="E103" s="177">
        <f>'[20]Income Statement'!$U$37</f>
        <v>59887227.505730182</v>
      </c>
      <c r="F103" s="23">
        <f>E103-C103</f>
        <v>-3.3449992537498474E-2</v>
      </c>
    </row>
    <row r="104" spans="2:16" x14ac:dyDescent="0.35">
      <c r="E104" s="50"/>
    </row>
    <row r="105" spans="2:16" x14ac:dyDescent="0.35">
      <c r="B105" s="28" t="s">
        <v>162</v>
      </c>
      <c r="C105" s="57">
        <f>+C103-C78</f>
        <v>2559978.3534658998</v>
      </c>
      <c r="E105" s="50"/>
    </row>
    <row r="106" spans="2:16" x14ac:dyDescent="0.35">
      <c r="B106" s="48" t="s">
        <v>161</v>
      </c>
      <c r="C106" s="220">
        <f>(C105)/C78</f>
        <v>4.4655524027896951E-2</v>
      </c>
      <c r="E106" s="50"/>
    </row>
    <row r="107" spans="2:16" x14ac:dyDescent="0.35">
      <c r="B107" s="101"/>
      <c r="C107" s="53"/>
      <c r="D107" s="53"/>
      <c r="E107" s="53"/>
      <c r="F107" s="53"/>
      <c r="G107" s="53"/>
      <c r="H107" s="53"/>
      <c r="O107" s="21"/>
      <c r="P107" s="22"/>
    </row>
  </sheetData>
  <mergeCells count="7">
    <mergeCell ref="A60:A63"/>
    <mergeCell ref="B2:O2"/>
    <mergeCell ref="B3:O3"/>
    <mergeCell ref="B6:O6"/>
    <mergeCell ref="B4:O4"/>
    <mergeCell ref="B53:O53"/>
    <mergeCell ref="A12:A19"/>
  </mergeCells>
  <pageMargins left="0.7" right="0.7" top="0.5" bottom="0.5" header="0.3" footer="0.3"/>
  <pageSetup scale="48" fitToHeight="4" orientation="landscape" r:id="rId1"/>
  <headerFooter>
    <oddFooter>&amp;L&amp;D&amp;R&amp;F,&amp;A</oddFooter>
  </headerFooter>
  <rowBreaks count="1" manualBreakCount="1">
    <brk id="52" min="1" max="1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rgb="FFFF0000"/>
    <pageSetUpPr fitToPage="1"/>
  </sheetPr>
  <dimension ref="B2:K87"/>
  <sheetViews>
    <sheetView showGridLines="0" topLeftCell="C1" zoomScaleNormal="100" workbookViewId="0">
      <selection activeCell="E39" sqref="E39:J44"/>
    </sheetView>
  </sheetViews>
  <sheetFormatPr defaultColWidth="8.81640625" defaultRowHeight="14.5" x14ac:dyDescent="0.35"/>
  <cols>
    <col min="1" max="1" width="6.54296875" style="1" customWidth="1"/>
    <col min="2" max="2" width="34.81640625" style="1" customWidth="1"/>
    <col min="3" max="3" width="19.453125" style="1" customWidth="1"/>
    <col min="4" max="7" width="17.7265625" style="1" customWidth="1"/>
    <col min="8" max="8" width="17.7265625" style="55" customWidth="1"/>
    <col min="9" max="11" width="17.7265625" style="1" customWidth="1"/>
    <col min="12" max="16384" width="8.81640625" style="1"/>
  </cols>
  <sheetData>
    <row r="2" spans="2:11" x14ac:dyDescent="0.35">
      <c r="B2" s="280" t="s">
        <v>41</v>
      </c>
      <c r="C2" s="280"/>
      <c r="D2" s="280"/>
      <c r="E2" s="280"/>
      <c r="F2" s="280"/>
      <c r="G2" s="280"/>
      <c r="H2" s="280"/>
      <c r="I2" s="280"/>
    </row>
    <row r="3" spans="2:11" ht="18.5" x14ac:dyDescent="0.45">
      <c r="B3" s="309" t="s">
        <v>9</v>
      </c>
      <c r="C3" s="310"/>
      <c r="D3" s="310"/>
      <c r="E3" s="310"/>
      <c r="F3" s="310"/>
      <c r="G3" s="310"/>
      <c r="H3" s="310"/>
      <c r="I3" s="311"/>
    </row>
    <row r="4" spans="2:11" ht="18.5" x14ac:dyDescent="0.45">
      <c r="B4" s="312" t="s">
        <v>42</v>
      </c>
      <c r="C4" s="313"/>
      <c r="D4" s="313"/>
      <c r="E4" s="313"/>
      <c r="F4" s="313"/>
      <c r="G4" s="313"/>
      <c r="H4" s="313"/>
      <c r="I4" s="314"/>
    </row>
    <row r="5" spans="2:11" ht="34.9" customHeight="1" x14ac:dyDescent="0.35">
      <c r="B5" s="308" t="s">
        <v>43</v>
      </c>
      <c r="C5" s="308"/>
      <c r="D5" s="308"/>
      <c r="E5" s="308"/>
      <c r="F5" s="308"/>
      <c r="G5" s="308"/>
      <c r="H5" s="102"/>
    </row>
    <row r="6" spans="2:11" x14ac:dyDescent="0.35">
      <c r="B6" s="103"/>
      <c r="C6" s="103"/>
      <c r="D6" s="103"/>
      <c r="E6" s="103"/>
      <c r="F6" s="103"/>
      <c r="G6" s="103"/>
      <c r="H6" s="102"/>
    </row>
    <row r="7" spans="2:11" ht="29.5" customHeight="1" x14ac:dyDescent="0.35">
      <c r="B7" s="315" t="s">
        <v>177</v>
      </c>
      <c r="C7" s="316"/>
      <c r="D7" s="316"/>
      <c r="E7" s="316"/>
      <c r="F7" s="317"/>
      <c r="H7" s="1"/>
    </row>
    <row r="8" spans="2:11" x14ac:dyDescent="0.35">
      <c r="B8" s="318" t="s">
        <v>44</v>
      </c>
      <c r="C8" s="319"/>
      <c r="D8" s="319"/>
      <c r="E8" s="319"/>
      <c r="F8" s="320"/>
      <c r="H8" s="1"/>
    </row>
    <row r="9" spans="2:11" ht="42.75" customHeight="1" x14ac:dyDescent="0.35">
      <c r="B9" s="3" t="s">
        <v>45</v>
      </c>
      <c r="C9" s="43" t="s">
        <v>46</v>
      </c>
      <c r="D9" s="43" t="s">
        <v>47</v>
      </c>
      <c r="E9" s="43" t="s">
        <v>163</v>
      </c>
      <c r="F9" s="43" t="s">
        <v>164</v>
      </c>
      <c r="H9" s="1"/>
    </row>
    <row r="10" spans="2:11" x14ac:dyDescent="0.35">
      <c r="B10" s="3"/>
      <c r="C10" s="3"/>
      <c r="D10" s="43"/>
      <c r="E10" s="3"/>
      <c r="F10" s="43"/>
      <c r="H10" s="1"/>
    </row>
    <row r="11" spans="2:11" x14ac:dyDescent="0.35">
      <c r="B11" s="3" t="s">
        <v>48</v>
      </c>
      <c r="C11" s="185">
        <v>1715303</v>
      </c>
      <c r="D11" s="107">
        <v>8.3000000000000004E-2</v>
      </c>
      <c r="E11" s="185">
        <v>2285396.9570500739</v>
      </c>
      <c r="F11" s="107">
        <f>'[20]Income Stmt Compare Summary'!$I$9</f>
        <v>9.971855131213761E-2</v>
      </c>
      <c r="H11" s="1"/>
    </row>
    <row r="12" spans="2:11" x14ac:dyDescent="0.35">
      <c r="B12" s="3" t="s">
        <v>49</v>
      </c>
      <c r="C12" s="185">
        <v>6454644</v>
      </c>
      <c r="D12" s="107">
        <v>8.3000000000000004E-2</v>
      </c>
      <c r="E12" s="185">
        <v>8448863.5476623476</v>
      </c>
      <c r="F12" s="107">
        <f>F11</f>
        <v>9.971855131213761E-2</v>
      </c>
      <c r="H12" s="1"/>
    </row>
    <row r="13" spans="2:11" x14ac:dyDescent="0.35">
      <c r="B13" s="3" t="s">
        <v>50</v>
      </c>
      <c r="C13" s="185">
        <v>1031170</v>
      </c>
      <c r="D13" s="107">
        <v>8.3000000000000004E-2</v>
      </c>
      <c r="E13" s="185">
        <v>1237745.2800086904</v>
      </c>
      <c r="F13" s="107">
        <f>F12</f>
        <v>9.971855131213761E-2</v>
      </c>
      <c r="H13" s="1"/>
    </row>
    <row r="14" spans="2:11" x14ac:dyDescent="0.35">
      <c r="B14" s="3" t="s">
        <v>27</v>
      </c>
      <c r="C14" s="185">
        <v>0</v>
      </c>
      <c r="D14" s="186">
        <v>0</v>
      </c>
      <c r="E14" s="185"/>
      <c r="F14" s="44">
        <v>0</v>
      </c>
      <c r="H14" s="1"/>
      <c r="K14" s="223">
        <f>+E15</f>
        <v>11972005.784721112</v>
      </c>
    </row>
    <row r="15" spans="2:11" ht="29" x14ac:dyDescent="0.35">
      <c r="B15" s="52" t="s">
        <v>51</v>
      </c>
      <c r="C15" s="122">
        <f>SUM(C11:C14)</f>
        <v>9201117</v>
      </c>
      <c r="D15" s="152">
        <v>0</v>
      </c>
      <c r="E15" s="122">
        <f>SUM(E11:E14)</f>
        <v>11972005.784721112</v>
      </c>
      <c r="F15" s="184">
        <f>F13</f>
        <v>9.971855131213761E-2</v>
      </c>
      <c r="H15" s="1"/>
      <c r="K15" s="1">
        <f>+'1. Reconciliation'!C19</f>
        <v>-632143</v>
      </c>
    </row>
    <row r="16" spans="2:11" s="55" customFormat="1" x14ac:dyDescent="0.35">
      <c r="B16" s="104"/>
      <c r="C16" s="56"/>
      <c r="D16" s="56"/>
      <c r="E16" s="56"/>
      <c r="F16" s="56"/>
      <c r="G16" s="56"/>
      <c r="H16" s="56"/>
    </row>
    <row r="17" spans="2:11" s="55" customFormat="1" hidden="1" x14ac:dyDescent="0.35">
      <c r="B17" s="315" t="s">
        <v>187</v>
      </c>
      <c r="C17" s="316"/>
      <c r="D17" s="316"/>
      <c r="E17" s="316"/>
      <c r="F17" s="317"/>
      <c r="G17" s="153"/>
      <c r="H17" s="153"/>
      <c r="I17" s="96"/>
      <c r="J17" s="96"/>
      <c r="K17" s="96"/>
    </row>
    <row r="18" spans="2:11" s="55" customFormat="1" hidden="1" x14ac:dyDescent="0.35">
      <c r="B18" s="318" t="s">
        <v>197</v>
      </c>
      <c r="C18" s="319"/>
      <c r="D18" s="319"/>
      <c r="E18" s="319"/>
      <c r="F18" s="320"/>
      <c r="G18" s="153"/>
      <c r="H18" s="153"/>
      <c r="I18" s="96"/>
      <c r="J18" s="96"/>
      <c r="K18" s="96"/>
    </row>
    <row r="19" spans="2:11" s="55" customFormat="1" hidden="1" x14ac:dyDescent="0.35">
      <c r="B19" s="3" t="s">
        <v>45</v>
      </c>
      <c r="C19" s="43" t="s">
        <v>188</v>
      </c>
      <c r="D19" s="43" t="s">
        <v>189</v>
      </c>
      <c r="E19" s="43" t="s">
        <v>190</v>
      </c>
      <c r="F19" s="43" t="s">
        <v>191</v>
      </c>
      <c r="G19" s="153"/>
      <c r="H19" s="153"/>
      <c r="I19" s="96"/>
      <c r="J19" s="96"/>
      <c r="K19" s="96"/>
    </row>
    <row r="20" spans="2:11" s="55" customFormat="1" hidden="1" x14ac:dyDescent="0.35">
      <c r="B20" s="3"/>
      <c r="C20" s="3"/>
      <c r="D20" s="43"/>
      <c r="E20" s="3"/>
      <c r="F20" s="43"/>
      <c r="G20" s="153"/>
      <c r="H20" s="153"/>
      <c r="I20" s="96"/>
      <c r="J20" s="96"/>
      <c r="K20" s="96"/>
    </row>
    <row r="21" spans="2:11" s="55" customFormat="1" hidden="1" x14ac:dyDescent="0.35">
      <c r="B21" s="3" t="s">
        <v>48</v>
      </c>
      <c r="C21" s="121">
        <v>0</v>
      </c>
      <c r="D21" s="121">
        <v>0</v>
      </c>
      <c r="E21" s="121">
        <v>0</v>
      </c>
      <c r="F21" s="121">
        <v>0</v>
      </c>
      <c r="G21" s="153"/>
      <c r="H21" s="153"/>
      <c r="I21" s="96"/>
      <c r="J21" s="96"/>
      <c r="K21" s="96"/>
    </row>
    <row r="22" spans="2:11" s="55" customFormat="1" hidden="1" x14ac:dyDescent="0.35">
      <c r="B22" s="3" t="s">
        <v>49</v>
      </c>
      <c r="C22" s="121">
        <v>0</v>
      </c>
      <c r="D22" s="121">
        <v>0</v>
      </c>
      <c r="E22" s="121">
        <v>0</v>
      </c>
      <c r="F22" s="121">
        <v>0</v>
      </c>
      <c r="G22" s="153"/>
      <c r="H22" s="153"/>
      <c r="I22" s="96"/>
      <c r="J22" s="96"/>
      <c r="K22" s="96"/>
    </row>
    <row r="23" spans="2:11" s="55" customFormat="1" hidden="1" x14ac:dyDescent="0.35">
      <c r="B23" s="3" t="s">
        <v>50</v>
      </c>
      <c r="C23" s="121">
        <v>0</v>
      </c>
      <c r="D23" s="121">
        <v>0</v>
      </c>
      <c r="E23" s="121">
        <v>0</v>
      </c>
      <c r="F23" s="121">
        <v>0</v>
      </c>
      <c r="G23" s="153"/>
      <c r="H23" s="153"/>
      <c r="I23" s="96"/>
      <c r="J23" s="96"/>
      <c r="K23" s="96"/>
    </row>
    <row r="24" spans="2:11" s="55" customFormat="1" hidden="1" x14ac:dyDescent="0.35">
      <c r="B24" s="3" t="s">
        <v>27</v>
      </c>
      <c r="C24" s="121">
        <v>0</v>
      </c>
      <c r="D24" s="121">
        <v>0</v>
      </c>
      <c r="E24" s="121">
        <v>0</v>
      </c>
      <c r="F24" s="121">
        <v>0</v>
      </c>
      <c r="G24" s="153"/>
      <c r="H24" s="153"/>
      <c r="I24" s="96"/>
      <c r="J24" s="96"/>
      <c r="K24" s="96"/>
    </row>
    <row r="25" spans="2:11" s="55" customFormat="1" ht="29" hidden="1" x14ac:dyDescent="0.35">
      <c r="B25" s="52" t="s">
        <v>51</v>
      </c>
      <c r="C25" s="122">
        <f>SUM(C21:C24)</f>
        <v>0</v>
      </c>
      <c r="D25" s="122">
        <v>0</v>
      </c>
      <c r="E25" s="122">
        <f>SUM(E21:E24)</f>
        <v>0</v>
      </c>
      <c r="F25" s="122">
        <v>0</v>
      </c>
      <c r="G25" s="153"/>
      <c r="H25" s="153"/>
      <c r="I25" s="96"/>
      <c r="J25" s="96"/>
      <c r="K25" s="96"/>
    </row>
    <row r="26" spans="2:11" s="55" customFormat="1" hidden="1" x14ac:dyDescent="0.35">
      <c r="B26" s="104"/>
      <c r="C26" s="56"/>
      <c r="D26" s="56"/>
      <c r="E26" s="56"/>
      <c r="F26" s="56"/>
      <c r="G26" s="153"/>
      <c r="H26" s="153"/>
      <c r="I26" s="96"/>
      <c r="J26" s="96"/>
      <c r="K26" s="96"/>
    </row>
    <row r="27" spans="2:11" s="55" customFormat="1" hidden="1" x14ac:dyDescent="0.35">
      <c r="B27" s="315" t="s">
        <v>192</v>
      </c>
      <c r="C27" s="316"/>
      <c r="D27" s="316"/>
      <c r="E27" s="316"/>
      <c r="F27" s="317"/>
      <c r="G27" s="153"/>
      <c r="H27" s="153"/>
      <c r="I27" s="96"/>
      <c r="J27" s="96"/>
      <c r="K27" s="96"/>
    </row>
    <row r="28" spans="2:11" s="55" customFormat="1" hidden="1" x14ac:dyDescent="0.35">
      <c r="B28" s="318" t="s">
        <v>198</v>
      </c>
      <c r="C28" s="319"/>
      <c r="D28" s="319"/>
      <c r="E28" s="319"/>
      <c r="F28" s="320"/>
      <c r="G28" s="153"/>
      <c r="H28" s="153"/>
      <c r="I28" s="96"/>
      <c r="J28" s="96"/>
      <c r="K28" s="96"/>
    </row>
    <row r="29" spans="2:11" s="55" customFormat="1" hidden="1" x14ac:dyDescent="0.35">
      <c r="B29" s="3" t="s">
        <v>45</v>
      </c>
      <c r="C29" s="43" t="s">
        <v>193</v>
      </c>
      <c r="D29" s="43" t="s">
        <v>194</v>
      </c>
      <c r="E29" s="43" t="s">
        <v>195</v>
      </c>
      <c r="F29" s="43" t="s">
        <v>196</v>
      </c>
      <c r="G29" s="153"/>
      <c r="H29" s="153"/>
      <c r="I29" s="96"/>
      <c r="J29" s="96"/>
      <c r="K29" s="96"/>
    </row>
    <row r="30" spans="2:11" s="55" customFormat="1" hidden="1" x14ac:dyDescent="0.35">
      <c r="B30" s="3"/>
      <c r="C30" s="3"/>
      <c r="D30" s="43"/>
      <c r="E30" s="3"/>
      <c r="F30" s="43"/>
      <c r="G30" s="153"/>
      <c r="H30" s="153"/>
      <c r="I30" s="96"/>
      <c r="J30" s="96"/>
      <c r="K30" s="96"/>
    </row>
    <row r="31" spans="2:11" s="55" customFormat="1" hidden="1" x14ac:dyDescent="0.35">
      <c r="B31" s="3" t="s">
        <v>48</v>
      </c>
      <c r="C31" s="121">
        <v>0</v>
      </c>
      <c r="D31" s="121">
        <v>0</v>
      </c>
      <c r="E31" s="121">
        <v>0</v>
      </c>
      <c r="F31" s="121">
        <v>0</v>
      </c>
      <c r="G31" s="153"/>
      <c r="H31" s="153"/>
      <c r="I31" s="96"/>
      <c r="J31" s="96"/>
      <c r="K31" s="96"/>
    </row>
    <row r="32" spans="2:11" s="55" customFormat="1" hidden="1" x14ac:dyDescent="0.35">
      <c r="B32" s="3" t="s">
        <v>49</v>
      </c>
      <c r="C32" s="121">
        <v>0</v>
      </c>
      <c r="D32" s="121">
        <v>0</v>
      </c>
      <c r="E32" s="121">
        <v>0</v>
      </c>
      <c r="F32" s="121">
        <v>0</v>
      </c>
      <c r="G32" s="153"/>
      <c r="H32" s="153"/>
      <c r="I32" s="96"/>
      <c r="J32" s="96"/>
      <c r="K32" s="96"/>
    </row>
    <row r="33" spans="2:11" s="55" customFormat="1" hidden="1" x14ac:dyDescent="0.35">
      <c r="B33" s="3" t="s">
        <v>50</v>
      </c>
      <c r="C33" s="121">
        <v>0</v>
      </c>
      <c r="D33" s="121">
        <v>0</v>
      </c>
      <c r="E33" s="121">
        <v>0</v>
      </c>
      <c r="F33" s="121">
        <v>0</v>
      </c>
      <c r="G33" s="153"/>
      <c r="H33" s="153"/>
      <c r="I33" s="96"/>
      <c r="J33" s="96"/>
      <c r="K33" s="96"/>
    </row>
    <row r="34" spans="2:11" s="55" customFormat="1" hidden="1" x14ac:dyDescent="0.35">
      <c r="B34" s="3" t="s">
        <v>27</v>
      </c>
      <c r="C34" s="121">
        <v>0</v>
      </c>
      <c r="D34" s="121">
        <v>0</v>
      </c>
      <c r="E34" s="121">
        <v>0</v>
      </c>
      <c r="F34" s="121">
        <v>0</v>
      </c>
      <c r="G34" s="153"/>
      <c r="H34" s="153"/>
      <c r="I34" s="96"/>
      <c r="J34" s="96"/>
      <c r="K34" s="96"/>
    </row>
    <row r="35" spans="2:11" s="55" customFormat="1" ht="29" hidden="1" x14ac:dyDescent="0.35">
      <c r="B35" s="52" t="s">
        <v>51</v>
      </c>
      <c r="C35" s="122">
        <f>SUM(C31:C34)</f>
        <v>0</v>
      </c>
      <c r="D35" s="122">
        <v>0</v>
      </c>
      <c r="E35" s="122">
        <f>SUM(E31:E34)</f>
        <v>0</v>
      </c>
      <c r="F35" s="122">
        <v>0</v>
      </c>
      <c r="G35" s="153"/>
      <c r="H35" s="153"/>
      <c r="I35" s="96"/>
      <c r="J35" s="96"/>
      <c r="K35" s="96"/>
    </row>
    <row r="36" spans="2:11" s="55" customFormat="1" x14ac:dyDescent="0.35">
      <c r="B36" s="104"/>
      <c r="C36" s="56"/>
      <c r="D36" s="56"/>
      <c r="E36" s="56"/>
      <c r="F36" s="56"/>
      <c r="G36" s="56"/>
      <c r="H36" s="56"/>
    </row>
    <row r="37" spans="2:11" ht="45" customHeight="1" x14ac:dyDescent="0.35">
      <c r="B37" s="305" t="s">
        <v>52</v>
      </c>
      <c r="C37" s="306"/>
      <c r="D37" s="306"/>
      <c r="E37" s="306"/>
      <c r="F37" s="306"/>
      <c r="G37" s="306"/>
      <c r="H37" s="306"/>
      <c r="I37" s="306"/>
      <c r="J37" s="307"/>
    </row>
    <row r="38" spans="2:11" x14ac:dyDescent="0.35">
      <c r="B38" s="301" t="s">
        <v>53</v>
      </c>
      <c r="C38" s="296"/>
      <c r="D38" s="296"/>
      <c r="E38" s="296"/>
      <c r="F38" s="296"/>
      <c r="G38" s="296"/>
      <c r="H38" s="296"/>
      <c r="I38" s="296"/>
      <c r="J38" s="297"/>
    </row>
    <row r="39" spans="2:11" ht="42.75" customHeight="1" x14ac:dyDescent="0.35">
      <c r="B39" s="3" t="s">
        <v>45</v>
      </c>
      <c r="C39" s="43" t="s">
        <v>165</v>
      </c>
      <c r="D39" s="43" t="s">
        <v>54</v>
      </c>
      <c r="E39" s="231" t="s">
        <v>166</v>
      </c>
      <c r="F39" s="371" t="s">
        <v>55</v>
      </c>
      <c r="G39" s="372"/>
      <c r="H39" s="373" t="s">
        <v>56</v>
      </c>
      <c r="I39" s="373" t="s">
        <v>57</v>
      </c>
      <c r="J39" s="373" t="s">
        <v>58</v>
      </c>
    </row>
    <row r="40" spans="2:11" x14ac:dyDescent="0.35">
      <c r="B40" s="3"/>
      <c r="C40" s="43"/>
      <c r="D40" s="105"/>
      <c r="E40" s="231"/>
      <c r="F40" s="231" t="s">
        <v>59</v>
      </c>
      <c r="G40" s="231" t="s">
        <v>60</v>
      </c>
      <c r="H40" s="231"/>
      <c r="I40" s="231"/>
      <c r="J40" s="231"/>
    </row>
    <row r="41" spans="2:11" x14ac:dyDescent="0.35">
      <c r="B41" s="3" t="s">
        <v>48</v>
      </c>
      <c r="C41" s="106">
        <v>22381611.87770965</v>
      </c>
      <c r="D41" s="107">
        <f>(E41/C41)-1</f>
        <v>4.1964141252299525E-2</v>
      </c>
      <c r="E41" s="106">
        <f>SUM(F41:J41)</f>
        <v>23320837</v>
      </c>
      <c r="F41" s="106">
        <v>2031346</v>
      </c>
      <c r="G41" s="106">
        <v>0</v>
      </c>
      <c r="H41" s="106">
        <v>485709</v>
      </c>
      <c r="I41" s="106">
        <f>3736161</f>
        <v>3736161</v>
      </c>
      <c r="J41" s="106">
        <v>17067621</v>
      </c>
    </row>
    <row r="42" spans="2:11" x14ac:dyDescent="0.35">
      <c r="B42" s="3" t="s">
        <v>49</v>
      </c>
      <c r="C42" s="106">
        <v>84221445.424313337</v>
      </c>
      <c r="D42" s="107">
        <f t="shared" ref="D42:D45" si="0">(E42/C42)-1</f>
        <v>0.14103657941089653</v>
      </c>
      <c r="E42" s="106">
        <f t="shared" ref="E42:E43" si="1">SUM(F42:J42)</f>
        <v>96099750</v>
      </c>
      <c r="F42" s="106">
        <v>32084692</v>
      </c>
      <c r="G42" s="106">
        <v>0</v>
      </c>
      <c r="H42" s="106">
        <v>2865506</v>
      </c>
      <c r="I42" s="106">
        <v>18816438</v>
      </c>
      <c r="J42" s="106">
        <v>42333114</v>
      </c>
      <c r="K42" s="100"/>
    </row>
    <row r="43" spans="2:11" x14ac:dyDescent="0.35">
      <c r="B43" s="3" t="s">
        <v>50</v>
      </c>
      <c r="C43" s="106">
        <v>13454902.096589975</v>
      </c>
      <c r="D43" s="107">
        <f t="shared" si="0"/>
        <v>1.9225634809025838E-3</v>
      </c>
      <c r="E43" s="106">
        <f t="shared" si="1"/>
        <v>13480770</v>
      </c>
      <c r="F43" s="106">
        <v>6590259</v>
      </c>
      <c r="G43" s="106">
        <v>0</v>
      </c>
      <c r="H43" s="106">
        <v>64118</v>
      </c>
      <c r="I43" s="106">
        <v>361237</v>
      </c>
      <c r="J43" s="106">
        <v>6465156</v>
      </c>
    </row>
    <row r="44" spans="2:11" x14ac:dyDescent="0.35">
      <c r="B44" s="3" t="s">
        <v>27</v>
      </c>
      <c r="C44" s="106"/>
      <c r="D44" s="107"/>
      <c r="E44" s="106">
        <f t="shared" ref="E44" si="2">SUM(F44:J44)</f>
        <v>0</v>
      </c>
      <c r="F44" s="106"/>
      <c r="G44" s="106"/>
      <c r="H44" s="106"/>
      <c r="I44" s="106"/>
      <c r="J44" s="106"/>
    </row>
    <row r="45" spans="2:11" ht="29" x14ac:dyDescent="0.35">
      <c r="B45" s="52" t="s">
        <v>61</v>
      </c>
      <c r="C45" s="108">
        <f>SUM(C41:C44)</f>
        <v>120057959.39861298</v>
      </c>
      <c r="D45" s="109">
        <f t="shared" si="0"/>
        <v>0.10697664416188135</v>
      </c>
      <c r="E45" s="108">
        <f t="shared" ref="E45" si="3">SUM(E41:E44)</f>
        <v>132901357</v>
      </c>
      <c r="F45" s="74">
        <f t="shared" ref="F45:J45" si="4">SUM(F41:F44)</f>
        <v>40706297</v>
      </c>
      <c r="G45" s="74">
        <f t="shared" si="4"/>
        <v>0</v>
      </c>
      <c r="H45" s="74">
        <f t="shared" si="4"/>
        <v>3415333</v>
      </c>
      <c r="I45" s="74">
        <f t="shared" si="4"/>
        <v>22913836</v>
      </c>
      <c r="J45" s="74">
        <f t="shared" si="4"/>
        <v>65865891</v>
      </c>
    </row>
    <row r="46" spans="2:11" s="55" customFormat="1" x14ac:dyDescent="0.35">
      <c r="B46" s="104"/>
      <c r="C46" s="56" t="s">
        <v>62</v>
      </c>
      <c r="D46" s="56"/>
      <c r="E46" s="56" t="s">
        <v>62</v>
      </c>
      <c r="F46" s="112" t="s">
        <v>257</v>
      </c>
      <c r="G46" s="56"/>
      <c r="H46" s="56"/>
    </row>
    <row r="47" spans="2:11" s="55" customFormat="1" x14ac:dyDescent="0.35">
      <c r="B47" s="104"/>
      <c r="C47" s="56"/>
      <c r="D47" s="56"/>
      <c r="E47" s="273">
        <f>SUM(F47:J47)</f>
        <v>1</v>
      </c>
      <c r="F47" s="270">
        <f>+F45/E45</f>
        <v>0.30628955127975105</v>
      </c>
      <c r="G47" s="269"/>
      <c r="H47" s="270">
        <f>+H45/E45</f>
        <v>2.5698255285685308E-2</v>
      </c>
      <c r="I47" s="270">
        <f>+I45/E45</f>
        <v>0.17241235542839492</v>
      </c>
      <c r="J47" s="270">
        <f>J45/E45</f>
        <v>0.49559983800616875</v>
      </c>
    </row>
    <row r="48" spans="2:11" s="55" customFormat="1" ht="23.5" customHeight="1" x14ac:dyDescent="0.35">
      <c r="B48" s="305" t="s">
        <v>178</v>
      </c>
      <c r="C48" s="306"/>
      <c r="D48" s="306"/>
      <c r="E48" s="306"/>
      <c r="F48" s="306"/>
      <c r="G48" s="306"/>
      <c r="H48" s="306"/>
      <c r="I48" s="306"/>
      <c r="J48" s="307"/>
    </row>
    <row r="49" spans="2:11" x14ac:dyDescent="0.35">
      <c r="B49" s="301" t="s">
        <v>63</v>
      </c>
      <c r="C49" s="296"/>
      <c r="D49" s="296"/>
      <c r="E49" s="296"/>
      <c r="F49" s="296"/>
      <c r="G49" s="296"/>
      <c r="H49" s="296"/>
      <c r="I49" s="296"/>
      <c r="J49" s="297"/>
    </row>
    <row r="50" spans="2:11" ht="42.75" customHeight="1" x14ac:dyDescent="0.35">
      <c r="B50" s="230" t="s">
        <v>64</v>
      </c>
      <c r="C50" s="230" t="s">
        <v>66</v>
      </c>
      <c r="D50" s="231" t="s">
        <v>65</v>
      </c>
      <c r="E50" s="231" t="s">
        <v>167</v>
      </c>
      <c r="F50" s="358" t="s">
        <v>67</v>
      </c>
      <c r="G50" s="359"/>
      <c r="H50" s="231" t="s">
        <v>68</v>
      </c>
      <c r="I50" s="231" t="s">
        <v>69</v>
      </c>
      <c r="J50" s="231" t="s">
        <v>70</v>
      </c>
      <c r="K50" s="2"/>
    </row>
    <row r="51" spans="2:11" ht="15.75" customHeight="1" x14ac:dyDescent="0.35">
      <c r="B51" s="3"/>
      <c r="C51" s="3"/>
      <c r="D51" s="3"/>
      <c r="E51" s="231"/>
      <c r="F51" s="231" t="s">
        <v>59</v>
      </c>
      <c r="G51" s="231" t="s">
        <v>60</v>
      </c>
      <c r="H51" s="231"/>
      <c r="I51" s="231"/>
      <c r="J51" s="231"/>
      <c r="K51" s="2"/>
    </row>
    <row r="52" spans="2:11" x14ac:dyDescent="0.35">
      <c r="B52" s="3" t="s">
        <v>48</v>
      </c>
      <c r="C52" s="274">
        <v>13703375</v>
      </c>
      <c r="D52" s="274">
        <f>+E52-C52</f>
        <v>-747774.42568976246</v>
      </c>
      <c r="E52" s="229">
        <f>SUM(F52:J52)</f>
        <v>12955600.574310238</v>
      </c>
      <c r="F52" s="274">
        <v>546080.81054022047</v>
      </c>
      <c r="G52" s="274">
        <v>0</v>
      </c>
      <c r="H52" s="274">
        <v>480436</v>
      </c>
      <c r="I52" s="274">
        <v>1287048.0012284701</v>
      </c>
      <c r="J52" s="274">
        <v>10642035.762541547</v>
      </c>
      <c r="K52" s="2"/>
    </row>
    <row r="53" spans="2:11" x14ac:dyDescent="0.35">
      <c r="B53" s="3" t="s">
        <v>49</v>
      </c>
      <c r="C53" s="170">
        <v>38512104</v>
      </c>
      <c r="D53" s="170">
        <f>+E53-C53</f>
        <v>3193535.5469319597</v>
      </c>
      <c r="E53" s="229">
        <f t="shared" ref="E53:E54" si="5">SUM(F53:J53)</f>
        <v>41705639.54693196</v>
      </c>
      <c r="F53" s="170">
        <v>20077902.082405545</v>
      </c>
      <c r="G53" s="170">
        <v>0</v>
      </c>
      <c r="H53" s="170">
        <v>2565088</v>
      </c>
      <c r="I53" s="170">
        <v>3988156.2947060671</v>
      </c>
      <c r="J53" s="170">
        <v>15074493.169820346</v>
      </c>
      <c r="K53" s="2"/>
    </row>
    <row r="54" spans="2:11" x14ac:dyDescent="0.35">
      <c r="B54" s="3" t="s">
        <v>50</v>
      </c>
      <c r="C54" s="170">
        <v>6152549</v>
      </c>
      <c r="D54" s="170">
        <f>+E54-C54</f>
        <v>1084707.0087578092</v>
      </c>
      <c r="E54" s="229">
        <f t="shared" si="5"/>
        <v>7237256.0087578092</v>
      </c>
      <c r="F54" s="170">
        <v>3983973.1070542331</v>
      </c>
      <c r="G54" s="170">
        <v>0</v>
      </c>
      <c r="H54" s="170">
        <v>369809</v>
      </c>
      <c r="I54" s="170">
        <v>84495.704065463389</v>
      </c>
      <c r="J54" s="170">
        <v>2798978.1976381121</v>
      </c>
      <c r="K54" s="2"/>
    </row>
    <row r="55" spans="2:11" x14ac:dyDescent="0.35">
      <c r="B55" s="3" t="s">
        <v>27</v>
      </c>
      <c r="C55" s="170">
        <v>0</v>
      </c>
      <c r="D55" s="170">
        <v>0</v>
      </c>
      <c r="E55" s="360">
        <v>0</v>
      </c>
      <c r="F55" s="170">
        <v>0</v>
      </c>
      <c r="G55" s="170">
        <v>0</v>
      </c>
      <c r="H55" s="170">
        <v>0</v>
      </c>
      <c r="I55" s="170">
        <v>0</v>
      </c>
      <c r="J55" s="170">
        <v>0</v>
      </c>
      <c r="K55" s="2"/>
    </row>
    <row r="56" spans="2:11" x14ac:dyDescent="0.35">
      <c r="B56" s="3"/>
      <c r="C56" s="170"/>
      <c r="D56" s="170"/>
      <c r="E56" s="213"/>
      <c r="F56" s="170"/>
      <c r="G56" s="170"/>
      <c r="H56" s="170"/>
      <c r="I56" s="170"/>
      <c r="J56" s="170"/>
    </row>
    <row r="57" spans="2:11" x14ac:dyDescent="0.35">
      <c r="B57" s="3" t="s">
        <v>219</v>
      </c>
      <c r="C57" s="275">
        <v>-900000</v>
      </c>
      <c r="D57" s="275">
        <f>+E57-C57</f>
        <v>-33417</v>
      </c>
      <c r="E57" s="170">
        <v>-933417</v>
      </c>
      <c r="F57" s="170">
        <v>-57179</v>
      </c>
      <c r="G57" s="170"/>
      <c r="H57" s="170">
        <v>-751531</v>
      </c>
      <c r="I57" s="170">
        <v>-32186</v>
      </c>
      <c r="J57" s="170">
        <v>-92521</v>
      </c>
    </row>
    <row r="58" spans="2:11" x14ac:dyDescent="0.35">
      <c r="B58" s="3" t="s">
        <v>220</v>
      </c>
      <c r="C58" s="275">
        <v>-3602000</v>
      </c>
      <c r="D58" s="275">
        <f>+E58-C58</f>
        <v>665560</v>
      </c>
      <c r="E58" s="214">
        <v>-2936440</v>
      </c>
      <c r="F58" s="214">
        <v>-179881</v>
      </c>
      <c r="G58" s="214"/>
      <c r="H58" s="214">
        <v>-2364243</v>
      </c>
      <c r="I58" s="214">
        <v>-101256</v>
      </c>
      <c r="J58" s="214">
        <v>-291060</v>
      </c>
    </row>
    <row r="59" spans="2:11" x14ac:dyDescent="0.35">
      <c r="B59" s="3" t="s">
        <v>18</v>
      </c>
      <c r="C59" s="275">
        <v>823884</v>
      </c>
      <c r="D59" s="275">
        <f>+E59-C59</f>
        <v>-73884</v>
      </c>
      <c r="E59" s="214">
        <v>750000</v>
      </c>
      <c r="F59" s="214"/>
      <c r="G59" s="214"/>
      <c r="H59" s="214">
        <v>750000</v>
      </c>
      <c r="I59" s="214"/>
      <c r="J59" s="214"/>
    </row>
    <row r="60" spans="2:11" x14ac:dyDescent="0.35">
      <c r="B60" s="52" t="s">
        <v>71</v>
      </c>
      <c r="C60" s="264">
        <f>SUM(C52:C59)</f>
        <v>54689912</v>
      </c>
      <c r="D60" s="265">
        <f>SUM(D52:D59)</f>
        <v>4088727.1300000064</v>
      </c>
      <c r="E60" s="265">
        <f t="shared" ref="E60:J60" si="6">SUM(E52:E59)</f>
        <v>58778639.130000003</v>
      </c>
      <c r="F60" s="265">
        <f t="shared" si="6"/>
        <v>24370896</v>
      </c>
      <c r="G60" s="265">
        <f t="shared" si="6"/>
        <v>0</v>
      </c>
      <c r="H60" s="265">
        <f t="shared" si="6"/>
        <v>1049559</v>
      </c>
      <c r="I60" s="265">
        <f t="shared" si="6"/>
        <v>5226258.0000000009</v>
      </c>
      <c r="J60" s="265">
        <f t="shared" si="6"/>
        <v>28131926.130000006</v>
      </c>
    </row>
    <row r="61" spans="2:11" x14ac:dyDescent="0.35">
      <c r="B61" s="361" t="s">
        <v>154</v>
      </c>
      <c r="C61" s="96"/>
      <c r="D61" s="362"/>
      <c r="E61" s="363">
        <f>SUM(F61:J61)</f>
        <v>58778639</v>
      </c>
      <c r="F61" s="364">
        <f>'1. Reconciliation'!F70</f>
        <v>24370896</v>
      </c>
      <c r="G61" s="362"/>
      <c r="H61" s="364">
        <f>'1. Reconciliation'!G70+'1. Reconciliation'!H70</f>
        <v>1049559</v>
      </c>
      <c r="I61" s="364">
        <f>'1. Reconciliation'!E70</f>
        <v>5226258</v>
      </c>
      <c r="J61" s="364">
        <f>'1. Reconciliation'!D70</f>
        <v>28131926</v>
      </c>
    </row>
    <row r="62" spans="2:11" s="55" customFormat="1" ht="48.5" x14ac:dyDescent="0.35">
      <c r="B62" s="96"/>
      <c r="C62" s="365"/>
      <c r="D62" s="365"/>
      <c r="E62" s="365"/>
      <c r="F62" s="366" t="s">
        <v>257</v>
      </c>
      <c r="G62" s="367"/>
      <c r="H62" s="368" t="s">
        <v>271</v>
      </c>
      <c r="I62" s="96"/>
      <c r="J62" s="96"/>
      <c r="K62" s="1"/>
    </row>
    <row r="63" spans="2:11" s="55" customFormat="1" x14ac:dyDescent="0.35">
      <c r="B63" s="96"/>
      <c r="C63" s="365"/>
      <c r="D63" s="365"/>
      <c r="E63" s="369">
        <f>SUM(F63:J63)</f>
        <v>1</v>
      </c>
      <c r="F63" s="370">
        <f>F60/E60</f>
        <v>0.41462164420137704</v>
      </c>
      <c r="G63" s="370"/>
      <c r="H63" s="370">
        <f>H60/E60</f>
        <v>1.7856129633738255E-2</v>
      </c>
      <c r="I63" s="370">
        <f>I60/E60</f>
        <v>8.8914239549526652E-2</v>
      </c>
      <c r="J63" s="370">
        <f>J60/E60</f>
        <v>0.47860798661535814</v>
      </c>
      <c r="K63" s="1"/>
    </row>
    <row r="64" spans="2:11" s="55" customFormat="1" x14ac:dyDescent="0.35">
      <c r="B64" s="295"/>
      <c r="C64" s="296"/>
      <c r="D64" s="296"/>
      <c r="E64" s="296"/>
      <c r="F64" s="296"/>
      <c r="G64" s="296"/>
      <c r="H64" s="297"/>
      <c r="I64" s="268"/>
      <c r="J64" s="268"/>
      <c r="K64" s="1"/>
    </row>
    <row r="65" spans="2:11" s="55" customFormat="1" ht="42.65" customHeight="1" x14ac:dyDescent="0.35">
      <c r="B65" s="3" t="s">
        <v>64</v>
      </c>
      <c r="C65" s="3" t="s">
        <v>168</v>
      </c>
      <c r="D65" s="43" t="s">
        <v>65</v>
      </c>
      <c r="E65" s="43" t="s">
        <v>169</v>
      </c>
      <c r="F65" s="143" t="s">
        <v>72</v>
      </c>
      <c r="G65" s="43" t="s">
        <v>73</v>
      </c>
      <c r="H65" s="43" t="s">
        <v>74</v>
      </c>
      <c r="K65" s="1"/>
    </row>
    <row r="66" spans="2:11" s="55" customFormat="1" x14ac:dyDescent="0.35">
      <c r="B66" s="3" t="s">
        <v>48</v>
      </c>
      <c r="C66" s="106">
        <v>0</v>
      </c>
      <c r="D66" s="106">
        <v>0</v>
      </c>
      <c r="E66" s="213">
        <f>SUM(F66:H66)</f>
        <v>0</v>
      </c>
      <c r="F66" s="110">
        <v>0</v>
      </c>
      <c r="G66" s="110">
        <v>0</v>
      </c>
      <c r="H66" s="110">
        <v>0</v>
      </c>
      <c r="K66" s="1"/>
    </row>
    <row r="67" spans="2:11" s="55" customFormat="1" x14ac:dyDescent="0.35">
      <c r="B67" s="3" t="s">
        <v>49</v>
      </c>
      <c r="C67" s="106">
        <v>0</v>
      </c>
      <c r="D67" s="106">
        <v>0</v>
      </c>
      <c r="E67" s="213">
        <f t="shared" ref="E67:E70" si="7">SUM(F67:H67)</f>
        <v>0</v>
      </c>
      <c r="F67" s="110">
        <v>0</v>
      </c>
      <c r="G67" s="110">
        <v>0</v>
      </c>
      <c r="H67" s="110">
        <v>0</v>
      </c>
      <c r="K67" s="1"/>
    </row>
    <row r="68" spans="2:11" s="55" customFormat="1" x14ac:dyDescent="0.35">
      <c r="B68" s="3" t="s">
        <v>50</v>
      </c>
      <c r="C68" s="106">
        <v>0</v>
      </c>
      <c r="D68" s="106">
        <v>0</v>
      </c>
      <c r="E68" s="213">
        <f t="shared" si="7"/>
        <v>0</v>
      </c>
      <c r="F68" s="110">
        <v>0</v>
      </c>
      <c r="G68" s="110">
        <v>0</v>
      </c>
      <c r="H68" s="110">
        <v>0</v>
      </c>
    </row>
    <row r="69" spans="2:11" s="55" customFormat="1" x14ac:dyDescent="0.35">
      <c r="B69" s="3" t="s">
        <v>75</v>
      </c>
      <c r="C69" s="106">
        <v>0</v>
      </c>
      <c r="D69" s="106">
        <v>0</v>
      </c>
      <c r="E69" s="213">
        <f t="shared" si="7"/>
        <v>0</v>
      </c>
      <c r="F69" s="110">
        <v>0</v>
      </c>
      <c r="G69" s="110">
        <v>0</v>
      </c>
      <c r="H69" s="110">
        <v>0</v>
      </c>
    </row>
    <row r="70" spans="2:11" s="55" customFormat="1" x14ac:dyDescent="0.35">
      <c r="B70" s="3" t="s">
        <v>76</v>
      </c>
      <c r="C70" s="106">
        <v>0</v>
      </c>
      <c r="D70" s="106">
        <v>0</v>
      </c>
      <c r="E70" s="213">
        <f t="shared" si="7"/>
        <v>0</v>
      </c>
      <c r="F70" s="110">
        <v>0</v>
      </c>
      <c r="G70" s="110">
        <v>0</v>
      </c>
      <c r="H70" s="110">
        <v>0</v>
      </c>
    </row>
    <row r="71" spans="2:11" s="55" customFormat="1" x14ac:dyDescent="0.35">
      <c r="B71" s="52" t="s">
        <v>77</v>
      </c>
      <c r="C71" s="111">
        <f>SUM(C66:C70)</f>
        <v>0</v>
      </c>
      <c r="D71" s="111">
        <f>SUM(D66:D70)</f>
        <v>0</v>
      </c>
      <c r="E71" s="111">
        <f>SUM(E66:E70)</f>
        <v>0</v>
      </c>
      <c r="F71" s="111">
        <f t="shared" ref="F71:H71" si="8">SUM(F66:F70)</f>
        <v>0</v>
      </c>
      <c r="G71" s="111">
        <f t="shared" si="8"/>
        <v>0</v>
      </c>
      <c r="H71" s="111">
        <f t="shared" si="8"/>
        <v>0</v>
      </c>
    </row>
    <row r="72" spans="2:11" s="55" customFormat="1" x14ac:dyDescent="0.35">
      <c r="C72" s="56"/>
      <c r="D72" s="56"/>
      <c r="E72" s="56"/>
      <c r="F72" s="55" t="s">
        <v>78</v>
      </c>
      <c r="G72" s="112"/>
      <c r="H72" s="112"/>
    </row>
    <row r="73" spans="2:11" s="55" customFormat="1" ht="15" thickBot="1" x14ac:dyDescent="0.4">
      <c r="B73" s="102"/>
      <c r="C73" s="112"/>
      <c r="D73" s="112"/>
      <c r="E73" s="112"/>
      <c r="F73" s="112"/>
      <c r="G73" s="112"/>
      <c r="H73" s="112"/>
    </row>
    <row r="74" spans="2:11" s="55" customFormat="1" ht="29" x14ac:dyDescent="0.35">
      <c r="B74" s="113"/>
      <c r="C74" s="114" t="s">
        <v>215</v>
      </c>
      <c r="D74" s="114" t="s">
        <v>65</v>
      </c>
      <c r="E74" s="114" t="s">
        <v>54</v>
      </c>
      <c r="F74" s="115" t="s">
        <v>170</v>
      </c>
      <c r="G74" s="112"/>
      <c r="H74" s="112"/>
      <c r="I74" s="112"/>
    </row>
    <row r="75" spans="2:11" s="55" customFormat="1" x14ac:dyDescent="0.35">
      <c r="B75" s="124" t="s">
        <v>79</v>
      </c>
      <c r="C75" s="123">
        <f>C60+C71</f>
        <v>54689912</v>
      </c>
      <c r="D75" s="123">
        <f>D60+D71</f>
        <v>4088727.1300000064</v>
      </c>
      <c r="E75" s="266">
        <f>D75/C75</f>
        <v>7.476199870279561E-2</v>
      </c>
      <c r="F75" s="125">
        <f>E60+E71</f>
        <v>58778639.130000003</v>
      </c>
      <c r="G75" s="112"/>
      <c r="H75" s="112"/>
      <c r="I75" s="112"/>
    </row>
    <row r="76" spans="2:11" s="55" customFormat="1" x14ac:dyDescent="0.35">
      <c r="B76" s="124" t="s">
        <v>80</v>
      </c>
      <c r="C76" s="126">
        <f>'1. Reconciliation'!C11</f>
        <v>54689912</v>
      </c>
      <c r="D76" s="126">
        <f>'1. Reconciliation'!C24</f>
        <v>4088727</v>
      </c>
      <c r="E76" s="267">
        <f>'1. Reconciliation'!C25</f>
        <v>7.4761996325757488E-2</v>
      </c>
      <c r="F76" s="127">
        <f>'1. Reconciliation'!C22</f>
        <v>58778639</v>
      </c>
      <c r="G76" s="112"/>
      <c r="H76" s="112"/>
      <c r="I76" s="112"/>
    </row>
    <row r="77" spans="2:11" s="55" customFormat="1" ht="18" customHeight="1" thickBot="1" x14ac:dyDescent="0.4">
      <c r="B77" s="128" t="s">
        <v>81</v>
      </c>
      <c r="C77" s="129">
        <f>C75-C76</f>
        <v>0</v>
      </c>
      <c r="D77" s="129">
        <f t="shared" ref="D77:F77" si="9">D75-D76</f>
        <v>0.13000000640749931</v>
      </c>
      <c r="E77" s="129">
        <f t="shared" si="9"/>
        <v>2.3770381218923831E-9</v>
      </c>
      <c r="F77" s="130">
        <f t="shared" si="9"/>
        <v>0.13000000268220901</v>
      </c>
      <c r="G77" s="112"/>
      <c r="H77" s="112"/>
      <c r="I77" s="112"/>
    </row>
    <row r="78" spans="2:11" s="55" customFormat="1" x14ac:dyDescent="0.35">
      <c r="G78" s="112"/>
      <c r="H78" s="112"/>
      <c r="I78" s="112"/>
      <c r="J78" s="1"/>
    </row>
    <row r="79" spans="2:11" x14ac:dyDescent="0.35">
      <c r="B79" s="116"/>
      <c r="C79" s="117"/>
      <c r="D79" s="118"/>
      <c r="E79" s="119"/>
      <c r="F79" s="119"/>
      <c r="G79" s="119"/>
      <c r="H79" s="120"/>
    </row>
    <row r="80" spans="2:11" x14ac:dyDescent="0.35">
      <c r="B80" s="298" t="s">
        <v>186</v>
      </c>
      <c r="C80" s="299"/>
      <c r="D80" s="299"/>
      <c r="E80" s="299"/>
      <c r="F80" s="299"/>
      <c r="G80" s="300"/>
      <c r="H80" s="224"/>
      <c r="I80" s="96"/>
    </row>
    <row r="81" spans="2:9" x14ac:dyDescent="0.35">
      <c r="B81" s="301" t="s">
        <v>82</v>
      </c>
      <c r="C81" s="296"/>
      <c r="D81" s="296"/>
      <c r="E81" s="296"/>
      <c r="F81" s="296"/>
      <c r="G81" s="297"/>
      <c r="H81" s="225"/>
      <c r="I81" s="96"/>
    </row>
    <row r="82" spans="2:9" x14ac:dyDescent="0.35">
      <c r="B82" s="302" t="s">
        <v>183</v>
      </c>
      <c r="C82" s="303"/>
      <c r="D82" s="303"/>
      <c r="E82" s="303"/>
      <c r="F82" s="304"/>
      <c r="G82" s="151" t="s">
        <v>184</v>
      </c>
      <c r="H82" s="226"/>
      <c r="I82" s="227"/>
    </row>
    <row r="83" spans="2:9" x14ac:dyDescent="0.35">
      <c r="B83" s="293" t="s">
        <v>136</v>
      </c>
      <c r="C83" s="294"/>
      <c r="D83" s="294"/>
      <c r="E83" s="294"/>
      <c r="F83" s="294"/>
      <c r="G83" s="229">
        <v>304469.03846153844</v>
      </c>
      <c r="H83" s="228"/>
      <c r="I83" s="96"/>
    </row>
    <row r="84" spans="2:9" x14ac:dyDescent="0.35">
      <c r="B84" s="293" t="s">
        <v>112</v>
      </c>
      <c r="C84" s="294"/>
      <c r="D84" s="294"/>
      <c r="E84" s="294"/>
      <c r="F84" s="294"/>
      <c r="G84" s="229">
        <v>67850.38461538461</v>
      </c>
      <c r="H84" s="227"/>
      <c r="I84" s="96"/>
    </row>
    <row r="85" spans="2:9" x14ac:dyDescent="0.35">
      <c r="B85" s="293" t="s">
        <v>111</v>
      </c>
      <c r="C85" s="294"/>
      <c r="D85" s="294"/>
      <c r="E85" s="294"/>
      <c r="F85" s="294"/>
      <c r="G85" s="229">
        <v>27985.192307692309</v>
      </c>
      <c r="H85" s="227"/>
      <c r="I85" s="96"/>
    </row>
    <row r="86" spans="2:9" ht="15" thickBot="1" x14ac:dyDescent="0.4">
      <c r="B86" s="291" t="s">
        <v>185</v>
      </c>
      <c r="C86" s="292"/>
      <c r="D86" s="292"/>
      <c r="E86" s="292"/>
      <c r="F86" s="292"/>
      <c r="G86" s="263">
        <f>SUM(G83:G85)</f>
        <v>400304.61538461538</v>
      </c>
      <c r="H86" s="227"/>
      <c r="I86" s="96"/>
    </row>
    <row r="87" spans="2:9" ht="15" thickTop="1" x14ac:dyDescent="0.35"/>
  </sheetData>
  <mergeCells count="24">
    <mergeCell ref="B5:G5"/>
    <mergeCell ref="B2:I2"/>
    <mergeCell ref="B3:I3"/>
    <mergeCell ref="B4:I4"/>
    <mergeCell ref="B37:J37"/>
    <mergeCell ref="B17:F17"/>
    <mergeCell ref="B18:F18"/>
    <mergeCell ref="B27:F27"/>
    <mergeCell ref="B28:F28"/>
    <mergeCell ref="B7:F7"/>
    <mergeCell ref="B8:F8"/>
    <mergeCell ref="F39:G39"/>
    <mergeCell ref="B48:J48"/>
    <mergeCell ref="B38:J38"/>
    <mergeCell ref="B49:J49"/>
    <mergeCell ref="F50:G50"/>
    <mergeCell ref="B86:F86"/>
    <mergeCell ref="B84:F84"/>
    <mergeCell ref="B85:F85"/>
    <mergeCell ref="B64:H64"/>
    <mergeCell ref="B80:G80"/>
    <mergeCell ref="B81:G81"/>
    <mergeCell ref="B82:F82"/>
    <mergeCell ref="B83:F83"/>
  </mergeCells>
  <pageMargins left="0.7" right="0.7" top="0.75" bottom="0.75" header="0.3" footer="0.3"/>
  <pageSetup scale="66" orientation="landscape" r:id="rId1"/>
  <headerFooter>
    <oddFooter>&amp;L&amp;D&amp;R&amp;F,&amp;A,</oddFooter>
  </headerFooter>
  <ignoredErrors>
    <ignoredError sqref="E75:E77"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rgb="FFFFC000"/>
    <pageSetUpPr fitToPage="1"/>
  </sheetPr>
  <dimension ref="A1:F27"/>
  <sheetViews>
    <sheetView showGridLines="0" zoomScaleNormal="100" workbookViewId="0">
      <selection activeCell="E22" sqref="E22"/>
    </sheetView>
  </sheetViews>
  <sheetFormatPr defaultColWidth="8.81640625" defaultRowHeight="14.5" x14ac:dyDescent="0.35"/>
  <cols>
    <col min="1" max="1" width="19.81640625" style="1" customWidth="1"/>
    <col min="2" max="2" width="41.7265625" style="1" customWidth="1"/>
    <col min="3" max="3" width="24.7265625" style="1" customWidth="1"/>
    <col min="4" max="4" width="24" style="190" customWidth="1"/>
    <col min="5" max="5" width="13.81640625" style="1" customWidth="1"/>
    <col min="6" max="6" width="10.54296875" style="1" customWidth="1"/>
    <col min="7" max="16384" width="8.81640625" style="1"/>
  </cols>
  <sheetData>
    <row r="1" spans="1:4" x14ac:dyDescent="0.35">
      <c r="B1" s="321" t="s">
        <v>83</v>
      </c>
      <c r="C1" s="321"/>
      <c r="D1" s="321"/>
    </row>
    <row r="2" spans="1:4" ht="21" x14ac:dyDescent="0.5">
      <c r="B2" s="322" t="s">
        <v>5</v>
      </c>
      <c r="C2" s="323"/>
      <c r="D2" s="324"/>
    </row>
    <row r="3" spans="1:4" ht="18.5" x14ac:dyDescent="0.45">
      <c r="B3" s="326" t="s">
        <v>84</v>
      </c>
      <c r="C3" s="327"/>
      <c r="D3" s="328"/>
    </row>
    <row r="4" spans="1:4" ht="83.5" customHeight="1" x14ac:dyDescent="0.35">
      <c r="B4" s="325" t="s">
        <v>213</v>
      </c>
      <c r="C4" s="325"/>
      <c r="D4" s="325"/>
    </row>
    <row r="5" spans="1:4" x14ac:dyDescent="0.35">
      <c r="B5" s="20"/>
      <c r="C5" s="2"/>
      <c r="D5" s="192"/>
    </row>
    <row r="6" spans="1:4" x14ac:dyDescent="0.35">
      <c r="B6" s="330" t="s">
        <v>85</v>
      </c>
      <c r="C6" s="329" t="s">
        <v>86</v>
      </c>
      <c r="D6" s="331" t="s">
        <v>87</v>
      </c>
    </row>
    <row r="7" spans="1:4" x14ac:dyDescent="0.35">
      <c r="B7" s="330"/>
      <c r="C7" s="329"/>
      <c r="D7" s="331"/>
    </row>
    <row r="8" spans="1:4" x14ac:dyDescent="0.35">
      <c r="B8" s="73" t="s">
        <v>153</v>
      </c>
      <c r="C8" s="142"/>
      <c r="D8" s="193">
        <v>120057959.39861298</v>
      </c>
    </row>
    <row r="9" spans="1:4" x14ac:dyDescent="0.35">
      <c r="A9" s="172"/>
      <c r="B9" s="73"/>
      <c r="C9" s="171"/>
      <c r="D9" s="194"/>
    </row>
    <row r="10" spans="1:4" x14ac:dyDescent="0.35">
      <c r="A10" s="172"/>
      <c r="B10" s="73" t="s">
        <v>240</v>
      </c>
      <c r="C10" s="142">
        <f>+D10/$D$25</f>
        <v>0.68855348683485729</v>
      </c>
      <c r="D10" s="194">
        <v>600000</v>
      </c>
    </row>
    <row r="11" spans="1:4" x14ac:dyDescent="0.35">
      <c r="A11" s="172"/>
      <c r="B11" s="73" t="s">
        <v>232</v>
      </c>
      <c r="C11" s="142">
        <f t="shared" ref="C11:C22" si="0">+D11/$D$25</f>
        <v>0.21574675920825528</v>
      </c>
      <c r="D11" s="194">
        <v>188000</v>
      </c>
    </row>
    <row r="12" spans="1:4" x14ac:dyDescent="0.35">
      <c r="A12" s="172"/>
      <c r="B12" s="73" t="s">
        <v>233</v>
      </c>
      <c r="C12" s="142">
        <f t="shared" si="0"/>
        <v>-0.69888178913738019</v>
      </c>
      <c r="D12" s="194">
        <v>-609000</v>
      </c>
    </row>
    <row r="13" spans="1:4" x14ac:dyDescent="0.35">
      <c r="A13" s="172"/>
      <c r="B13" s="73" t="s">
        <v>221</v>
      </c>
      <c r="C13" s="142">
        <f t="shared" si="0"/>
        <v>2.4099372039220008</v>
      </c>
      <c r="D13" s="194">
        <v>2100000</v>
      </c>
    </row>
    <row r="14" spans="1:4" x14ac:dyDescent="0.35">
      <c r="A14" s="172"/>
      <c r="B14" s="73" t="s">
        <v>223</v>
      </c>
      <c r="C14" s="142">
        <f t="shared" si="0"/>
        <v>-3.4967041239763503</v>
      </c>
      <c r="D14" s="194">
        <v>-3047000</v>
      </c>
    </row>
    <row r="15" spans="1:4" x14ac:dyDescent="0.35">
      <c r="A15" s="172"/>
      <c r="B15" s="73" t="s">
        <v>235</v>
      </c>
      <c r="C15" s="142">
        <f t="shared" si="0"/>
        <v>-1.2634956483419633</v>
      </c>
      <c r="D15" s="194">
        <f>-145000-956000</f>
        <v>-1101000</v>
      </c>
    </row>
    <row r="16" spans="1:4" x14ac:dyDescent="0.35">
      <c r="A16" s="172"/>
      <c r="B16" s="73" t="s">
        <v>234</v>
      </c>
      <c r="C16" s="142">
        <f t="shared" si="0"/>
        <v>0.54510484374426205</v>
      </c>
      <c r="D16" s="194">
        <v>475000</v>
      </c>
    </row>
    <row r="17" spans="1:6" x14ac:dyDescent="0.35">
      <c r="A17" s="172"/>
      <c r="B17" s="73" t="s">
        <v>241</v>
      </c>
      <c r="C17" s="142">
        <f t="shared" si="0"/>
        <v>0.72298116117660016</v>
      </c>
      <c r="D17" s="194">
        <v>630000</v>
      </c>
      <c r="E17" s="1" t="s">
        <v>242</v>
      </c>
    </row>
    <row r="18" spans="1:6" x14ac:dyDescent="0.35">
      <c r="A18" s="172"/>
      <c r="B18" s="73" t="s">
        <v>222</v>
      </c>
      <c r="C18" s="142">
        <f t="shared" si="0"/>
        <v>1.1854595865006794</v>
      </c>
      <c r="D18" s="194">
        <v>1033000</v>
      </c>
      <c r="E18" s="1" t="s">
        <v>242</v>
      </c>
    </row>
    <row r="19" spans="1:6" x14ac:dyDescent="0.35">
      <c r="A19" s="172"/>
      <c r="B19" s="73" t="s">
        <v>237</v>
      </c>
      <c r="C19" s="142">
        <f t="shared" si="0"/>
        <v>0.35919540229885055</v>
      </c>
      <c r="D19" s="194">
        <v>313000</v>
      </c>
    </row>
    <row r="20" spans="1:6" x14ac:dyDescent="0.35">
      <c r="A20" s="172"/>
      <c r="B20" s="73" t="s">
        <v>236</v>
      </c>
      <c r="C20" s="142">
        <f t="shared" si="0"/>
        <v>0.34312915427270391</v>
      </c>
      <c r="D20" s="194">
        <v>299000</v>
      </c>
    </row>
    <row r="21" spans="1:6" x14ac:dyDescent="0.35">
      <c r="A21" s="172"/>
      <c r="B21" s="73" t="s">
        <v>238</v>
      </c>
      <c r="C21" s="142">
        <f t="shared" si="0"/>
        <v>0.58986082038852783</v>
      </c>
      <c r="D21" s="194">
        <v>514000</v>
      </c>
    </row>
    <row r="22" spans="1:6" x14ac:dyDescent="0.35">
      <c r="A22" s="172"/>
      <c r="B22" s="73" t="s">
        <v>239</v>
      </c>
      <c r="C22" s="142">
        <f t="shared" si="0"/>
        <v>-0.60088685689104326</v>
      </c>
      <c r="D22" s="194">
        <v>-523608</v>
      </c>
      <c r="E22" s="191">
        <f>SUM(D10:D22)</f>
        <v>871392</v>
      </c>
    </row>
    <row r="23" spans="1:6" ht="29" x14ac:dyDescent="0.35">
      <c r="B23" s="239" t="s">
        <v>265</v>
      </c>
      <c r="C23" s="197">
        <f>SUM(C8:C22)</f>
        <v>1.0000000000000004</v>
      </c>
      <c r="D23" s="193">
        <f>SUM(D8:D22)</f>
        <v>120929351.39861298</v>
      </c>
      <c r="E23" s="190"/>
      <c r="F23" s="188"/>
    </row>
    <row r="24" spans="1:6" x14ac:dyDescent="0.35">
      <c r="B24" s="69"/>
      <c r="C24" s="39"/>
      <c r="D24" s="195"/>
      <c r="E24" s="191"/>
      <c r="F24" s="189"/>
    </row>
    <row r="25" spans="1:6" x14ac:dyDescent="0.35">
      <c r="B25" s="28" t="s">
        <v>171</v>
      </c>
      <c r="C25" s="93"/>
      <c r="D25" s="199">
        <f>D23-D8</f>
        <v>871392</v>
      </c>
    </row>
    <row r="26" spans="1:6" x14ac:dyDescent="0.35">
      <c r="B26" s="28" t="s">
        <v>172</v>
      </c>
      <c r="C26" s="198">
        <f>D25/D8</f>
        <v>7.2580943767903755E-3</v>
      </c>
      <c r="D26" s="196"/>
    </row>
    <row r="27" spans="1:6" x14ac:dyDescent="0.35">
      <c r="B27" s="187" t="s">
        <v>88</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M40"/>
  <sheetViews>
    <sheetView showGridLines="0" topLeftCell="B1" zoomScaleNormal="100" workbookViewId="0">
      <selection activeCell="G15" sqref="G15"/>
    </sheetView>
  </sheetViews>
  <sheetFormatPr defaultRowHeight="14.5" x14ac:dyDescent="0.35"/>
  <cols>
    <col min="2" max="2" width="37.54296875" customWidth="1"/>
    <col min="3" max="3" width="18.81640625" customWidth="1"/>
    <col min="4" max="4" width="18.1796875" customWidth="1"/>
    <col min="5" max="5" width="25.1796875" customWidth="1"/>
    <col min="6" max="6" width="23.81640625" customWidth="1"/>
    <col min="7" max="7" width="45.54296875" customWidth="1"/>
    <col min="13" max="13" width="14.54296875" bestFit="1" customWidth="1"/>
  </cols>
  <sheetData>
    <row r="1" spans="2:7" x14ac:dyDescent="0.35">
      <c r="B1" s="280" t="s">
        <v>89</v>
      </c>
      <c r="C1" s="280"/>
      <c r="D1" s="280"/>
      <c r="E1" s="280"/>
      <c r="F1" s="280"/>
      <c r="G1" s="280"/>
    </row>
    <row r="2" spans="2:7" ht="18.5" x14ac:dyDescent="0.45">
      <c r="B2" s="333" t="s">
        <v>9</v>
      </c>
      <c r="C2" s="334"/>
      <c r="D2" s="334"/>
      <c r="E2" s="334"/>
      <c r="F2" s="334"/>
      <c r="G2" s="335"/>
    </row>
    <row r="3" spans="2:7" ht="18.5" x14ac:dyDescent="0.45">
      <c r="B3" s="326" t="s">
        <v>90</v>
      </c>
      <c r="C3" s="327"/>
      <c r="D3" s="327"/>
      <c r="E3" s="327"/>
      <c r="F3" s="327"/>
      <c r="G3" s="328"/>
    </row>
    <row r="4" spans="2:7" ht="63" customHeight="1" x14ac:dyDescent="0.35">
      <c r="B4" s="336" t="s">
        <v>211</v>
      </c>
      <c r="C4" s="337"/>
      <c r="D4" s="337"/>
      <c r="E4" s="337"/>
      <c r="F4" s="337"/>
      <c r="G4" s="338"/>
    </row>
    <row r="5" spans="2:7" ht="17.5" customHeight="1" x14ac:dyDescent="0.35">
      <c r="B5" s="42" t="s">
        <v>91</v>
      </c>
      <c r="C5" s="339" t="s">
        <v>92</v>
      </c>
      <c r="D5" s="340"/>
      <c r="E5" s="340"/>
      <c r="F5" s="341"/>
      <c r="G5" s="51" t="s">
        <v>93</v>
      </c>
    </row>
    <row r="6" spans="2:7" ht="31.5" customHeight="1" x14ac:dyDescent="0.35">
      <c r="B6" s="212"/>
      <c r="C6" s="45" t="s">
        <v>94</v>
      </c>
      <c r="D6" s="46" t="s">
        <v>95</v>
      </c>
      <c r="E6" s="131" t="s">
        <v>210</v>
      </c>
      <c r="F6" s="131" t="s">
        <v>96</v>
      </c>
      <c r="G6" s="16"/>
    </row>
    <row r="7" spans="2:7" ht="31.5" customHeight="1" x14ac:dyDescent="0.35">
      <c r="B7" s="132" t="s">
        <v>97</v>
      </c>
      <c r="C7" s="133">
        <v>0.02</v>
      </c>
      <c r="D7" s="134">
        <v>500000</v>
      </c>
      <c r="E7" s="135">
        <v>0.6</v>
      </c>
      <c r="F7" s="136">
        <f>C7*E7</f>
        <v>1.2E-2</v>
      </c>
      <c r="G7" s="132" t="s">
        <v>98</v>
      </c>
    </row>
    <row r="8" spans="2:7" ht="27" customHeight="1" x14ac:dyDescent="0.35">
      <c r="B8" s="16" t="s">
        <v>99</v>
      </c>
      <c r="C8" s="211"/>
      <c r="D8" s="176">
        <f>'[21]NEW FTES'!$F$21+'[21]NEW FTES'!$F$22</f>
        <v>590000</v>
      </c>
      <c r="E8" s="183">
        <f t="shared" ref="E8:E15" si="0">+D8/$D$16</f>
        <v>0.53906829191868744</v>
      </c>
      <c r="F8" s="9">
        <f t="shared" ref="F8:F15" si="1">C8*E8</f>
        <v>0</v>
      </c>
      <c r="G8" s="217" t="s">
        <v>247</v>
      </c>
    </row>
    <row r="9" spans="2:7" ht="27" customHeight="1" x14ac:dyDescent="0.35">
      <c r="B9" s="16" t="s">
        <v>35</v>
      </c>
      <c r="C9" s="9">
        <v>5.5E-2</v>
      </c>
      <c r="D9" s="175">
        <f>'[20]Inflation Pivot'!$D$4</f>
        <v>77705.512499999953</v>
      </c>
      <c r="E9" s="183">
        <f t="shared" si="0"/>
        <v>7.0997589654307094E-2</v>
      </c>
      <c r="F9" s="9">
        <f t="shared" si="1"/>
        <v>3.9048674309868901E-3</v>
      </c>
      <c r="G9" s="16"/>
    </row>
    <row r="10" spans="2:7" ht="27" customHeight="1" x14ac:dyDescent="0.35">
      <c r="B10" s="16" t="s">
        <v>100</v>
      </c>
      <c r="C10" s="9">
        <v>5.5E-2</v>
      </c>
      <c r="D10" s="176">
        <f>'[20]Inflation Pivot'!$D$6</f>
        <v>102893.83499999996</v>
      </c>
      <c r="E10" s="183">
        <f t="shared" si="0"/>
        <v>9.4011532004090223E-2</v>
      </c>
      <c r="F10" s="9">
        <f t="shared" si="1"/>
        <v>5.1706342602249626E-3</v>
      </c>
      <c r="G10" s="16"/>
    </row>
    <row r="11" spans="2:7" ht="27" customHeight="1" x14ac:dyDescent="0.35">
      <c r="B11" s="16" t="s">
        <v>101</v>
      </c>
      <c r="C11" s="9">
        <v>5.5E-2</v>
      </c>
      <c r="D11" s="176">
        <f>'[20]Inflation Pivot'!$G$158+27796</f>
        <v>57295.139999999992</v>
      </c>
      <c r="E11" s="183">
        <f t="shared" si="0"/>
        <v>5.2349141110240777E-2</v>
      </c>
      <c r="F11" s="9">
        <f t="shared" si="1"/>
        <v>2.8792027610632428E-3</v>
      </c>
      <c r="G11" s="16"/>
    </row>
    <row r="12" spans="2:7" ht="27" customHeight="1" x14ac:dyDescent="0.35">
      <c r="B12" s="29" t="s">
        <v>224</v>
      </c>
      <c r="C12" s="9">
        <v>5.5E-2</v>
      </c>
      <c r="D12" s="175">
        <f>'[20]Inflation Pivot'!$D$8</f>
        <v>80015.870000000112</v>
      </c>
      <c r="E12" s="183">
        <f t="shared" si="0"/>
        <v>7.3108505707267457E-2</v>
      </c>
      <c r="F12" s="9">
        <f t="shared" si="1"/>
        <v>4.0209678138997101E-3</v>
      </c>
      <c r="G12" s="16"/>
    </row>
    <row r="13" spans="2:7" ht="27" customHeight="1" x14ac:dyDescent="0.35">
      <c r="B13" s="29" t="s">
        <v>225</v>
      </c>
      <c r="C13" s="9">
        <v>5.5E-2</v>
      </c>
      <c r="D13" s="173">
        <v>56357</v>
      </c>
      <c r="E13" s="183">
        <f t="shared" si="0"/>
        <v>5.1491985979087232E-2</v>
      </c>
      <c r="F13" s="9">
        <f t="shared" si="1"/>
        <v>2.8320592288497977E-3</v>
      </c>
      <c r="G13" s="16"/>
    </row>
    <row r="14" spans="2:7" ht="27" customHeight="1" x14ac:dyDescent="0.35">
      <c r="B14" s="29" t="s">
        <v>246</v>
      </c>
      <c r="C14" s="9">
        <v>5.5E-2</v>
      </c>
      <c r="D14" s="173">
        <f>7181892-7100912</f>
        <v>80980</v>
      </c>
      <c r="E14" s="183">
        <f t="shared" si="0"/>
        <v>7.3989407253517464E-2</v>
      </c>
      <c r="F14" s="9">
        <f t="shared" si="1"/>
        <v>4.0694173989434604E-3</v>
      </c>
      <c r="G14" s="16"/>
    </row>
    <row r="15" spans="2:7" ht="27" customHeight="1" x14ac:dyDescent="0.35">
      <c r="B15" s="29" t="s">
        <v>244</v>
      </c>
      <c r="C15" s="183">
        <v>5.5E-2</v>
      </c>
      <c r="D15" s="216">
        <f>+D22-SUM(D8:D14)</f>
        <v>49233.63654999889</v>
      </c>
      <c r="E15" s="183">
        <f t="shared" si="0"/>
        <v>4.4983546372802302E-2</v>
      </c>
      <c r="F15" s="9">
        <f t="shared" si="1"/>
        <v>2.4740950505041264E-3</v>
      </c>
      <c r="G15" s="29"/>
    </row>
    <row r="16" spans="2:7" x14ac:dyDescent="0.35">
      <c r="B16" s="11" t="s">
        <v>13</v>
      </c>
      <c r="C16" s="71" t="s">
        <v>102</v>
      </c>
      <c r="D16" s="72">
        <f>SUM(D8:D15)</f>
        <v>1094480.9940499989</v>
      </c>
      <c r="E16" s="169">
        <f>SUM(E8:E15)</f>
        <v>1</v>
      </c>
      <c r="F16" s="168">
        <f>SUM(F8:F14)</f>
        <v>2.2877148893968066E-2</v>
      </c>
      <c r="G16" s="11"/>
    </row>
    <row r="17" spans="2:6" x14ac:dyDescent="0.35">
      <c r="B17" s="18" t="s">
        <v>212</v>
      </c>
      <c r="E17" t="s">
        <v>207</v>
      </c>
    </row>
    <row r="18" spans="2:6" x14ac:dyDescent="0.35">
      <c r="B18" s="18"/>
      <c r="E18" s="215" t="s">
        <v>245</v>
      </c>
    </row>
    <row r="19" spans="2:6" x14ac:dyDescent="0.35">
      <c r="D19" s="174">
        <f>'[20]Inflation Pivot'!$D$9</f>
        <v>504480.99404999893</v>
      </c>
    </row>
    <row r="20" spans="2:6" x14ac:dyDescent="0.35">
      <c r="B20" s="332" t="s">
        <v>103</v>
      </c>
      <c r="C20" s="332"/>
      <c r="D20" s="332"/>
      <c r="E20" s="332"/>
      <c r="F20" s="144"/>
    </row>
    <row r="21" spans="2:6" x14ac:dyDescent="0.35">
      <c r="D21" s="23">
        <f>D8</f>
        <v>590000</v>
      </c>
    </row>
    <row r="22" spans="2:6" ht="26" x14ac:dyDescent="0.6">
      <c r="B22" s="166" t="s">
        <v>206</v>
      </c>
      <c r="D22">
        <f>SUM(B19:E21)</f>
        <v>1094480.9940499989</v>
      </c>
    </row>
    <row r="40" spans="13:13" x14ac:dyDescent="0.35">
      <c r="M40" s="14"/>
    </row>
  </sheetData>
  <mergeCells count="6">
    <mergeCell ref="B20:E20"/>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rgb="FFFFC000"/>
  </sheetPr>
  <dimension ref="B1:F18"/>
  <sheetViews>
    <sheetView showGridLines="0" workbookViewId="0">
      <selection activeCell="I15" sqref="I15"/>
    </sheetView>
  </sheetViews>
  <sheetFormatPr defaultColWidth="8.81640625" defaultRowHeight="14.5" x14ac:dyDescent="0.35"/>
  <cols>
    <col min="1" max="1" width="8.81640625" style="1"/>
    <col min="2" max="2" width="32.26953125" style="36" customWidth="1"/>
    <col min="3" max="4" width="22.26953125" style="36" customWidth="1"/>
    <col min="5" max="5" width="17.54296875" style="36" customWidth="1"/>
    <col min="6" max="6" width="19.54296875" style="36" customWidth="1"/>
    <col min="7" max="16384" width="8.81640625" style="1"/>
  </cols>
  <sheetData>
    <row r="1" spans="2:6" s="96" customFormat="1" x14ac:dyDescent="0.35">
      <c r="B1" s="97"/>
      <c r="C1" s="97"/>
      <c r="D1" s="97"/>
      <c r="E1" s="97"/>
      <c r="F1" s="97"/>
    </row>
    <row r="2" spans="2:6" ht="15.5" x14ac:dyDescent="0.35">
      <c r="B2" s="343" t="s">
        <v>104</v>
      </c>
      <c r="C2" s="343"/>
      <c r="D2" s="343"/>
      <c r="E2" s="343"/>
      <c r="F2" s="343"/>
    </row>
    <row r="3" spans="2:6" ht="18.5" x14ac:dyDescent="0.45">
      <c r="B3" s="344" t="s">
        <v>2</v>
      </c>
      <c r="C3" s="345"/>
      <c r="D3" s="345"/>
      <c r="E3" s="345"/>
      <c r="F3" s="346"/>
    </row>
    <row r="4" spans="2:6" ht="18.5" x14ac:dyDescent="0.45">
      <c r="B4" s="326" t="s">
        <v>105</v>
      </c>
      <c r="C4" s="327"/>
      <c r="D4" s="327"/>
      <c r="E4" s="327"/>
      <c r="F4" s="328"/>
    </row>
    <row r="5" spans="2:6" ht="15.5" x14ac:dyDescent="0.35">
      <c r="B5" s="30"/>
      <c r="C5" s="30"/>
      <c r="D5" s="30"/>
      <c r="E5" s="30"/>
      <c r="F5" s="30"/>
    </row>
    <row r="6" spans="2:6" ht="67.5" customHeight="1" x14ac:dyDescent="0.35">
      <c r="B6" s="342" t="s">
        <v>201</v>
      </c>
      <c r="C6" s="342"/>
      <c r="D6" s="342"/>
      <c r="E6" s="342"/>
      <c r="F6" s="342"/>
    </row>
    <row r="7" spans="2:6" ht="15.5" x14ac:dyDescent="0.35">
      <c r="B7" s="30"/>
      <c r="C7" s="30"/>
      <c r="D7" s="30"/>
      <c r="E7" s="30"/>
      <c r="F7" s="30"/>
    </row>
    <row r="8" spans="2:6" ht="48" customHeight="1" x14ac:dyDescent="0.35">
      <c r="B8" s="31" t="s">
        <v>106</v>
      </c>
      <c r="C8" s="201" t="s">
        <v>173</v>
      </c>
      <c r="D8" s="201" t="s">
        <v>107</v>
      </c>
      <c r="E8" s="201" t="s">
        <v>108</v>
      </c>
      <c r="F8" s="202" t="s">
        <v>109</v>
      </c>
    </row>
    <row r="9" spans="2:6" ht="25.5" customHeight="1" x14ac:dyDescent="0.35">
      <c r="B9" s="32"/>
      <c r="C9" s="203" t="s">
        <v>110</v>
      </c>
      <c r="D9" s="203" t="s">
        <v>174</v>
      </c>
      <c r="E9" s="203" t="s">
        <v>174</v>
      </c>
      <c r="F9" s="204" t="s">
        <v>175</v>
      </c>
    </row>
    <row r="10" spans="2:6" ht="24" customHeight="1" x14ac:dyDescent="0.35">
      <c r="B10" s="33" t="s">
        <v>111</v>
      </c>
      <c r="C10" s="200" t="s">
        <v>218</v>
      </c>
      <c r="D10" s="34" t="s">
        <v>217</v>
      </c>
      <c r="E10" s="34" t="s">
        <v>217</v>
      </c>
      <c r="F10" s="35" t="s">
        <v>217</v>
      </c>
    </row>
    <row r="11" spans="2:6" ht="15.5" x14ac:dyDescent="0.35">
      <c r="B11" s="33" t="s">
        <v>112</v>
      </c>
      <c r="C11" s="34" t="s">
        <v>216</v>
      </c>
      <c r="D11" s="34" t="s">
        <v>217</v>
      </c>
      <c r="E11" s="34" t="s">
        <v>217</v>
      </c>
      <c r="F11" s="35" t="s">
        <v>217</v>
      </c>
    </row>
    <row r="12" spans="2:6" ht="15.5" x14ac:dyDescent="0.35">
      <c r="B12" s="33" t="s">
        <v>136</v>
      </c>
      <c r="C12" s="34"/>
      <c r="D12" s="34"/>
      <c r="E12" s="34"/>
      <c r="F12" s="35"/>
    </row>
    <row r="13" spans="2:6" ht="15.5" x14ac:dyDescent="0.35">
      <c r="B13" s="218" t="s">
        <v>199</v>
      </c>
      <c r="C13" s="200" t="s">
        <v>218</v>
      </c>
      <c r="D13" s="34" t="s">
        <v>217</v>
      </c>
      <c r="E13" s="34" t="s">
        <v>217</v>
      </c>
      <c r="F13" s="35" t="s">
        <v>217</v>
      </c>
    </row>
    <row r="14" spans="2:6" ht="15.5" x14ac:dyDescent="0.35">
      <c r="B14" s="219" t="s">
        <v>200</v>
      </c>
      <c r="C14" s="200" t="s">
        <v>218</v>
      </c>
      <c r="D14" s="34" t="s">
        <v>217</v>
      </c>
      <c r="E14" s="34" t="s">
        <v>217</v>
      </c>
      <c r="F14" s="35" t="s">
        <v>217</v>
      </c>
    </row>
    <row r="15" spans="2:6" ht="16" thickBot="1" x14ac:dyDescent="0.4">
      <c r="B15" s="159" t="s">
        <v>113</v>
      </c>
      <c r="C15" s="157"/>
      <c r="D15" s="157"/>
      <c r="E15" s="157"/>
      <c r="F15" s="158"/>
    </row>
    <row r="16" spans="2:6" ht="15.5" x14ac:dyDescent="0.35">
      <c r="B16" s="32" t="s">
        <v>114</v>
      </c>
      <c r="C16" s="154"/>
      <c r="D16" s="155"/>
      <c r="E16" s="155"/>
      <c r="F16" s="156"/>
    </row>
    <row r="17" spans="2:5" ht="15.5" x14ac:dyDescent="0.35">
      <c r="B17" s="30"/>
    </row>
    <row r="18" spans="2:5" ht="15.5" x14ac:dyDescent="0.35">
      <c r="B18" s="37"/>
      <c r="E18" s="38"/>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A2:K23"/>
  <sheetViews>
    <sheetView showGridLines="0" zoomScale="80" zoomScaleNormal="80" zoomScaleSheetLayoutView="55" workbookViewId="0">
      <pane xSplit="3" ySplit="11" topLeftCell="E12" activePane="bottomRight" state="frozen"/>
      <selection pane="topRight" activeCell="D1" sqref="D1"/>
      <selection pane="bottomLeft" activeCell="A12" sqref="A12"/>
      <selection pane="bottomRight" activeCell="J10" sqref="J10"/>
    </sheetView>
  </sheetViews>
  <sheetFormatPr defaultColWidth="9.1796875" defaultRowHeight="15" customHeight="1" x14ac:dyDescent="0.35"/>
  <cols>
    <col min="1" max="1" width="20.81640625" style="94" hidden="1" customWidth="1"/>
    <col min="2" max="2" width="44.54296875" style="94" customWidth="1"/>
    <col min="3" max="3" width="24" style="94" customWidth="1"/>
    <col min="4" max="11" width="22.7265625" style="94" customWidth="1"/>
    <col min="12" max="16384" width="9.1796875" style="94"/>
  </cols>
  <sheetData>
    <row r="2" spans="1:11" s="1" customFormat="1" ht="15.5" x14ac:dyDescent="0.35">
      <c r="B2" s="343" t="s">
        <v>115</v>
      </c>
      <c r="C2" s="343"/>
      <c r="D2" s="343"/>
      <c r="E2" s="343"/>
      <c r="F2" s="343"/>
      <c r="G2" s="343"/>
      <c r="H2" s="343"/>
      <c r="I2" s="343"/>
      <c r="J2" s="343"/>
      <c r="K2" s="343"/>
    </row>
    <row r="3" spans="1:11" s="1" customFormat="1" ht="18.5" x14ac:dyDescent="0.45">
      <c r="B3" s="344" t="s">
        <v>116</v>
      </c>
      <c r="C3" s="345"/>
      <c r="D3" s="345"/>
      <c r="E3" s="345"/>
      <c r="F3" s="345"/>
      <c r="G3" s="345"/>
      <c r="H3" s="345"/>
      <c r="I3" s="345"/>
      <c r="J3" s="345"/>
      <c r="K3" s="346"/>
    </row>
    <row r="4" spans="1:11" s="1" customFormat="1" ht="18.5" x14ac:dyDescent="0.45">
      <c r="B4" s="326" t="s">
        <v>117</v>
      </c>
      <c r="C4" s="327"/>
      <c r="D4" s="327"/>
      <c r="E4" s="327"/>
      <c r="F4" s="327"/>
      <c r="G4" s="327"/>
      <c r="H4" s="327"/>
      <c r="I4" s="327"/>
      <c r="J4" s="327"/>
      <c r="K4" s="328"/>
    </row>
    <row r="5" spans="1:11" s="96" customFormat="1" ht="18.5" x14ac:dyDescent="0.45">
      <c r="B5" s="137"/>
      <c r="C5" s="137"/>
      <c r="D5" s="137"/>
      <c r="E5" s="137"/>
      <c r="F5" s="137"/>
      <c r="G5" s="137"/>
      <c r="H5" s="137"/>
      <c r="I5" s="137"/>
      <c r="J5" s="137"/>
      <c r="K5" s="137"/>
    </row>
    <row r="6" spans="1:11" s="96" customFormat="1" ht="18.75" customHeight="1" x14ac:dyDescent="0.35">
      <c r="B6" s="349" t="s">
        <v>205</v>
      </c>
      <c r="C6" s="349"/>
      <c r="D6" s="349"/>
      <c r="E6" s="349"/>
      <c r="F6" s="349"/>
      <c r="G6" s="349"/>
      <c r="H6" s="349"/>
      <c r="I6" s="349"/>
      <c r="J6" s="349"/>
      <c r="K6" s="349"/>
    </row>
    <row r="7" spans="1:11" s="96" customFormat="1" ht="18.75" customHeight="1" x14ac:dyDescent="0.35">
      <c r="B7" s="349"/>
      <c r="C7" s="349"/>
      <c r="D7" s="349"/>
      <c r="E7" s="349"/>
      <c r="F7" s="349"/>
      <c r="G7" s="349"/>
      <c r="H7" s="349"/>
      <c r="I7" s="349"/>
      <c r="J7" s="349"/>
      <c r="K7" s="349"/>
    </row>
    <row r="8" spans="1:11" s="96" customFormat="1" ht="18.5" x14ac:dyDescent="0.45">
      <c r="B8" s="95"/>
      <c r="C8" s="95"/>
      <c r="D8" s="95"/>
      <c r="E8" s="95"/>
      <c r="F8" s="95"/>
      <c r="G8" s="95"/>
      <c r="H8" s="95"/>
    </row>
    <row r="9" spans="1:11" s="138" customFormat="1" ht="18.5" x14ac:dyDescent="0.45">
      <c r="B9" s="139"/>
      <c r="D9" s="139"/>
      <c r="E9" s="139"/>
      <c r="F9" s="139"/>
      <c r="G9" s="139"/>
      <c r="H9" s="237" t="s">
        <v>262</v>
      </c>
      <c r="I9" s="140"/>
      <c r="J9" s="237" t="s">
        <v>267</v>
      </c>
      <c r="K9" s="140"/>
    </row>
    <row r="10" spans="1:11" s="240" customFormat="1" ht="15" customHeight="1" x14ac:dyDescent="0.35">
      <c r="B10" s="347" t="s">
        <v>118</v>
      </c>
      <c r="C10" s="241" t="s">
        <v>119</v>
      </c>
      <c r="D10" s="242" t="s">
        <v>119</v>
      </c>
      <c r="E10" s="243" t="s">
        <v>120</v>
      </c>
      <c r="F10" s="244" t="s">
        <v>204</v>
      </c>
      <c r="G10" s="245" t="s">
        <v>119</v>
      </c>
      <c r="H10" s="243" t="s">
        <v>120</v>
      </c>
      <c r="I10" s="244" t="s">
        <v>204</v>
      </c>
      <c r="J10" s="243" t="s">
        <v>120</v>
      </c>
      <c r="K10" s="244" t="s">
        <v>204</v>
      </c>
    </row>
    <row r="11" spans="1:11" s="240" customFormat="1" ht="14.5" x14ac:dyDescent="0.35">
      <c r="B11" s="348"/>
      <c r="C11" s="246" t="s">
        <v>121</v>
      </c>
      <c r="D11" s="352" t="s">
        <v>203</v>
      </c>
      <c r="E11" s="350"/>
      <c r="F11" s="351"/>
      <c r="G11" s="350" t="s">
        <v>122</v>
      </c>
      <c r="H11" s="350"/>
      <c r="I11" s="351"/>
      <c r="J11" s="350" t="s">
        <v>202</v>
      </c>
      <c r="K11" s="351"/>
    </row>
    <row r="12" spans="1:11" s="235" customFormat="1" ht="20.149999999999999" customHeight="1" x14ac:dyDescent="0.35">
      <c r="B12" s="238" t="s">
        <v>230</v>
      </c>
      <c r="C12" s="165">
        <f t="shared" ref="C12:C21" si="0">+D12+G12</f>
        <v>1000000</v>
      </c>
      <c r="D12" s="162">
        <v>0</v>
      </c>
      <c r="E12" s="161">
        <v>0</v>
      </c>
      <c r="F12" s="163">
        <v>0</v>
      </c>
      <c r="G12" s="232">
        <v>1000000</v>
      </c>
      <c r="H12" s="232">
        <v>1000000</v>
      </c>
      <c r="I12" s="234">
        <v>0</v>
      </c>
      <c r="J12" s="233">
        <v>0</v>
      </c>
      <c r="K12" s="234">
        <v>0</v>
      </c>
    </row>
    <row r="13" spans="1:11" s="235" customFormat="1" ht="20.149999999999999" customHeight="1" x14ac:dyDescent="0.35">
      <c r="B13" s="238" t="s">
        <v>264</v>
      </c>
      <c r="C13" s="165">
        <f t="shared" si="0"/>
        <v>1463120.92</v>
      </c>
      <c r="D13" s="162"/>
      <c r="E13" s="161"/>
      <c r="F13" s="163"/>
      <c r="G13" s="232">
        <v>1463120.92</v>
      </c>
      <c r="H13" s="233">
        <f>+G13-J13</f>
        <v>1163120.92</v>
      </c>
      <c r="I13" s="234">
        <v>300000</v>
      </c>
      <c r="J13" s="233">
        <v>300000</v>
      </c>
      <c r="K13" s="234"/>
    </row>
    <row r="14" spans="1:11" s="235" customFormat="1" ht="20.149999999999999" customHeight="1" x14ac:dyDescent="0.35">
      <c r="B14" s="238" t="s">
        <v>231</v>
      </c>
      <c r="C14" s="165">
        <f t="shared" si="0"/>
        <v>1434177.43</v>
      </c>
      <c r="D14" s="162"/>
      <c r="E14" s="161"/>
      <c r="F14" s="163"/>
      <c r="G14" s="232">
        <v>1434177.43</v>
      </c>
      <c r="H14" s="233">
        <v>1434177</v>
      </c>
      <c r="I14" s="234">
        <v>0</v>
      </c>
      <c r="J14" s="233"/>
      <c r="K14" s="234"/>
    </row>
    <row r="15" spans="1:11" s="235" customFormat="1" ht="20.149999999999999" customHeight="1" x14ac:dyDescent="0.35">
      <c r="A15" s="235">
        <v>20270002</v>
      </c>
      <c r="B15" s="256" t="s">
        <v>259</v>
      </c>
      <c r="C15" s="165">
        <f t="shared" si="0"/>
        <v>494326</v>
      </c>
      <c r="D15" s="162">
        <f>76965</f>
        <v>76965</v>
      </c>
      <c r="E15" s="247">
        <v>369615</v>
      </c>
      <c r="F15" s="163">
        <v>353103.88</v>
      </c>
      <c r="G15" s="232">
        <v>417361</v>
      </c>
      <c r="H15" s="233">
        <v>318229</v>
      </c>
      <c r="I15" s="234">
        <v>34875</v>
      </c>
      <c r="J15" s="233">
        <v>0</v>
      </c>
      <c r="K15" s="234">
        <v>0</v>
      </c>
    </row>
    <row r="16" spans="1:11" s="235" customFormat="1" ht="20.149999999999999" customHeight="1" x14ac:dyDescent="0.35">
      <c r="B16" s="257" t="s">
        <v>260</v>
      </c>
      <c r="C16" s="165">
        <f t="shared" si="0"/>
        <v>258376</v>
      </c>
      <c r="D16" s="162">
        <v>0</v>
      </c>
      <c r="E16" s="161">
        <v>258376</v>
      </c>
      <c r="F16" s="163">
        <v>258376</v>
      </c>
      <c r="G16" s="232">
        <v>258376</v>
      </c>
      <c r="H16" s="233">
        <v>0</v>
      </c>
      <c r="I16" s="234">
        <v>0</v>
      </c>
      <c r="J16" s="233"/>
      <c r="K16" s="234"/>
    </row>
    <row r="17" spans="1:11" s="235" customFormat="1" ht="20.149999999999999" customHeight="1" x14ac:dyDescent="0.35">
      <c r="B17" s="257" t="s">
        <v>260</v>
      </c>
      <c r="C17" s="165">
        <f t="shared" si="0"/>
        <v>0</v>
      </c>
      <c r="D17" s="162"/>
      <c r="E17" s="161">
        <v>99317</v>
      </c>
      <c r="F17" s="163"/>
      <c r="G17" s="232"/>
      <c r="H17" s="233"/>
      <c r="I17" s="234"/>
      <c r="J17" s="233"/>
      <c r="K17" s="234"/>
    </row>
    <row r="18" spans="1:11" s="235" customFormat="1" ht="20.149999999999999" customHeight="1" x14ac:dyDescent="0.35">
      <c r="B18" s="257" t="s">
        <v>260</v>
      </c>
      <c r="C18" s="165">
        <f t="shared" si="0"/>
        <v>11855</v>
      </c>
      <c r="D18" s="162">
        <v>11855</v>
      </c>
      <c r="E18" s="161">
        <v>11855</v>
      </c>
      <c r="F18" s="163"/>
      <c r="G18" s="232"/>
      <c r="H18" s="233"/>
      <c r="I18" s="234"/>
      <c r="J18" s="233"/>
      <c r="K18" s="234"/>
    </row>
    <row r="19" spans="1:11" s="235" customFormat="1" ht="19.5" customHeight="1" x14ac:dyDescent="0.35">
      <c r="B19" s="256" t="s">
        <v>266</v>
      </c>
      <c r="C19" s="165">
        <f t="shared" si="0"/>
        <v>268159.19</v>
      </c>
      <c r="D19" s="162">
        <v>268159.19</v>
      </c>
      <c r="E19" s="247">
        <v>56379.74</v>
      </c>
      <c r="F19" s="163">
        <v>0</v>
      </c>
      <c r="G19" s="232"/>
      <c r="H19" s="233"/>
      <c r="I19" s="234"/>
      <c r="J19" s="233"/>
      <c r="K19" s="234"/>
    </row>
    <row r="20" spans="1:11" s="235" customFormat="1" ht="30.75" customHeight="1" x14ac:dyDescent="0.35">
      <c r="A20" s="235" t="s">
        <v>263</v>
      </c>
      <c r="B20" s="257" t="s">
        <v>258</v>
      </c>
      <c r="C20" s="165">
        <f t="shared" si="0"/>
        <v>1834785</v>
      </c>
      <c r="D20" s="162">
        <v>1834785</v>
      </c>
      <c r="E20" s="161">
        <v>1580781.24</v>
      </c>
      <c r="F20" s="163">
        <v>0</v>
      </c>
      <c r="G20" s="232">
        <v>0</v>
      </c>
      <c r="H20" s="233">
        <v>0</v>
      </c>
      <c r="I20" s="234">
        <v>0</v>
      </c>
      <c r="J20" s="233">
        <v>0</v>
      </c>
      <c r="K20" s="234">
        <v>0</v>
      </c>
    </row>
    <row r="21" spans="1:11" s="248" customFormat="1" ht="20.149999999999999" customHeight="1" x14ac:dyDescent="0.35">
      <c r="B21" s="258" t="s">
        <v>261</v>
      </c>
      <c r="C21" s="236">
        <f t="shared" si="0"/>
        <v>0</v>
      </c>
      <c r="D21" s="259"/>
      <c r="E21" s="160"/>
      <c r="F21" s="260"/>
      <c r="G21" s="249"/>
      <c r="H21" s="250"/>
      <c r="I21" s="251"/>
      <c r="J21" s="233">
        <v>500000</v>
      </c>
      <c r="K21" s="251"/>
    </row>
    <row r="22" spans="1:11" s="235" customFormat="1" ht="15" customHeight="1" thickBot="1" x14ac:dyDescent="0.4">
      <c r="B22" s="252" t="s">
        <v>123</v>
      </c>
      <c r="C22" s="164">
        <f t="shared" ref="C22:K22" si="1">SUM(C12:C21)</f>
        <v>6764799.54</v>
      </c>
      <c r="D22" s="253">
        <f t="shared" si="1"/>
        <v>2191764.19</v>
      </c>
      <c r="E22" s="254">
        <f t="shared" si="1"/>
        <v>2376323.98</v>
      </c>
      <c r="F22" s="255">
        <f t="shared" si="1"/>
        <v>611479.88</v>
      </c>
      <c r="G22" s="254">
        <f t="shared" si="1"/>
        <v>4573035.3499999996</v>
      </c>
      <c r="H22" s="254">
        <f t="shared" si="1"/>
        <v>3915526.92</v>
      </c>
      <c r="I22" s="255">
        <f t="shared" si="1"/>
        <v>334875</v>
      </c>
      <c r="J22" s="254">
        <f t="shared" si="1"/>
        <v>800000</v>
      </c>
      <c r="K22" s="255">
        <f t="shared" si="1"/>
        <v>0</v>
      </c>
    </row>
    <row r="23" spans="1:11" ht="15" customHeight="1" thickTop="1" x14ac:dyDescent="0.35"/>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4.5" x14ac:dyDescent="0.35"/>
  <cols>
    <col min="1" max="1" width="42.7265625" style="58" customWidth="1"/>
    <col min="2" max="2" width="13.81640625" style="58" customWidth="1"/>
  </cols>
  <sheetData>
    <row r="2" spans="1:2" x14ac:dyDescent="0.35">
      <c r="A2" s="353" t="s">
        <v>124</v>
      </c>
      <c r="B2" s="353"/>
    </row>
    <row r="3" spans="1:2" ht="15.5" x14ac:dyDescent="0.35">
      <c r="A3" s="354" t="s">
        <v>125</v>
      </c>
      <c r="B3" s="354"/>
    </row>
    <row r="4" spans="1:2" ht="24.65" customHeight="1" x14ac:dyDescent="0.35">
      <c r="A4" s="355" t="s">
        <v>126</v>
      </c>
      <c r="B4" s="355"/>
    </row>
    <row r="5" spans="1:2" x14ac:dyDescent="0.35">
      <c r="A5" s="59" t="s">
        <v>127</v>
      </c>
      <c r="B5" s="60">
        <f>'1. Reconciliation'!C22</f>
        <v>58778639</v>
      </c>
    </row>
    <row r="6" spans="1:2" x14ac:dyDescent="0.35">
      <c r="A6" s="59" t="s">
        <v>128</v>
      </c>
      <c r="B6" s="61">
        <f>'1. Reconciliation'!C25</f>
        <v>7.4761996325757488E-2</v>
      </c>
    </row>
    <row r="7" spans="1:2" x14ac:dyDescent="0.35">
      <c r="A7" s="59" t="s">
        <v>129</v>
      </c>
      <c r="B7" s="61">
        <f>'1. Reconciliation'!C73</f>
        <v>0.13645713022230627</v>
      </c>
    </row>
    <row r="8" spans="1:2" x14ac:dyDescent="0.35">
      <c r="A8" s="62"/>
      <c r="B8" s="63"/>
    </row>
    <row r="9" spans="1:2" x14ac:dyDescent="0.35">
      <c r="A9" s="64" t="s">
        <v>130</v>
      </c>
      <c r="B9" s="65"/>
    </row>
    <row r="10" spans="1:2" ht="39.65" customHeight="1" x14ac:dyDescent="0.35">
      <c r="A10" s="59" t="s">
        <v>131</v>
      </c>
      <c r="B10" s="66">
        <f>+'1. Reconciliation'!C12</f>
        <v>2847925</v>
      </c>
    </row>
    <row r="11" spans="1:2" x14ac:dyDescent="0.35">
      <c r="A11" s="59" t="s">
        <v>132</v>
      </c>
      <c r="B11" s="66">
        <f>+'1. Reconciliation'!C14</f>
        <v>1946829</v>
      </c>
    </row>
    <row r="12" spans="1:2" x14ac:dyDescent="0.35">
      <c r="A12" s="59" t="s">
        <v>23</v>
      </c>
      <c r="B12" s="66">
        <f>+'1. Reconciliation'!C16</f>
        <v>0</v>
      </c>
    </row>
    <row r="13" spans="1:2" x14ac:dyDescent="0.35">
      <c r="A13" s="59" t="s">
        <v>24</v>
      </c>
      <c r="B13" s="66">
        <f>+'1. Reconciliation'!C17</f>
        <v>0</v>
      </c>
    </row>
    <row r="14" spans="1:2" ht="44.5" customHeight="1" x14ac:dyDescent="0.35">
      <c r="A14" s="59" t="s">
        <v>25</v>
      </c>
      <c r="B14" s="66">
        <f>+'1. Reconciliation'!C18</f>
        <v>0</v>
      </c>
    </row>
    <row r="15" spans="1:2" x14ac:dyDescent="0.35">
      <c r="A15" s="67" t="s">
        <v>133</v>
      </c>
      <c r="B15" s="68">
        <f>SUM(B10:B14)</f>
        <v>4794754</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4.5" x14ac:dyDescent="0.35"/>
  <sheetData>
    <row r="1" spans="2:5" x14ac:dyDescent="0.35">
      <c r="B1" t="s">
        <v>134</v>
      </c>
    </row>
    <row r="3" spans="2:5" x14ac:dyDescent="0.35">
      <c r="B3" t="s">
        <v>135</v>
      </c>
      <c r="C3" t="s">
        <v>136</v>
      </c>
      <c r="D3" t="s">
        <v>112</v>
      </c>
      <c r="E3" t="s">
        <v>111</v>
      </c>
    </row>
    <row r="4" spans="2:5" x14ac:dyDescent="0.35">
      <c r="B4" s="16" t="s">
        <v>137</v>
      </c>
      <c r="C4" s="24">
        <v>180</v>
      </c>
      <c r="D4" s="24">
        <v>100</v>
      </c>
      <c r="E4" s="16" t="s">
        <v>138</v>
      </c>
    </row>
    <row r="5" spans="2:5" x14ac:dyDescent="0.35">
      <c r="B5" s="16" t="s">
        <v>139</v>
      </c>
      <c r="C5" s="24">
        <v>163</v>
      </c>
      <c r="D5" s="24">
        <v>100</v>
      </c>
      <c r="E5" s="24">
        <v>85</v>
      </c>
    </row>
    <row r="6" spans="2:5" x14ac:dyDescent="0.35">
      <c r="B6" s="16" t="s">
        <v>140</v>
      </c>
      <c r="C6" s="24">
        <v>186</v>
      </c>
      <c r="D6" s="24">
        <v>100</v>
      </c>
      <c r="E6" s="24">
        <v>58</v>
      </c>
    </row>
    <row r="7" spans="2:5" x14ac:dyDescent="0.35">
      <c r="B7" s="16" t="s">
        <v>141</v>
      </c>
      <c r="C7" s="24">
        <v>92</v>
      </c>
      <c r="D7" s="24">
        <v>100</v>
      </c>
      <c r="E7" s="24">
        <v>52</v>
      </c>
    </row>
    <row r="8" spans="2:5" x14ac:dyDescent="0.35">
      <c r="B8" s="16" t="s">
        <v>142</v>
      </c>
      <c r="C8" s="24">
        <v>166</v>
      </c>
      <c r="D8" s="24">
        <v>100</v>
      </c>
      <c r="E8" s="24">
        <v>76</v>
      </c>
    </row>
    <row r="9" spans="2:5" x14ac:dyDescent="0.35">
      <c r="B9" s="16" t="s">
        <v>143</v>
      </c>
      <c r="C9" s="24">
        <v>130</v>
      </c>
      <c r="D9" s="24">
        <v>100</v>
      </c>
      <c r="E9" s="24">
        <v>75</v>
      </c>
    </row>
    <row r="10" spans="2:5" x14ac:dyDescent="0.35">
      <c r="B10" s="16" t="s">
        <v>144</v>
      </c>
      <c r="C10" s="24">
        <v>160</v>
      </c>
      <c r="D10" s="24">
        <v>100</v>
      </c>
      <c r="E10" s="24">
        <v>79</v>
      </c>
    </row>
    <row r="11" spans="2:5" x14ac:dyDescent="0.35">
      <c r="B11" s="16" t="s">
        <v>145</v>
      </c>
      <c r="C11" s="24">
        <v>120</v>
      </c>
      <c r="D11" s="24">
        <v>100</v>
      </c>
      <c r="E11" s="24">
        <v>81</v>
      </c>
    </row>
    <row r="12" spans="2:5" x14ac:dyDescent="0.35">
      <c r="B12" s="16" t="s">
        <v>146</v>
      </c>
      <c r="C12" s="24">
        <v>160</v>
      </c>
      <c r="D12" s="24">
        <v>100</v>
      </c>
      <c r="E12" s="24">
        <v>72</v>
      </c>
    </row>
    <row r="13" spans="2:5" x14ac:dyDescent="0.35">
      <c r="B13" s="16" t="s">
        <v>147</v>
      </c>
      <c r="C13" s="24">
        <v>150</v>
      </c>
      <c r="D13" s="24">
        <v>100</v>
      </c>
      <c r="E13" s="16">
        <v>55</v>
      </c>
    </row>
    <row r="14" spans="2:5" x14ac:dyDescent="0.35">
      <c r="B14" s="16" t="s">
        <v>148</v>
      </c>
      <c r="C14" s="24">
        <v>264</v>
      </c>
      <c r="D14" s="24">
        <v>100</v>
      </c>
      <c r="E14" s="24">
        <v>44</v>
      </c>
    </row>
    <row r="15" spans="2:5" x14ac:dyDescent="0.35">
      <c r="B15" s="16" t="s">
        <v>149</v>
      </c>
      <c r="C15" s="24">
        <v>178</v>
      </c>
      <c r="D15" s="24">
        <v>100</v>
      </c>
      <c r="E15" s="24">
        <v>108</v>
      </c>
    </row>
    <row r="16" spans="2:5" x14ac:dyDescent="0.35">
      <c r="B16" s="16" t="s">
        <v>150</v>
      </c>
      <c r="C16" s="24">
        <v>185</v>
      </c>
      <c r="D16" s="24">
        <v>100</v>
      </c>
      <c r="E16" s="24">
        <v>89</v>
      </c>
    </row>
    <row r="17" spans="2:5" x14ac:dyDescent="0.35">
      <c r="B17" s="16" t="s">
        <v>151</v>
      </c>
      <c r="C17" s="24">
        <v>228</v>
      </c>
      <c r="D17" s="24">
        <v>100</v>
      </c>
      <c r="E17" s="24">
        <v>76</v>
      </c>
    </row>
  </sheetData>
  <sortState xmlns:xlrd2="http://schemas.microsoft.com/office/spreadsheetml/2017/richdata2"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8dbc17e-cec9-4211-a89f-0bf74a616302"/>
    <ds:schemaRef ds:uri="2819d22d-c924-42b3-954a-d3b43813cc67"/>
    <ds:schemaRef ds:uri="http://www.w3.org/XML/1998/namespace"/>
  </ds:schemaRefs>
</ds:datastoreItem>
</file>

<file path=customXml/itemProps2.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Kayda Wescott</cp:lastModifiedBy>
  <cp:revision/>
  <dcterms:created xsi:type="dcterms:W3CDTF">2020-01-09T18:52:12Z</dcterms:created>
  <dcterms:modified xsi:type="dcterms:W3CDTF">2022-08-31T18:54:45Z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