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2E891474-6ABF-485D-86F4-CF339705FFDE}" xr6:coauthVersionLast="47" xr6:coauthVersionMax="47" xr10:uidLastSave="{00000000-0000-0000-0000-000000000000}"/>
  <bookViews>
    <workbookView xWindow="1560" yWindow="0" windowWidth="19320" windowHeight="11550" firstSheet="1" activeTab="4" xr2:uid="{00000000-000D-0000-FFFF-FFFF00000000}"/>
  </bookViews>
  <sheets>
    <sheet name="GRAPHS" sheetId="7" state="hidden" r:id="rId1"/>
    <sheet name="SIMPLE" sheetId="6" r:id="rId2"/>
    <sheet name="PL" sheetId="3" r:id="rId3"/>
    <sheet name="Report Data" sheetId="1" r:id="rId4"/>
    <sheet name="Report Info" sheetId="2" r:id="rId5"/>
  </sheets>
  <definedNames>
    <definedName name="_xlnm.Print_Area" localSheetId="2">PL!$A$1:$T$87</definedName>
    <definedName name="_xlnm.Print_Area" localSheetId="1">SIMPLE!$D$1:$Q$83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6" l="1"/>
  <c r="M8" i="6"/>
  <c r="P8" i="6"/>
  <c r="N9" i="6"/>
  <c r="M9" i="6"/>
  <c r="P9" i="6"/>
  <c r="N10" i="6"/>
  <c r="M10" i="6"/>
  <c r="P10" i="6"/>
  <c r="N11" i="6"/>
  <c r="M11" i="6"/>
  <c r="P11" i="6"/>
  <c r="N12" i="6"/>
  <c r="M12" i="6"/>
  <c r="P12" i="6"/>
  <c r="P13" i="6"/>
  <c r="N8" i="6"/>
  <c r="N14" i="6"/>
  <c r="M14" i="6"/>
  <c r="P14" i="6"/>
  <c r="N16" i="6"/>
  <c r="M16" i="6"/>
  <c r="P16" i="6"/>
  <c r="N17" i="6"/>
  <c r="M17" i="6"/>
  <c r="P17" i="6"/>
  <c r="N18" i="6"/>
  <c r="M18" i="6"/>
  <c r="P18" i="6"/>
  <c r="N19" i="6"/>
  <c r="M19" i="6"/>
  <c r="P19" i="6"/>
  <c r="N20" i="6"/>
  <c r="M20" i="6"/>
  <c r="P20" i="6"/>
  <c r="N21" i="6"/>
  <c r="M21" i="6"/>
  <c r="P21" i="6"/>
  <c r="N22" i="6"/>
  <c r="M22" i="6"/>
  <c r="P22" i="6"/>
  <c r="N23" i="6"/>
  <c r="M23" i="6"/>
  <c r="P23" i="6"/>
  <c r="N24" i="6"/>
  <c r="M24" i="6"/>
  <c r="P24" i="6"/>
  <c r="N26" i="6"/>
  <c r="M26" i="6"/>
  <c r="P26" i="6"/>
  <c r="N27" i="6"/>
  <c r="M27" i="6"/>
  <c r="P27" i="6"/>
  <c r="N28" i="6"/>
  <c r="M28" i="6"/>
  <c r="P28" i="6"/>
  <c r="N29" i="6"/>
  <c r="M29" i="6"/>
  <c r="P29" i="6"/>
  <c r="N30" i="6"/>
  <c r="M30" i="6"/>
  <c r="P30" i="6"/>
  <c r="N31" i="6"/>
  <c r="M31" i="6"/>
  <c r="P31" i="6"/>
  <c r="N32" i="6"/>
  <c r="M32" i="6"/>
  <c r="P32" i="6"/>
  <c r="N33" i="6"/>
  <c r="M33" i="6"/>
  <c r="P33" i="6"/>
  <c r="N34" i="6"/>
  <c r="M34" i="6"/>
  <c r="P34" i="6"/>
  <c r="N35" i="6"/>
  <c r="M35" i="6"/>
  <c r="P35" i="6"/>
  <c r="N36" i="6"/>
  <c r="M36" i="6"/>
  <c r="P36" i="6"/>
  <c r="N37" i="6"/>
  <c r="M37" i="6"/>
  <c r="P37" i="6"/>
  <c r="N38" i="6"/>
  <c r="M38" i="6"/>
  <c r="P38" i="6"/>
  <c r="N39" i="6"/>
  <c r="M39" i="6"/>
  <c r="P39" i="6"/>
  <c r="N40" i="6"/>
  <c r="M40" i="6"/>
  <c r="P40" i="6"/>
  <c r="N41" i="6"/>
  <c r="M41" i="6"/>
  <c r="P41" i="6"/>
  <c r="N42" i="6"/>
  <c r="M42" i="6"/>
  <c r="P42" i="6"/>
  <c r="N43" i="6"/>
  <c r="M43" i="6"/>
  <c r="P43" i="6"/>
  <c r="N45" i="6"/>
  <c r="M45" i="6"/>
  <c r="P45" i="6"/>
  <c r="N47" i="6"/>
  <c r="M47" i="6"/>
  <c r="P47" i="6"/>
  <c r="N50" i="6"/>
  <c r="M50" i="6"/>
  <c r="P50" i="6"/>
  <c r="N51" i="6"/>
  <c r="M51" i="6"/>
  <c r="P51" i="6"/>
  <c r="N52" i="6"/>
  <c r="M52" i="6"/>
  <c r="P52" i="6"/>
  <c r="N53" i="6"/>
  <c r="M53" i="6"/>
  <c r="P53" i="6"/>
  <c r="N54" i="6"/>
  <c r="M54" i="6"/>
  <c r="P54" i="6"/>
  <c r="N55" i="6"/>
  <c r="M55" i="6"/>
  <c r="P55" i="6"/>
  <c r="N56" i="6"/>
  <c r="M56" i="6"/>
  <c r="P56" i="6"/>
  <c r="N57" i="6"/>
  <c r="M57" i="6"/>
  <c r="P57" i="6"/>
  <c r="N58" i="6"/>
  <c r="M58" i="6"/>
  <c r="P58" i="6"/>
  <c r="N59" i="6"/>
  <c r="M59" i="6"/>
  <c r="P59" i="6"/>
  <c r="N60" i="6"/>
  <c r="M60" i="6"/>
  <c r="P60" i="6"/>
  <c r="N61" i="6"/>
  <c r="M61" i="6"/>
  <c r="P61" i="6"/>
  <c r="N62" i="6"/>
  <c r="M62" i="6"/>
  <c r="P62" i="6"/>
  <c r="N63" i="6"/>
  <c r="M63" i="6"/>
  <c r="P63" i="6"/>
  <c r="N64" i="6"/>
  <c r="M64" i="6"/>
  <c r="P64" i="6"/>
  <c r="N65" i="6"/>
  <c r="M65" i="6"/>
  <c r="P65" i="6"/>
  <c r="N66" i="6"/>
  <c r="M66" i="6"/>
  <c r="P66" i="6"/>
  <c r="N67" i="6"/>
  <c r="M67" i="6"/>
  <c r="P67" i="6"/>
  <c r="N68" i="6"/>
  <c r="M68" i="6"/>
  <c r="P68" i="6"/>
  <c r="N69" i="6"/>
  <c r="M69" i="6"/>
  <c r="P69" i="6"/>
  <c r="N70" i="6"/>
  <c r="M70" i="6"/>
  <c r="P70" i="6"/>
  <c r="N71" i="6"/>
  <c r="M71" i="6"/>
  <c r="P71" i="6"/>
  <c r="N72" i="6"/>
  <c r="M72" i="6"/>
  <c r="P72" i="6"/>
  <c r="N74" i="6"/>
  <c r="M74" i="6"/>
  <c r="P74" i="6"/>
  <c r="N76" i="6"/>
  <c r="M76" i="6"/>
  <c r="P76" i="6"/>
  <c r="N78" i="6"/>
  <c r="M78" i="6"/>
  <c r="P78" i="6"/>
  <c r="N80" i="6"/>
  <c r="M80" i="6"/>
  <c r="P80" i="6"/>
  <c r="K8" i="6"/>
  <c r="Q8" i="6"/>
  <c r="K9" i="6"/>
  <c r="Q9" i="6"/>
  <c r="O28" i="3"/>
  <c r="O8" i="3"/>
  <c r="O9" i="3"/>
  <c r="O10" i="3"/>
  <c r="O11" i="3"/>
  <c r="O12" i="3"/>
  <c r="O14" i="3"/>
  <c r="O16" i="3"/>
  <c r="O17" i="3"/>
  <c r="O18" i="3"/>
  <c r="O19" i="3"/>
  <c r="O20" i="3"/>
  <c r="O22" i="3"/>
  <c r="O30" i="3"/>
  <c r="N25" i="3"/>
  <c r="O25" i="3"/>
  <c r="T25" i="3"/>
  <c r="M99" i="3"/>
  <c r="M61" i="3"/>
  <c r="M56" i="3"/>
  <c r="M57" i="3"/>
  <c r="M58" i="3"/>
  <c r="M59" i="3"/>
  <c r="M60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9" i="3"/>
  <c r="M100" i="3"/>
  <c r="M12" i="3"/>
  <c r="M11" i="3"/>
  <c r="M10" i="3"/>
  <c r="M9" i="3"/>
  <c r="M8" i="3"/>
  <c r="N6" i="6"/>
  <c r="N6" i="3"/>
  <c r="Q73" i="6"/>
  <c r="Q44" i="6"/>
  <c r="Q13" i="6"/>
  <c r="E25" i="3"/>
  <c r="E26" i="3"/>
  <c r="E28" i="3"/>
  <c r="F25" i="3"/>
  <c r="F26" i="3"/>
  <c r="F28" i="3"/>
  <c r="G25" i="3"/>
  <c r="G26" i="3"/>
  <c r="G28" i="3"/>
  <c r="I25" i="3"/>
  <c r="I26" i="3"/>
  <c r="I28" i="3"/>
  <c r="H25" i="3"/>
  <c r="H26" i="3"/>
  <c r="H28" i="3"/>
  <c r="J28" i="3"/>
  <c r="K28" i="3"/>
  <c r="L28" i="3"/>
  <c r="M28" i="3"/>
  <c r="N28" i="3"/>
  <c r="T28" i="3"/>
  <c r="R28" i="3"/>
  <c r="S28" i="3"/>
  <c r="O6" i="3"/>
  <c r="O5" i="6"/>
  <c r="E59" i="6"/>
  <c r="F59" i="6"/>
  <c r="G59" i="6"/>
  <c r="H59" i="6"/>
  <c r="I59" i="6"/>
  <c r="J59" i="6"/>
  <c r="K59" i="6"/>
  <c r="L59" i="6"/>
  <c r="O59" i="6"/>
  <c r="E60" i="6"/>
  <c r="F60" i="6"/>
  <c r="G60" i="6"/>
  <c r="H60" i="6"/>
  <c r="I60" i="6"/>
  <c r="J60" i="6"/>
  <c r="K60" i="6"/>
  <c r="Q60" i="6"/>
  <c r="L60" i="6"/>
  <c r="O60" i="6"/>
  <c r="E61" i="6"/>
  <c r="F61" i="6"/>
  <c r="G61" i="6"/>
  <c r="H61" i="6"/>
  <c r="I61" i="6"/>
  <c r="J61" i="6"/>
  <c r="K61" i="6"/>
  <c r="L61" i="6"/>
  <c r="O61" i="6"/>
  <c r="E62" i="6"/>
  <c r="F62" i="6"/>
  <c r="G62" i="6"/>
  <c r="H62" i="6"/>
  <c r="I62" i="6"/>
  <c r="J62" i="6"/>
  <c r="K62" i="6"/>
  <c r="L62" i="6"/>
  <c r="O62" i="6"/>
  <c r="E63" i="6"/>
  <c r="F63" i="6"/>
  <c r="G63" i="6"/>
  <c r="H63" i="6"/>
  <c r="I63" i="6"/>
  <c r="J63" i="6"/>
  <c r="K63" i="6"/>
  <c r="L63" i="6"/>
  <c r="O63" i="6"/>
  <c r="E64" i="6"/>
  <c r="F64" i="6"/>
  <c r="G64" i="6"/>
  <c r="H64" i="6"/>
  <c r="I64" i="6"/>
  <c r="J64" i="6"/>
  <c r="K64" i="6"/>
  <c r="L64" i="6"/>
  <c r="O64" i="6"/>
  <c r="E65" i="6"/>
  <c r="F65" i="6"/>
  <c r="G65" i="6"/>
  <c r="H65" i="6"/>
  <c r="I65" i="6"/>
  <c r="J65" i="6"/>
  <c r="K65" i="6"/>
  <c r="Q65" i="6"/>
  <c r="L65" i="6"/>
  <c r="O65" i="6"/>
  <c r="E66" i="6"/>
  <c r="F66" i="6"/>
  <c r="G66" i="6"/>
  <c r="H66" i="6"/>
  <c r="I66" i="6"/>
  <c r="J66" i="6"/>
  <c r="K66" i="6"/>
  <c r="L66" i="6"/>
  <c r="O66" i="6"/>
  <c r="E67" i="6"/>
  <c r="F67" i="6"/>
  <c r="G67" i="6"/>
  <c r="H67" i="6"/>
  <c r="I67" i="6"/>
  <c r="J67" i="6"/>
  <c r="K67" i="6"/>
  <c r="L67" i="6"/>
  <c r="O67" i="6"/>
  <c r="E68" i="6"/>
  <c r="F68" i="6"/>
  <c r="G68" i="6"/>
  <c r="H68" i="6"/>
  <c r="I68" i="6"/>
  <c r="J68" i="6"/>
  <c r="K68" i="6"/>
  <c r="Q68" i="6"/>
  <c r="L68" i="6"/>
  <c r="O68" i="6"/>
  <c r="E69" i="6"/>
  <c r="F69" i="6"/>
  <c r="G69" i="6"/>
  <c r="H69" i="6"/>
  <c r="I69" i="6"/>
  <c r="J69" i="6"/>
  <c r="K69" i="6"/>
  <c r="L69" i="6"/>
  <c r="O69" i="6"/>
  <c r="E70" i="6"/>
  <c r="F70" i="6"/>
  <c r="G70" i="6"/>
  <c r="H70" i="6"/>
  <c r="I70" i="6"/>
  <c r="J70" i="6"/>
  <c r="K70" i="6"/>
  <c r="L70" i="6"/>
  <c r="O70" i="6"/>
  <c r="E71" i="6"/>
  <c r="F71" i="6"/>
  <c r="G71" i="6"/>
  <c r="H71" i="6"/>
  <c r="I71" i="6"/>
  <c r="J71" i="6"/>
  <c r="K71" i="6"/>
  <c r="L71" i="6"/>
  <c r="O71" i="6"/>
  <c r="D60" i="6"/>
  <c r="D61" i="6"/>
  <c r="D62" i="6"/>
  <c r="D63" i="6"/>
  <c r="D64" i="6"/>
  <c r="D65" i="6"/>
  <c r="D66" i="6"/>
  <c r="D67" i="6"/>
  <c r="D68" i="6"/>
  <c r="D69" i="6"/>
  <c r="D70" i="6"/>
  <c r="D71" i="6"/>
  <c r="D59" i="6"/>
  <c r="D69" i="3"/>
  <c r="D66" i="3"/>
  <c r="D67" i="3"/>
  <c r="D68" i="3"/>
  <c r="D70" i="3"/>
  <c r="D71" i="3"/>
  <c r="D72" i="3"/>
  <c r="D73" i="3"/>
  <c r="D74" i="3"/>
  <c r="D75" i="3"/>
  <c r="D76" i="3"/>
  <c r="D77" i="3"/>
  <c r="D65" i="3"/>
  <c r="Q70" i="6"/>
  <c r="Q61" i="6"/>
  <c r="Q63" i="6"/>
  <c r="Q69" i="6"/>
  <c r="Q62" i="6"/>
  <c r="Q64" i="6"/>
  <c r="Q66" i="6"/>
  <c r="Q67" i="6"/>
  <c r="Q71" i="6"/>
  <c r="Q59" i="6"/>
  <c r="E65" i="3"/>
  <c r="F65" i="3"/>
  <c r="G65" i="3"/>
  <c r="H65" i="3"/>
  <c r="I65" i="3"/>
  <c r="J65" i="3"/>
  <c r="K65" i="3"/>
  <c r="L65" i="3"/>
  <c r="N65" i="3"/>
  <c r="O65" i="3"/>
  <c r="E66" i="3"/>
  <c r="F66" i="3"/>
  <c r="G66" i="3"/>
  <c r="H66" i="3"/>
  <c r="I66" i="3"/>
  <c r="J66" i="3"/>
  <c r="K66" i="3"/>
  <c r="L66" i="3"/>
  <c r="N66" i="3"/>
  <c r="O66" i="3"/>
  <c r="E67" i="3"/>
  <c r="F67" i="3"/>
  <c r="G67" i="3"/>
  <c r="H67" i="3"/>
  <c r="I67" i="3"/>
  <c r="J67" i="3"/>
  <c r="K67" i="3"/>
  <c r="L67" i="3"/>
  <c r="N67" i="3"/>
  <c r="O67" i="3"/>
  <c r="E68" i="3"/>
  <c r="F68" i="3"/>
  <c r="G68" i="3"/>
  <c r="H68" i="3"/>
  <c r="I68" i="3"/>
  <c r="J68" i="3"/>
  <c r="K68" i="3"/>
  <c r="L68" i="3"/>
  <c r="N68" i="3"/>
  <c r="O68" i="3"/>
  <c r="E69" i="3"/>
  <c r="F69" i="3"/>
  <c r="G69" i="3"/>
  <c r="H69" i="3"/>
  <c r="I69" i="3"/>
  <c r="J69" i="3"/>
  <c r="K69" i="3"/>
  <c r="L69" i="3"/>
  <c r="N69" i="3"/>
  <c r="O69" i="3"/>
  <c r="E70" i="3"/>
  <c r="F70" i="3"/>
  <c r="G70" i="3"/>
  <c r="H70" i="3"/>
  <c r="I70" i="3"/>
  <c r="J70" i="3"/>
  <c r="K70" i="3"/>
  <c r="L70" i="3"/>
  <c r="N70" i="3"/>
  <c r="O70" i="3"/>
  <c r="E71" i="3"/>
  <c r="F71" i="3"/>
  <c r="G71" i="3"/>
  <c r="H71" i="3"/>
  <c r="I71" i="3"/>
  <c r="J71" i="3"/>
  <c r="K71" i="3"/>
  <c r="L71" i="3"/>
  <c r="N71" i="3"/>
  <c r="O71" i="3"/>
  <c r="E72" i="3"/>
  <c r="F72" i="3"/>
  <c r="G72" i="3"/>
  <c r="H72" i="3"/>
  <c r="I72" i="3"/>
  <c r="J72" i="3"/>
  <c r="K72" i="3"/>
  <c r="L72" i="3"/>
  <c r="N72" i="3"/>
  <c r="O72" i="3"/>
  <c r="E73" i="3"/>
  <c r="F73" i="3"/>
  <c r="G73" i="3"/>
  <c r="H73" i="3"/>
  <c r="I73" i="3"/>
  <c r="J73" i="3"/>
  <c r="K73" i="3"/>
  <c r="L73" i="3"/>
  <c r="N73" i="3"/>
  <c r="O73" i="3"/>
  <c r="E74" i="3"/>
  <c r="F74" i="3"/>
  <c r="G74" i="3"/>
  <c r="H74" i="3"/>
  <c r="I74" i="3"/>
  <c r="J74" i="3"/>
  <c r="K74" i="3"/>
  <c r="L74" i="3"/>
  <c r="N74" i="3"/>
  <c r="O74" i="3"/>
  <c r="E75" i="3"/>
  <c r="F75" i="3"/>
  <c r="G75" i="3"/>
  <c r="H75" i="3"/>
  <c r="I75" i="3"/>
  <c r="J75" i="3"/>
  <c r="K75" i="3"/>
  <c r="L75" i="3"/>
  <c r="N75" i="3"/>
  <c r="O75" i="3"/>
  <c r="E76" i="3"/>
  <c r="F76" i="3"/>
  <c r="G76" i="3"/>
  <c r="H76" i="3"/>
  <c r="I76" i="3"/>
  <c r="J76" i="3"/>
  <c r="K76" i="3"/>
  <c r="L76" i="3"/>
  <c r="N76" i="3"/>
  <c r="O76" i="3"/>
  <c r="E77" i="3"/>
  <c r="F77" i="3"/>
  <c r="G77" i="3"/>
  <c r="H77" i="3"/>
  <c r="I77" i="3"/>
  <c r="J77" i="3"/>
  <c r="K77" i="3"/>
  <c r="L77" i="3"/>
  <c r="N77" i="3"/>
  <c r="O77" i="3"/>
  <c r="E41" i="3"/>
  <c r="F41" i="3"/>
  <c r="G41" i="3"/>
  <c r="H41" i="3"/>
  <c r="I41" i="3"/>
  <c r="J41" i="3"/>
  <c r="K41" i="3"/>
  <c r="L41" i="3"/>
  <c r="M41" i="3"/>
  <c r="N41" i="3"/>
  <c r="O41" i="3"/>
  <c r="L36" i="6"/>
  <c r="Q36" i="6"/>
  <c r="O36" i="6"/>
  <c r="R78" i="3"/>
  <c r="R50" i="3"/>
  <c r="T68" i="3"/>
  <c r="T65" i="3"/>
  <c r="T77" i="3"/>
  <c r="T76" i="3"/>
  <c r="R65" i="3"/>
  <c r="R72" i="3"/>
  <c r="R71" i="3"/>
  <c r="R77" i="3"/>
  <c r="R66" i="3"/>
  <c r="T70" i="3"/>
  <c r="R69" i="3"/>
  <c r="T74" i="3"/>
  <c r="R74" i="3"/>
  <c r="S65" i="3"/>
  <c r="S66" i="3"/>
  <c r="S71" i="3"/>
  <c r="T69" i="3"/>
  <c r="R68" i="3"/>
  <c r="R70" i="3"/>
  <c r="R76" i="3"/>
  <c r="T73" i="3"/>
  <c r="T72" i="3"/>
  <c r="T71" i="3"/>
  <c r="S70" i="3"/>
  <c r="T67" i="3"/>
  <c r="T66" i="3"/>
  <c r="S77" i="3"/>
  <c r="T75" i="3"/>
  <c r="R73" i="3"/>
  <c r="R67" i="3"/>
  <c r="R41" i="3"/>
  <c r="R75" i="3"/>
  <c r="S76" i="3"/>
  <c r="S75" i="3"/>
  <c r="S69" i="3"/>
  <c r="S74" i="3"/>
  <c r="S68" i="3"/>
  <c r="S73" i="3"/>
  <c r="S67" i="3"/>
  <c r="S72" i="3"/>
  <c r="T41" i="3"/>
  <c r="S41" i="3"/>
  <c r="T78" i="3"/>
  <c r="T50" i="3"/>
  <c r="S78" i="3"/>
  <c r="S50" i="3"/>
  <c r="M6" i="6"/>
  <c r="Q30" i="3"/>
  <c r="P30" i="3"/>
  <c r="O49" i="3"/>
  <c r="N49" i="3"/>
  <c r="M49" i="3"/>
  <c r="L49" i="3"/>
  <c r="K49" i="3"/>
  <c r="J49" i="3"/>
  <c r="I49" i="3"/>
  <c r="H49" i="3"/>
  <c r="G49" i="3"/>
  <c r="F49" i="3"/>
  <c r="E49" i="3"/>
  <c r="O48" i="3"/>
  <c r="N48" i="3"/>
  <c r="M48" i="3"/>
  <c r="L48" i="3"/>
  <c r="K48" i="3"/>
  <c r="J48" i="3"/>
  <c r="I48" i="3"/>
  <c r="H48" i="3"/>
  <c r="G48" i="3"/>
  <c r="F48" i="3"/>
  <c r="E48" i="3"/>
  <c r="O47" i="3"/>
  <c r="N47" i="3"/>
  <c r="M47" i="3"/>
  <c r="L47" i="3"/>
  <c r="K47" i="3"/>
  <c r="J47" i="3"/>
  <c r="I47" i="3"/>
  <c r="H47" i="3"/>
  <c r="G47" i="3"/>
  <c r="F47" i="3"/>
  <c r="E47" i="3"/>
  <c r="O46" i="3"/>
  <c r="N46" i="3"/>
  <c r="M46" i="3"/>
  <c r="L46" i="3"/>
  <c r="K46" i="3"/>
  <c r="J46" i="3"/>
  <c r="I46" i="3"/>
  <c r="H46" i="3"/>
  <c r="G46" i="3"/>
  <c r="F46" i="3"/>
  <c r="E46" i="3"/>
  <c r="O45" i="3"/>
  <c r="N45" i="3"/>
  <c r="M45" i="3"/>
  <c r="L45" i="3"/>
  <c r="K45" i="3"/>
  <c r="J45" i="3"/>
  <c r="I45" i="3"/>
  <c r="H45" i="3"/>
  <c r="G45" i="3"/>
  <c r="F45" i="3"/>
  <c r="E45" i="3"/>
  <c r="O44" i="3"/>
  <c r="N44" i="3"/>
  <c r="M44" i="3"/>
  <c r="L44" i="3"/>
  <c r="K44" i="3"/>
  <c r="J44" i="3"/>
  <c r="I44" i="3"/>
  <c r="H44" i="3"/>
  <c r="G44" i="3"/>
  <c r="F44" i="3"/>
  <c r="E44" i="3"/>
  <c r="O43" i="3"/>
  <c r="N43" i="3"/>
  <c r="M43" i="3"/>
  <c r="L43" i="3"/>
  <c r="K43" i="3"/>
  <c r="J43" i="3"/>
  <c r="I43" i="3"/>
  <c r="H43" i="3"/>
  <c r="G43" i="3"/>
  <c r="F43" i="3"/>
  <c r="E43" i="3"/>
  <c r="T47" i="3"/>
  <c r="T45" i="3"/>
  <c r="T44" i="3"/>
  <c r="T46" i="3"/>
  <c r="T43" i="3"/>
  <c r="T49" i="3"/>
  <c r="T48" i="3"/>
  <c r="R44" i="3"/>
  <c r="R46" i="3"/>
  <c r="R49" i="3"/>
  <c r="R45" i="3"/>
  <c r="R43" i="3"/>
  <c r="R48" i="3"/>
  <c r="R47" i="3"/>
  <c r="S49" i="3"/>
  <c r="S44" i="3"/>
  <c r="S48" i="3"/>
  <c r="S43" i="3"/>
  <c r="S47" i="3"/>
  <c r="S46" i="3"/>
  <c r="S45" i="3"/>
  <c r="M25" i="3"/>
  <c r="L25" i="3"/>
  <c r="K25" i="3"/>
  <c r="J25" i="3"/>
  <c r="R25" i="3"/>
  <c r="S25" i="3"/>
  <c r="O95" i="3"/>
  <c r="N95" i="3"/>
  <c r="M95" i="3"/>
  <c r="L95" i="3"/>
  <c r="K95" i="3"/>
  <c r="J95" i="3"/>
  <c r="I95" i="3"/>
  <c r="H95" i="3"/>
  <c r="G95" i="3"/>
  <c r="F95" i="3"/>
  <c r="E95" i="3"/>
  <c r="P96" i="3"/>
  <c r="O23" i="6"/>
  <c r="L23" i="6"/>
  <c r="K23" i="6"/>
  <c r="Q23" i="6"/>
  <c r="J23" i="6"/>
  <c r="I23" i="6"/>
  <c r="H23" i="6"/>
  <c r="G23" i="6"/>
  <c r="F23" i="6"/>
  <c r="E23" i="6"/>
  <c r="O26" i="3"/>
  <c r="N26" i="3"/>
  <c r="M26" i="3"/>
  <c r="L26" i="3"/>
  <c r="K26" i="3"/>
  <c r="J26" i="3"/>
  <c r="O24" i="3"/>
  <c r="O96" i="3"/>
  <c r="N24" i="3"/>
  <c r="M24" i="3"/>
  <c r="L24" i="3"/>
  <c r="K24" i="3"/>
  <c r="K96" i="3"/>
  <c r="J24" i="3"/>
  <c r="J96" i="3"/>
  <c r="I24" i="3"/>
  <c r="H24" i="3"/>
  <c r="G24" i="3"/>
  <c r="G96" i="3"/>
  <c r="F24" i="3"/>
  <c r="E24" i="3"/>
  <c r="R24" i="3"/>
  <c r="T26" i="3"/>
  <c r="R26" i="3"/>
  <c r="S26" i="3"/>
  <c r="N96" i="3"/>
  <c r="T24" i="3"/>
  <c r="S24" i="3"/>
  <c r="F96" i="3"/>
  <c r="H96" i="3"/>
  <c r="L96" i="3"/>
  <c r="E96" i="3"/>
  <c r="I96" i="3"/>
  <c r="M96" i="3"/>
  <c r="D1" i="6"/>
  <c r="L6" i="6"/>
  <c r="O92" i="6"/>
  <c r="O90" i="6"/>
  <c r="O88" i="6"/>
  <c r="O86" i="6"/>
  <c r="O43" i="6"/>
  <c r="L43" i="6"/>
  <c r="K43" i="6"/>
  <c r="J43" i="6"/>
  <c r="I43" i="6"/>
  <c r="H43" i="6"/>
  <c r="G43" i="6"/>
  <c r="F43" i="6"/>
  <c r="E43" i="6"/>
  <c r="O42" i="6"/>
  <c r="L42" i="6"/>
  <c r="K42" i="6"/>
  <c r="J42" i="6"/>
  <c r="I42" i="6"/>
  <c r="H42" i="6"/>
  <c r="G42" i="6"/>
  <c r="F42" i="6"/>
  <c r="E42" i="6"/>
  <c r="O41" i="6"/>
  <c r="L41" i="6"/>
  <c r="K41" i="6"/>
  <c r="J41" i="6"/>
  <c r="I41" i="6"/>
  <c r="H41" i="6"/>
  <c r="G41" i="6"/>
  <c r="F41" i="6"/>
  <c r="E41" i="6"/>
  <c r="O40" i="6"/>
  <c r="L40" i="6"/>
  <c r="K40" i="6"/>
  <c r="J40" i="6"/>
  <c r="I40" i="6"/>
  <c r="H40" i="6"/>
  <c r="G40" i="6"/>
  <c r="F40" i="6"/>
  <c r="E40" i="6"/>
  <c r="O39" i="6"/>
  <c r="L39" i="6"/>
  <c r="K39" i="6"/>
  <c r="J39" i="6"/>
  <c r="I39" i="6"/>
  <c r="H39" i="6"/>
  <c r="G39" i="6"/>
  <c r="F39" i="6"/>
  <c r="E39" i="6"/>
  <c r="O38" i="6"/>
  <c r="L38" i="6"/>
  <c r="K38" i="6"/>
  <c r="J38" i="6"/>
  <c r="I38" i="6"/>
  <c r="H38" i="6"/>
  <c r="G38" i="6"/>
  <c r="F38" i="6"/>
  <c r="E38" i="6"/>
  <c r="O37" i="6"/>
  <c r="L37" i="6"/>
  <c r="K37" i="6"/>
  <c r="J37" i="6"/>
  <c r="I37" i="6"/>
  <c r="H37" i="6"/>
  <c r="G37" i="6"/>
  <c r="F37" i="6"/>
  <c r="E37" i="6"/>
  <c r="N92" i="6"/>
  <c r="M92" i="6"/>
  <c r="L92" i="6"/>
  <c r="K92" i="6"/>
  <c r="J92" i="6"/>
  <c r="I92" i="6"/>
  <c r="H92" i="6"/>
  <c r="G92" i="6"/>
  <c r="F92" i="6"/>
  <c r="E92" i="6"/>
  <c r="N90" i="6"/>
  <c r="M90" i="6"/>
  <c r="L90" i="6"/>
  <c r="K90" i="6"/>
  <c r="J90" i="6"/>
  <c r="I90" i="6"/>
  <c r="H90" i="6"/>
  <c r="G90" i="6"/>
  <c r="F90" i="6"/>
  <c r="E90" i="6"/>
  <c r="N88" i="6"/>
  <c r="M88" i="6"/>
  <c r="L88" i="6"/>
  <c r="K88" i="6"/>
  <c r="J88" i="6"/>
  <c r="I88" i="6"/>
  <c r="H88" i="6"/>
  <c r="G88" i="6"/>
  <c r="F88" i="6"/>
  <c r="E88" i="6"/>
  <c r="N86" i="6"/>
  <c r="M86" i="6"/>
  <c r="L86" i="6"/>
  <c r="K86" i="6"/>
  <c r="J86" i="6"/>
  <c r="I86" i="6"/>
  <c r="H86" i="6"/>
  <c r="G86" i="6"/>
  <c r="F86" i="6"/>
  <c r="E86" i="6"/>
  <c r="O78" i="6"/>
  <c r="L78" i="6"/>
  <c r="K78" i="6"/>
  <c r="J78" i="6"/>
  <c r="I78" i="6"/>
  <c r="H78" i="6"/>
  <c r="G78" i="6"/>
  <c r="F78" i="6"/>
  <c r="E78" i="6"/>
  <c r="O72" i="6"/>
  <c r="L72" i="6"/>
  <c r="K72" i="6"/>
  <c r="J72" i="6"/>
  <c r="I72" i="6"/>
  <c r="H72" i="6"/>
  <c r="G72" i="6"/>
  <c r="F72" i="6"/>
  <c r="E72" i="6"/>
  <c r="O58" i="6"/>
  <c r="L58" i="6"/>
  <c r="K58" i="6"/>
  <c r="Q58" i="6"/>
  <c r="J58" i="6"/>
  <c r="I58" i="6"/>
  <c r="H58" i="6"/>
  <c r="G58" i="6"/>
  <c r="F58" i="6"/>
  <c r="E58" i="6"/>
  <c r="O57" i="6"/>
  <c r="L57" i="6"/>
  <c r="K57" i="6"/>
  <c r="J57" i="6"/>
  <c r="I57" i="6"/>
  <c r="H57" i="6"/>
  <c r="G57" i="6"/>
  <c r="F57" i="6"/>
  <c r="E57" i="6"/>
  <c r="O56" i="6"/>
  <c r="L56" i="6"/>
  <c r="K56" i="6"/>
  <c r="J56" i="6"/>
  <c r="I56" i="6"/>
  <c r="H56" i="6"/>
  <c r="G56" i="6"/>
  <c r="F56" i="6"/>
  <c r="E56" i="6"/>
  <c r="O55" i="6"/>
  <c r="L55" i="6"/>
  <c r="K55" i="6"/>
  <c r="J55" i="6"/>
  <c r="I55" i="6"/>
  <c r="H55" i="6"/>
  <c r="G55" i="6"/>
  <c r="F55" i="6"/>
  <c r="E55" i="6"/>
  <c r="O54" i="6"/>
  <c r="L54" i="6"/>
  <c r="K54" i="6"/>
  <c r="J54" i="6"/>
  <c r="I54" i="6"/>
  <c r="H54" i="6"/>
  <c r="G54" i="6"/>
  <c r="F54" i="6"/>
  <c r="E54" i="6"/>
  <c r="O53" i="6"/>
  <c r="L53" i="6"/>
  <c r="K53" i="6"/>
  <c r="J53" i="6"/>
  <c r="I53" i="6"/>
  <c r="H53" i="6"/>
  <c r="G53" i="6"/>
  <c r="F53" i="6"/>
  <c r="E53" i="6"/>
  <c r="O52" i="6"/>
  <c r="L52" i="6"/>
  <c r="K52" i="6"/>
  <c r="J52" i="6"/>
  <c r="I52" i="6"/>
  <c r="H52" i="6"/>
  <c r="G52" i="6"/>
  <c r="F52" i="6"/>
  <c r="E52" i="6"/>
  <c r="O51" i="6"/>
  <c r="L51" i="6"/>
  <c r="K51" i="6"/>
  <c r="J51" i="6"/>
  <c r="I51" i="6"/>
  <c r="H51" i="6"/>
  <c r="G51" i="6"/>
  <c r="F51" i="6"/>
  <c r="E51" i="6"/>
  <c r="O50" i="6"/>
  <c r="L50" i="6"/>
  <c r="K50" i="6"/>
  <c r="Q50" i="6"/>
  <c r="J50" i="6"/>
  <c r="I50" i="6"/>
  <c r="H50" i="6"/>
  <c r="G50" i="6"/>
  <c r="F50" i="6"/>
  <c r="E50" i="6"/>
  <c r="O35" i="6"/>
  <c r="L35" i="6"/>
  <c r="K35" i="6"/>
  <c r="J35" i="6"/>
  <c r="I35" i="6"/>
  <c r="H35" i="6"/>
  <c r="G35" i="6"/>
  <c r="F35" i="6"/>
  <c r="E35" i="6"/>
  <c r="O34" i="6"/>
  <c r="L34" i="6"/>
  <c r="K34" i="6"/>
  <c r="J34" i="6"/>
  <c r="I34" i="6"/>
  <c r="H34" i="6"/>
  <c r="G34" i="6"/>
  <c r="F34" i="6"/>
  <c r="E34" i="6"/>
  <c r="O33" i="6"/>
  <c r="L33" i="6"/>
  <c r="K33" i="6"/>
  <c r="J33" i="6"/>
  <c r="I33" i="6"/>
  <c r="H33" i="6"/>
  <c r="G33" i="6"/>
  <c r="F33" i="6"/>
  <c r="E33" i="6"/>
  <c r="O32" i="6"/>
  <c r="L32" i="6"/>
  <c r="K32" i="6"/>
  <c r="J32" i="6"/>
  <c r="I32" i="6"/>
  <c r="H32" i="6"/>
  <c r="G32" i="6"/>
  <c r="F32" i="6"/>
  <c r="E32" i="6"/>
  <c r="O31" i="6"/>
  <c r="L31" i="6"/>
  <c r="K31" i="6"/>
  <c r="Q31" i="6"/>
  <c r="J31" i="6"/>
  <c r="I31" i="6"/>
  <c r="H31" i="6"/>
  <c r="G31" i="6"/>
  <c r="F31" i="6"/>
  <c r="E31" i="6"/>
  <c r="O30" i="6"/>
  <c r="L30" i="6"/>
  <c r="K30" i="6"/>
  <c r="J30" i="6"/>
  <c r="I30" i="6"/>
  <c r="H30" i="6"/>
  <c r="G30" i="6"/>
  <c r="F30" i="6"/>
  <c r="E30" i="6"/>
  <c r="O29" i="6"/>
  <c r="L29" i="6"/>
  <c r="K29" i="6"/>
  <c r="J29" i="6"/>
  <c r="I29" i="6"/>
  <c r="H29" i="6"/>
  <c r="G29" i="6"/>
  <c r="F29" i="6"/>
  <c r="E29" i="6"/>
  <c r="O28" i="6"/>
  <c r="L28" i="6"/>
  <c r="K28" i="6"/>
  <c r="J28" i="6"/>
  <c r="I28" i="6"/>
  <c r="H28" i="6"/>
  <c r="G28" i="6"/>
  <c r="F28" i="6"/>
  <c r="E28" i="6"/>
  <c r="O27" i="6"/>
  <c r="L27" i="6"/>
  <c r="K27" i="6"/>
  <c r="J27" i="6"/>
  <c r="I27" i="6"/>
  <c r="H27" i="6"/>
  <c r="G27" i="6"/>
  <c r="F27" i="6"/>
  <c r="E27" i="6"/>
  <c r="O26" i="6"/>
  <c r="L26" i="6"/>
  <c r="K26" i="6"/>
  <c r="J26" i="6"/>
  <c r="I26" i="6"/>
  <c r="H26" i="6"/>
  <c r="G26" i="6"/>
  <c r="F26" i="6"/>
  <c r="E26" i="6"/>
  <c r="O20" i="6"/>
  <c r="L20" i="6"/>
  <c r="K20" i="6"/>
  <c r="Q20" i="6"/>
  <c r="J20" i="6"/>
  <c r="I20" i="6"/>
  <c r="H20" i="6"/>
  <c r="G20" i="6"/>
  <c r="F20" i="6"/>
  <c r="E20" i="6"/>
  <c r="O19" i="6"/>
  <c r="L19" i="6"/>
  <c r="K19" i="6"/>
  <c r="Q19" i="6"/>
  <c r="J19" i="6"/>
  <c r="I19" i="6"/>
  <c r="H19" i="6"/>
  <c r="G19" i="6"/>
  <c r="F19" i="6"/>
  <c r="E19" i="6"/>
  <c r="O18" i="6"/>
  <c r="L18" i="6"/>
  <c r="K18" i="6"/>
  <c r="J18" i="6"/>
  <c r="I18" i="6"/>
  <c r="H18" i="6"/>
  <c r="G18" i="6"/>
  <c r="F18" i="6"/>
  <c r="E18" i="6"/>
  <c r="O17" i="6"/>
  <c r="L17" i="6"/>
  <c r="K17" i="6"/>
  <c r="J17" i="6"/>
  <c r="I17" i="6"/>
  <c r="H17" i="6"/>
  <c r="G17" i="6"/>
  <c r="F17" i="6"/>
  <c r="E17" i="6"/>
  <c r="O16" i="6"/>
  <c r="L16" i="6"/>
  <c r="K16" i="6"/>
  <c r="J16" i="6"/>
  <c r="I16" i="6"/>
  <c r="H16" i="6"/>
  <c r="G16" i="6"/>
  <c r="F16" i="6"/>
  <c r="E16" i="6"/>
  <c r="O12" i="6"/>
  <c r="L12" i="6"/>
  <c r="K12" i="6"/>
  <c r="J12" i="6"/>
  <c r="I12" i="6"/>
  <c r="H12" i="6"/>
  <c r="G12" i="6"/>
  <c r="F12" i="6"/>
  <c r="E12" i="6"/>
  <c r="O11" i="6"/>
  <c r="L11" i="6"/>
  <c r="K11" i="6"/>
  <c r="J11" i="6"/>
  <c r="I11" i="6"/>
  <c r="H11" i="6"/>
  <c r="G11" i="6"/>
  <c r="F11" i="6"/>
  <c r="E11" i="6"/>
  <c r="O10" i="6"/>
  <c r="L10" i="6"/>
  <c r="K10" i="6"/>
  <c r="Q10" i="6"/>
  <c r="J10" i="6"/>
  <c r="I10" i="6"/>
  <c r="H10" i="6"/>
  <c r="G10" i="6"/>
  <c r="F10" i="6"/>
  <c r="E10" i="6"/>
  <c r="O9" i="6"/>
  <c r="L9" i="6"/>
  <c r="J9" i="6"/>
  <c r="I9" i="6"/>
  <c r="H9" i="6"/>
  <c r="G9" i="6"/>
  <c r="F9" i="6"/>
  <c r="E9" i="6"/>
  <c r="L8" i="6"/>
  <c r="J8" i="6"/>
  <c r="I8" i="6"/>
  <c r="H8" i="6"/>
  <c r="G8" i="6"/>
  <c r="F8" i="6"/>
  <c r="E8" i="6"/>
  <c r="K6" i="6"/>
  <c r="J6" i="6"/>
  <c r="I6" i="6"/>
  <c r="H6" i="6"/>
  <c r="G6" i="6"/>
  <c r="F6" i="6"/>
  <c r="S6" i="6"/>
  <c r="E6" i="6"/>
  <c r="D2" i="6"/>
  <c r="N17" i="3"/>
  <c r="M17" i="3"/>
  <c r="L17" i="3"/>
  <c r="K17" i="3"/>
  <c r="J17" i="3"/>
  <c r="I17" i="3"/>
  <c r="H17" i="3"/>
  <c r="G17" i="3"/>
  <c r="F17" i="3"/>
  <c r="E17" i="3"/>
  <c r="O99" i="3"/>
  <c r="N99" i="3"/>
  <c r="L99" i="3"/>
  <c r="K99" i="3"/>
  <c r="J99" i="3"/>
  <c r="I99" i="3"/>
  <c r="H99" i="3"/>
  <c r="G99" i="3"/>
  <c r="F99" i="3"/>
  <c r="E99" i="3"/>
  <c r="O97" i="3"/>
  <c r="O93" i="3"/>
  <c r="O91" i="3"/>
  <c r="N97" i="3"/>
  <c r="N93" i="3"/>
  <c r="N91" i="3"/>
  <c r="M97" i="3"/>
  <c r="M93" i="3"/>
  <c r="M91" i="3"/>
  <c r="L97" i="3"/>
  <c r="L93" i="3"/>
  <c r="L91" i="3"/>
  <c r="K97" i="3"/>
  <c r="K93" i="3"/>
  <c r="K91" i="3"/>
  <c r="H97" i="3"/>
  <c r="H93" i="3"/>
  <c r="H91" i="3"/>
  <c r="G97" i="3"/>
  <c r="G93" i="3"/>
  <c r="G91" i="3"/>
  <c r="F97" i="3"/>
  <c r="F93" i="3"/>
  <c r="F91" i="3"/>
  <c r="E97" i="3"/>
  <c r="E93" i="3"/>
  <c r="E91" i="3"/>
  <c r="I97" i="3"/>
  <c r="I93" i="3"/>
  <c r="I91" i="3"/>
  <c r="Q97" i="3"/>
  <c r="P97" i="3"/>
  <c r="Q93" i="3"/>
  <c r="P93" i="3"/>
  <c r="Q91" i="3"/>
  <c r="P91" i="3"/>
  <c r="J97" i="3"/>
  <c r="J93" i="3"/>
  <c r="J91" i="3"/>
  <c r="C2" i="7"/>
  <c r="M6" i="3"/>
  <c r="L6" i="3"/>
  <c r="E10" i="3"/>
  <c r="F10" i="3"/>
  <c r="G10" i="3"/>
  <c r="H10" i="3"/>
  <c r="I10" i="3"/>
  <c r="J10" i="3"/>
  <c r="K10" i="3"/>
  <c r="L10" i="3"/>
  <c r="N10" i="3"/>
  <c r="E6" i="3"/>
  <c r="D3" i="3"/>
  <c r="D2" i="3"/>
  <c r="D1" i="3"/>
  <c r="J6" i="3"/>
  <c r="H6" i="3"/>
  <c r="F6" i="3"/>
  <c r="K6" i="3"/>
  <c r="I6" i="3"/>
  <c r="G6" i="3"/>
  <c r="O83" i="3"/>
  <c r="O64" i="3"/>
  <c r="O63" i="3"/>
  <c r="O62" i="3"/>
  <c r="O61" i="3"/>
  <c r="O60" i="3"/>
  <c r="O59" i="3"/>
  <c r="O58" i="3"/>
  <c r="O57" i="3"/>
  <c r="O56" i="3"/>
  <c r="O42" i="3"/>
  <c r="O40" i="3"/>
  <c r="O39" i="3"/>
  <c r="O38" i="3"/>
  <c r="O37" i="3"/>
  <c r="O36" i="3"/>
  <c r="O35" i="3"/>
  <c r="O34" i="3"/>
  <c r="O33" i="3"/>
  <c r="O32" i="3"/>
  <c r="N83" i="3"/>
  <c r="N64" i="3"/>
  <c r="N63" i="3"/>
  <c r="N62" i="3"/>
  <c r="N61" i="3"/>
  <c r="N60" i="3"/>
  <c r="N59" i="3"/>
  <c r="N58" i="3"/>
  <c r="N57" i="3"/>
  <c r="N56" i="3"/>
  <c r="N42" i="3"/>
  <c r="N40" i="3"/>
  <c r="N39" i="3"/>
  <c r="N38" i="3"/>
  <c r="N37" i="3"/>
  <c r="N36" i="3"/>
  <c r="N35" i="3"/>
  <c r="N34" i="3"/>
  <c r="N33" i="3"/>
  <c r="N32" i="3"/>
  <c r="N20" i="3"/>
  <c r="N19" i="3"/>
  <c r="N18" i="3"/>
  <c r="N16" i="3"/>
  <c r="N12" i="3"/>
  <c r="N11" i="3"/>
  <c r="N9" i="3"/>
  <c r="N8" i="3"/>
  <c r="M83" i="3"/>
  <c r="L83" i="3"/>
  <c r="K83" i="3"/>
  <c r="J83" i="3"/>
  <c r="I83" i="3"/>
  <c r="H83" i="3"/>
  <c r="G83" i="3"/>
  <c r="F83" i="3"/>
  <c r="E83" i="3"/>
  <c r="L64" i="3"/>
  <c r="L63" i="3"/>
  <c r="L62" i="3"/>
  <c r="L61" i="3"/>
  <c r="L60" i="3"/>
  <c r="L59" i="3"/>
  <c r="L58" i="3"/>
  <c r="L57" i="3"/>
  <c r="L56" i="3"/>
  <c r="K64" i="3"/>
  <c r="K63" i="3"/>
  <c r="K62" i="3"/>
  <c r="K61" i="3"/>
  <c r="K60" i="3"/>
  <c r="K59" i="3"/>
  <c r="K58" i="3"/>
  <c r="K57" i="3"/>
  <c r="K56" i="3"/>
  <c r="J64" i="3"/>
  <c r="J63" i="3"/>
  <c r="J62" i="3"/>
  <c r="J61" i="3"/>
  <c r="J60" i="3"/>
  <c r="J59" i="3"/>
  <c r="J58" i="3"/>
  <c r="J57" i="3"/>
  <c r="J56" i="3"/>
  <c r="I64" i="3"/>
  <c r="I63" i="3"/>
  <c r="I62" i="3"/>
  <c r="I61" i="3"/>
  <c r="I60" i="3"/>
  <c r="I59" i="3"/>
  <c r="I58" i="3"/>
  <c r="I57" i="3"/>
  <c r="I56" i="3"/>
  <c r="H64" i="3"/>
  <c r="H63" i="3"/>
  <c r="H62" i="3"/>
  <c r="H61" i="3"/>
  <c r="H60" i="3"/>
  <c r="H59" i="3"/>
  <c r="H58" i="3"/>
  <c r="H57" i="3"/>
  <c r="H56" i="3"/>
  <c r="G64" i="3"/>
  <c r="G63" i="3"/>
  <c r="G62" i="3"/>
  <c r="G61" i="3"/>
  <c r="G60" i="3"/>
  <c r="G59" i="3"/>
  <c r="G58" i="3"/>
  <c r="G57" i="3"/>
  <c r="G56" i="3"/>
  <c r="F64" i="3"/>
  <c r="F63" i="3"/>
  <c r="F62" i="3"/>
  <c r="F61" i="3"/>
  <c r="F60" i="3"/>
  <c r="F59" i="3"/>
  <c r="F58" i="3"/>
  <c r="F57" i="3"/>
  <c r="F56" i="3"/>
  <c r="M42" i="3"/>
  <c r="M40" i="3"/>
  <c r="M39" i="3"/>
  <c r="M38" i="3"/>
  <c r="M37" i="3"/>
  <c r="M36" i="3"/>
  <c r="M35" i="3"/>
  <c r="M34" i="3"/>
  <c r="M33" i="3"/>
  <c r="M32" i="3"/>
  <c r="L42" i="3"/>
  <c r="L40" i="3"/>
  <c r="L39" i="3"/>
  <c r="L38" i="3"/>
  <c r="L37" i="3"/>
  <c r="L36" i="3"/>
  <c r="L35" i="3"/>
  <c r="L34" i="3"/>
  <c r="L33" i="3"/>
  <c r="L32" i="3"/>
  <c r="K42" i="3"/>
  <c r="K40" i="3"/>
  <c r="K39" i="3"/>
  <c r="K38" i="3"/>
  <c r="K37" i="3"/>
  <c r="K36" i="3"/>
  <c r="K35" i="3"/>
  <c r="K34" i="3"/>
  <c r="K33" i="3"/>
  <c r="K32" i="3"/>
  <c r="J42" i="3"/>
  <c r="J40" i="3"/>
  <c r="J39" i="3"/>
  <c r="J38" i="3"/>
  <c r="J37" i="3"/>
  <c r="J36" i="3"/>
  <c r="J35" i="3"/>
  <c r="J34" i="3"/>
  <c r="J33" i="3"/>
  <c r="J32" i="3"/>
  <c r="I42" i="3"/>
  <c r="I40" i="3"/>
  <c r="I39" i="3"/>
  <c r="I38" i="3"/>
  <c r="I37" i="3"/>
  <c r="I36" i="3"/>
  <c r="I35" i="3"/>
  <c r="I34" i="3"/>
  <c r="I33" i="3"/>
  <c r="I32" i="3"/>
  <c r="H42" i="3"/>
  <c r="H40" i="3"/>
  <c r="H39" i="3"/>
  <c r="H38" i="3"/>
  <c r="H37" i="3"/>
  <c r="H36" i="3"/>
  <c r="H35" i="3"/>
  <c r="H34" i="3"/>
  <c r="H33" i="3"/>
  <c r="H32" i="3"/>
  <c r="G42" i="3"/>
  <c r="G40" i="3"/>
  <c r="G39" i="3"/>
  <c r="G38" i="3"/>
  <c r="G37" i="3"/>
  <c r="G36" i="3"/>
  <c r="G35" i="3"/>
  <c r="G34" i="3"/>
  <c r="G33" i="3"/>
  <c r="G32" i="3"/>
  <c r="F42" i="3"/>
  <c r="F40" i="3"/>
  <c r="F39" i="3"/>
  <c r="F38" i="3"/>
  <c r="F37" i="3"/>
  <c r="F36" i="3"/>
  <c r="F35" i="3"/>
  <c r="F34" i="3"/>
  <c r="F33" i="3"/>
  <c r="F32" i="3"/>
  <c r="E42" i="3"/>
  <c r="E40" i="3"/>
  <c r="E39" i="3"/>
  <c r="E38" i="3"/>
  <c r="E37" i="3"/>
  <c r="E36" i="3"/>
  <c r="E35" i="3"/>
  <c r="E34" i="3"/>
  <c r="E33" i="3"/>
  <c r="E32" i="3"/>
  <c r="E64" i="3"/>
  <c r="E63" i="3"/>
  <c r="E62" i="3"/>
  <c r="E61" i="3"/>
  <c r="E60" i="3"/>
  <c r="E59" i="3"/>
  <c r="E58" i="3"/>
  <c r="E57" i="3"/>
  <c r="E56" i="3"/>
  <c r="M20" i="3"/>
  <c r="M19" i="3"/>
  <c r="M18" i="3"/>
  <c r="M16" i="3"/>
  <c r="L20" i="3"/>
  <c r="L19" i="3"/>
  <c r="L18" i="3"/>
  <c r="L16" i="3"/>
  <c r="K20" i="3"/>
  <c r="K19" i="3"/>
  <c r="K18" i="3"/>
  <c r="K16" i="3"/>
  <c r="J20" i="3"/>
  <c r="J19" i="3"/>
  <c r="J18" i="3"/>
  <c r="J16" i="3"/>
  <c r="I20" i="3"/>
  <c r="I19" i="3"/>
  <c r="I18" i="3"/>
  <c r="I16" i="3"/>
  <c r="H20" i="3"/>
  <c r="H19" i="3"/>
  <c r="H18" i="3"/>
  <c r="H16" i="3"/>
  <c r="G20" i="3"/>
  <c r="G19" i="3"/>
  <c r="G18" i="3"/>
  <c r="G16" i="3"/>
  <c r="F20" i="3"/>
  <c r="F19" i="3"/>
  <c r="F18" i="3"/>
  <c r="F16" i="3"/>
  <c r="E20" i="3"/>
  <c r="E19" i="3"/>
  <c r="E18" i="3"/>
  <c r="E16" i="3"/>
  <c r="L12" i="3"/>
  <c r="L11" i="3"/>
  <c r="L9" i="3"/>
  <c r="L8" i="3"/>
  <c r="K12" i="3"/>
  <c r="K11" i="3"/>
  <c r="K9" i="3"/>
  <c r="K8" i="3"/>
  <c r="J12" i="3"/>
  <c r="J11" i="3"/>
  <c r="J9" i="3"/>
  <c r="J8" i="3"/>
  <c r="I12" i="3"/>
  <c r="I11" i="3"/>
  <c r="I9" i="3"/>
  <c r="I8" i="3"/>
  <c r="H12" i="3"/>
  <c r="H11" i="3"/>
  <c r="H9" i="3"/>
  <c r="H8" i="3"/>
  <c r="G12" i="3"/>
  <c r="G11" i="3"/>
  <c r="G9" i="3"/>
  <c r="G8" i="3"/>
  <c r="F12" i="3"/>
  <c r="F11" i="3"/>
  <c r="F9" i="3"/>
  <c r="F8" i="3"/>
  <c r="E12" i="3"/>
  <c r="E11" i="3"/>
  <c r="E9" i="3"/>
  <c r="E8" i="3"/>
  <c r="Q27" i="6"/>
  <c r="Q51" i="6"/>
  <c r="Q17" i="6"/>
  <c r="Q34" i="6"/>
  <c r="Q78" i="6"/>
  <c r="Q40" i="6"/>
  <c r="Q16" i="6"/>
  <c r="Q72" i="6"/>
  <c r="Q11" i="6"/>
  <c r="Q12" i="6"/>
  <c r="Q43" i="6"/>
  <c r="Q33" i="6"/>
  <c r="Q39" i="6"/>
  <c r="Q32" i="6"/>
  <c r="Q38" i="6"/>
  <c r="Q37" i="6"/>
  <c r="Q28" i="6"/>
  <c r="Q53" i="6"/>
  <c r="Q54" i="6"/>
  <c r="Q52" i="6"/>
  <c r="Q57" i="6"/>
  <c r="Q56" i="6"/>
  <c r="Q55" i="6"/>
  <c r="Q26" i="6"/>
  <c r="Q42" i="6"/>
  <c r="Q35" i="6"/>
  <c r="Q41" i="6"/>
  <c r="Q30" i="6"/>
  <c r="Q29" i="6"/>
  <c r="Q18" i="6"/>
  <c r="T38" i="3"/>
  <c r="J74" i="6"/>
  <c r="J93" i="6"/>
  <c r="T40" i="3"/>
  <c r="K74" i="6"/>
  <c r="L74" i="6"/>
  <c r="L93" i="6"/>
  <c r="R8" i="3"/>
  <c r="T33" i="3"/>
  <c r="R9" i="3"/>
  <c r="R12" i="3"/>
  <c r="I74" i="6"/>
  <c r="I93" i="6"/>
  <c r="O74" i="6"/>
  <c r="E74" i="6"/>
  <c r="E93" i="6"/>
  <c r="G74" i="6"/>
  <c r="G93" i="6"/>
  <c r="F74" i="6"/>
  <c r="F93" i="6"/>
  <c r="H74" i="6"/>
  <c r="H93" i="6"/>
  <c r="T34" i="3"/>
  <c r="O79" i="3"/>
  <c r="O100" i="3"/>
  <c r="G79" i="3"/>
  <c r="G100" i="3"/>
  <c r="L79" i="3"/>
  <c r="N79" i="3"/>
  <c r="F79" i="3"/>
  <c r="K79" i="3"/>
  <c r="K100" i="3"/>
  <c r="I79" i="3"/>
  <c r="I100" i="3"/>
  <c r="E79" i="3"/>
  <c r="E100" i="3"/>
  <c r="H79" i="3"/>
  <c r="H100" i="3"/>
  <c r="T36" i="3"/>
  <c r="T37" i="3"/>
  <c r="T39" i="3"/>
  <c r="T42" i="3"/>
  <c r="T32" i="3"/>
  <c r="T35" i="3"/>
  <c r="R18" i="3"/>
  <c r="S40" i="3"/>
  <c r="R40" i="3"/>
  <c r="T18" i="3"/>
  <c r="S42" i="3"/>
  <c r="R42" i="3"/>
  <c r="S57" i="3"/>
  <c r="R57" i="3"/>
  <c r="S32" i="3"/>
  <c r="R32" i="3"/>
  <c r="S58" i="3"/>
  <c r="R58" i="3"/>
  <c r="R6" i="3"/>
  <c r="R17" i="3"/>
  <c r="S33" i="3"/>
  <c r="R33" i="3"/>
  <c r="S59" i="3"/>
  <c r="R59" i="3"/>
  <c r="R16" i="3"/>
  <c r="S34" i="3"/>
  <c r="R34" i="3"/>
  <c r="S60" i="3"/>
  <c r="R60" i="3"/>
  <c r="R83" i="3"/>
  <c r="R10" i="3"/>
  <c r="S35" i="3"/>
  <c r="R35" i="3"/>
  <c r="S61" i="3"/>
  <c r="R61" i="3"/>
  <c r="S39" i="3"/>
  <c r="R39" i="3"/>
  <c r="S36" i="3"/>
  <c r="R36" i="3"/>
  <c r="S62" i="3"/>
  <c r="R62" i="3"/>
  <c r="T9" i="3"/>
  <c r="R20" i="3"/>
  <c r="S37" i="3"/>
  <c r="R37" i="3"/>
  <c r="S63" i="3"/>
  <c r="R63" i="3"/>
  <c r="S56" i="3"/>
  <c r="R56" i="3"/>
  <c r="S11" i="3"/>
  <c r="R11" i="3"/>
  <c r="S19" i="3"/>
  <c r="R19" i="3"/>
  <c r="S38" i="3"/>
  <c r="R38" i="3"/>
  <c r="S64" i="3"/>
  <c r="R64" i="3"/>
  <c r="T8" i="3"/>
  <c r="T16" i="3"/>
  <c r="T83" i="3"/>
  <c r="S8" i="3"/>
  <c r="C12" i="7"/>
  <c r="T62" i="3"/>
  <c r="C7" i="7"/>
  <c r="T59" i="3"/>
  <c r="C13" i="7"/>
  <c r="T63" i="3"/>
  <c r="S6" i="3"/>
  <c r="S17" i="3"/>
  <c r="C6" i="7"/>
  <c r="T58" i="3"/>
  <c r="T11" i="3"/>
  <c r="T19" i="3"/>
  <c r="C4" i="7"/>
  <c r="T56" i="3"/>
  <c r="C8" i="7"/>
  <c r="T60" i="3"/>
  <c r="C10" i="7"/>
  <c r="T64" i="3"/>
  <c r="T10" i="3"/>
  <c r="T17" i="3"/>
  <c r="T12" i="3"/>
  <c r="T20" i="3"/>
  <c r="C5" i="7"/>
  <c r="T57" i="3"/>
  <c r="C9" i="7"/>
  <c r="T61" i="3"/>
  <c r="C15" i="7"/>
  <c r="S12" i="3"/>
  <c r="S20" i="3"/>
  <c r="S9" i="3"/>
  <c r="S18" i="3"/>
  <c r="S16" i="3"/>
  <c r="S83" i="3"/>
  <c r="S10" i="3"/>
  <c r="S19" i="6"/>
  <c r="S11" i="6"/>
  <c r="S31" i="6"/>
  <c r="S53" i="6"/>
  <c r="S57" i="6"/>
  <c r="J14" i="3"/>
  <c r="J92" i="3"/>
  <c r="M51" i="3"/>
  <c r="I14" i="3"/>
  <c r="I22" i="3"/>
  <c r="I30" i="3"/>
  <c r="F14" i="3"/>
  <c r="S78" i="6"/>
  <c r="J79" i="3"/>
  <c r="J100" i="3"/>
  <c r="E14" i="3"/>
  <c r="E22" i="3"/>
  <c r="E30" i="3"/>
  <c r="F51" i="3"/>
  <c r="S27" i="6"/>
  <c r="S35" i="6"/>
  <c r="S50" i="6"/>
  <c r="S58" i="6"/>
  <c r="L45" i="6"/>
  <c r="S28" i="6"/>
  <c r="J45" i="6"/>
  <c r="S32" i="6"/>
  <c r="S18" i="6"/>
  <c r="S8" i="6"/>
  <c r="G51" i="3"/>
  <c r="H51" i="3"/>
  <c r="J51" i="3"/>
  <c r="K51" i="3"/>
  <c r="M14" i="3"/>
  <c r="G14" i="3"/>
  <c r="H14" i="3"/>
  <c r="H22" i="3"/>
  <c r="H30" i="3"/>
  <c r="K14" i="3"/>
  <c r="K22" i="3"/>
  <c r="K30" i="3"/>
  <c r="N14" i="3"/>
  <c r="O92" i="3"/>
  <c r="E14" i="6"/>
  <c r="E22" i="6"/>
  <c r="E24" i="6"/>
  <c r="F14" i="6"/>
  <c r="F87" i="6"/>
  <c r="S16" i="6"/>
  <c r="S20" i="6"/>
  <c r="S72" i="6"/>
  <c r="I51" i="3"/>
  <c r="E51" i="3"/>
  <c r="N51" i="3"/>
  <c r="O51" i="3"/>
  <c r="S54" i="6"/>
  <c r="S55" i="6"/>
  <c r="G45" i="6"/>
  <c r="K45" i="6"/>
  <c r="H45" i="6"/>
  <c r="E45" i="6"/>
  <c r="I45" i="6"/>
  <c r="S29" i="6"/>
  <c r="S33" i="6"/>
  <c r="L21" i="6"/>
  <c r="O21" i="6"/>
  <c r="S9" i="6"/>
  <c r="S12" i="6"/>
  <c r="G14" i="6"/>
  <c r="G87" i="6"/>
  <c r="O14" i="6"/>
  <c r="S52" i="6"/>
  <c r="S51" i="6"/>
  <c r="O45" i="6"/>
  <c r="I14" i="6"/>
  <c r="I22" i="6"/>
  <c r="J14" i="6"/>
  <c r="J87" i="6"/>
  <c r="K14" i="6"/>
  <c r="S10" i="6"/>
  <c r="H14" i="6"/>
  <c r="H22" i="6"/>
  <c r="L14" i="6"/>
  <c r="L14" i="3"/>
  <c r="L51" i="3"/>
  <c r="S26" i="6"/>
  <c r="S17" i="6"/>
  <c r="F45" i="6"/>
  <c r="S34" i="6"/>
  <c r="S30" i="6"/>
  <c r="Q21" i="6"/>
  <c r="S56" i="6"/>
  <c r="K22" i="6"/>
  <c r="K89" i="6"/>
  <c r="Q14" i="6"/>
  <c r="Q45" i="6"/>
  <c r="K93" i="6"/>
  <c r="Q74" i="6"/>
  <c r="R79" i="3"/>
  <c r="T79" i="3"/>
  <c r="R14" i="3"/>
  <c r="R51" i="3"/>
  <c r="C11" i="7"/>
  <c r="C18" i="7"/>
  <c r="T51" i="3"/>
  <c r="N92" i="3"/>
  <c r="T14" i="3"/>
  <c r="K53" i="3"/>
  <c r="K81" i="3"/>
  <c r="K98" i="3"/>
  <c r="S79" i="3"/>
  <c r="K92" i="3"/>
  <c r="H53" i="3"/>
  <c r="H81" i="3"/>
  <c r="H85" i="3"/>
  <c r="F92" i="3"/>
  <c r="F100" i="3"/>
  <c r="S14" i="3"/>
  <c r="S51" i="3"/>
  <c r="E87" i="6"/>
  <c r="N100" i="3"/>
  <c r="C17" i="7"/>
  <c r="D10" i="7"/>
  <c r="N87" i="6"/>
  <c r="E53" i="3"/>
  <c r="E81" i="3"/>
  <c r="E98" i="3"/>
  <c r="I94" i="3"/>
  <c r="I53" i="3"/>
  <c r="I81" i="3"/>
  <c r="E47" i="6"/>
  <c r="E76" i="6"/>
  <c r="F22" i="3"/>
  <c r="F30" i="3"/>
  <c r="H89" i="6"/>
  <c r="H24" i="6"/>
  <c r="H47" i="6"/>
  <c r="H76" i="6"/>
  <c r="H80" i="6"/>
  <c r="H83" i="6"/>
  <c r="I89" i="6"/>
  <c r="I24" i="6"/>
  <c r="I47" i="6"/>
  <c r="I76" i="6"/>
  <c r="I80" i="6"/>
  <c r="I83" i="6"/>
  <c r="J22" i="3"/>
  <c r="J30" i="3"/>
  <c r="J22" i="6"/>
  <c r="J89" i="6"/>
  <c r="I92" i="3"/>
  <c r="E92" i="3"/>
  <c r="O53" i="3"/>
  <c r="N22" i="3"/>
  <c r="N30" i="3"/>
  <c r="E94" i="3"/>
  <c r="L22" i="6"/>
  <c r="G22" i="6"/>
  <c r="H87" i="6"/>
  <c r="L87" i="6"/>
  <c r="S14" i="6"/>
  <c r="S45" i="6"/>
  <c r="O22" i="6"/>
  <c r="F22" i="6"/>
  <c r="O87" i="6"/>
  <c r="L100" i="3"/>
  <c r="M22" i="3"/>
  <c r="M30" i="3"/>
  <c r="M92" i="3"/>
  <c r="H92" i="3"/>
  <c r="G92" i="3"/>
  <c r="G22" i="3"/>
  <c r="G30" i="3"/>
  <c r="N93" i="6"/>
  <c r="M93" i="6"/>
  <c r="K87" i="6"/>
  <c r="I87" i="6"/>
  <c r="M87" i="6"/>
  <c r="E89" i="6"/>
  <c r="K94" i="3"/>
  <c r="O93" i="6"/>
  <c r="L22" i="3"/>
  <c r="L30" i="3"/>
  <c r="L92" i="3"/>
  <c r="H94" i="3"/>
  <c r="S74" i="6"/>
  <c r="K24" i="6"/>
  <c r="K47" i="6"/>
  <c r="Q22" i="6"/>
  <c r="R22" i="3"/>
  <c r="T22" i="3"/>
  <c r="O24" i="6"/>
  <c r="O47" i="6"/>
  <c r="S22" i="3"/>
  <c r="F94" i="3"/>
  <c r="J94" i="3"/>
  <c r="J53" i="3"/>
  <c r="J81" i="3"/>
  <c r="J98" i="3"/>
  <c r="N94" i="3"/>
  <c r="G94" i="3"/>
  <c r="G53" i="3"/>
  <c r="G81" i="3"/>
  <c r="E85" i="3"/>
  <c r="F89" i="6"/>
  <c r="F24" i="6"/>
  <c r="F47" i="6"/>
  <c r="F76" i="6"/>
  <c r="G24" i="6"/>
  <c r="G47" i="6"/>
  <c r="G76" i="6"/>
  <c r="Q24" i="6"/>
  <c r="N89" i="6"/>
  <c r="L89" i="6"/>
  <c r="L24" i="6"/>
  <c r="J24" i="6"/>
  <c r="J47" i="6"/>
  <c r="J76" i="6"/>
  <c r="O94" i="3"/>
  <c r="O81" i="3"/>
  <c r="O85" i="3"/>
  <c r="H98" i="3"/>
  <c r="I98" i="3"/>
  <c r="I85" i="3"/>
  <c r="G89" i="6"/>
  <c r="I91" i="6"/>
  <c r="O89" i="6"/>
  <c r="S22" i="6"/>
  <c r="H82" i="6"/>
  <c r="H91" i="6"/>
  <c r="I82" i="6"/>
  <c r="D5" i="7"/>
  <c r="D4" i="7"/>
  <c r="D15" i="7"/>
  <c r="D8" i="7"/>
  <c r="D9" i="7"/>
  <c r="D6" i="7"/>
  <c r="D12" i="7"/>
  <c r="D7" i="7"/>
  <c r="D13" i="7"/>
  <c r="M94" i="3"/>
  <c r="K85" i="3"/>
  <c r="L94" i="3"/>
  <c r="E82" i="6"/>
  <c r="E80" i="6"/>
  <c r="E83" i="6"/>
  <c r="E91" i="6"/>
  <c r="M89" i="6"/>
  <c r="K76" i="6"/>
  <c r="S30" i="3"/>
  <c r="R30" i="3"/>
  <c r="J85" i="3"/>
  <c r="N53" i="3"/>
  <c r="T30" i="3"/>
  <c r="O98" i="3"/>
  <c r="L53" i="3"/>
  <c r="L81" i="3"/>
  <c r="M53" i="3"/>
  <c r="F53" i="3"/>
  <c r="J82" i="6"/>
  <c r="J80" i="6"/>
  <c r="J83" i="6"/>
  <c r="G82" i="6"/>
  <c r="G91" i="6"/>
  <c r="G80" i="6"/>
  <c r="G83" i="6"/>
  <c r="L47" i="6"/>
  <c r="Q47" i="6"/>
  <c r="J91" i="6"/>
  <c r="D11" i="7"/>
  <c r="G98" i="3"/>
  <c r="G85" i="3"/>
  <c r="S47" i="6"/>
  <c r="O76" i="6"/>
  <c r="O82" i="6"/>
  <c r="F82" i="6"/>
  <c r="F91" i="6"/>
  <c r="F80" i="6"/>
  <c r="K82" i="6"/>
  <c r="K80" i="6"/>
  <c r="K91" i="6"/>
  <c r="S53" i="3"/>
  <c r="R53" i="3"/>
  <c r="N81" i="3"/>
  <c r="T53" i="3"/>
  <c r="M81" i="3"/>
  <c r="Q76" i="6"/>
  <c r="F81" i="3"/>
  <c r="L76" i="6"/>
  <c r="O91" i="6"/>
  <c r="S76" i="6"/>
  <c r="O80" i="6"/>
  <c r="F83" i="6"/>
  <c r="L98" i="3"/>
  <c r="L85" i="3"/>
  <c r="K83" i="6"/>
  <c r="S80" i="6"/>
  <c r="O83" i="6"/>
  <c r="S81" i="3"/>
  <c r="R81" i="3"/>
  <c r="M98" i="3"/>
  <c r="M85" i="3"/>
  <c r="M82" i="6"/>
  <c r="N85" i="3"/>
  <c r="T85" i="3"/>
  <c r="T81" i="3"/>
  <c r="N98" i="3"/>
  <c r="M91" i="6"/>
  <c r="Q80" i="6"/>
  <c r="N82" i="6"/>
  <c r="N91" i="6"/>
  <c r="F85" i="3"/>
  <c r="F98" i="3"/>
  <c r="L82" i="6"/>
  <c r="L80" i="6"/>
  <c r="L83" i="6"/>
  <c r="L91" i="6"/>
  <c r="S85" i="3"/>
  <c r="R85" i="3"/>
  <c r="M83" i="6"/>
  <c r="N83" i="6"/>
</calcChain>
</file>

<file path=xl/sharedStrings.xml><?xml version="1.0" encoding="utf-8"?>
<sst xmlns="http://schemas.openxmlformats.org/spreadsheetml/2006/main" count="450" uniqueCount="226">
  <si>
    <t>Accounts</t>
  </si>
  <si>
    <t/>
  </si>
  <si>
    <t>Actuals</t>
  </si>
  <si>
    <t>Gross Patient Care Revenue</t>
  </si>
  <si>
    <t>Total Gross Patient Care Revenue</t>
  </si>
  <si>
    <t>Net Patient Care Revenue</t>
  </si>
  <si>
    <t>Operating Expense</t>
  </si>
  <si>
    <t>Net Operating Income (Loss)</t>
  </si>
  <si>
    <t>SUMMARY STATEMENT OF REVENUE &amp; EXPENSE</t>
  </si>
  <si>
    <t>Description:</t>
  </si>
  <si>
    <t>REPORT 1</t>
  </si>
  <si>
    <t>Levels:</t>
  </si>
  <si>
    <t>Currency:</t>
  </si>
  <si>
    <t>United States of America, Dollars</t>
  </si>
  <si>
    <t>LOOKUP COLUMN</t>
  </si>
  <si>
    <t>REVENUES</t>
  </si>
  <si>
    <t>GROSS PATIENT CARE REVENUE</t>
  </si>
  <si>
    <t>OTHER OPERATING REVENUE</t>
  </si>
  <si>
    <t>NET PATIENT CARE REVENUE</t>
  </si>
  <si>
    <t>TOTAL OPERATING REVENUE</t>
  </si>
  <si>
    <t>OPERATING EXPENSE</t>
  </si>
  <si>
    <t>TOTAL OPERATING EXPENSE</t>
  </si>
  <si>
    <t>NET OPERATING INCOME (LOSS)</t>
  </si>
  <si>
    <t>EXCESS (DEFICIT) OF REVENUE OVER EXPENSE</t>
  </si>
  <si>
    <t>PERCENT CHANGE</t>
  </si>
  <si>
    <t>ANNUALIZED</t>
  </si>
  <si>
    <t>Gross Revenue</t>
  </si>
  <si>
    <t>Edits</t>
  </si>
  <si>
    <t xml:space="preserve">  [Payer2.Hospital] Hospital</t>
  </si>
  <si>
    <t xml:space="preserve">    [Payer2.Inpatient_Care_revenue] Inpatient Care Revenue</t>
  </si>
  <si>
    <t xml:space="preserve">    [Payer2.Outpatient_care_revenue] Outpatient Care Revenue</t>
  </si>
  <si>
    <t xml:space="preserve">    [Payer2.Chronic_SNF_PT_CARE_Revenue] Chronic/SNF PT Care Revenue</t>
  </si>
  <si>
    <t xml:space="preserve">    [Payer2.Swing_Beds_PT_CARE_Revenue] Swing Beds PT Care Revenue</t>
  </si>
  <si>
    <t xml:space="preserve">  [Payer2.Hospital] Total Hospital</t>
  </si>
  <si>
    <t xml:space="preserve">  [Payer2.Physician] Physician</t>
  </si>
  <si>
    <t xml:space="preserve">    [Payer2.Outpatient_care_Revenue_phys] Outpatient Care Revenue - Physician</t>
  </si>
  <si>
    <t xml:space="preserve">  [Payer2.Physician] Total Physician</t>
  </si>
  <si>
    <t>[Rev_Net_Revenue_Deductions] Net Revenue Deductions</t>
  </si>
  <si>
    <t xml:space="preserve">  [Rev_Disproportionate_Share_Pmts] Disproportionate Share Payments</t>
  </si>
  <si>
    <t xml:space="preserve">  [Rev_Bad_Debt_Free_Care] Bad Debt Free Care</t>
  </si>
  <si>
    <t xml:space="preserve">    [Rev_Bad_Debt] Bad Debt</t>
  </si>
  <si>
    <t xml:space="preserve">    [Rev_Free_Care] Free Care</t>
  </si>
  <si>
    <t xml:space="preserve">  [Rev_Bad_Debt_Free_Care] Total Bad Debt Free Care</t>
  </si>
  <si>
    <t xml:space="preserve">  [Rev_Deductions_from_Rev] Deductions from Revenue</t>
  </si>
  <si>
    <t>[Rev_Net_Revenue_Deductions] Total Net Revenue Deductions</t>
  </si>
  <si>
    <t>[Net_Patient_Care_Rev] Net Patient Care Revenue</t>
  </si>
  <si>
    <t>[Rev_Other_Operating_Rev] Other Operating Revenue</t>
  </si>
  <si>
    <t xml:space="preserve">  [Rev_Community_Foundation_Revenue] Community Foundation Revenue</t>
  </si>
  <si>
    <t xml:space="preserve">  [Rev_Grant_Inc] Grant Income</t>
  </si>
  <si>
    <t xml:space="preserve">  [Rev_Cafe_Parking] Cafeteria &amp; Parking</t>
  </si>
  <si>
    <t xml:space="preserve">  [Rev_Empl_Sales_Pharmacy] Employee Sales Pharmacy</t>
  </si>
  <si>
    <t xml:space="preserve">  [Rev_Empl_Sales_MedSurg_Supplies] Employee Sales Med Surg Supplies</t>
  </si>
  <si>
    <t xml:space="preserve">  [Rev_Sale_Of_Svcs_To_Othr_Orgs] Sale of Services to Other Organizations</t>
  </si>
  <si>
    <t xml:space="preserve">  [Rev_Phy_Office_Othr_Rentals] Physician Office and Other Rentals</t>
  </si>
  <si>
    <t xml:space="preserve">  [Rev_MeaningfulUse] Meaningful Use</t>
  </si>
  <si>
    <t xml:space="preserve">  [Rev_Other] Other</t>
  </si>
  <si>
    <t>[Rev_Other_Operating_Rev] Total Other Operating Revenue</t>
  </si>
  <si>
    <t>[Total_Operating_Revenue] Total Operating Revenue</t>
  </si>
  <si>
    <t>[OpEx] Operating Expense</t>
  </si>
  <si>
    <t xml:space="preserve">  [Exp_Salaries_NonMD] Salaries Non MD</t>
  </si>
  <si>
    <t xml:space="preserve">  [Exp_Fringe_Benefits_NonMD] Fringe Benefits Non MD</t>
  </si>
  <si>
    <t xml:space="preserve">  [Exp_Fringe_Benefits_MD] Fringe Benefits MD</t>
  </si>
  <si>
    <t xml:space="preserve">  [Exp_Health_Care_Provider_Tax] Health Care Provider Tax</t>
  </si>
  <si>
    <t xml:space="preserve">  [Exp_Depr_Amort] Depreciation Amortization</t>
  </si>
  <si>
    <t xml:space="preserve">  [Exp_Interest_ST] Interest - Short Term</t>
  </si>
  <si>
    <t xml:space="preserve">  [Exp_Interest_LT] Interest - Long Term</t>
  </si>
  <si>
    <t xml:space="preserve">  [Exp_Other_OpEx] Other Operating Expense</t>
  </si>
  <si>
    <t xml:space="preserve">  [Exp_Bad_Debt] Bad Debt</t>
  </si>
  <si>
    <t>[OpEx] Total Operating Expense</t>
  </si>
  <si>
    <t>[Net_Operating_Income_Loss] Net Operating Income (Loss)</t>
  </si>
  <si>
    <t>[Rev_Non_Operating_Revenue] Non-Operating Revenue</t>
  </si>
  <si>
    <t>[Excess_Rev_Over_Exp] Excess (Deficit) of Revenue Over Expense</t>
  </si>
  <si>
    <t>[Gross_Patient_Care_Rev] Gross Patient Care Revenue</t>
  </si>
  <si>
    <t>From above</t>
  </si>
  <si>
    <t xml:space="preserve">  INPATIENT CARE REVENUE</t>
  </si>
  <si>
    <t xml:space="preserve">  OUTPATIENT CARE REVENUE</t>
  </si>
  <si>
    <t xml:space="preserve">  OUTPATIENT CARE REVENUE - PHYSICIAN</t>
  </si>
  <si>
    <t xml:space="preserve">  CHRONIC/SNF PT CARE REVENUE</t>
  </si>
  <si>
    <t xml:space="preserve">  SWING BEDS PT CARE REVENUE</t>
  </si>
  <si>
    <t xml:space="preserve">  DISPROPORTIONATE SHARE PAYMENTS</t>
  </si>
  <si>
    <t xml:space="preserve">  BAD DEBT</t>
  </si>
  <si>
    <t xml:space="preserve">  FREE CARE</t>
  </si>
  <si>
    <t xml:space="preserve">  DEDUCTIONS FROM REVENUE</t>
  </si>
  <si>
    <t xml:space="preserve">  COMMUNITY FOUNDATION REVENUE</t>
  </si>
  <si>
    <t xml:space="preserve">  GRANT INCOME</t>
  </si>
  <si>
    <t xml:space="preserve">  CAFETERIA &amp; PARKING</t>
  </si>
  <si>
    <t xml:space="preserve">  EMPLOYEE SALES PHARMACY</t>
  </si>
  <si>
    <t xml:space="preserve">  EMPLOYEE SALES MED SURG SUPPLIES</t>
  </si>
  <si>
    <t xml:space="preserve">  SALE OF SERVICES TO OTHER ORGANIZATIONS</t>
  </si>
  <si>
    <t xml:space="preserve">  PHYSICIAN OFFICE AND OTHER RENTALS</t>
  </si>
  <si>
    <t xml:space="preserve">  MEANINGFUL USE</t>
  </si>
  <si>
    <t xml:space="preserve">  340B RETAIL PHARMACY PROGRAMS</t>
  </si>
  <si>
    <t xml:space="preserve">  OTHER</t>
  </si>
  <si>
    <t xml:space="preserve">  SALARIES NON MD</t>
  </si>
  <si>
    <t xml:space="preserve">  FRINGE BENEFITS NON MD</t>
  </si>
  <si>
    <t xml:space="preserve">  FRINGE BENEFITS MD</t>
  </si>
  <si>
    <t xml:space="preserve">  PHYSICIAN FEES SALARIES CONTRACTS &amp; FRINGES</t>
  </si>
  <si>
    <t xml:space="preserve">  HEALTH CARE PROVIDER TAX</t>
  </si>
  <si>
    <t xml:space="preserve">  DEPRECIATION AMORTIZATION</t>
  </si>
  <si>
    <t xml:space="preserve">  INTEREST - SHORT TERM</t>
  </si>
  <si>
    <t xml:space="preserve">  INTEREST - LONG TERM</t>
  </si>
  <si>
    <t xml:space="preserve">  OTHER OPERATING EXPENSE</t>
  </si>
  <si>
    <t>NON-OPERATING REVENUE</t>
  </si>
  <si>
    <t xml:space="preserve">  [Rev_GME_Medicaid] Graduate Medical Education</t>
  </si>
  <si>
    <t xml:space="preserve">  GRADUATE MEDICAL EDUCATION PAYMENTS</t>
  </si>
  <si>
    <t xml:space="preserve">  [Rev_340B_Retail_Pharmacy_Programs] 340B Retail Pharmacy Programs</t>
  </si>
  <si>
    <t xml:space="preserve">  [Rev_Misc_Contract_Income] Miscellaneous/Contract Income</t>
  </si>
  <si>
    <t xml:space="preserve">  [Rev_Prem_Rev_and_Payer_Incentives] Premium Revenue and Payer Incentives</t>
  </si>
  <si>
    <t xml:space="preserve">  [Rev_Specialty_Pharmacy] Specialty Pharmacy</t>
  </si>
  <si>
    <t xml:space="preserve">  [Rev_Outpatient_Pharmacy_Rev] Outpatient Pharmacy Revenue</t>
  </si>
  <si>
    <t xml:space="preserve">  [Rev_Reference_Lab_Revenue] Reference Lab Revenue</t>
  </si>
  <si>
    <t xml:space="preserve">  [Rev_Institutional_Svc_Rev] Institutional Services Revenue</t>
  </si>
  <si>
    <t xml:space="preserve">  [Rev_Reimb_Expenses] Reimbursed Expenses</t>
  </si>
  <si>
    <t xml:space="preserve">  MISCELLANEOUS/CONTRACT INCOME</t>
  </si>
  <si>
    <t xml:space="preserve">  PREMIUM REVENUE AND PAYER INCENTIVES</t>
  </si>
  <si>
    <t xml:space="preserve">  SPECIALTY PHARMACY</t>
  </si>
  <si>
    <t xml:space="preserve">  OUTPATIENT PHARMACY REVENUE</t>
  </si>
  <si>
    <t xml:space="preserve">  REFERENCE LAB REVENUE</t>
  </si>
  <si>
    <t xml:space="preserve">  INSTITUTIONAL SERVICES REVENUE</t>
  </si>
  <si>
    <t xml:space="preserve">  REIMBURSED EXPENSES</t>
  </si>
  <si>
    <t xml:space="preserve">  [Exp_Bad_Debt] Bad Debt (pre 2012)</t>
  </si>
  <si>
    <t xml:space="preserve">  BAD DEBT (pre 2012)</t>
  </si>
  <si>
    <t>Profit and Loss Statement</t>
  </si>
  <si>
    <t xml:space="preserve">  Disproportionate Share Payments</t>
  </si>
  <si>
    <t xml:space="preserve">  Graduate Medical Education Payments</t>
  </si>
  <si>
    <t xml:space="preserve">  Bad Debt</t>
  </si>
  <si>
    <t xml:space="preserve">  Free Care</t>
  </si>
  <si>
    <t xml:space="preserve">  Deductions From Revenue</t>
  </si>
  <si>
    <t>Net Revenue Deductions</t>
  </si>
  <si>
    <t xml:space="preserve">  Community Foundation Revenue</t>
  </si>
  <si>
    <t xml:space="preserve">  Grant Income</t>
  </si>
  <si>
    <t xml:space="preserve">  Cafeteria &amp; Parking</t>
  </si>
  <si>
    <t xml:space="preserve">  Employee Sales Pharmacy</t>
  </si>
  <si>
    <t xml:space="preserve">  Employee Sales Med Surg Supplies</t>
  </si>
  <si>
    <t xml:space="preserve">  Sale Of Services To Other Organizations</t>
  </si>
  <si>
    <t xml:space="preserve">  Physician Office And Other Rentals</t>
  </si>
  <si>
    <t xml:space="preserve">  Meaningful Use</t>
  </si>
  <si>
    <t xml:space="preserve">  340B Retail Pharmacy Programs</t>
  </si>
  <si>
    <t xml:space="preserve">  Other</t>
  </si>
  <si>
    <t>Miscellaneous/Contract Income</t>
  </si>
  <si>
    <t>Premium Revenue And Payer Incentives</t>
  </si>
  <si>
    <t>Specialty Pharmacy</t>
  </si>
  <si>
    <t>Outpatient Pharmacy Revenue</t>
  </si>
  <si>
    <t>Reference Lab Revenue</t>
  </si>
  <si>
    <t>Institutional Services Revenue</t>
  </si>
  <si>
    <t>Reimbursed Expenses</t>
  </si>
  <si>
    <t>Other Operating Revenue</t>
  </si>
  <si>
    <t>Total Operating Revenue</t>
  </si>
  <si>
    <t xml:space="preserve">  Salaries Non Md</t>
  </si>
  <si>
    <t xml:space="preserve">  Fringe Benefits Non Md</t>
  </si>
  <si>
    <t xml:space="preserve">  Fringe Benefits Md</t>
  </si>
  <si>
    <t xml:space="preserve">  Physician Fees Salaries Contracts &amp; Fringes</t>
  </si>
  <si>
    <t xml:space="preserve">  Health Care Provider Tax</t>
  </si>
  <si>
    <t xml:space="preserve">  Depreciation Amortization</t>
  </si>
  <si>
    <t xml:space="preserve">  Interest - Short Term</t>
  </si>
  <si>
    <t xml:space="preserve">  Interest - Long Term</t>
  </si>
  <si>
    <t xml:space="preserve">  Other Operating Expense</t>
  </si>
  <si>
    <t xml:space="preserve">  Bad Debt (Pre 2012)</t>
  </si>
  <si>
    <t>Total Operating Expense</t>
  </si>
  <si>
    <t>Non-Operating Revenue</t>
  </si>
  <si>
    <t>Excess (Deficit) Of Revenue Over Expense</t>
  </si>
  <si>
    <t>Operating Margin %</t>
  </si>
  <si>
    <t xml:space="preserve">  OTHER MISCELLANEOUS</t>
  </si>
  <si>
    <t>Total Margin %</t>
  </si>
  <si>
    <t>[Rev_Fixed_Prospective_Payments_Reserves] Fixed Prospective Payments and Reserves</t>
  </si>
  <si>
    <t xml:space="preserve">  [Rev_Fixed_Prospective_Payments] Fixed Prospective Payments</t>
  </si>
  <si>
    <t xml:space="preserve">    [FPP_Hospital] Fixed Prospective Payments - Hospital</t>
  </si>
  <si>
    <t xml:space="preserve">    [FPP_Physician] Fixed Prospective Payments - Physician</t>
  </si>
  <si>
    <t xml:space="preserve">  [Rev_Fixed_Prospective_Payments] Total Fixed Prospective Payments</t>
  </si>
  <si>
    <t xml:space="preserve">  [Rev_Reserves_FFP] Reserves</t>
  </si>
  <si>
    <t>[Rev_Fixed_Prospective_Payments_Reserves] Total Fixed Prospective Payments and Reserves</t>
  </si>
  <si>
    <t>FIXED PROSPECTIVE PAYMENTS</t>
  </si>
  <si>
    <t>RESERVES (for at-risk portion of FPP)</t>
  </si>
  <si>
    <t>Fixed Prospective Payments</t>
  </si>
  <si>
    <t xml:space="preserve">  [Other_Reform_Payments] Other Reform Payments</t>
  </si>
  <si>
    <t>OTHER REFORM PAYMENTS</t>
  </si>
  <si>
    <t>TOTAL NPR &amp; FPP &amp; RESERVES &amp; OTHER</t>
  </si>
  <si>
    <t>Fixed Prospective Payments (incl Reserves&amp;Other)</t>
  </si>
  <si>
    <t>Total NPR &amp; FPP (incl Reserves)</t>
  </si>
  <si>
    <t>Budget 2021 Approved</t>
  </si>
  <si>
    <t xml:space="preserve">    [Fixed_Payments_Adj_Rec] Fixed Payments Adjustments &amp; Reconciliations</t>
  </si>
  <si>
    <t xml:space="preserve">  [COVID_Stimulus_Grant] COVID-19 Stimulus and Other Grant Funding</t>
  </si>
  <si>
    <t xml:space="preserve">  [Exp_Phy_Fees_Salaries] Physician Fees &amp; Salaries</t>
  </si>
  <si>
    <t xml:space="preserve">  COVID-19 STIMULUS &amp; OTHER GRANT FUNGING</t>
  </si>
  <si>
    <t xml:space="preserve">  COVID-19 Stimulus &amp; Other Grant Income</t>
  </si>
  <si>
    <t xml:space="preserve">    [Exp_ACO_dues] ACO Dues</t>
  </si>
  <si>
    <t xml:space="preserve">    [Exp_Comm_Found_Don] Community Foundation Donation</t>
  </si>
  <si>
    <t xml:space="preserve">    [Exp_Insurance] Insurance</t>
  </si>
  <si>
    <t xml:space="preserve">    [Exp_Marketing_Expense] Marketing Expense</t>
  </si>
  <si>
    <t xml:space="preserve">    [Exp_MedicalSurgical_DrugsSupplies] Medical/Surgical Drugs and Supplies</t>
  </si>
  <si>
    <t xml:space="preserve">    [Exp_Other_Nonsalary_OpEx] Other Nonsalary Expense</t>
  </si>
  <si>
    <t xml:space="preserve">    [Exp_Other_Purch_Svs_Consulting] Other Purchased Services - Consulting</t>
  </si>
  <si>
    <t xml:space="preserve">    [Exp_Other_Purch_Servcies_Travelers] Other Purchased Services -Travelers</t>
  </si>
  <si>
    <t xml:space="preserve">    [Exp_Other_Purch_Svc_Msc] Other Purchased Services - Misc</t>
  </si>
  <si>
    <t xml:space="preserve">    [Exp_Other_Serv] Other Services</t>
  </si>
  <si>
    <t xml:space="preserve">    [Exp_Pharmaceuticals] Pharmaceuticals</t>
  </si>
  <si>
    <t xml:space="preserve">    [Exp_Utilities] Utilities</t>
  </si>
  <si>
    <t xml:space="preserve">    [Exp_Other_Bad_Debt_Non_Patient] Bad Debt Non-Patient</t>
  </si>
  <si>
    <t xml:space="preserve">  [Exp_Other_OpEx] Total Other Operating Expense</t>
  </si>
  <si>
    <t xml:space="preserve">  TOTAL OTHER OPERATING EXPENSE</t>
  </si>
  <si>
    <t>2021 - 2022 % Change</t>
  </si>
  <si>
    <t>2021 - 2022 $ Change</t>
  </si>
  <si>
    <t>TOTAL FIXED PROSPECTIVE PAYMENTS &amp; RESERVES</t>
  </si>
  <si>
    <t>Budget 2020 Approved</t>
  </si>
  <si>
    <t>Budget 2022 Mid Year Approved</t>
  </si>
  <si>
    <t>FY2020</t>
  </si>
  <si>
    <t>FY2021</t>
  </si>
  <si>
    <t>FY2022</t>
  </si>
  <si>
    <t>FY2023</t>
  </si>
  <si>
    <t>FY2024</t>
  </si>
  <si>
    <t>FY2025</t>
  </si>
  <si>
    <t>Budget 2023 Approved</t>
  </si>
  <si>
    <t>Budget 2024 Approved</t>
  </si>
  <si>
    <t>Budget 2025 Submitted 2024 Proj.</t>
  </si>
  <si>
    <t xml:space="preserve">  [Rev_Reserves_FFP] Total Reserves</t>
  </si>
  <si>
    <t xml:space="preserve">  [Other_Reform_Payments] Total Other Reform Payments</t>
  </si>
  <si>
    <t xml:space="preserve">  [Exp_Depr_Amort] Total Depreciation Amortization</t>
  </si>
  <si>
    <t>[Rev_Non_Operating_Revenue] Total Non-Operating Revenue</t>
  </si>
  <si>
    <t>[Rev_Inpatient] Inpatient</t>
  </si>
  <si>
    <t>[Rev_Outpatient] Outpatient</t>
  </si>
  <si>
    <t>[Rev_Physician] Physician</t>
  </si>
  <si>
    <t>[Rev_Chronic_Rehab] Chronic Rehab</t>
  </si>
  <si>
    <t>[Rev_SNF_ECF] SNF/ECF</t>
  </si>
  <si>
    <t>[Rev_Swing_Beds] Swing Beds</t>
  </si>
  <si>
    <t>2024P - 2025B</t>
  </si>
  <si>
    <t>Brattleboro Memorial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</si>
</sst>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"/>
    <numFmt numFmtId="168" formatCode="[=0]#,##0;[&lt;0]\-#,##0;#,##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1" applyNumberFormat="1" applyFont="1" applyFill="1"/>
    <xf numFmtId="164" fontId="1" fillId="2" borderId="0" xfId="1" applyNumberFormat="1" applyFont="1" applyFill="1" applyAlignment="1">
      <alignment horizontal="center"/>
    </xf>
    <xf numFmtId="164" fontId="0" fillId="2" borderId="4" xfId="1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164" fontId="0" fillId="2" borderId="5" xfId="1" applyNumberFormat="1" applyFont="1" applyFill="1" applyBorder="1"/>
    <xf numFmtId="0" fontId="0" fillId="2" borderId="6" xfId="0" applyFill="1" applyBorder="1"/>
    <xf numFmtId="164" fontId="0" fillId="2" borderId="6" xfId="1" applyNumberFormat="1" applyFont="1" applyFill="1" applyBorder="1"/>
    <xf numFmtId="164" fontId="0" fillId="2" borderId="0" xfId="1" applyNumberFormat="1" applyFont="1" applyFill="1" applyBorder="1"/>
    <xf numFmtId="165" fontId="0" fillId="2" borderId="0" xfId="2" applyNumberFormat="1" applyFont="1" applyFill="1"/>
    <xf numFmtId="165" fontId="0" fillId="2" borderId="0" xfId="2" applyNumberFormat="1" applyFont="1" applyFill="1" applyBorder="1"/>
    <xf numFmtId="0" fontId="1" fillId="2" borderId="0" xfId="0" applyFont="1" applyFill="1" applyAlignment="1">
      <alignment horizontal="center" wrapText="1"/>
    </xf>
    <xf numFmtId="165" fontId="0" fillId="2" borderId="4" xfId="2" applyNumberFormat="1" applyFont="1" applyFill="1" applyBorder="1"/>
    <xf numFmtId="165" fontId="0" fillId="2" borderId="5" xfId="2" applyNumberFormat="1" applyFont="1" applyFill="1" applyBorder="1"/>
    <xf numFmtId="165" fontId="0" fillId="2" borderId="6" xfId="2" applyNumberFormat="1" applyFont="1" applyFill="1" applyBorder="1"/>
    <xf numFmtId="0" fontId="1" fillId="3" borderId="0" xfId="0" applyFont="1" applyFill="1" applyAlignment="1">
      <alignment horizontal="center"/>
    </xf>
    <xf numFmtId="0" fontId="0" fillId="4" borderId="0" xfId="0" applyFill="1"/>
    <xf numFmtId="0" fontId="0" fillId="5" borderId="4" xfId="0" applyFill="1" applyBorder="1"/>
    <xf numFmtId="165" fontId="0" fillId="5" borderId="4" xfId="2" applyNumberFormat="1" applyFont="1" applyFill="1" applyBorder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5" fillId="5" borderId="0" xfId="0" applyFont="1" applyFill="1"/>
    <xf numFmtId="0" fontId="5" fillId="2" borderId="0" xfId="0" applyFont="1" applyFill="1"/>
    <xf numFmtId="0" fontId="5" fillId="5" borderId="4" xfId="0" applyFont="1" applyFill="1" applyBorder="1"/>
    <xf numFmtId="164" fontId="5" fillId="5" borderId="4" xfId="1" applyNumberFormat="1" applyFont="1" applyFill="1" applyBorder="1"/>
    <xf numFmtId="164" fontId="4" fillId="5" borderId="0" xfId="1" applyNumberFormat="1" applyFont="1" applyFill="1" applyBorder="1" applyAlignment="1">
      <alignment horizontal="center"/>
    </xf>
    <xf numFmtId="0" fontId="4" fillId="5" borderId="0" xfId="0" applyFont="1" applyFill="1" applyAlignment="1">
      <alignment horizontal="center" wrapText="1"/>
    </xf>
    <xf numFmtId="164" fontId="5" fillId="2" borderId="0" xfId="1" applyNumberFormat="1" applyFont="1" applyFill="1" applyBorder="1"/>
    <xf numFmtId="165" fontId="5" fillId="2" borderId="0" xfId="2" applyNumberFormat="1" applyFont="1" applyFill="1" applyBorder="1"/>
    <xf numFmtId="165" fontId="5" fillId="2" borderId="5" xfId="2" applyNumberFormat="1" applyFont="1" applyFill="1" applyBorder="1"/>
    <xf numFmtId="166" fontId="0" fillId="0" borderId="0" xfId="3" applyNumberFormat="1" applyFont="1"/>
    <xf numFmtId="165" fontId="0" fillId="0" borderId="0" xfId="2" applyNumberFormat="1" applyFont="1"/>
    <xf numFmtId="0" fontId="0" fillId="5" borderId="0" xfId="0" applyFill="1"/>
    <xf numFmtId="166" fontId="0" fillId="5" borderId="0" xfId="3" applyNumberFormat="1" applyFont="1" applyFill="1"/>
    <xf numFmtId="165" fontId="0" fillId="5" borderId="0" xfId="2" applyNumberFormat="1" applyFont="1" applyFill="1"/>
    <xf numFmtId="166" fontId="0" fillId="5" borderId="0" xfId="0" applyNumberFormat="1" applyFill="1"/>
    <xf numFmtId="166" fontId="2" fillId="0" borderId="0" xfId="3" applyNumberFormat="1" applyFont="1"/>
    <xf numFmtId="0" fontId="4" fillId="5" borderId="9" xfId="0" applyFont="1" applyFill="1" applyBorder="1"/>
    <xf numFmtId="164" fontId="5" fillId="5" borderId="0" xfId="1" applyNumberFormat="1" applyFont="1" applyFill="1" applyBorder="1"/>
    <xf numFmtId="0" fontId="5" fillId="2" borderId="9" xfId="0" applyFont="1" applyFill="1" applyBorder="1"/>
    <xf numFmtId="0" fontId="5" fillId="5" borderId="7" xfId="0" applyFont="1" applyFill="1" applyBorder="1"/>
    <xf numFmtId="0" fontId="5" fillId="5" borderId="9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2" borderId="11" xfId="0" applyFont="1" applyFill="1" applyBorder="1"/>
    <xf numFmtId="164" fontId="4" fillId="5" borderId="0" xfId="1" applyNumberFormat="1" applyFont="1" applyFill="1" applyBorder="1" applyAlignment="1">
      <alignment horizontal="center" wrapText="1"/>
    </xf>
    <xf numFmtId="164" fontId="1" fillId="2" borderId="0" xfId="1" applyNumberFormat="1" applyFont="1" applyFill="1" applyBorder="1" applyAlignment="1">
      <alignment horizontal="center"/>
    </xf>
    <xf numFmtId="165" fontId="0" fillId="5" borderId="0" xfId="2" applyNumberFormat="1" applyFont="1" applyFill="1" applyBorder="1"/>
    <xf numFmtId="0" fontId="0" fillId="0" borderId="0" xfId="0" applyAlignment="1">
      <alignment horizontal="center"/>
    </xf>
    <xf numFmtId="0" fontId="4" fillId="5" borderId="7" xfId="0" applyFont="1" applyFill="1" applyBorder="1"/>
    <xf numFmtId="167" fontId="5" fillId="2" borderId="4" xfId="1" applyNumberFormat="1" applyFont="1" applyFill="1" applyBorder="1"/>
    <xf numFmtId="167" fontId="5" fillId="2" borderId="4" xfId="3" applyNumberFormat="1" applyFont="1" applyFill="1" applyBorder="1"/>
    <xf numFmtId="167" fontId="5" fillId="2" borderId="0" xfId="1" applyNumberFormat="1" applyFont="1" applyFill="1" applyBorder="1"/>
    <xf numFmtId="167" fontId="5" fillId="2" borderId="0" xfId="3" applyNumberFormat="1" applyFont="1" applyFill="1" applyBorder="1"/>
    <xf numFmtId="167" fontId="5" fillId="2" borderId="5" xfId="3" applyNumberFormat="1" applyFont="1" applyFill="1" applyBorder="1"/>
    <xf numFmtId="167" fontId="5" fillId="5" borderId="0" xfId="1" applyNumberFormat="1" applyFont="1" applyFill="1" applyBorder="1"/>
    <xf numFmtId="167" fontId="5" fillId="2" borderId="5" xfId="1" applyNumberFormat="1" applyFont="1" applyFill="1" applyBorder="1"/>
    <xf numFmtId="167" fontId="0" fillId="2" borderId="0" xfId="1" applyNumberFormat="1" applyFont="1" applyFill="1"/>
    <xf numFmtId="167" fontId="0" fillId="2" borderId="4" xfId="1" applyNumberFormat="1" applyFont="1" applyFill="1" applyBorder="1"/>
    <xf numFmtId="167" fontId="0" fillId="2" borderId="0" xfId="1" applyNumberFormat="1" applyFont="1" applyFill="1" applyBorder="1"/>
    <xf numFmtId="167" fontId="0" fillId="2" borderId="5" xfId="1" applyNumberFormat="1" applyFont="1" applyFill="1" applyBorder="1"/>
    <xf numFmtId="167" fontId="0" fillId="2" borderId="6" xfId="1" applyNumberFormat="1" applyFont="1" applyFill="1" applyBorder="1"/>
    <xf numFmtId="0" fontId="1" fillId="6" borderId="1" xfId="0" applyFont="1" applyFill="1" applyBorder="1"/>
    <xf numFmtId="164" fontId="0" fillId="6" borderId="0" xfId="1" applyNumberFormat="1" applyFont="1" applyFill="1"/>
    <xf numFmtId="0" fontId="0" fillId="6" borderId="0" xfId="0" applyFill="1"/>
    <xf numFmtId="0" fontId="1" fillId="6" borderId="2" xfId="0" applyFont="1" applyFill="1" applyBorder="1"/>
    <xf numFmtId="0" fontId="1" fillId="6" borderId="3" xfId="0" applyFont="1" applyFill="1" applyBorder="1"/>
    <xf numFmtId="167" fontId="0" fillId="6" borderId="0" xfId="1" applyNumberFormat="1" applyFont="1" applyFill="1"/>
    <xf numFmtId="165" fontId="0" fillId="6" borderId="0" xfId="2" applyNumberFormat="1" applyFont="1" applyFill="1"/>
    <xf numFmtId="0" fontId="0" fillId="6" borderId="4" xfId="0" applyFill="1" applyBorder="1"/>
    <xf numFmtId="167" fontId="0" fillId="6" borderId="4" xfId="1" applyNumberFormat="1" applyFont="1" applyFill="1" applyBorder="1"/>
    <xf numFmtId="164" fontId="0" fillId="6" borderId="4" xfId="1" applyNumberFormat="1" applyFont="1" applyFill="1" applyBorder="1"/>
    <xf numFmtId="165" fontId="0" fillId="6" borderId="4" xfId="2" applyNumberFormat="1" applyFont="1" applyFill="1" applyBorder="1"/>
    <xf numFmtId="9" fontId="5" fillId="2" borderId="0" xfId="2" applyFont="1" applyFill="1" applyBorder="1"/>
    <xf numFmtId="0" fontId="4" fillId="5" borderId="4" xfId="0" applyFont="1" applyFill="1" applyBorder="1"/>
    <xf numFmtId="9" fontId="5" fillId="2" borderId="10" xfId="2" applyFont="1" applyFill="1" applyBorder="1" applyAlignment="1">
      <alignment horizontal="center"/>
    </xf>
    <xf numFmtId="9" fontId="1" fillId="3" borderId="0" xfId="2" applyFont="1" applyFill="1" applyBorder="1" applyAlignment="1">
      <alignment horizontal="center"/>
    </xf>
    <xf numFmtId="9" fontId="5" fillId="5" borderId="8" xfId="2" applyFont="1" applyFill="1" applyBorder="1" applyAlignment="1">
      <alignment horizontal="center"/>
    </xf>
    <xf numFmtId="9" fontId="5" fillId="5" borderId="10" xfId="2" applyFont="1" applyFill="1" applyBorder="1" applyAlignment="1">
      <alignment horizontal="center"/>
    </xf>
    <xf numFmtId="9" fontId="4" fillId="5" borderId="8" xfId="2" applyFont="1" applyFill="1" applyBorder="1" applyAlignment="1">
      <alignment horizontal="center" wrapText="1"/>
    </xf>
    <xf numFmtId="9" fontId="0" fillId="2" borderId="12" xfId="2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1" fillId="6" borderId="0" xfId="0" applyFont="1" applyFill="1" applyAlignment="1">
      <alignment horizontal="center" wrapText="1"/>
    </xf>
    <xf numFmtId="165" fontId="0" fillId="6" borderId="5" xfId="2" applyNumberFormat="1" applyFont="1" applyFill="1" applyBorder="1"/>
    <xf numFmtId="165" fontId="0" fillId="6" borderId="0" xfId="2" applyNumberFormat="1" applyFont="1" applyFill="1" applyBorder="1"/>
    <xf numFmtId="165" fontId="0" fillId="6" borderId="6" xfId="2" applyNumberFormat="1" applyFont="1" applyFill="1" applyBorder="1"/>
    <xf numFmtId="167" fontId="5" fillId="2" borderId="0" xfId="0" applyNumberFormat="1" applyFont="1" applyFill="1"/>
    <xf numFmtId="9" fontId="5" fillId="2" borderId="5" xfId="2" applyFont="1" applyFill="1" applyBorder="1"/>
    <xf numFmtId="9" fontId="5" fillId="2" borderId="0" xfId="2" applyFont="1" applyFill="1" applyBorder="1" applyAlignment="1">
      <alignment horizontal="center"/>
    </xf>
    <xf numFmtId="9" fontId="5" fillId="2" borderId="4" xfId="2" applyFont="1" applyFill="1" applyBorder="1" applyAlignment="1">
      <alignment horizontal="center"/>
    </xf>
    <xf numFmtId="9" fontId="5" fillId="2" borderId="5" xfId="2" applyFont="1" applyFill="1" applyBorder="1" applyAlignment="1">
      <alignment horizontal="center"/>
    </xf>
    <xf numFmtId="9" fontId="5" fillId="5" borderId="0" xfId="2" applyFont="1" applyFill="1" applyBorder="1" applyAlignment="1">
      <alignment horizontal="center"/>
    </xf>
    <xf numFmtId="168" fontId="0" fillId="0" borderId="0" xfId="0" applyNumberFormat="1"/>
    <xf numFmtId="164" fontId="4" fillId="5" borderId="4" xfId="1" applyNumberFormat="1" applyFont="1" applyFill="1" applyBorder="1" applyAlignment="1">
      <alignment horizontal="center" wrapText="1"/>
    </xf>
    <xf numFmtId="164" fontId="4" fillId="5" borderId="0" xfId="1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0" xfId="0"/>
  </cellXfs>
  <cellStyles count="5">
    <cellStyle name="Comma" xfId="1" builtinId="3"/>
    <cellStyle name="Currency" xfId="3" builtinId="4"/>
    <cellStyle name="Currency 2" xfId="4" xr:uid="{00000000-0005-0000-0000-000002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</a:t>
            </a:r>
            <a:r>
              <a:rPr lang="en-US" baseline="0"/>
              <a:t> Accounts as a % of Total Expenses</a:t>
            </a:r>
          </a:p>
          <a:p>
            <a:pPr>
              <a:defRPr/>
            </a:pPr>
            <a:r>
              <a:rPr lang="en-US" baseline="0"/>
              <a:t>Fiscal Year 2018 Actual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GRAPHS!$B$4:$B$11</c:f>
              <c:strCache>
                <c:ptCount val="8"/>
                <c:pt idx="0">
                  <c:v>  SALARIES NON MD</c:v>
                </c:pt>
                <c:pt idx="1">
                  <c:v>  FRINGE BENEFITS NON MD</c:v>
                </c:pt>
                <c:pt idx="2">
                  <c:v>  FRINGE BENEFITS MD</c:v>
                </c:pt>
                <c:pt idx="3">
                  <c:v>  PHYSICIAN FEES SALARIES CONTRACTS &amp; FRINGES</c:v>
                </c:pt>
                <c:pt idx="4">
                  <c:v>  HEALTH CARE PROVIDER TAX</c:v>
                </c:pt>
                <c:pt idx="5">
                  <c:v>  DEPRECIATION AMORTIZATION</c:v>
                </c:pt>
                <c:pt idx="6">
                  <c:v>  OTHER OPERATING EXPENSE</c:v>
                </c:pt>
                <c:pt idx="7">
                  <c:v>  OTHER MISCELLANEOUS</c:v>
                </c:pt>
              </c:strCache>
            </c:strRef>
          </c:cat>
          <c:val>
            <c:numRef>
              <c:f>GRAPHS!$D$4:$D$11</c:f>
              <c:numCache>
                <c:formatCode>0.0%</c:formatCode>
                <c:ptCount val="8"/>
                <c:pt idx="0">
                  <c:v>0.56947947952859068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5.0123259676572357E-2</c:v>
                </c:pt>
                <c:pt idx="5">
                  <c:v>3.3750092210398451E-2</c:v>
                </c:pt>
                <c:pt idx="6">
                  <c:v>0.34261017543718242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5-470F-B9DC-524DFEC87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97784"/>
        <c:axId val="354998112"/>
      </c:barChart>
      <c:catAx>
        <c:axId val="35499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98112"/>
        <c:crosses val="autoZero"/>
        <c:auto val="1"/>
        <c:lblAlgn val="ctr"/>
        <c:lblOffset val="100"/>
        <c:noMultiLvlLbl val="0"/>
      </c:catAx>
      <c:valAx>
        <c:axId val="35499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97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595312</xdr:colOff>
      <xdr:row>20</xdr:row>
      <xdr:rowOff>28575</xdr:rowOff>
    </xdr:from>
    <xdr:to>
      <xdr:col>2</xdr:col>
      <xdr:colOff>1157287</xdr:colOff>
      <xdr:row>37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3AAC21-AC15-48A0-AD85-9BBC527E6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8"/>
  <sheetViews>
    <sheetView workbookViewId="0">
      <selection activeCell="C11" sqref="C11"/>
    </sheetView>
  </sheetViews>
  <sheetFormatPr defaultRowHeight="12.75" x14ac:dyDescent="0.2"/>
  <cols>
    <col min="2" max="2" width="51" bestFit="1" customWidth="1"/>
    <col min="3" max="4" width="20" customWidth="1"/>
  </cols>
  <sheetData>
    <row r="2" spans="2:4" x14ac:dyDescent="0.2">
      <c r="C2" s="51" t="str">
        <f>+PL!N6</f>
        <v>FY2024P</v>
      </c>
    </row>
    <row r="3" spans="2:4" x14ac:dyDescent="0.2">
      <c r="B3" s="1" t="s">
        <v>20</v>
      </c>
    </row>
    <row r="4" spans="2:4" x14ac:dyDescent="0.2">
      <c r="B4" s="1" t="s">
        <v>93</v>
      </c>
      <c r="C4" s="33">
        <f>+PL!N56</f>
        <v>65001037.000000007</v>
      </c>
      <c r="D4" s="34">
        <f>C4/$C$17</f>
        <v>0.56947947952859068</v>
      </c>
    </row>
    <row r="5" spans="2:4" x14ac:dyDescent="0.2">
      <c r="B5" s="1" t="s">
        <v>94</v>
      </c>
      <c r="C5" s="33">
        <f>+PL!N57</f>
        <v>0</v>
      </c>
      <c r="D5" s="34">
        <f t="shared" ref="D5:D15" si="0">C5/$C$17</f>
        <v>0</v>
      </c>
    </row>
    <row r="6" spans="2:4" x14ac:dyDescent="0.2">
      <c r="B6" s="1" t="s">
        <v>95</v>
      </c>
      <c r="C6" s="33">
        <f>+PL!N58</f>
        <v>0</v>
      </c>
      <c r="D6" s="34">
        <f t="shared" si="0"/>
        <v>0</v>
      </c>
    </row>
    <row r="7" spans="2:4" x14ac:dyDescent="0.2">
      <c r="B7" s="1" t="s">
        <v>96</v>
      </c>
      <c r="C7" s="33">
        <f>+PL!N59</f>
        <v>0</v>
      </c>
      <c r="D7" s="34">
        <f t="shared" si="0"/>
        <v>0</v>
      </c>
    </row>
    <row r="8" spans="2:4" x14ac:dyDescent="0.2">
      <c r="B8" s="1" t="s">
        <v>97</v>
      </c>
      <c r="C8" s="33">
        <f>+PL!N60</f>
        <v>5721126</v>
      </c>
      <c r="D8" s="34">
        <f t="shared" si="0"/>
        <v>5.0123259676572357E-2</v>
      </c>
    </row>
    <row r="9" spans="2:4" x14ac:dyDescent="0.2">
      <c r="B9" s="1" t="s">
        <v>98</v>
      </c>
      <c r="C9" s="33">
        <f>+PL!N61</f>
        <v>3852273.9999999991</v>
      </c>
      <c r="D9" s="34">
        <f t="shared" si="0"/>
        <v>3.3750092210398451E-2</v>
      </c>
    </row>
    <row r="10" spans="2:4" x14ac:dyDescent="0.2">
      <c r="B10" s="1" t="s">
        <v>101</v>
      </c>
      <c r="C10" s="33">
        <f>+PL!N64</f>
        <v>39105916</v>
      </c>
      <c r="D10" s="34">
        <f>C10/$C$17</f>
        <v>0.34261017543718242</v>
      </c>
    </row>
    <row r="11" spans="2:4" x14ac:dyDescent="0.2">
      <c r="B11" s="23" t="s">
        <v>162</v>
      </c>
      <c r="C11" s="39" t="e">
        <f>SUM(C12:C16)</f>
        <v>#REF!</v>
      </c>
      <c r="D11" s="34" t="e">
        <f>SUM(D12:D16)</f>
        <v>#REF!</v>
      </c>
    </row>
    <row r="12" spans="2:4" s="35" customFormat="1" x14ac:dyDescent="0.2">
      <c r="B12" s="35" t="s">
        <v>99</v>
      </c>
      <c r="C12" s="36">
        <f>+PL!N62</f>
        <v>0</v>
      </c>
      <c r="D12" s="37">
        <f t="shared" si="0"/>
        <v>0</v>
      </c>
    </row>
    <row r="13" spans="2:4" s="35" customFormat="1" x14ac:dyDescent="0.2">
      <c r="B13" s="35" t="s">
        <v>100</v>
      </c>
      <c r="C13" s="36">
        <f>+PL!N63</f>
        <v>460787.00000000006</v>
      </c>
      <c r="D13" s="37">
        <f t="shared" si="0"/>
        <v>4.0369931472561084E-3</v>
      </c>
    </row>
    <row r="14" spans="2:4" s="35" customFormat="1" x14ac:dyDescent="0.2"/>
    <row r="15" spans="2:4" s="35" customFormat="1" x14ac:dyDescent="0.2">
      <c r="B15" s="35" t="s">
        <v>121</v>
      </c>
      <c r="C15" s="36" t="e">
        <f>+PL!#REF!</f>
        <v>#REF!</v>
      </c>
      <c r="D15" s="37" t="e">
        <f t="shared" si="0"/>
        <v>#REF!</v>
      </c>
    </row>
    <row r="16" spans="2:4" s="35" customFormat="1" x14ac:dyDescent="0.2"/>
    <row r="17" spans="2:3" s="35" customFormat="1" x14ac:dyDescent="0.2">
      <c r="B17" s="20" t="s">
        <v>21</v>
      </c>
      <c r="C17" s="36">
        <f>+PL!N79</f>
        <v>114141140</v>
      </c>
    </row>
    <row r="18" spans="2:3" s="35" customFormat="1" x14ac:dyDescent="0.2">
      <c r="C18" s="38" t="e">
        <f>SUM(C4:C11)</f>
        <v>#REF!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3"/>
  <sheetViews>
    <sheetView zoomScale="80" zoomScaleNormal="80" workbookViewId="0">
      <pane xSplit="4" ySplit="6" topLeftCell="L7" activePane="bottomRight" state="frozen"/>
      <selection pane="topRight" activeCell="D1" sqref="D1"/>
      <selection pane="bottomLeft" activeCell="A7" sqref="A7"/>
      <selection pane="bottomRight" activeCell="P8" sqref="P8"/>
    </sheetView>
  </sheetViews>
  <sheetFormatPr defaultColWidth="9.140625" defaultRowHeight="12.75" outlineLevelRow="2" outlineLevelCol="1" x14ac:dyDescent="0.2"/>
  <cols>
    <col min="1" max="1" width="69.5703125" style="1" hidden="1" customWidth="1" outlineLevel="1"/>
    <col min="2" max="2" width="6.7109375" style="1" hidden="1" customWidth="1" outlineLevel="1"/>
    <col min="3" max="3" width="9.140625" style="1" hidden="1" customWidth="1" outlineLevel="1"/>
    <col min="4" max="4" width="56.5703125" style="1" customWidth="1" collapsed="1"/>
    <col min="5" max="10" width="18.7109375" style="3" hidden="1" customWidth="1" outlineLevel="1"/>
    <col min="11" max="11" width="17.140625" style="3" hidden="1" customWidth="1" outlineLevel="1"/>
    <col min="12" max="12" width="21.7109375" style="3" customWidth="1" collapsed="1"/>
    <col min="13" max="15" width="21.7109375" style="3" customWidth="1"/>
    <col min="16" max="16" width="20" style="1" customWidth="1"/>
    <col min="17" max="17" width="24.5703125" style="84" customWidth="1"/>
    <col min="18" max="18" width="9.140625" style="1"/>
    <col min="19" max="19" width="19.28515625" style="1" hidden="1" customWidth="1" outlineLevel="1"/>
    <col min="20" max="20" width="9.140625" style="1" collapsed="1"/>
    <col min="21" max="16384" width="9.140625" style="1"/>
  </cols>
  <sheetData>
    <row r="1" spans="1:19" ht="15.75" x14ac:dyDescent="0.25">
      <c r="D1" s="52" t="str">
        <f>UPPER('Report Info'!B5)</f>
        <v>BRATTLEBORO MEMORIAL HOSPITAL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6"/>
      <c r="Q1" s="80"/>
      <c r="S1" s="19"/>
    </row>
    <row r="2" spans="1:19" ht="15.75" outlineLevel="1" x14ac:dyDescent="0.25">
      <c r="D2" s="40" t="str">
        <f>UPPER('Report Info'!B3)</f>
        <v>REPORT 1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24"/>
      <c r="Q2" s="81"/>
      <c r="S2" s="19"/>
    </row>
    <row r="3" spans="1:19" ht="15.75" x14ac:dyDescent="0.25">
      <c r="D3" s="40" t="s">
        <v>122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24"/>
      <c r="Q3" s="81"/>
      <c r="S3" s="19"/>
    </row>
    <row r="4" spans="1:19" ht="11.25" customHeight="1" x14ac:dyDescent="0.2">
      <c r="D4" s="42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25"/>
      <c r="Q4" s="78"/>
    </row>
    <row r="5" spans="1:19" ht="15.75" customHeight="1" x14ac:dyDescent="0.25">
      <c r="B5" s="2"/>
      <c r="D5" s="43"/>
      <c r="E5" s="27"/>
      <c r="F5" s="27"/>
      <c r="G5" s="27"/>
      <c r="H5" s="27"/>
      <c r="I5" s="27"/>
      <c r="J5" s="27"/>
      <c r="K5" s="27"/>
      <c r="L5" s="27"/>
      <c r="M5" s="27"/>
      <c r="N5" s="27"/>
      <c r="O5" s="96" t="str">
        <f>'Report Data'!V1&amp;" "&amp;MID('Report Data'!V2,1,6)</f>
        <v>FY2025 Budget</v>
      </c>
      <c r="P5" s="77"/>
      <c r="Q5" s="82"/>
      <c r="S5" s="22" t="s">
        <v>25</v>
      </c>
    </row>
    <row r="6" spans="1:19" ht="39" customHeight="1" x14ac:dyDescent="0.25">
      <c r="A6" s="2" t="s">
        <v>14</v>
      </c>
      <c r="D6" s="44"/>
      <c r="E6" s="28" t="str">
        <f>'Report Data'!B1&amp;IF(ISERROR(FIND("Budget",'Report Data'!B2)),IF(ISERROR(FIND("Actual",'Report Data'!B2)),IF(ISERROR(FIND("Projection",'Report Data'!B2)),'Report Data'!B2,"P"),"A"),"B")</f>
        <v>FY2020B</v>
      </c>
      <c r="F6" s="28" t="str">
        <f>'Report Data'!B1&amp;IF(ISERROR(FIND("Budget",'Report Data'!D2)),IF(ISERROR(FIND("Actual",'Report Data'!D2)),IF(ISERROR(FIND("Projection",'Report Data'!D2)),'Report Data'!D2,"P"),"A"),"B")</f>
        <v>FY2020A</v>
      </c>
      <c r="G6" s="28" t="str">
        <f>'Report Data'!F1&amp;IF(ISERROR(FIND("Budget",'Report Data'!F2)),IF(ISERROR(FIND("Actual",'Report Data'!F2)),IF(ISERROR(FIND("Projection",'Report Data'!F2)),'Report Data'!F2,"P"),"A"),"B")</f>
        <v>FY2021B</v>
      </c>
      <c r="H6" s="28" t="str">
        <f>'Report Data'!F1&amp;IF(ISERROR(FIND("Budget",'Report Data'!H2)),IF(ISERROR(FIND("Actual",'Report Data'!H2)),IF(ISERROR(FIND("Projection",'Report Data'!H2)),'Report Data'!H2,"P"),"A"),"B")</f>
        <v>FY2021A</v>
      </c>
      <c r="I6" s="28" t="str">
        <f>'Report Data'!J1&amp;IF(ISERROR(FIND("Budget",'Report Data'!J2)),IF(ISERROR(FIND("Actual",'Report Data'!J2)),IF(ISERROR(FIND("Projection",'Report Data'!J2)),'Report Data'!J2,"P"),"A"),"B")</f>
        <v>FY2022B</v>
      </c>
      <c r="J6" s="28" t="str">
        <f>'Report Data'!J1&amp;IF(ISERROR(FIND("Budget",'Report Data'!L2)),IF(ISERROR(FIND("Actual",'Report Data'!L2)),IF(ISERROR(FIND("Projection",'Report Data'!L2)),'Report Data'!L2,"P"),"A"),"B")</f>
        <v>FY2022A</v>
      </c>
      <c r="K6" s="28" t="str">
        <f>'Report Data'!N1&amp;IF(ISERROR(FIND("Budget",'Report Data'!N2)),IF(ISERROR(FIND("Actual",'Report Data'!N2)),IF(ISERROR(FIND("Projection",'Report Data'!N2)),'Report Data'!N2,"P"),"A"),"B")</f>
        <v>FY2023B</v>
      </c>
      <c r="L6" s="48" t="str">
        <f>'Report Data'!$N$1&amp;IF(ISERROR(FIND("Budget",'Report Data'!$P$2)),IF(ISERROR(FIND("Actual",'Report Data'!$P$2)),IF(ISERROR(FIND("Projection",'Report Data'!$P$2)),'Report Data'!$P$2,"P")," Actual "),"B")</f>
        <v xml:space="preserve">FY2023 Actual </v>
      </c>
      <c r="M6" s="48" t="str">
        <f>'Report Data'!R1&amp;" "&amp;" "&amp;MID('Report Data'!R2,1,6)</f>
        <v>FY2024  Budget</v>
      </c>
      <c r="N6" s="48" t="str">
        <f>'Report Data'!R1&amp;" " &amp;MID('Report Data'!T2,28,5)</f>
        <v>FY2024 Proj.</v>
      </c>
      <c r="O6" s="97"/>
      <c r="P6" s="29" t="s">
        <v>201</v>
      </c>
      <c r="Q6" s="29" t="s">
        <v>200</v>
      </c>
      <c r="S6" s="14" t="str">
        <f>F6&amp;" - "&amp;O5</f>
        <v>FY2020A - FY2025 Budget</v>
      </c>
    </row>
    <row r="7" spans="1:19" ht="15" outlineLevel="1" x14ac:dyDescent="0.2">
      <c r="A7" s="1" t="s">
        <v>3</v>
      </c>
      <c r="D7" s="42" t="s">
        <v>15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55"/>
      <c r="P7" s="89"/>
      <c r="Q7" s="78"/>
    </row>
    <row r="8" spans="1:19" ht="15" outlineLevel="1" x14ac:dyDescent="0.2">
      <c r="A8" t="s">
        <v>29</v>
      </c>
      <c r="D8" s="42" t="s">
        <v>74</v>
      </c>
      <c r="E8" s="30">
        <f>SUMIF('Report Data'!$A:$A,SIMPLE!$A8,'Report Data'!B:B)</f>
        <v>41314983.999999985</v>
      </c>
      <c r="F8" s="30">
        <f>SUMIF('Report Data'!$A:$A,SIMPLE!$A8,'Report Data'!D:D)</f>
        <v>37012384.020000003</v>
      </c>
      <c r="G8" s="30">
        <f>SUMIF('Report Data'!$A:$A,SIMPLE!$A8,'Report Data'!F:F)</f>
        <v>42198446</v>
      </c>
      <c r="H8" s="30">
        <f>SUMIF('Report Data'!$A:$A,SIMPLE!$A8,'Report Data'!H:H)</f>
        <v>43840630.999999978</v>
      </c>
      <c r="I8" s="30">
        <f>SUMIF('Report Data'!$A:$A,SIMPLE!$A8,'Report Data'!J:J)</f>
        <v>45123667.999999993</v>
      </c>
      <c r="J8" s="30">
        <f>SUMIF('Report Data'!$A:$A,SIMPLE!$A8,'Report Data'!L:L)</f>
        <v>48263423</v>
      </c>
      <c r="K8" s="30">
        <f>SUMIF('Report Data'!$A:$A,SIMPLE!$A8,'Report Data'!N:N)</f>
        <v>51202454.649999984</v>
      </c>
      <c r="L8" s="30">
        <f>SUMIF('Report Data'!$A:$A,SIMPLE!$A8,'Report Data'!P:P)</f>
        <v>56571227.570000023</v>
      </c>
      <c r="M8" s="30">
        <f>'Report Data'!R91</f>
        <v>58422862.999999993</v>
      </c>
      <c r="N8" s="30">
        <f>SUMIF('Report Data'!$A:$A,SIMPLE!$A8,'Report Data'!T:T)</f>
        <v>66596980.000000007</v>
      </c>
      <c r="O8" s="55">
        <f>SUMIF('Report Data'!$A:$A,SIMPLE!$A8,'Report Data'!V:V)</f>
        <v>70933057.000000015</v>
      </c>
      <c r="P8" s="55">
        <f>+O8-M8</f>
        <v>12510194.000000022</v>
      </c>
      <c r="Q8" s="91">
        <f t="shared" ref="Q8:Q14" si="0">IF(K8&gt;0,((M8/K8)-1),IF(AND(K8=0,M8&gt;0),100%,IF(AND(K8=0,M8&lt;0),-100%,IF(AND(K8=0,M8=0),0%,((M8/(K8))-1)*-1))))</f>
        <v>0.14101683990261615</v>
      </c>
      <c r="S8" s="12">
        <f t="shared" ref="S8:S12" si="1">IF(F8&gt;0,+((O8/F8)^(1/5)-1),IF(AND(F8=0,O8&gt;0),100%,IF(AND(F8=0,O8&lt;0),-100%,IF(AND(F8=0,O8=0),0%,+((O8/F8)^(1/5)-1)))))</f>
        <v>0.13893863026108444</v>
      </c>
    </row>
    <row r="9" spans="1:19" ht="15" outlineLevel="1" x14ac:dyDescent="0.2">
      <c r="A9" t="s">
        <v>30</v>
      </c>
      <c r="D9" s="42" t="s">
        <v>75</v>
      </c>
      <c r="E9" s="30">
        <f>SUMIF('Report Data'!$A:$A,SIMPLE!$A9,'Report Data'!B:B)</f>
        <v>129526976.00000001</v>
      </c>
      <c r="F9" s="30">
        <f>SUMIF('Report Data'!$A:$A,SIMPLE!$A9,'Report Data'!D:D)</f>
        <v>119293422.00000001</v>
      </c>
      <c r="G9" s="30">
        <f>SUMIF('Report Data'!$A:$A,SIMPLE!$A9,'Report Data'!F:F)</f>
        <v>135226885.99999994</v>
      </c>
      <c r="H9" s="30">
        <f>SUMIF('Report Data'!$A:$A,SIMPLE!$A9,'Report Data'!H:H)</f>
        <v>154034981.00000003</v>
      </c>
      <c r="I9" s="30">
        <f>SUMIF('Report Data'!$A:$A,SIMPLE!$A9,'Report Data'!J:J)</f>
        <v>142091396.00000003</v>
      </c>
      <c r="J9" s="30">
        <f>SUMIF('Report Data'!$A:$A,SIMPLE!$A9,'Report Data'!L:L)</f>
        <v>166951102</v>
      </c>
      <c r="K9" s="30">
        <f>SUMIF('Report Data'!$A:$A,SIMPLE!$A9,'Report Data'!N:N)</f>
        <v>162917799.08000004</v>
      </c>
      <c r="L9" s="30">
        <f>SUMIF('Report Data'!$A:$A,SIMPLE!$A9,'Report Data'!P:P)</f>
        <v>216201693.99999994</v>
      </c>
      <c r="M9" s="30">
        <f>'Report Data'!R92</f>
        <v>193040626.99999997</v>
      </c>
      <c r="N9" s="30">
        <f>SUMIF('Report Data'!$A:$A,SIMPLE!$A9,'Report Data'!T:T)</f>
        <v>216893887.00000003</v>
      </c>
      <c r="O9" s="55">
        <f>SUMIF('Report Data'!$A:$A,SIMPLE!$A9,'Report Data'!V:V)</f>
        <v>231550242</v>
      </c>
      <c r="P9" s="55">
        <f t="shared" ref="P9:P80" si="2">+N9-M9</f>
        <v>23853260.00000006</v>
      </c>
      <c r="Q9" s="91">
        <f t="shared" si="0"/>
        <v>0.18489586828513582</v>
      </c>
      <c r="S9" s="12">
        <f t="shared" si="1"/>
        <v>0.14184130331588984</v>
      </c>
    </row>
    <row r="10" spans="1:19" ht="15" outlineLevel="1" x14ac:dyDescent="0.2">
      <c r="A10" t="s">
        <v>35</v>
      </c>
      <c r="D10" s="42" t="s">
        <v>76</v>
      </c>
      <c r="E10" s="30">
        <f>SUMIF('Report Data'!$A:$A,SIMPLE!$A10,'Report Data'!B:B)</f>
        <v>17232067.999999996</v>
      </c>
      <c r="F10" s="30">
        <f>SUMIF('Report Data'!$A:$A,SIMPLE!$A10,'Report Data'!D:D)</f>
        <v>16211490</v>
      </c>
      <c r="G10" s="30">
        <f>SUMIF('Report Data'!$A:$A,SIMPLE!$A10,'Report Data'!F:F)</f>
        <v>17949118.999999996</v>
      </c>
      <c r="H10" s="30">
        <f>SUMIF('Report Data'!$A:$A,SIMPLE!$A10,'Report Data'!H:H)</f>
        <v>0</v>
      </c>
      <c r="I10" s="30">
        <f>SUMIF('Report Data'!$A:$A,SIMPLE!$A10,'Report Data'!J:J)</f>
        <v>24318448</v>
      </c>
      <c r="J10" s="30">
        <f>SUMIF('Report Data'!$A:$A,SIMPLE!$A10,'Report Data'!L:L)</f>
        <v>0</v>
      </c>
      <c r="K10" s="30">
        <f>SUMIF('Report Data'!$A:$A,SIMPLE!$A10,'Report Data'!N:N)</f>
        <v>27780254.990000006</v>
      </c>
      <c r="L10" s="30">
        <f>SUMIF('Report Data'!$A:$A,SIMPLE!$A10,'Report Data'!P:P)</f>
        <v>0</v>
      </c>
      <c r="M10" s="30">
        <f>'Report Data'!R93</f>
        <v>28986500.000000004</v>
      </c>
      <c r="N10" s="30">
        <f>SUMIF('Report Data'!$A:$A,SIMPLE!$A10,'Report Data'!T:T)</f>
        <v>0</v>
      </c>
      <c r="O10" s="55">
        <f>SUMIF('Report Data'!$A:$A,SIMPLE!$A10,'Report Data'!V:V)</f>
        <v>0</v>
      </c>
      <c r="P10" s="55">
        <f t="shared" si="2"/>
        <v>-28986500.000000004</v>
      </c>
      <c r="Q10" s="91">
        <f t="shared" si="0"/>
        <v>4.3420948095480361E-2</v>
      </c>
      <c r="S10" s="12">
        <f>IF(F10&gt;0,+((O10/F10)^(1/5)-1),IF(AND(F10=0,O10&gt;0),100%,IF(AND(F10=0,O10&lt;0),-100%,IF(AND(F10=0,O10=0),0%,+((O10/F10)^(1/5)-1)))))</f>
        <v>-1</v>
      </c>
    </row>
    <row r="11" spans="1:19" ht="15" outlineLevel="1" x14ac:dyDescent="0.2">
      <c r="A11" t="s">
        <v>31</v>
      </c>
      <c r="D11" s="42" t="s">
        <v>77</v>
      </c>
      <c r="E11" s="30">
        <f>SUMIF('Report Data'!$A:$A,SIMPLE!$A11,'Report Data'!B:B)</f>
        <v>0</v>
      </c>
      <c r="F11" s="30">
        <f>SUMIF('Report Data'!$A:$A,SIMPLE!$A11,'Report Data'!D:D)</f>
        <v>0</v>
      </c>
      <c r="G11" s="30">
        <f>SUMIF('Report Data'!$A:$A,SIMPLE!$A11,'Report Data'!F:F)</f>
        <v>0</v>
      </c>
      <c r="H11" s="30">
        <f>SUMIF('Report Data'!$A:$A,SIMPLE!$A11,'Report Data'!H:H)</f>
        <v>0</v>
      </c>
      <c r="I11" s="30">
        <f>SUMIF('Report Data'!$A:$A,SIMPLE!$A11,'Report Data'!J:J)</f>
        <v>0</v>
      </c>
      <c r="J11" s="30">
        <f>SUMIF('Report Data'!$A:$A,SIMPLE!$A11,'Report Data'!L:L)</f>
        <v>0</v>
      </c>
      <c r="K11" s="30">
        <f>SUMIF('Report Data'!$A:$A,SIMPLE!$A11,'Report Data'!N:N)</f>
        <v>0</v>
      </c>
      <c r="L11" s="30">
        <f>SUMIF('Report Data'!$A:$A,SIMPLE!$A11,'Report Data'!P:P)</f>
        <v>0</v>
      </c>
      <c r="M11" s="30">
        <f>'Report Data'!R94+'Report Data'!R95</f>
        <v>0</v>
      </c>
      <c r="N11" s="30">
        <f>SUMIF('Report Data'!$A:$A,SIMPLE!$A11,'Report Data'!T:T)</f>
        <v>0</v>
      </c>
      <c r="O11" s="55">
        <f>SUMIF('Report Data'!$A:$A,SIMPLE!$A11,'Report Data'!V:V)</f>
        <v>0</v>
      </c>
      <c r="P11" s="55">
        <f t="shared" si="2"/>
        <v>0</v>
      </c>
      <c r="Q11" s="91">
        <f t="shared" si="0"/>
        <v>0</v>
      </c>
      <c r="S11" s="12">
        <f t="shared" si="1"/>
        <v>0</v>
      </c>
    </row>
    <row r="12" spans="1:19" ht="15" outlineLevel="1" x14ac:dyDescent="0.2">
      <c r="A12" t="s">
        <v>32</v>
      </c>
      <c r="D12" s="42" t="s">
        <v>78</v>
      </c>
      <c r="E12" s="30">
        <f>SUMIF('Report Data'!$A:$A,SIMPLE!$A12,'Report Data'!B:B)</f>
        <v>0</v>
      </c>
      <c r="F12" s="30">
        <f>SUMIF('Report Data'!$A:$A,SIMPLE!$A12,'Report Data'!D:D)</f>
        <v>0</v>
      </c>
      <c r="G12" s="30">
        <f>SUMIF('Report Data'!$A:$A,SIMPLE!$A12,'Report Data'!F:F)</f>
        <v>0</v>
      </c>
      <c r="H12" s="30">
        <f>SUMIF('Report Data'!$A:$A,SIMPLE!$A12,'Report Data'!H:H)</f>
        <v>0</v>
      </c>
      <c r="I12" s="30">
        <f>SUMIF('Report Data'!$A:$A,SIMPLE!$A12,'Report Data'!J:J)</f>
        <v>0</v>
      </c>
      <c r="J12" s="30">
        <f>SUMIF('Report Data'!$A:$A,SIMPLE!$A12,'Report Data'!L:L)</f>
        <v>0</v>
      </c>
      <c r="K12" s="30">
        <f>SUMIF('Report Data'!$A:$A,SIMPLE!$A12,'Report Data'!N:N)</f>
        <v>0</v>
      </c>
      <c r="L12" s="30">
        <f>SUMIF('Report Data'!$A:$A,SIMPLE!$A12,'Report Data'!P:P)</f>
        <v>0</v>
      </c>
      <c r="M12" s="30">
        <f>'Report Data'!R96</f>
        <v>0</v>
      </c>
      <c r="N12" s="30">
        <f>SUMIF('Report Data'!$A:$A,SIMPLE!$A12,'Report Data'!T:T)</f>
        <v>0</v>
      </c>
      <c r="O12" s="55">
        <f>SUMIF('Report Data'!$A:$A,SIMPLE!$A12,'Report Data'!V:V)</f>
        <v>0</v>
      </c>
      <c r="P12" s="55">
        <f t="shared" si="2"/>
        <v>0</v>
      </c>
      <c r="Q12" s="91">
        <f t="shared" si="0"/>
        <v>0</v>
      </c>
      <c r="S12" s="12">
        <f t="shared" si="1"/>
        <v>0</v>
      </c>
    </row>
    <row r="13" spans="1:19" ht="15" outlineLevel="1" x14ac:dyDescent="0.2">
      <c r="D13" s="42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55"/>
      <c r="P13" s="55">
        <f t="shared" si="2"/>
        <v>0</v>
      </c>
      <c r="Q13" s="91">
        <f t="shared" si="0"/>
        <v>0</v>
      </c>
      <c r="S13" s="12"/>
    </row>
    <row r="14" spans="1:19" ht="15.75" x14ac:dyDescent="0.25">
      <c r="A14" s="6" t="s">
        <v>4</v>
      </c>
      <c r="B14" s="6"/>
      <c r="D14" s="45" t="s">
        <v>3</v>
      </c>
      <c r="E14" s="53">
        <f t="shared" ref="E14:O14" si="3">SUM(E8:E13)</f>
        <v>188074028</v>
      </c>
      <c r="F14" s="53">
        <f t="shared" si="3"/>
        <v>172517296.02000001</v>
      </c>
      <c r="G14" s="53">
        <f t="shared" si="3"/>
        <v>195374450.99999994</v>
      </c>
      <c r="H14" s="53">
        <f t="shared" si="3"/>
        <v>197875612</v>
      </c>
      <c r="I14" s="53">
        <f t="shared" si="3"/>
        <v>211533512.00000003</v>
      </c>
      <c r="J14" s="53">
        <f t="shared" si="3"/>
        <v>215214525</v>
      </c>
      <c r="K14" s="53">
        <f t="shared" si="3"/>
        <v>241900508.72000003</v>
      </c>
      <c r="L14" s="54">
        <f t="shared" si="3"/>
        <v>272772921.56999993</v>
      </c>
      <c r="M14" s="54">
        <f t="shared" si="3"/>
        <v>280449990</v>
      </c>
      <c r="N14" s="54">
        <f t="shared" si="3"/>
        <v>283490867.00000006</v>
      </c>
      <c r="O14" s="54">
        <f t="shared" si="3"/>
        <v>302483299</v>
      </c>
      <c r="P14" s="54">
        <f t="shared" si="2"/>
        <v>3040877.0000000596</v>
      </c>
      <c r="Q14" s="92">
        <f t="shared" si="0"/>
        <v>0.15936089379878493</v>
      </c>
      <c r="S14" s="15">
        <f>IF(F14&gt;0,+((O14/F14)^(1/5)-1),IF(AND(F14=0,O14&gt;0),100%,IF(AND(F14=0,O14&lt;0),-100%,IF(AND(F14=0,O14=0),0%,+((O14/F14)^(1/5)-1)))))</f>
        <v>0.11885485746784474</v>
      </c>
    </row>
    <row r="15" spans="1:19" ht="15.75" outlineLevel="1" x14ac:dyDescent="0.25">
      <c r="D15" s="46" t="s">
        <v>1</v>
      </c>
      <c r="E15" s="55"/>
      <c r="F15" s="55"/>
      <c r="G15" s="55"/>
      <c r="H15" s="55"/>
      <c r="I15" s="55"/>
      <c r="J15" s="55"/>
      <c r="K15" s="55"/>
      <c r="L15" s="56"/>
      <c r="M15" s="56"/>
      <c r="N15" s="56"/>
      <c r="O15" s="56"/>
      <c r="P15" s="56"/>
      <c r="Q15" s="91"/>
      <c r="S15" s="12"/>
    </row>
    <row r="16" spans="1:19" ht="15.75" outlineLevel="1" x14ac:dyDescent="0.25">
      <c r="A16" t="s">
        <v>38</v>
      </c>
      <c r="D16" s="46" t="s">
        <v>123</v>
      </c>
      <c r="E16" s="55">
        <f>SUMIF('Report Data'!$A:$A,SIMPLE!$A16,'Report Data'!B:B)</f>
        <v>530861.00000000012</v>
      </c>
      <c r="F16" s="55">
        <f>SUMIF('Report Data'!$A:$A,SIMPLE!$A16,'Report Data'!D:D)</f>
        <v>532029.99999999988</v>
      </c>
      <c r="G16" s="55">
        <f>SUMIF('Report Data'!$A:$A,SIMPLE!$A16,'Report Data'!F:F)</f>
        <v>530861.00000000012</v>
      </c>
      <c r="H16" s="55">
        <f>SUMIF('Report Data'!$A:$A,SIMPLE!$A16,'Report Data'!H:H)</f>
        <v>631732</v>
      </c>
      <c r="I16" s="55">
        <f>SUMIF('Report Data'!$A:$A,SIMPLE!$A16,'Report Data'!J:J)</f>
        <v>530861.00000000012</v>
      </c>
      <c r="J16" s="55">
        <f>SUMIF('Report Data'!$A:$A,SIMPLE!$A16,'Report Data'!L:L)</f>
        <v>1008434.8999999999</v>
      </c>
      <c r="K16" s="55">
        <f>SUMIF('Report Data'!$A:$A,SIMPLE!$A16,'Report Data'!N:N)</f>
        <v>617549</v>
      </c>
      <c r="L16" s="56">
        <f>SUMIF('Report Data'!$A:$A,SIMPLE!$A16,'Report Data'!P:P)</f>
        <v>583188.12</v>
      </c>
      <c r="M16" s="56">
        <f>SUMIF('Report Data'!$A:$A,SIMPLE!$A16,'Report Data'!R:R)</f>
        <v>619780</v>
      </c>
      <c r="N16" s="56">
        <f>SUMIF('Report Data'!$A:$A,SIMPLE!$A16,'Report Data'!T:T)</f>
        <v>619780</v>
      </c>
      <c r="O16" s="56">
        <f>SUMIF('Report Data'!$A:$A,SIMPLE!$A16,'Report Data'!V:V)</f>
        <v>656440</v>
      </c>
      <c r="P16" s="56">
        <f t="shared" si="2"/>
        <v>0</v>
      </c>
      <c r="Q16" s="91">
        <f t="shared" ref="Q16:Q24" si="4">IF(K16&gt;0,((M16/K16)-1),IF(AND(K16=0,M16&gt;0),100%,IF(AND(K16=0,M16&lt;0),-100%,IF(AND(K16=0,M16=0),0%,((M16/(K16))-1)*-1))))</f>
        <v>3.6126687922739542E-3</v>
      </c>
      <c r="S16" s="12">
        <f>IF(F16&gt;0,+((O16/F16)^(1/5)-1),IF(AND(F16=0,O16&gt;0),100%,IF(AND(F16=0,O16&lt;0),-100%,IF(AND(F16=0,O16=0),0%,+((O16/F16)^(1/5)-1)))))</f>
        <v>4.2921889940890079E-2</v>
      </c>
    </row>
    <row r="17" spans="1:19" ht="15.75" outlineLevel="1" x14ac:dyDescent="0.25">
      <c r="A17" t="s">
        <v>103</v>
      </c>
      <c r="D17" s="46" t="s">
        <v>124</v>
      </c>
      <c r="E17" s="55">
        <f>SUMIF('Report Data'!$A:$A,SIMPLE!$A17,'Report Data'!B:B)</f>
        <v>0</v>
      </c>
      <c r="F17" s="55">
        <f>SUMIF('Report Data'!$A:$A,SIMPLE!$A17,'Report Data'!D:D)</f>
        <v>0</v>
      </c>
      <c r="G17" s="55">
        <f>SUMIF('Report Data'!$A:$A,SIMPLE!$A17,'Report Data'!F:F)</f>
        <v>0</v>
      </c>
      <c r="H17" s="55">
        <f>SUMIF('Report Data'!$A:$A,SIMPLE!$A17,'Report Data'!H:H)</f>
        <v>0</v>
      </c>
      <c r="I17" s="55">
        <f>SUMIF('Report Data'!$A:$A,SIMPLE!$A17,'Report Data'!J:J)</f>
        <v>0</v>
      </c>
      <c r="J17" s="55">
        <f>SUMIF('Report Data'!$A:$A,SIMPLE!$A17,'Report Data'!L:L)</f>
        <v>0</v>
      </c>
      <c r="K17" s="55">
        <f>SUMIF('Report Data'!$A:$A,SIMPLE!$A17,'Report Data'!N:N)</f>
        <v>0</v>
      </c>
      <c r="L17" s="56">
        <f>SUMIF('Report Data'!$A:$A,SIMPLE!$A17,'Report Data'!P:P)</f>
        <v>0</v>
      </c>
      <c r="M17" s="56">
        <f>SUMIF('Report Data'!$A:$A,SIMPLE!$A17,'Report Data'!R:R)</f>
        <v>0</v>
      </c>
      <c r="N17" s="56">
        <f>SUMIF('Report Data'!$A:$A,SIMPLE!$A17,'Report Data'!T:T)</f>
        <v>0</v>
      </c>
      <c r="O17" s="56">
        <f>SUMIF('Report Data'!$A:$A,SIMPLE!$A17,'Report Data'!V:V)</f>
        <v>0</v>
      </c>
      <c r="P17" s="56">
        <f t="shared" si="2"/>
        <v>0</v>
      </c>
      <c r="Q17" s="91">
        <f t="shared" si="4"/>
        <v>0</v>
      </c>
      <c r="S17" s="12">
        <f>IF(F17&gt;0,+((O17/F17)^(1/5)-1),IF(AND(F17=0,O17&gt;0),100%,IF(AND(F17=0,O17&lt;0),-100%,IF(AND(F17=0,O17=0),0%,+((O17/F17)^(1/5)-1)))))</f>
        <v>0</v>
      </c>
    </row>
    <row r="18" spans="1:19" ht="15.75" outlineLevel="1" x14ac:dyDescent="0.25">
      <c r="A18" t="s">
        <v>40</v>
      </c>
      <c r="D18" s="46" t="s">
        <v>125</v>
      </c>
      <c r="E18" s="55">
        <f>SUMIF('Report Data'!$A:$A,SIMPLE!$A18,'Report Data'!B:B)</f>
        <v>-3535830</v>
      </c>
      <c r="F18" s="55">
        <f>SUMIF('Report Data'!$A:$A,SIMPLE!$A18,'Report Data'!D:D)</f>
        <v>-2185136.0000000005</v>
      </c>
      <c r="G18" s="55">
        <f>SUMIF('Report Data'!$A:$A,SIMPLE!$A18,'Report Data'!F:F)</f>
        <v>-3388273.9999999995</v>
      </c>
      <c r="H18" s="55">
        <f>SUMIF('Report Data'!$A:$A,SIMPLE!$A18,'Report Data'!H:H)</f>
        <v>-2829398.68</v>
      </c>
      <c r="I18" s="55">
        <f>SUMIF('Report Data'!$A:$A,SIMPLE!$A18,'Report Data'!J:J)</f>
        <v>-3635638.0000000005</v>
      </c>
      <c r="J18" s="55">
        <f>SUMIF('Report Data'!$A:$A,SIMPLE!$A18,'Report Data'!L:L)</f>
        <v>-4824020.41</v>
      </c>
      <c r="K18" s="55">
        <f>SUMIF('Report Data'!$A:$A,SIMPLE!$A18,'Report Data'!N:N)</f>
        <v>-3850000.0000000005</v>
      </c>
      <c r="L18" s="56">
        <f>SUMIF('Report Data'!$A:$A,SIMPLE!$A18,'Report Data'!P:P)</f>
        <v>-5325453.3900000006</v>
      </c>
      <c r="M18" s="56">
        <f>SUMIF('Report Data'!$A:$A,SIMPLE!$A18,'Report Data'!R:R)</f>
        <v>-4589776</v>
      </c>
      <c r="N18" s="56">
        <f>SUMIF('Report Data'!$A:$A,SIMPLE!$A18,'Report Data'!T:T)</f>
        <v>-4589776</v>
      </c>
      <c r="O18" s="56">
        <f>SUMIF('Report Data'!$A:$A,SIMPLE!$A18,'Report Data'!V:V)</f>
        <v>-4399999.9999999991</v>
      </c>
      <c r="P18" s="56">
        <f t="shared" si="2"/>
        <v>0</v>
      </c>
      <c r="Q18" s="91">
        <f t="shared" si="4"/>
        <v>-0.19214961038961031</v>
      </c>
      <c r="S18" s="12">
        <f>IF(F18&gt;0,+((O18/F18)^(1/5)-1),IF(AND(F18=0,O18&gt;0),100%,IF(AND(F18=0,O18&lt;0),-100%,IF(AND(F18=0,O18=0),0%,+((O18/F18)^(1/5)-1)))))</f>
        <v>0.15025688345787924</v>
      </c>
    </row>
    <row r="19" spans="1:19" ht="15.75" outlineLevel="1" x14ac:dyDescent="0.25">
      <c r="A19" t="s">
        <v>41</v>
      </c>
      <c r="D19" s="46" t="s">
        <v>126</v>
      </c>
      <c r="E19" s="55">
        <f>SUMIF('Report Data'!$A:$A,SIMPLE!$A19,'Report Data'!B:B)</f>
        <v>-2883927</v>
      </c>
      <c r="F19" s="55">
        <f>SUMIF('Report Data'!$A:$A,SIMPLE!$A19,'Report Data'!D:D)</f>
        <v>-2545756</v>
      </c>
      <c r="G19" s="55">
        <f>SUMIF('Report Data'!$A:$A,SIMPLE!$A19,'Report Data'!F:F)</f>
        <v>-2930617.0000000005</v>
      </c>
      <c r="H19" s="55">
        <f>SUMIF('Report Data'!$A:$A,SIMPLE!$A19,'Report Data'!H:H)</f>
        <v>-778227.77</v>
      </c>
      <c r="I19" s="55">
        <f>SUMIF('Report Data'!$A:$A,SIMPLE!$A19,'Report Data'!J:J)</f>
        <v>-2821753</v>
      </c>
      <c r="J19" s="55">
        <f>SUMIF('Report Data'!$A:$A,SIMPLE!$A19,'Report Data'!L:L)</f>
        <v>-943341.33000000007</v>
      </c>
      <c r="K19" s="55">
        <f>SUMIF('Report Data'!$A:$A,SIMPLE!$A19,'Report Data'!N:N)</f>
        <v>-2724062</v>
      </c>
      <c r="L19" s="56">
        <f>SUMIF('Report Data'!$A:$A,SIMPLE!$A19,'Report Data'!P:P)</f>
        <v>-834388.67</v>
      </c>
      <c r="M19" s="56">
        <f>SUMIF('Report Data'!$A:$A,SIMPLE!$A19,'Report Data'!R:R)</f>
        <v>-2702417</v>
      </c>
      <c r="N19" s="56">
        <f>SUMIF('Report Data'!$A:$A,SIMPLE!$A19,'Report Data'!T:T)</f>
        <v>-2702417</v>
      </c>
      <c r="O19" s="56">
        <f>SUMIF('Report Data'!$A:$A,SIMPLE!$A19,'Report Data'!V:V)</f>
        <v>-2449633</v>
      </c>
      <c r="P19" s="56">
        <f t="shared" si="2"/>
        <v>0</v>
      </c>
      <c r="Q19" s="91">
        <f t="shared" si="4"/>
        <v>7.945854389511009E-3</v>
      </c>
      <c r="S19" s="12">
        <f>IF(F19&gt;0,+((O19/F19)^(1/5)-1),IF(AND(F19=0,O19&gt;0),100%,IF(AND(F19=0,O19&lt;0),-100%,IF(AND(F19=0,O19=0),0%,+((O19/F19)^(1/5)-1)))))</f>
        <v>-7.6683354416784422E-3</v>
      </c>
    </row>
    <row r="20" spans="1:19" ht="15.75" outlineLevel="1" x14ac:dyDescent="0.25">
      <c r="A20" t="s">
        <v>43</v>
      </c>
      <c r="D20" s="46" t="s">
        <v>127</v>
      </c>
      <c r="E20" s="55">
        <f>SUMIF('Report Data'!$A:$A,SIMPLE!$A20,'Report Data'!B:B)</f>
        <v>-105041779.00000006</v>
      </c>
      <c r="F20" s="55">
        <f>SUMIF('Report Data'!$A:$A,SIMPLE!$A20,'Report Data'!D:D)</f>
        <v>-107163710.00000001</v>
      </c>
      <c r="G20" s="55">
        <f>SUMIF('Report Data'!$A:$A,SIMPLE!$A20,'Report Data'!F:F)</f>
        <v>-110623821</v>
      </c>
      <c r="H20" s="55">
        <f>SUMIF('Report Data'!$A:$A,SIMPLE!$A20,'Report Data'!H:H)</f>
        <v>-120464386</v>
      </c>
      <c r="I20" s="55">
        <f>SUMIF('Report Data'!$A:$A,SIMPLE!$A20,'Report Data'!J:J)</f>
        <v>-126411652.99999994</v>
      </c>
      <c r="J20" s="55">
        <f>SUMIF('Report Data'!$A:$A,SIMPLE!$A20,'Report Data'!L:L)</f>
        <v>-131513315.00000001</v>
      </c>
      <c r="K20" s="55">
        <f>SUMIF('Report Data'!$A:$A,SIMPLE!$A20,'Report Data'!N:N)</f>
        <v>-154896399</v>
      </c>
      <c r="L20" s="56">
        <f>SUMIF('Report Data'!$A:$A,SIMPLE!$A20,'Report Data'!P:P)</f>
        <v>-175114471.00000003</v>
      </c>
      <c r="M20" s="56">
        <f>SUMIF('Report Data'!$A:$A,SIMPLE!$A20,'Report Data'!R:R)</f>
        <v>-176713457</v>
      </c>
      <c r="N20" s="56">
        <f>SUMIF('Report Data'!$A:$A,SIMPLE!$A20,'Report Data'!T:T)</f>
        <v>-176713457</v>
      </c>
      <c r="O20" s="56">
        <f>SUMIF('Report Data'!$A:$A,SIMPLE!$A20,'Report Data'!V:V)</f>
        <v>-197100913.00000003</v>
      </c>
      <c r="P20" s="56">
        <f t="shared" si="2"/>
        <v>0</v>
      </c>
      <c r="Q20" s="91">
        <f t="shared" si="4"/>
        <v>-0.1408493557038728</v>
      </c>
      <c r="S20" s="12">
        <f>IF(F20&gt;0,+((O20/F20)^(1/5)-1),IF(AND(F20=0,O20&gt;0),100%,IF(AND(F20=0,O20&lt;0),-100%,IF(AND(F20=0,O20=0),0%,+((O20/F20)^(1/5)-1)))))</f>
        <v>0.12960909158282208</v>
      </c>
    </row>
    <row r="21" spans="1:19" ht="15.75" x14ac:dyDescent="0.25">
      <c r="D21" s="46" t="s">
        <v>128</v>
      </c>
      <c r="E21" s="55"/>
      <c r="F21" s="55"/>
      <c r="G21" s="55"/>
      <c r="H21" s="55"/>
      <c r="I21" s="55"/>
      <c r="J21" s="55"/>
      <c r="K21" s="55"/>
      <c r="L21" s="56">
        <f>SUM(L16:L20)</f>
        <v>-180691124.94000003</v>
      </c>
      <c r="M21" s="56">
        <f t="shared" ref="M21:O21" si="5">SUM(M16:M20)</f>
        <v>-183385870</v>
      </c>
      <c r="N21" s="56">
        <f t="shared" si="5"/>
        <v>-183385870</v>
      </c>
      <c r="O21" s="56">
        <f t="shared" si="5"/>
        <v>-203294106.00000003</v>
      </c>
      <c r="P21" s="56">
        <f t="shared" si="2"/>
        <v>0</v>
      </c>
      <c r="Q21" s="91">
        <f t="shared" si="4"/>
        <v>-1</v>
      </c>
      <c r="S21" s="12"/>
    </row>
    <row r="22" spans="1:19" ht="15.75" x14ac:dyDescent="0.25">
      <c r="A22" s="6"/>
      <c r="B22" s="6"/>
      <c r="D22" s="45" t="s">
        <v>5</v>
      </c>
      <c r="E22" s="53">
        <f t="shared" ref="E22:K22" si="6">SUM(E14:E21)</f>
        <v>77143352.99999994</v>
      </c>
      <c r="F22" s="53">
        <f t="shared" si="6"/>
        <v>61154724.019999996</v>
      </c>
      <c r="G22" s="53">
        <f t="shared" si="6"/>
        <v>78962599.99999994</v>
      </c>
      <c r="H22" s="53">
        <f t="shared" si="6"/>
        <v>74435331.549999982</v>
      </c>
      <c r="I22" s="53">
        <f t="shared" si="6"/>
        <v>79195329.000000089</v>
      </c>
      <c r="J22" s="53">
        <f t="shared" si="6"/>
        <v>78942283.159999982</v>
      </c>
      <c r="K22" s="53">
        <f t="shared" si="6"/>
        <v>81047596.720000029</v>
      </c>
      <c r="L22" s="54">
        <f>L14+L21</f>
        <v>92081796.629999906</v>
      </c>
      <c r="M22" s="54">
        <f t="shared" ref="M22:O22" si="7">M14+M21</f>
        <v>97064120</v>
      </c>
      <c r="N22" s="54">
        <f t="shared" si="7"/>
        <v>100104997.00000006</v>
      </c>
      <c r="O22" s="54">
        <f t="shared" si="7"/>
        <v>99189192.99999997</v>
      </c>
      <c r="P22" s="54">
        <f t="shared" si="2"/>
        <v>3040877.0000000596</v>
      </c>
      <c r="Q22" s="92">
        <f t="shared" si="4"/>
        <v>0.19761873180932454</v>
      </c>
      <c r="S22" s="21">
        <f>IF(F22&gt;0,+((O22/F22)^(1/5)-1),IF(AND(F22=0,O22&gt;0),100%,IF(AND(F22=0,O22&lt;0),-100%,IF(AND(F22=0,O22=0),0%,+((O22/F22)^(1/5)-1)))))</f>
        <v>0.10155673276203903</v>
      </c>
    </row>
    <row r="23" spans="1:19" ht="15.75" x14ac:dyDescent="0.25">
      <c r="A23" t="s">
        <v>170</v>
      </c>
      <c r="D23" s="47" t="s">
        <v>177</v>
      </c>
      <c r="E23" s="55">
        <f>SUMIF('Report Data'!$A:$A,SIMPLE!$A23,'Report Data'!B:B)</f>
        <v>0</v>
      </c>
      <c r="F23" s="55">
        <f>SUMIF('Report Data'!$A:$A,SIMPLE!$A23,'Report Data'!D:D)</f>
        <v>15439129.999999994</v>
      </c>
      <c r="G23" s="55">
        <f>SUMIF('Report Data'!$A:$A,SIMPLE!$A23,'Report Data'!F:F)</f>
        <v>0</v>
      </c>
      <c r="H23" s="55">
        <f>SUMIF('Report Data'!$A:$A,SIMPLE!$A23,'Report Data'!H:H)</f>
        <v>14053782</v>
      </c>
      <c r="I23" s="55">
        <f>SUMIF('Report Data'!$A:$A,SIMPLE!$A23,'Report Data'!J:J)</f>
        <v>0</v>
      </c>
      <c r="J23" s="55">
        <f>SUMIF('Report Data'!$A:$A,SIMPLE!$A23,'Report Data'!L:L)</f>
        <v>13787328</v>
      </c>
      <c r="K23" s="55">
        <f>SUMIF('Report Data'!$A:$A,SIMPLE!$A23,'Report Data'!N:N)</f>
        <v>13864483.999999994</v>
      </c>
      <c r="L23" s="57">
        <f>SUMIF('Report Data'!$A:$A,SIMPLE!$A23,'Report Data'!P:P)</f>
        <v>14103473.489999998</v>
      </c>
      <c r="M23" s="57">
        <f>SUMIF('Report Data'!$A:$A,SIMPLE!$A23,'Report Data'!R:R)</f>
        <v>14100061.999999998</v>
      </c>
      <c r="N23" s="57">
        <f>SUMIF('Report Data'!$A:$A,SIMPLE!$A23,'Report Data'!T:T)</f>
        <v>14100061.999999998</v>
      </c>
      <c r="O23" s="57">
        <f>SUMIF('Report Data'!$A:$A,SIMPLE!$A23,'Report Data'!V:V)</f>
        <v>14768761.179999998</v>
      </c>
      <c r="P23" s="57">
        <f t="shared" si="2"/>
        <v>0</v>
      </c>
      <c r="Q23" s="93">
        <f t="shared" si="4"/>
        <v>1.6991472600062396E-2</v>
      </c>
      <c r="S23" s="50"/>
    </row>
    <row r="24" spans="1:19" ht="15.75" x14ac:dyDescent="0.25">
      <c r="A24"/>
      <c r="D24" s="40" t="s">
        <v>178</v>
      </c>
      <c r="E24" s="58">
        <f>E22+E23</f>
        <v>77143352.99999994</v>
      </c>
      <c r="F24" s="58">
        <f t="shared" ref="F24:O24" si="8">F22+F23</f>
        <v>76593854.019999996</v>
      </c>
      <c r="G24" s="58">
        <f t="shared" si="8"/>
        <v>78962599.99999994</v>
      </c>
      <c r="H24" s="58">
        <f t="shared" si="8"/>
        <v>88489113.549999982</v>
      </c>
      <c r="I24" s="58">
        <f t="shared" si="8"/>
        <v>79195329.000000089</v>
      </c>
      <c r="J24" s="58">
        <f t="shared" si="8"/>
        <v>92729611.159999982</v>
      </c>
      <c r="K24" s="58">
        <f t="shared" si="8"/>
        <v>94912080.720000029</v>
      </c>
      <c r="L24" s="58">
        <f t="shared" si="8"/>
        <v>106185270.1199999</v>
      </c>
      <c r="M24" s="58">
        <f t="shared" si="8"/>
        <v>111164182</v>
      </c>
      <c r="N24" s="58">
        <f t="shared" si="8"/>
        <v>114205059.00000006</v>
      </c>
      <c r="O24" s="58">
        <f t="shared" si="8"/>
        <v>113957954.17999996</v>
      </c>
      <c r="P24" s="58">
        <f t="shared" si="2"/>
        <v>3040877.0000000596</v>
      </c>
      <c r="Q24" s="94">
        <f t="shared" si="4"/>
        <v>0.17123322085778803</v>
      </c>
      <c r="R24" s="13"/>
      <c r="S24" s="50"/>
    </row>
    <row r="25" spans="1:19" ht="12.75" customHeight="1" x14ac:dyDescent="0.25">
      <c r="D25" s="46" t="s">
        <v>1</v>
      </c>
      <c r="E25" s="55"/>
      <c r="F25" s="55"/>
      <c r="G25" s="55"/>
      <c r="H25" s="55"/>
      <c r="I25" s="55"/>
      <c r="J25" s="55"/>
      <c r="K25" s="55"/>
      <c r="L25" s="56"/>
      <c r="M25" s="56"/>
      <c r="N25" s="76"/>
      <c r="O25" s="56"/>
      <c r="P25" s="56"/>
      <c r="Q25" s="91"/>
      <c r="S25" s="12"/>
    </row>
    <row r="26" spans="1:19" ht="15.75" outlineLevel="1" x14ac:dyDescent="0.25">
      <c r="A26" t="s">
        <v>47</v>
      </c>
      <c r="D26" s="46" t="s">
        <v>129</v>
      </c>
      <c r="E26" s="55">
        <f>SUMIF('Report Data'!$A:$A,SIMPLE!$A26,'Report Data'!B:B)</f>
        <v>0</v>
      </c>
      <c r="F26" s="55">
        <f>SUMIF('Report Data'!$A:$A,SIMPLE!$A26,'Report Data'!D:D)</f>
        <v>0</v>
      </c>
      <c r="G26" s="55">
        <f>SUMIF('Report Data'!$A:$A,SIMPLE!$A26,'Report Data'!F:F)</f>
        <v>0</v>
      </c>
      <c r="H26" s="55">
        <f>SUMIF('Report Data'!$A:$A,SIMPLE!$A26,'Report Data'!H:H)</f>
        <v>0</v>
      </c>
      <c r="I26" s="55">
        <f>SUMIF('Report Data'!$A:$A,SIMPLE!$A26,'Report Data'!J:J)</f>
        <v>0</v>
      </c>
      <c r="J26" s="55">
        <f>SUMIF('Report Data'!$A:$A,SIMPLE!$A26,'Report Data'!L:L)</f>
        <v>0</v>
      </c>
      <c r="K26" s="55">
        <f>SUMIF('Report Data'!$A:$A,SIMPLE!$A26,'Report Data'!N:N)</f>
        <v>0</v>
      </c>
      <c r="L26" s="56">
        <f>SUMIF('Report Data'!$A:$A,SIMPLE!$A26,'Report Data'!P:P)</f>
        <v>0</v>
      </c>
      <c r="M26" s="56">
        <f>SUMIF('Report Data'!$A:$A,SIMPLE!$A26,'Report Data'!R:R)</f>
        <v>0</v>
      </c>
      <c r="N26" s="56">
        <f>SUMIF('Report Data'!$A:$A,SIMPLE!$A26,'Report Data'!T:T)</f>
        <v>0</v>
      </c>
      <c r="O26" s="56">
        <f>SUMIF('Report Data'!$A:$A,SIMPLE!$A26,'Report Data'!V:V)</f>
        <v>0</v>
      </c>
      <c r="P26" s="56">
        <f t="shared" si="2"/>
        <v>0</v>
      </c>
      <c r="Q26" s="91">
        <f t="shared" ref="Q26:Q45" si="9">IF(K26&gt;0,((M26/K26)-1),IF(AND(K26=0,M26&gt;0),100%,IF(AND(K26=0,M26&lt;0),-100%,IF(AND(K26=0,M26=0),0%,((M26/(K26))-1)*-1))))</f>
        <v>0</v>
      </c>
      <c r="S26" s="12">
        <f t="shared" ref="S26:S35" si="10">IF(F26&gt;0,+((O26/F26)^(1/5)-1),IF(AND(F26=0,O26&gt;0),100%,IF(AND(F26=0,O26&lt;0),-100%,IF(AND(F26=0,O26=0),0%,+((O26/F26)^(1/5)-1)))))</f>
        <v>0</v>
      </c>
    </row>
    <row r="27" spans="1:19" ht="15.75" outlineLevel="1" x14ac:dyDescent="0.25">
      <c r="A27" t="s">
        <v>48</v>
      </c>
      <c r="D27" s="46" t="s">
        <v>130</v>
      </c>
      <c r="E27" s="55">
        <f>SUMIF('Report Data'!$A:$A,SIMPLE!$A27,'Report Data'!B:B)</f>
        <v>1158994.9999999998</v>
      </c>
      <c r="F27" s="55">
        <f>SUMIF('Report Data'!$A:$A,SIMPLE!$A27,'Report Data'!D:D)</f>
        <v>1533248</v>
      </c>
      <c r="G27" s="55">
        <f>SUMIF('Report Data'!$A:$A,SIMPLE!$A27,'Report Data'!F:F)</f>
        <v>1350760</v>
      </c>
      <c r="H27" s="55">
        <f>SUMIF('Report Data'!$A:$A,SIMPLE!$A27,'Report Data'!H:H)</f>
        <v>1455126.09</v>
      </c>
      <c r="I27" s="55">
        <f>SUMIF('Report Data'!$A:$A,SIMPLE!$A27,'Report Data'!J:J)</f>
        <v>1670367</v>
      </c>
      <c r="J27" s="55">
        <f>SUMIF('Report Data'!$A:$A,SIMPLE!$A27,'Report Data'!L:L)</f>
        <v>5465008.9500000002</v>
      </c>
      <c r="K27" s="55">
        <f>SUMIF('Report Data'!$A:$A,SIMPLE!$A27,'Report Data'!N:N)</f>
        <v>1434149.0000000002</v>
      </c>
      <c r="L27" s="56">
        <f>SUMIF('Report Data'!$A:$A,SIMPLE!$A27,'Report Data'!P:P)</f>
        <v>2749882.57</v>
      </c>
      <c r="M27" s="56">
        <f>SUMIF('Report Data'!$A:$A,SIMPLE!$A27,'Report Data'!R:R)</f>
        <v>1375866</v>
      </c>
      <c r="N27" s="56">
        <f>SUMIF('Report Data'!$A:$A,SIMPLE!$A27,'Report Data'!T:T)</f>
        <v>1375866</v>
      </c>
      <c r="O27" s="56">
        <f>SUMIF('Report Data'!$A:$A,SIMPLE!$A27,'Report Data'!V:V)</f>
        <v>3161242.5800000005</v>
      </c>
      <c r="P27" s="56">
        <f t="shared" si="2"/>
        <v>0</v>
      </c>
      <c r="Q27" s="91">
        <f t="shared" si="9"/>
        <v>-4.0639431467720755E-2</v>
      </c>
      <c r="S27" s="12">
        <f t="shared" si="10"/>
        <v>0.15571056446974896</v>
      </c>
    </row>
    <row r="28" spans="1:19" ht="15.75" outlineLevel="1" x14ac:dyDescent="0.25">
      <c r="A28" t="s">
        <v>49</v>
      </c>
      <c r="D28" s="46" t="s">
        <v>131</v>
      </c>
      <c r="E28" s="55">
        <f>SUMIF('Report Data'!$A:$A,SIMPLE!$A28,'Report Data'!B:B)</f>
        <v>356000.00000000006</v>
      </c>
      <c r="F28" s="55">
        <f>SUMIF('Report Data'!$A:$A,SIMPLE!$A28,'Report Data'!D:D)</f>
        <v>258577.99999999997</v>
      </c>
      <c r="G28" s="55">
        <f>SUMIF('Report Data'!$A:$A,SIMPLE!$A28,'Report Data'!F:F)</f>
        <v>356000.00000000006</v>
      </c>
      <c r="H28" s="55">
        <f>SUMIF('Report Data'!$A:$A,SIMPLE!$A28,'Report Data'!H:H)</f>
        <v>285412.45</v>
      </c>
      <c r="I28" s="55">
        <f>SUMIF('Report Data'!$A:$A,SIMPLE!$A28,'Report Data'!J:J)</f>
        <v>299953</v>
      </c>
      <c r="J28" s="55">
        <f>SUMIF('Report Data'!$A:$A,SIMPLE!$A28,'Report Data'!L:L)</f>
        <v>250209.44</v>
      </c>
      <c r="K28" s="55">
        <f>SUMIF('Report Data'!$A:$A,SIMPLE!$A28,'Report Data'!N:N)</f>
        <v>264507</v>
      </c>
      <c r="L28" s="56">
        <f>SUMIF('Report Data'!$A:$A,SIMPLE!$A28,'Report Data'!P:P)</f>
        <v>333039.64999999997</v>
      </c>
      <c r="M28" s="56">
        <f>SUMIF('Report Data'!$A:$A,SIMPLE!$A28,'Report Data'!R:R)</f>
        <v>316051</v>
      </c>
      <c r="N28" s="56">
        <f>SUMIF('Report Data'!$A:$A,SIMPLE!$A28,'Report Data'!T:T)</f>
        <v>316051</v>
      </c>
      <c r="O28" s="56">
        <f>SUMIF('Report Data'!$A:$A,SIMPLE!$A28,'Report Data'!V:V)</f>
        <v>359448.18000000011</v>
      </c>
      <c r="P28" s="56">
        <f t="shared" si="2"/>
        <v>0</v>
      </c>
      <c r="Q28" s="91">
        <f t="shared" si="9"/>
        <v>0.19486818874358702</v>
      </c>
      <c r="S28" s="12">
        <f t="shared" si="10"/>
        <v>6.8092691510615033E-2</v>
      </c>
    </row>
    <row r="29" spans="1:19" ht="15.75" outlineLevel="1" x14ac:dyDescent="0.25">
      <c r="A29" t="s">
        <v>50</v>
      </c>
      <c r="D29" s="46" t="s">
        <v>132</v>
      </c>
      <c r="E29" s="55">
        <f>SUMIF('Report Data'!$A:$A,SIMPLE!$A29,'Report Data'!B:B)</f>
        <v>0</v>
      </c>
      <c r="F29" s="55">
        <f>SUMIF('Report Data'!$A:$A,SIMPLE!$A29,'Report Data'!D:D)</f>
        <v>0</v>
      </c>
      <c r="G29" s="55">
        <f>SUMIF('Report Data'!$A:$A,SIMPLE!$A29,'Report Data'!F:F)</f>
        <v>0</v>
      </c>
      <c r="H29" s="55">
        <f>SUMIF('Report Data'!$A:$A,SIMPLE!$A29,'Report Data'!H:H)</f>
        <v>0</v>
      </c>
      <c r="I29" s="55">
        <f>SUMIF('Report Data'!$A:$A,SIMPLE!$A29,'Report Data'!J:J)</f>
        <v>0</v>
      </c>
      <c r="J29" s="55">
        <f>SUMIF('Report Data'!$A:$A,SIMPLE!$A29,'Report Data'!L:L)</f>
        <v>0</v>
      </c>
      <c r="K29" s="55">
        <f>SUMIF('Report Data'!$A:$A,SIMPLE!$A29,'Report Data'!N:N)</f>
        <v>0</v>
      </c>
      <c r="L29" s="56">
        <f>SUMIF('Report Data'!$A:$A,SIMPLE!$A29,'Report Data'!P:P)</f>
        <v>0</v>
      </c>
      <c r="M29" s="56">
        <f>SUMIF('Report Data'!$A:$A,SIMPLE!$A29,'Report Data'!R:R)</f>
        <v>0</v>
      </c>
      <c r="N29" s="56">
        <f>SUMIF('Report Data'!$A:$A,SIMPLE!$A29,'Report Data'!T:T)</f>
        <v>0</v>
      </c>
      <c r="O29" s="56">
        <f>SUMIF('Report Data'!$A:$A,SIMPLE!$A29,'Report Data'!V:V)</f>
        <v>0</v>
      </c>
      <c r="P29" s="56">
        <f t="shared" si="2"/>
        <v>0</v>
      </c>
      <c r="Q29" s="91">
        <f t="shared" si="9"/>
        <v>0</v>
      </c>
      <c r="S29" s="12">
        <f t="shared" si="10"/>
        <v>0</v>
      </c>
    </row>
    <row r="30" spans="1:19" ht="15.75" outlineLevel="1" x14ac:dyDescent="0.25">
      <c r="A30" t="s">
        <v>51</v>
      </c>
      <c r="D30" s="46" t="s">
        <v>133</v>
      </c>
      <c r="E30" s="55">
        <f>SUMIF('Report Data'!$A:$A,SIMPLE!$A30,'Report Data'!B:B)</f>
        <v>0</v>
      </c>
      <c r="F30" s="55">
        <f>SUMIF('Report Data'!$A:$A,SIMPLE!$A30,'Report Data'!D:D)</f>
        <v>0</v>
      </c>
      <c r="G30" s="55">
        <f>SUMIF('Report Data'!$A:$A,SIMPLE!$A30,'Report Data'!F:F)</f>
        <v>0</v>
      </c>
      <c r="H30" s="55">
        <f>SUMIF('Report Data'!$A:$A,SIMPLE!$A30,'Report Data'!H:H)</f>
        <v>0</v>
      </c>
      <c r="I30" s="55">
        <f>SUMIF('Report Data'!$A:$A,SIMPLE!$A30,'Report Data'!J:J)</f>
        <v>0</v>
      </c>
      <c r="J30" s="55">
        <f>SUMIF('Report Data'!$A:$A,SIMPLE!$A30,'Report Data'!L:L)</f>
        <v>0</v>
      </c>
      <c r="K30" s="55">
        <f>SUMIF('Report Data'!$A:$A,SIMPLE!$A30,'Report Data'!N:N)</f>
        <v>0</v>
      </c>
      <c r="L30" s="56">
        <f>SUMIF('Report Data'!$A:$A,SIMPLE!$A30,'Report Data'!P:P)</f>
        <v>0</v>
      </c>
      <c r="M30" s="56">
        <f>SUMIF('Report Data'!$A:$A,SIMPLE!$A30,'Report Data'!R:R)</f>
        <v>0</v>
      </c>
      <c r="N30" s="56">
        <f>SUMIF('Report Data'!$A:$A,SIMPLE!$A30,'Report Data'!T:T)</f>
        <v>0</v>
      </c>
      <c r="O30" s="56">
        <f>SUMIF('Report Data'!$A:$A,SIMPLE!$A30,'Report Data'!V:V)</f>
        <v>0</v>
      </c>
      <c r="P30" s="56">
        <f t="shared" si="2"/>
        <v>0</v>
      </c>
      <c r="Q30" s="91">
        <f t="shared" si="9"/>
        <v>0</v>
      </c>
      <c r="S30" s="12">
        <f t="shared" si="10"/>
        <v>0</v>
      </c>
    </row>
    <row r="31" spans="1:19" ht="15.75" outlineLevel="1" x14ac:dyDescent="0.25">
      <c r="A31" t="s">
        <v>52</v>
      </c>
      <c r="D31" s="46" t="s">
        <v>134</v>
      </c>
      <c r="E31" s="55">
        <f>SUMIF('Report Data'!$A:$A,SIMPLE!$A31,'Report Data'!B:B)</f>
        <v>0</v>
      </c>
      <c r="F31" s="55">
        <f>SUMIF('Report Data'!$A:$A,SIMPLE!$A31,'Report Data'!D:D)</f>
        <v>0</v>
      </c>
      <c r="G31" s="55">
        <f>SUMIF('Report Data'!$A:$A,SIMPLE!$A31,'Report Data'!F:F)</f>
        <v>0</v>
      </c>
      <c r="H31" s="55">
        <f>SUMIF('Report Data'!$A:$A,SIMPLE!$A31,'Report Data'!H:H)</f>
        <v>0</v>
      </c>
      <c r="I31" s="55">
        <f>SUMIF('Report Data'!$A:$A,SIMPLE!$A31,'Report Data'!J:J)</f>
        <v>0</v>
      </c>
      <c r="J31" s="55">
        <f>SUMIF('Report Data'!$A:$A,SIMPLE!$A31,'Report Data'!L:L)</f>
        <v>0</v>
      </c>
      <c r="K31" s="55">
        <f>SUMIF('Report Data'!$A:$A,SIMPLE!$A31,'Report Data'!N:N)</f>
        <v>0</v>
      </c>
      <c r="L31" s="56">
        <f>SUMIF('Report Data'!$A:$A,SIMPLE!$A31,'Report Data'!P:P)</f>
        <v>0</v>
      </c>
      <c r="M31" s="56">
        <f>SUMIF('Report Data'!$A:$A,SIMPLE!$A31,'Report Data'!R:R)</f>
        <v>0</v>
      </c>
      <c r="N31" s="56">
        <f>SUMIF('Report Data'!$A:$A,SIMPLE!$A31,'Report Data'!T:T)</f>
        <v>0</v>
      </c>
      <c r="O31" s="56">
        <f>SUMIF('Report Data'!$A:$A,SIMPLE!$A31,'Report Data'!V:V)</f>
        <v>0</v>
      </c>
      <c r="P31" s="56">
        <f t="shared" si="2"/>
        <v>0</v>
      </c>
      <c r="Q31" s="91">
        <f t="shared" si="9"/>
        <v>0</v>
      </c>
      <c r="S31" s="12">
        <f t="shared" si="10"/>
        <v>0</v>
      </c>
    </row>
    <row r="32" spans="1:19" ht="15.75" outlineLevel="1" x14ac:dyDescent="0.25">
      <c r="A32" t="s">
        <v>53</v>
      </c>
      <c r="D32" s="46" t="s">
        <v>135</v>
      </c>
      <c r="E32" s="55">
        <f>SUMIF('Report Data'!$A:$A,SIMPLE!$A32,'Report Data'!B:B)</f>
        <v>310638</v>
      </c>
      <c r="F32" s="55">
        <f>SUMIF('Report Data'!$A:$A,SIMPLE!$A32,'Report Data'!D:D)</f>
        <v>0</v>
      </c>
      <c r="G32" s="55">
        <f>SUMIF('Report Data'!$A:$A,SIMPLE!$A32,'Report Data'!F:F)</f>
        <v>0</v>
      </c>
      <c r="H32" s="55">
        <f>SUMIF('Report Data'!$A:$A,SIMPLE!$A32,'Report Data'!H:H)</f>
        <v>0</v>
      </c>
      <c r="I32" s="55">
        <f>SUMIF('Report Data'!$A:$A,SIMPLE!$A32,'Report Data'!J:J)</f>
        <v>0</v>
      </c>
      <c r="J32" s="55">
        <f>SUMIF('Report Data'!$A:$A,SIMPLE!$A32,'Report Data'!L:L)</f>
        <v>0</v>
      </c>
      <c r="K32" s="55">
        <f>SUMIF('Report Data'!$A:$A,SIMPLE!$A32,'Report Data'!N:N)</f>
        <v>0</v>
      </c>
      <c r="L32" s="56">
        <f>SUMIF('Report Data'!$A:$A,SIMPLE!$A32,'Report Data'!P:P)</f>
        <v>0</v>
      </c>
      <c r="M32" s="56">
        <f>SUMIF('Report Data'!$A:$A,SIMPLE!$A32,'Report Data'!R:R)</f>
        <v>0</v>
      </c>
      <c r="N32" s="56">
        <f>SUMIF('Report Data'!$A:$A,SIMPLE!$A32,'Report Data'!T:T)</f>
        <v>0</v>
      </c>
      <c r="O32" s="56">
        <f>SUMIF('Report Data'!$A:$A,SIMPLE!$A32,'Report Data'!V:V)</f>
        <v>0</v>
      </c>
      <c r="P32" s="56">
        <f t="shared" si="2"/>
        <v>0</v>
      </c>
      <c r="Q32" s="91">
        <f t="shared" si="9"/>
        <v>0</v>
      </c>
      <c r="S32" s="12">
        <f t="shared" si="10"/>
        <v>0</v>
      </c>
    </row>
    <row r="33" spans="1:19" ht="15.75" outlineLevel="1" x14ac:dyDescent="0.25">
      <c r="A33" t="s">
        <v>54</v>
      </c>
      <c r="D33" s="46" t="s">
        <v>136</v>
      </c>
      <c r="E33" s="55">
        <f>SUMIF('Report Data'!$A:$A,SIMPLE!$A33,'Report Data'!B:B)</f>
        <v>12000</v>
      </c>
      <c r="F33" s="55">
        <f>SUMIF('Report Data'!$A:$A,SIMPLE!$A33,'Report Data'!D:D)</f>
        <v>8499.9999999999982</v>
      </c>
      <c r="G33" s="55">
        <f>SUMIF('Report Data'!$A:$A,SIMPLE!$A33,'Report Data'!F:F)</f>
        <v>0</v>
      </c>
      <c r="H33" s="55">
        <f>SUMIF('Report Data'!$A:$A,SIMPLE!$A33,'Report Data'!H:H)</f>
        <v>67999.899999999994</v>
      </c>
      <c r="I33" s="55">
        <f>SUMIF('Report Data'!$A:$A,SIMPLE!$A33,'Report Data'!J:J)</f>
        <v>0</v>
      </c>
      <c r="J33" s="55">
        <f>SUMIF('Report Data'!$A:$A,SIMPLE!$A33,'Report Data'!L:L)</f>
        <v>0</v>
      </c>
      <c r="K33" s="55">
        <f>SUMIF('Report Data'!$A:$A,SIMPLE!$A33,'Report Data'!N:N)</f>
        <v>0</v>
      </c>
      <c r="L33" s="56">
        <f>SUMIF('Report Data'!$A:$A,SIMPLE!$A33,'Report Data'!P:P)</f>
        <v>-8500</v>
      </c>
      <c r="M33" s="56">
        <f>SUMIF('Report Data'!$A:$A,SIMPLE!$A33,'Report Data'!R:R)</f>
        <v>0</v>
      </c>
      <c r="N33" s="56">
        <f>SUMIF('Report Data'!$A:$A,SIMPLE!$A33,'Report Data'!T:T)</f>
        <v>0</v>
      </c>
      <c r="O33" s="56">
        <f>SUMIF('Report Data'!$A:$A,SIMPLE!$A33,'Report Data'!V:V)</f>
        <v>0</v>
      </c>
      <c r="P33" s="56">
        <f t="shared" si="2"/>
        <v>0</v>
      </c>
      <c r="Q33" s="91">
        <f t="shared" si="9"/>
        <v>0</v>
      </c>
      <c r="S33" s="12">
        <f t="shared" si="10"/>
        <v>-1</v>
      </c>
    </row>
    <row r="34" spans="1:19" ht="15.75" outlineLevel="1" x14ac:dyDescent="0.25">
      <c r="A34" t="s">
        <v>105</v>
      </c>
      <c r="D34" s="46" t="s">
        <v>137</v>
      </c>
      <c r="E34" s="55">
        <f>SUMIF('Report Data'!$A:$A,SIMPLE!$A34,'Report Data'!B:B)</f>
        <v>1695000</v>
      </c>
      <c r="F34" s="55">
        <f>SUMIF('Report Data'!$A:$A,SIMPLE!$A34,'Report Data'!D:D)</f>
        <v>1855151.0000000002</v>
      </c>
      <c r="G34" s="55">
        <f>SUMIF('Report Data'!$A:$A,SIMPLE!$A34,'Report Data'!F:F)</f>
        <v>1637168.0000000002</v>
      </c>
      <c r="H34" s="55">
        <f>SUMIF('Report Data'!$A:$A,SIMPLE!$A34,'Report Data'!H:H)</f>
        <v>1980610.65</v>
      </c>
      <c r="I34" s="55">
        <f>SUMIF('Report Data'!$A:$A,SIMPLE!$A34,'Report Data'!J:J)</f>
        <v>2145495</v>
      </c>
      <c r="J34" s="55">
        <f>SUMIF('Report Data'!$A:$A,SIMPLE!$A34,'Report Data'!L:L)</f>
        <v>1320725</v>
      </c>
      <c r="K34" s="55">
        <f>SUMIF('Report Data'!$A:$A,SIMPLE!$A34,'Report Data'!N:N)</f>
        <v>1673586.9999999998</v>
      </c>
      <c r="L34" s="56">
        <f>SUMIF('Report Data'!$A:$A,SIMPLE!$A34,'Report Data'!P:P)</f>
        <v>890253.87999999989</v>
      </c>
      <c r="M34" s="56">
        <f>SUMIF('Report Data'!$A:$A,SIMPLE!$A34,'Report Data'!R:R)</f>
        <v>1673586.9999999998</v>
      </c>
      <c r="N34" s="56">
        <f>SUMIF('Report Data'!$A:$A,SIMPLE!$A34,'Report Data'!T:T)</f>
        <v>1673586.9999999998</v>
      </c>
      <c r="O34" s="56">
        <f>SUMIF('Report Data'!$A:$A,SIMPLE!$A34,'Report Data'!V:V)</f>
        <v>1700000.0000000002</v>
      </c>
      <c r="P34" s="56">
        <f t="shared" si="2"/>
        <v>0</v>
      </c>
      <c r="Q34" s="91">
        <f t="shared" si="9"/>
        <v>0</v>
      </c>
      <c r="S34" s="12">
        <f t="shared" si="10"/>
        <v>-1.7315895089695887E-2</v>
      </c>
    </row>
    <row r="35" spans="1:19" ht="15.75" outlineLevel="1" x14ac:dyDescent="0.25">
      <c r="A35" t="s">
        <v>55</v>
      </c>
      <c r="D35" s="46" t="s">
        <v>138</v>
      </c>
      <c r="E35" s="55">
        <f>SUMIF('Report Data'!$A:$A,SIMPLE!$A35,'Report Data'!B:B)</f>
        <v>178000.00000000009</v>
      </c>
      <c r="F35" s="55">
        <f>SUMIF('Report Data'!$A:$A,SIMPLE!$A35,'Report Data'!D:D)</f>
        <v>463278.99999999994</v>
      </c>
      <c r="G35" s="55">
        <f>SUMIF('Report Data'!$A:$A,SIMPLE!$A35,'Report Data'!F:F)</f>
        <v>350925.99999999994</v>
      </c>
      <c r="H35" s="55">
        <f>SUMIF('Report Data'!$A:$A,SIMPLE!$A35,'Report Data'!H:H)</f>
        <v>1167948.92</v>
      </c>
      <c r="I35" s="55">
        <f>SUMIF('Report Data'!$A:$A,SIMPLE!$A35,'Report Data'!J:J)</f>
        <v>325776.00000000006</v>
      </c>
      <c r="J35" s="55">
        <f>SUMIF('Report Data'!$A:$A,SIMPLE!$A35,'Report Data'!L:L)</f>
        <v>1165375.46</v>
      </c>
      <c r="K35" s="55">
        <f>SUMIF('Report Data'!$A:$A,SIMPLE!$A35,'Report Data'!N:N)</f>
        <v>350285.99999999994</v>
      </c>
      <c r="L35" s="56">
        <f>SUMIF('Report Data'!$A:$A,SIMPLE!$A35,'Report Data'!P:P)</f>
        <v>651856.06999999995</v>
      </c>
      <c r="M35" s="56">
        <f>SUMIF('Report Data'!$A:$A,SIMPLE!$A35,'Report Data'!R:R)</f>
        <v>456557.00000000006</v>
      </c>
      <c r="N35" s="56">
        <f>SUMIF('Report Data'!$A:$A,SIMPLE!$A35,'Report Data'!T:T)</f>
        <v>456557.00000000006</v>
      </c>
      <c r="O35" s="56">
        <f>SUMIF('Report Data'!$A:$A,SIMPLE!$A35,'Report Data'!V:V)</f>
        <v>703032</v>
      </c>
      <c r="P35" s="56">
        <f t="shared" si="2"/>
        <v>0</v>
      </c>
      <c r="Q35" s="91">
        <f t="shared" si="9"/>
        <v>0.30338352089435539</v>
      </c>
      <c r="S35" s="12">
        <f t="shared" si="10"/>
        <v>8.6992370349729509E-2</v>
      </c>
    </row>
    <row r="36" spans="1:19" ht="15.75" outlineLevel="1" x14ac:dyDescent="0.25">
      <c r="A36" t="s">
        <v>181</v>
      </c>
      <c r="D36" s="46" t="s">
        <v>184</v>
      </c>
      <c r="E36" s="55"/>
      <c r="F36" s="55"/>
      <c r="G36" s="55"/>
      <c r="H36" s="55"/>
      <c r="I36" s="55"/>
      <c r="J36" s="55"/>
      <c r="K36" s="55"/>
      <c r="L36" s="56">
        <f>SUMIF('Report Data'!$A:$A,SIMPLE!$A36,'Report Data'!P:P)</f>
        <v>0</v>
      </c>
      <c r="M36" s="56">
        <f>SUMIF('Report Data'!$A:$A,SIMPLE!$A36,'Report Data'!R:R)</f>
        <v>0</v>
      </c>
      <c r="N36" s="56">
        <f>SUMIF('Report Data'!$A:$A,SIMPLE!$A36,'Report Data'!T:T)</f>
        <v>0</v>
      </c>
      <c r="O36" s="56">
        <f>SUMIF('Report Data'!$A:$A,SIMPLE!$A36,'Report Data'!V:V)</f>
        <v>0</v>
      </c>
      <c r="P36" s="56">
        <f t="shared" ref="P36" si="11">+N36-M36</f>
        <v>0</v>
      </c>
      <c r="Q36" s="91">
        <f t="shared" si="9"/>
        <v>0</v>
      </c>
      <c r="S36" s="12"/>
    </row>
    <row r="37" spans="1:19" ht="15.75" outlineLevel="1" x14ac:dyDescent="0.25">
      <c r="A37" t="s">
        <v>106</v>
      </c>
      <c r="D37" s="46" t="s">
        <v>139</v>
      </c>
      <c r="E37" s="55">
        <f>SUMIF('Report Data'!$A:$A,SIMPLE!$A37,'Report Data'!B:B)</f>
        <v>0</v>
      </c>
      <c r="F37" s="55">
        <f>SUMIF('Report Data'!$A:$A,SIMPLE!$A37,'Report Data'!D:D)</f>
        <v>0</v>
      </c>
      <c r="G37" s="55">
        <f>SUMIF('Report Data'!$A:$A,SIMPLE!$A37,'Report Data'!F:F)</f>
        <v>0</v>
      </c>
      <c r="H37" s="55">
        <f>SUMIF('Report Data'!$A:$A,SIMPLE!$A37,'Report Data'!H:H)</f>
        <v>0</v>
      </c>
      <c r="I37" s="55">
        <f>SUMIF('Report Data'!$A:$A,SIMPLE!$A37,'Report Data'!J:J)</f>
        <v>0</v>
      </c>
      <c r="J37" s="55">
        <f>SUMIF('Report Data'!$A:$A,SIMPLE!$A37,'Report Data'!L:L)</f>
        <v>0</v>
      </c>
      <c r="K37" s="55">
        <f>SUMIF('Report Data'!$A:$A,SIMPLE!$A37,'Report Data'!N:N)</f>
        <v>0</v>
      </c>
      <c r="L37" s="56">
        <f>SUMIF('Report Data'!$A:$A,SIMPLE!$A37,'Report Data'!P:P)</f>
        <v>0</v>
      </c>
      <c r="M37" s="56">
        <f>SUMIF('Report Data'!$A:$A,SIMPLE!$A37,'Report Data'!R:R)</f>
        <v>0</v>
      </c>
      <c r="N37" s="56">
        <f>SUMIF('Report Data'!$A:$A,SIMPLE!$A37,'Report Data'!T:T)</f>
        <v>0</v>
      </c>
      <c r="O37" s="56">
        <f>SUMIF('Report Data'!$A:$A,SIMPLE!$A37,'Report Data'!V:V)</f>
        <v>0</v>
      </c>
      <c r="P37" s="56">
        <f t="shared" si="2"/>
        <v>0</v>
      </c>
      <c r="Q37" s="91">
        <f t="shared" si="9"/>
        <v>0</v>
      </c>
      <c r="S37" s="12"/>
    </row>
    <row r="38" spans="1:19" ht="15.75" outlineLevel="1" x14ac:dyDescent="0.25">
      <c r="A38" t="s">
        <v>107</v>
      </c>
      <c r="D38" s="46" t="s">
        <v>140</v>
      </c>
      <c r="E38" s="55">
        <f>SUMIF('Report Data'!$A:$A,SIMPLE!$A38,'Report Data'!B:B)</f>
        <v>0</v>
      </c>
      <c r="F38" s="55">
        <f>SUMIF('Report Data'!$A:$A,SIMPLE!$A38,'Report Data'!D:D)</f>
        <v>0</v>
      </c>
      <c r="G38" s="55">
        <f>SUMIF('Report Data'!$A:$A,SIMPLE!$A38,'Report Data'!F:F)</f>
        <v>0</v>
      </c>
      <c r="H38" s="55">
        <f>SUMIF('Report Data'!$A:$A,SIMPLE!$A38,'Report Data'!H:H)</f>
        <v>0</v>
      </c>
      <c r="I38" s="55">
        <f>SUMIF('Report Data'!$A:$A,SIMPLE!$A38,'Report Data'!J:J)</f>
        <v>0</v>
      </c>
      <c r="J38" s="55">
        <f>SUMIF('Report Data'!$A:$A,SIMPLE!$A38,'Report Data'!L:L)</f>
        <v>0</v>
      </c>
      <c r="K38" s="55">
        <f>SUMIF('Report Data'!$A:$A,SIMPLE!$A38,'Report Data'!N:N)</f>
        <v>0</v>
      </c>
      <c r="L38" s="56">
        <f>SUMIF('Report Data'!$A:$A,SIMPLE!$A38,'Report Data'!P:P)</f>
        <v>0</v>
      </c>
      <c r="M38" s="56">
        <f>SUMIF('Report Data'!$A:$A,SIMPLE!$A38,'Report Data'!R:R)</f>
        <v>0</v>
      </c>
      <c r="N38" s="56">
        <f>SUMIF('Report Data'!$A:$A,SIMPLE!$A38,'Report Data'!T:T)</f>
        <v>0</v>
      </c>
      <c r="O38" s="56">
        <f>SUMIF('Report Data'!$A:$A,SIMPLE!$A38,'Report Data'!V:V)</f>
        <v>0</v>
      </c>
      <c r="P38" s="56">
        <f t="shared" si="2"/>
        <v>0</v>
      </c>
      <c r="Q38" s="91">
        <f t="shared" si="9"/>
        <v>0</v>
      </c>
      <c r="S38" s="12"/>
    </row>
    <row r="39" spans="1:19" ht="15.75" outlineLevel="1" x14ac:dyDescent="0.25">
      <c r="A39" t="s">
        <v>108</v>
      </c>
      <c r="D39" s="46" t="s">
        <v>141</v>
      </c>
      <c r="E39" s="55">
        <f>SUMIF('Report Data'!$A:$A,SIMPLE!$A39,'Report Data'!B:B)</f>
        <v>0</v>
      </c>
      <c r="F39" s="55">
        <f>SUMIF('Report Data'!$A:$A,SIMPLE!$A39,'Report Data'!D:D)</f>
        <v>0</v>
      </c>
      <c r="G39" s="55">
        <f>SUMIF('Report Data'!$A:$A,SIMPLE!$A39,'Report Data'!F:F)</f>
        <v>0</v>
      </c>
      <c r="H39" s="55">
        <f>SUMIF('Report Data'!$A:$A,SIMPLE!$A39,'Report Data'!H:H)</f>
        <v>0</v>
      </c>
      <c r="I39" s="55">
        <f>SUMIF('Report Data'!$A:$A,SIMPLE!$A39,'Report Data'!J:J)</f>
        <v>0</v>
      </c>
      <c r="J39" s="55">
        <f>SUMIF('Report Data'!$A:$A,SIMPLE!$A39,'Report Data'!L:L)</f>
        <v>0</v>
      </c>
      <c r="K39" s="55">
        <f>SUMIF('Report Data'!$A:$A,SIMPLE!$A39,'Report Data'!N:N)</f>
        <v>0</v>
      </c>
      <c r="L39" s="56">
        <f>SUMIF('Report Data'!$A:$A,SIMPLE!$A39,'Report Data'!P:P)</f>
        <v>0</v>
      </c>
      <c r="M39" s="56">
        <f>SUMIF('Report Data'!$A:$A,SIMPLE!$A39,'Report Data'!R:R)</f>
        <v>0</v>
      </c>
      <c r="N39" s="56">
        <f>SUMIF('Report Data'!$A:$A,SIMPLE!$A39,'Report Data'!T:T)</f>
        <v>0</v>
      </c>
      <c r="O39" s="56">
        <f>SUMIF('Report Data'!$A:$A,SIMPLE!$A39,'Report Data'!V:V)</f>
        <v>0</v>
      </c>
      <c r="P39" s="56">
        <f t="shared" si="2"/>
        <v>0</v>
      </c>
      <c r="Q39" s="91">
        <f t="shared" si="9"/>
        <v>0</v>
      </c>
      <c r="S39" s="12"/>
    </row>
    <row r="40" spans="1:19" ht="15.75" outlineLevel="1" x14ac:dyDescent="0.25">
      <c r="A40" t="s">
        <v>109</v>
      </c>
      <c r="D40" s="46" t="s">
        <v>142</v>
      </c>
      <c r="E40" s="55">
        <f>SUMIF('Report Data'!$A:$A,SIMPLE!$A40,'Report Data'!B:B)</f>
        <v>0</v>
      </c>
      <c r="F40" s="55">
        <f>SUMIF('Report Data'!$A:$A,SIMPLE!$A40,'Report Data'!D:D)</f>
        <v>0</v>
      </c>
      <c r="G40" s="55">
        <f>SUMIF('Report Data'!$A:$A,SIMPLE!$A40,'Report Data'!F:F)</f>
        <v>0</v>
      </c>
      <c r="H40" s="55">
        <f>SUMIF('Report Data'!$A:$A,SIMPLE!$A40,'Report Data'!H:H)</f>
        <v>0</v>
      </c>
      <c r="I40" s="55">
        <f>SUMIF('Report Data'!$A:$A,SIMPLE!$A40,'Report Data'!J:J)</f>
        <v>0</v>
      </c>
      <c r="J40" s="55">
        <f>SUMIF('Report Data'!$A:$A,SIMPLE!$A40,'Report Data'!L:L)</f>
        <v>0</v>
      </c>
      <c r="K40" s="55">
        <f>SUMIF('Report Data'!$A:$A,SIMPLE!$A40,'Report Data'!N:N)</f>
        <v>0</v>
      </c>
      <c r="L40" s="56">
        <f>SUMIF('Report Data'!$A:$A,SIMPLE!$A40,'Report Data'!P:P)</f>
        <v>0</v>
      </c>
      <c r="M40" s="56">
        <f>SUMIF('Report Data'!$A:$A,SIMPLE!$A40,'Report Data'!R:R)</f>
        <v>0</v>
      </c>
      <c r="N40" s="56">
        <f>SUMIF('Report Data'!$A:$A,SIMPLE!$A40,'Report Data'!T:T)</f>
        <v>0</v>
      </c>
      <c r="O40" s="56">
        <f>SUMIF('Report Data'!$A:$A,SIMPLE!$A40,'Report Data'!V:V)</f>
        <v>0</v>
      </c>
      <c r="P40" s="56">
        <f t="shared" si="2"/>
        <v>0</v>
      </c>
      <c r="Q40" s="91">
        <f t="shared" si="9"/>
        <v>0</v>
      </c>
      <c r="S40" s="12"/>
    </row>
    <row r="41" spans="1:19" ht="15.75" outlineLevel="1" x14ac:dyDescent="0.25">
      <c r="A41" t="s">
        <v>110</v>
      </c>
      <c r="D41" s="46" t="s">
        <v>143</v>
      </c>
      <c r="E41" s="55">
        <f>SUMIF('Report Data'!$A:$A,SIMPLE!$A41,'Report Data'!B:B)</f>
        <v>0</v>
      </c>
      <c r="F41" s="55">
        <f>SUMIF('Report Data'!$A:$A,SIMPLE!$A41,'Report Data'!D:D)</f>
        <v>0</v>
      </c>
      <c r="G41" s="55">
        <f>SUMIF('Report Data'!$A:$A,SIMPLE!$A41,'Report Data'!F:F)</f>
        <v>0</v>
      </c>
      <c r="H41" s="55">
        <f>SUMIF('Report Data'!$A:$A,SIMPLE!$A41,'Report Data'!H:H)</f>
        <v>0</v>
      </c>
      <c r="I41" s="55">
        <f>SUMIF('Report Data'!$A:$A,SIMPLE!$A41,'Report Data'!J:J)</f>
        <v>0</v>
      </c>
      <c r="J41" s="55">
        <f>SUMIF('Report Data'!$A:$A,SIMPLE!$A41,'Report Data'!L:L)</f>
        <v>0</v>
      </c>
      <c r="K41" s="55">
        <f>SUMIF('Report Data'!$A:$A,SIMPLE!$A41,'Report Data'!N:N)</f>
        <v>0</v>
      </c>
      <c r="L41" s="56">
        <f>SUMIF('Report Data'!$A:$A,SIMPLE!$A41,'Report Data'!P:P)</f>
        <v>0</v>
      </c>
      <c r="M41" s="56">
        <f>SUMIF('Report Data'!$A:$A,SIMPLE!$A41,'Report Data'!R:R)</f>
        <v>0</v>
      </c>
      <c r="N41" s="56">
        <f>SUMIF('Report Data'!$A:$A,SIMPLE!$A41,'Report Data'!T:T)</f>
        <v>0</v>
      </c>
      <c r="O41" s="56">
        <f>SUMIF('Report Data'!$A:$A,SIMPLE!$A41,'Report Data'!V:V)</f>
        <v>0</v>
      </c>
      <c r="P41" s="56">
        <f t="shared" si="2"/>
        <v>0</v>
      </c>
      <c r="Q41" s="91">
        <f t="shared" si="9"/>
        <v>0</v>
      </c>
      <c r="S41" s="12"/>
    </row>
    <row r="42" spans="1:19" ht="15.75" outlineLevel="1" x14ac:dyDescent="0.25">
      <c r="A42" t="s">
        <v>111</v>
      </c>
      <c r="D42" s="46" t="s">
        <v>144</v>
      </c>
      <c r="E42" s="55">
        <f>SUMIF('Report Data'!$A:$A,SIMPLE!$A42,'Report Data'!B:B)</f>
        <v>0</v>
      </c>
      <c r="F42" s="55">
        <f>SUMIF('Report Data'!$A:$A,SIMPLE!$A42,'Report Data'!D:D)</f>
        <v>0</v>
      </c>
      <c r="G42" s="55">
        <f>SUMIF('Report Data'!$A:$A,SIMPLE!$A42,'Report Data'!F:F)</f>
        <v>0</v>
      </c>
      <c r="H42" s="55">
        <f>SUMIF('Report Data'!$A:$A,SIMPLE!$A42,'Report Data'!H:H)</f>
        <v>0</v>
      </c>
      <c r="I42" s="55">
        <f>SUMIF('Report Data'!$A:$A,SIMPLE!$A42,'Report Data'!J:J)</f>
        <v>0</v>
      </c>
      <c r="J42" s="55">
        <f>SUMIF('Report Data'!$A:$A,SIMPLE!$A42,'Report Data'!L:L)</f>
        <v>0</v>
      </c>
      <c r="K42" s="55">
        <f>SUMIF('Report Data'!$A:$A,SIMPLE!$A42,'Report Data'!N:N)</f>
        <v>0</v>
      </c>
      <c r="L42" s="56">
        <f>SUMIF('Report Data'!$A:$A,SIMPLE!$A42,'Report Data'!P:P)</f>
        <v>0</v>
      </c>
      <c r="M42" s="56">
        <f>SUMIF('Report Data'!$A:$A,SIMPLE!$A42,'Report Data'!R:R)</f>
        <v>0</v>
      </c>
      <c r="N42" s="56">
        <f>SUMIF('Report Data'!$A:$A,SIMPLE!$A42,'Report Data'!T:T)</f>
        <v>0</v>
      </c>
      <c r="O42" s="56">
        <f>SUMIF('Report Data'!$A:$A,SIMPLE!$A42,'Report Data'!V:V)</f>
        <v>0</v>
      </c>
      <c r="P42" s="56">
        <f t="shared" si="2"/>
        <v>0</v>
      </c>
      <c r="Q42" s="91">
        <f t="shared" si="9"/>
        <v>0</v>
      </c>
      <c r="S42" s="12"/>
    </row>
    <row r="43" spans="1:19" ht="15.75" outlineLevel="1" x14ac:dyDescent="0.25">
      <c r="A43" t="s">
        <v>112</v>
      </c>
      <c r="D43" s="46" t="s">
        <v>145</v>
      </c>
      <c r="E43" s="55">
        <f>SUMIF('Report Data'!$A:$A,SIMPLE!$A43,'Report Data'!B:B)</f>
        <v>0</v>
      </c>
      <c r="F43" s="55">
        <f>SUMIF('Report Data'!$A:$A,SIMPLE!$A43,'Report Data'!D:D)</f>
        <v>0</v>
      </c>
      <c r="G43" s="55">
        <f>SUMIF('Report Data'!$A:$A,SIMPLE!$A43,'Report Data'!F:F)</f>
        <v>0</v>
      </c>
      <c r="H43" s="55">
        <f>SUMIF('Report Data'!$A:$A,SIMPLE!$A43,'Report Data'!H:H)</f>
        <v>0</v>
      </c>
      <c r="I43" s="55">
        <f>SUMIF('Report Data'!$A:$A,SIMPLE!$A43,'Report Data'!J:J)</f>
        <v>0</v>
      </c>
      <c r="J43" s="55">
        <f>SUMIF('Report Data'!$A:$A,SIMPLE!$A43,'Report Data'!L:L)</f>
        <v>0</v>
      </c>
      <c r="K43" s="55">
        <f>SUMIF('Report Data'!$A:$A,SIMPLE!$A43,'Report Data'!N:N)</f>
        <v>0</v>
      </c>
      <c r="L43" s="56">
        <f>SUMIF('Report Data'!$A:$A,SIMPLE!$A43,'Report Data'!P:P)</f>
        <v>0</v>
      </c>
      <c r="M43" s="56">
        <f>SUMIF('Report Data'!$A:$A,SIMPLE!$A43,'Report Data'!R:R)</f>
        <v>0</v>
      </c>
      <c r="N43" s="56">
        <f>SUMIF('Report Data'!$A:$A,SIMPLE!$A43,'Report Data'!T:T)</f>
        <v>0</v>
      </c>
      <c r="O43" s="56">
        <f>SUMIF('Report Data'!$A:$A,SIMPLE!$A43,'Report Data'!V:V)</f>
        <v>0</v>
      </c>
      <c r="P43" s="56">
        <f t="shared" si="2"/>
        <v>0</v>
      </c>
      <c r="Q43" s="91">
        <f t="shared" si="9"/>
        <v>0</v>
      </c>
      <c r="S43" s="12"/>
    </row>
    <row r="44" spans="1:19" ht="15.75" outlineLevel="1" x14ac:dyDescent="0.25">
      <c r="A44" s="7"/>
      <c r="B44" s="7"/>
      <c r="D44" s="47" t="s">
        <v>1</v>
      </c>
      <c r="E44" s="59"/>
      <c r="F44" s="59"/>
      <c r="G44" s="59"/>
      <c r="H44" s="59"/>
      <c r="I44" s="59"/>
      <c r="J44" s="59"/>
      <c r="K44" s="59"/>
      <c r="L44" s="57"/>
      <c r="M44" s="57"/>
      <c r="N44" s="57"/>
      <c r="O44" s="57"/>
      <c r="P44" s="57"/>
      <c r="Q44" s="93">
        <f t="shared" si="9"/>
        <v>0</v>
      </c>
      <c r="S44" s="16"/>
    </row>
    <row r="45" spans="1:19" ht="15.75" x14ac:dyDescent="0.25">
      <c r="D45" s="46" t="s">
        <v>146</v>
      </c>
      <c r="E45" s="55">
        <f t="shared" ref="E45:O45" si="12">SUM(E26:E44)</f>
        <v>3710633</v>
      </c>
      <c r="F45" s="55">
        <f t="shared" si="12"/>
        <v>4118756</v>
      </c>
      <c r="G45" s="55">
        <f t="shared" si="12"/>
        <v>3694854</v>
      </c>
      <c r="H45" s="55">
        <f t="shared" si="12"/>
        <v>4957098.01</v>
      </c>
      <c r="I45" s="55">
        <f t="shared" si="12"/>
        <v>4441591</v>
      </c>
      <c r="J45" s="55">
        <f t="shared" si="12"/>
        <v>8201318.8500000006</v>
      </c>
      <c r="K45" s="55">
        <f t="shared" si="12"/>
        <v>3722529</v>
      </c>
      <c r="L45" s="56">
        <f t="shared" si="12"/>
        <v>4616532.17</v>
      </c>
      <c r="M45" s="56">
        <f t="shared" si="12"/>
        <v>3822061</v>
      </c>
      <c r="N45" s="56">
        <f t="shared" si="12"/>
        <v>3822061</v>
      </c>
      <c r="O45" s="56">
        <f t="shared" si="12"/>
        <v>5923722.7600000007</v>
      </c>
      <c r="P45" s="56">
        <f t="shared" si="2"/>
        <v>0</v>
      </c>
      <c r="Q45" s="91">
        <f t="shared" si="9"/>
        <v>2.6737736630124243E-2</v>
      </c>
      <c r="S45" s="13">
        <f>IF(F45&gt;0,+((O45/F45)^(1/5)-1),IF(AND(F45=0,O45&gt;0),100%,IF(AND(F45=0,O45&lt;0),-100%,IF(AND(F45=0,O45=0),0%,+((O45/F45)^(1/5)-1)))))</f>
        <v>7.5389352057715131E-2</v>
      </c>
    </row>
    <row r="46" spans="1:19" ht="15.75" outlineLevel="1" x14ac:dyDescent="0.25">
      <c r="D46" s="46" t="s">
        <v>1</v>
      </c>
      <c r="E46" s="55"/>
      <c r="F46" s="55"/>
      <c r="G46" s="55"/>
      <c r="H46" s="55"/>
      <c r="I46" s="55"/>
      <c r="J46" s="55"/>
      <c r="K46" s="55"/>
      <c r="L46" s="56"/>
      <c r="M46" s="56"/>
      <c r="N46" s="56"/>
      <c r="O46" s="56"/>
      <c r="P46" s="56"/>
      <c r="Q46" s="91"/>
      <c r="S46" s="13"/>
    </row>
    <row r="47" spans="1:19" ht="15.75" customHeight="1" x14ac:dyDescent="0.25">
      <c r="A47" s="7"/>
      <c r="B47" s="7"/>
      <c r="D47" s="47" t="s">
        <v>147</v>
      </c>
      <c r="E47" s="59">
        <f t="shared" ref="E47:O47" si="13">E24+E45</f>
        <v>80853985.99999994</v>
      </c>
      <c r="F47" s="59">
        <f t="shared" si="13"/>
        <v>80712610.019999996</v>
      </c>
      <c r="G47" s="59">
        <f t="shared" si="13"/>
        <v>82657453.99999994</v>
      </c>
      <c r="H47" s="59">
        <f t="shared" si="13"/>
        <v>93446211.559999987</v>
      </c>
      <c r="I47" s="59">
        <f t="shared" si="13"/>
        <v>83636920.000000089</v>
      </c>
      <c r="J47" s="59">
        <f t="shared" si="13"/>
        <v>100930930.00999998</v>
      </c>
      <c r="K47" s="59">
        <f t="shared" si="13"/>
        <v>98634609.720000029</v>
      </c>
      <c r="L47" s="57">
        <f t="shared" si="13"/>
        <v>110801802.2899999</v>
      </c>
      <c r="M47" s="57">
        <f t="shared" si="13"/>
        <v>114986243</v>
      </c>
      <c r="N47" s="57">
        <f t="shared" si="13"/>
        <v>118027120.00000006</v>
      </c>
      <c r="O47" s="57">
        <f t="shared" si="13"/>
        <v>119881676.93999997</v>
      </c>
      <c r="P47" s="57">
        <f t="shared" si="2"/>
        <v>3040877.0000000596</v>
      </c>
      <c r="Q47" s="93">
        <f>IF(K47&gt;0,((M47/K47)-1),IF(AND(K47=0,M47&gt;0),100%,IF(AND(K47=0,M47&lt;0),-100%,IF(AND(K47=0,M47=0),0%,((M47/(K47))-1)*-1))))</f>
        <v>0.16577987510082237</v>
      </c>
      <c r="S47" s="16">
        <f>IF(F47&gt;0,+((O47/F47)^(1/5)-1),IF(AND(F47=0,O47&gt;0),100%,IF(AND(F47=0,O47&lt;0),-100%,IF(AND(F47=0,O47=0),0%,+((O47/F47)^(1/5)-1)))))</f>
        <v>8.2336447755153586E-2</v>
      </c>
    </row>
    <row r="48" spans="1:19" ht="9.75" customHeight="1" x14ac:dyDescent="0.25">
      <c r="D48" s="46" t="s">
        <v>1</v>
      </c>
      <c r="E48" s="55"/>
      <c r="F48" s="55"/>
      <c r="G48" s="55"/>
      <c r="H48" s="55"/>
      <c r="I48" s="55"/>
      <c r="J48" s="55"/>
      <c r="K48" s="55"/>
      <c r="L48" s="56"/>
      <c r="M48" s="56"/>
      <c r="N48" s="56"/>
      <c r="O48" s="56"/>
      <c r="P48" s="56"/>
      <c r="Q48" s="91"/>
      <c r="S48" s="12"/>
    </row>
    <row r="49" spans="1:19" ht="15.75" customHeight="1" outlineLevel="1" x14ac:dyDescent="0.25">
      <c r="A49" s="1" t="s">
        <v>6</v>
      </c>
      <c r="D49" s="46" t="s">
        <v>6</v>
      </c>
      <c r="E49" s="55"/>
      <c r="F49" s="55"/>
      <c r="G49" s="55"/>
      <c r="H49" s="55"/>
      <c r="I49" s="55"/>
      <c r="J49" s="55"/>
      <c r="K49" s="55"/>
      <c r="L49" s="56"/>
      <c r="M49" s="56"/>
      <c r="N49" s="56"/>
      <c r="O49" s="56"/>
      <c r="P49" s="56"/>
      <c r="Q49" s="91"/>
      <c r="S49" s="12"/>
    </row>
    <row r="50" spans="1:19" ht="15.75" outlineLevel="1" x14ac:dyDescent="0.25">
      <c r="A50" t="s">
        <v>59</v>
      </c>
      <c r="D50" s="46" t="s">
        <v>148</v>
      </c>
      <c r="E50" s="55">
        <f>SUMIF('Report Data'!$A:$A,SIMPLE!$A50,'Report Data'!B:B)</f>
        <v>30456291</v>
      </c>
      <c r="F50" s="55">
        <f>SUMIF('Report Data'!$A:$A,SIMPLE!$A50,'Report Data'!D:D)</f>
        <v>29955500.000000011</v>
      </c>
      <c r="G50" s="55">
        <f>SUMIF('Report Data'!$A:$A,SIMPLE!$A50,'Report Data'!F:F)</f>
        <v>32924457</v>
      </c>
      <c r="H50" s="55">
        <f>SUMIF('Report Data'!$A:$A,SIMPLE!$A50,'Report Data'!H:H)</f>
        <v>60314127.079999998</v>
      </c>
      <c r="I50" s="55">
        <f>SUMIF('Report Data'!$A:$A,SIMPLE!$A50,'Report Data'!J:J)</f>
        <v>33799507.999999985</v>
      </c>
      <c r="J50" s="55">
        <f>SUMIF('Report Data'!$A:$A,SIMPLE!$A50,'Report Data'!L:L)</f>
        <v>62977333</v>
      </c>
      <c r="K50" s="55">
        <f>SUMIF('Report Data'!$A:$A,SIMPLE!$A50,'Report Data'!N:N)</f>
        <v>36452229.999999993</v>
      </c>
      <c r="L50" s="56">
        <f>SUMIF('Report Data'!$A:$A,SIMPLE!$A50,'Report Data'!P:P)</f>
        <v>67907867.579999998</v>
      </c>
      <c r="M50" s="56">
        <f>SUMIF('Report Data'!$A:$A,SIMPLE!$A50,'Report Data'!R:R)</f>
        <v>65001037.000000007</v>
      </c>
      <c r="N50" s="56">
        <f>SUMIF('Report Data'!$A:$A,SIMPLE!$A50,'Report Data'!T:T)</f>
        <v>65001037.000000007</v>
      </c>
      <c r="O50" s="56">
        <f>SUMIF('Report Data'!$A:$A,SIMPLE!$A50,'Report Data'!V:V)</f>
        <v>68065669.999999985</v>
      </c>
      <c r="P50" s="56">
        <f t="shared" si="2"/>
        <v>0</v>
      </c>
      <c r="Q50" s="91">
        <f t="shared" ref="Q50:Q74" si="14">IF(K50&gt;0,((M50/K50)-1),IF(AND(K50=0,M50&gt;0),100%,IF(AND(K50=0,M50&lt;0),-100%,IF(AND(K50=0,M50=0),0%,((M50/(K50))-1)*-1))))</f>
        <v>0.78318410149392848</v>
      </c>
      <c r="S50" s="12">
        <f t="shared" ref="S50:S72" si="15">IF(F50&gt;0,+((O50/F50)^(1/5)-1),IF(AND(F50=0,O50&gt;0),100%,IF(AND(F50=0,O50&lt;0),-100%,IF(AND(F50=0,O50=0),0%,+((O50/F50)^(1/5)-1)))))</f>
        <v>0.17839342372516631</v>
      </c>
    </row>
    <row r="51" spans="1:19" ht="15.75" outlineLevel="1" x14ac:dyDescent="0.25">
      <c r="A51" t="s">
        <v>60</v>
      </c>
      <c r="D51" s="46" t="s">
        <v>149</v>
      </c>
      <c r="E51" s="55">
        <f>SUMIF('Report Data'!$A:$A,SIMPLE!$A51,'Report Data'!B:B)</f>
        <v>7846896.9999999991</v>
      </c>
      <c r="F51" s="55">
        <f>SUMIF('Report Data'!$A:$A,SIMPLE!$A51,'Report Data'!D:D)</f>
        <v>8578239.5100000016</v>
      </c>
      <c r="G51" s="55">
        <f>SUMIF('Report Data'!$A:$A,SIMPLE!$A51,'Report Data'!F:F)</f>
        <v>9741773</v>
      </c>
      <c r="H51" s="55">
        <f>SUMIF('Report Data'!$A:$A,SIMPLE!$A51,'Report Data'!H:H)</f>
        <v>0</v>
      </c>
      <c r="I51" s="55">
        <f>SUMIF('Report Data'!$A:$A,SIMPLE!$A51,'Report Data'!J:J)</f>
        <v>11405808.999999993</v>
      </c>
      <c r="J51" s="55">
        <f>SUMIF('Report Data'!$A:$A,SIMPLE!$A51,'Report Data'!L:L)</f>
        <v>0</v>
      </c>
      <c r="K51" s="55">
        <f>SUMIF('Report Data'!$A:$A,SIMPLE!$A51,'Report Data'!N:N)</f>
        <v>12417276</v>
      </c>
      <c r="L51" s="56">
        <f>SUMIF('Report Data'!$A:$A,SIMPLE!$A51,'Report Data'!P:P)</f>
        <v>0</v>
      </c>
      <c r="M51" s="56">
        <f>SUMIF('Report Data'!$A:$A,SIMPLE!$A51,'Report Data'!R:R)</f>
        <v>0</v>
      </c>
      <c r="N51" s="56">
        <f>SUMIF('Report Data'!$A:$A,SIMPLE!$A51,'Report Data'!T:T)</f>
        <v>0</v>
      </c>
      <c r="O51" s="56">
        <f>SUMIF('Report Data'!$A:$A,SIMPLE!$A51,'Report Data'!V:V)</f>
        <v>0</v>
      </c>
      <c r="P51" s="56">
        <f t="shared" si="2"/>
        <v>0</v>
      </c>
      <c r="Q51" s="91">
        <f t="shared" si="14"/>
        <v>-1</v>
      </c>
      <c r="S51" s="12">
        <f t="shared" si="15"/>
        <v>-1</v>
      </c>
    </row>
    <row r="52" spans="1:19" ht="15.75" outlineLevel="1" x14ac:dyDescent="0.25">
      <c r="A52" t="s">
        <v>61</v>
      </c>
      <c r="D52" s="46" t="s">
        <v>150</v>
      </c>
      <c r="E52" s="55">
        <f>SUMIF('Report Data'!$A:$A,SIMPLE!$A52,'Report Data'!B:B)</f>
        <v>0</v>
      </c>
      <c r="F52" s="55">
        <f>SUMIF('Report Data'!$A:$A,SIMPLE!$A52,'Report Data'!D:D)</f>
        <v>0</v>
      </c>
      <c r="G52" s="55">
        <f>SUMIF('Report Data'!$A:$A,SIMPLE!$A52,'Report Data'!F:F)</f>
        <v>0</v>
      </c>
      <c r="H52" s="55">
        <f>SUMIF('Report Data'!$A:$A,SIMPLE!$A52,'Report Data'!H:H)</f>
        <v>0</v>
      </c>
      <c r="I52" s="55">
        <f>SUMIF('Report Data'!$A:$A,SIMPLE!$A52,'Report Data'!J:J)</f>
        <v>0</v>
      </c>
      <c r="J52" s="55">
        <f>SUMIF('Report Data'!$A:$A,SIMPLE!$A52,'Report Data'!L:L)</f>
        <v>0</v>
      </c>
      <c r="K52" s="55">
        <f>SUMIF('Report Data'!$A:$A,SIMPLE!$A52,'Report Data'!N:N)</f>
        <v>0</v>
      </c>
      <c r="L52" s="56">
        <f>SUMIF('Report Data'!$A:$A,SIMPLE!$A52,'Report Data'!P:P)</f>
        <v>0</v>
      </c>
      <c r="M52" s="56">
        <f>SUMIF('Report Data'!$A:$A,SIMPLE!$A52,'Report Data'!R:R)</f>
        <v>0</v>
      </c>
      <c r="N52" s="56">
        <f>SUMIF('Report Data'!$A:$A,SIMPLE!$A52,'Report Data'!T:T)</f>
        <v>0</v>
      </c>
      <c r="O52" s="56">
        <f>SUMIF('Report Data'!$A:$A,SIMPLE!$A52,'Report Data'!V:V)</f>
        <v>0</v>
      </c>
      <c r="P52" s="56">
        <f t="shared" si="2"/>
        <v>0</v>
      </c>
      <c r="Q52" s="91">
        <f t="shared" si="14"/>
        <v>0</v>
      </c>
      <c r="S52" s="12">
        <f t="shared" si="15"/>
        <v>0</v>
      </c>
    </row>
    <row r="53" spans="1:19" ht="15.75" outlineLevel="1" x14ac:dyDescent="0.25">
      <c r="A53" t="s">
        <v>182</v>
      </c>
      <c r="D53" s="46" t="s">
        <v>151</v>
      </c>
      <c r="E53" s="55">
        <f>SUMIF('Report Data'!$A:$A,SIMPLE!$A53,'Report Data'!B:B)</f>
        <v>19220412.999999993</v>
      </c>
      <c r="F53" s="55">
        <f>SUMIF('Report Data'!$A:$A,SIMPLE!$A53,'Report Data'!D:D)</f>
        <v>19966791.000000004</v>
      </c>
      <c r="G53" s="55">
        <f>SUMIF('Report Data'!$A:$A,SIMPLE!$A53,'Report Data'!F:F)</f>
        <v>18671941</v>
      </c>
      <c r="H53" s="55">
        <f>SUMIF('Report Data'!$A:$A,SIMPLE!$A53,'Report Data'!H:H)</f>
        <v>0</v>
      </c>
      <c r="I53" s="55">
        <f>SUMIF('Report Data'!$A:$A,SIMPLE!$A53,'Report Data'!J:J)</f>
        <v>17172724.000000004</v>
      </c>
      <c r="J53" s="55">
        <f>SUMIF('Report Data'!$A:$A,SIMPLE!$A53,'Report Data'!L:L)</f>
        <v>0</v>
      </c>
      <c r="K53" s="55">
        <f>SUMIF('Report Data'!$A:$A,SIMPLE!$A53,'Report Data'!N:N)</f>
        <v>18534209</v>
      </c>
      <c r="L53" s="56">
        <f>SUMIF('Report Data'!$A:$A,SIMPLE!$A53,'Report Data'!P:P)</f>
        <v>0</v>
      </c>
      <c r="M53" s="56">
        <f>SUMIF('Report Data'!$A:$A,SIMPLE!$A53,'Report Data'!R:R)</f>
        <v>0</v>
      </c>
      <c r="N53" s="56">
        <f>SUMIF('Report Data'!$A:$A,SIMPLE!$A53,'Report Data'!T:T)</f>
        <v>0</v>
      </c>
      <c r="O53" s="56">
        <f>SUMIF('Report Data'!$A:$A,SIMPLE!$A53,'Report Data'!V:V)</f>
        <v>0</v>
      </c>
      <c r="P53" s="56">
        <f t="shared" si="2"/>
        <v>0</v>
      </c>
      <c r="Q53" s="91">
        <f t="shared" si="14"/>
        <v>-1</v>
      </c>
      <c r="S53" s="12">
        <f t="shared" si="15"/>
        <v>-1</v>
      </c>
    </row>
    <row r="54" spans="1:19" ht="15.75" outlineLevel="1" x14ac:dyDescent="0.25">
      <c r="A54" t="s">
        <v>62</v>
      </c>
      <c r="D54" s="46" t="s">
        <v>152</v>
      </c>
      <c r="E54" s="55">
        <f>SUMIF('Report Data'!$A:$A,SIMPLE!$A54,'Report Data'!B:B)</f>
        <v>5038058</v>
      </c>
      <c r="F54" s="55">
        <f>SUMIF('Report Data'!$A:$A,SIMPLE!$A54,'Report Data'!D:D)</f>
        <v>5006381.5</v>
      </c>
      <c r="G54" s="55">
        <f>SUMIF('Report Data'!$A:$A,SIMPLE!$A54,'Report Data'!F:F)</f>
        <v>5517700</v>
      </c>
      <c r="H54" s="55">
        <f>SUMIF('Report Data'!$A:$A,SIMPLE!$A54,'Report Data'!H:H)</f>
        <v>4680807</v>
      </c>
      <c r="I54" s="55">
        <f>SUMIF('Report Data'!$A:$A,SIMPLE!$A54,'Report Data'!J:J)</f>
        <v>5526036</v>
      </c>
      <c r="J54" s="55">
        <f>SUMIF('Report Data'!$A:$A,SIMPLE!$A54,'Report Data'!L:L)</f>
        <v>5396960.5800000001</v>
      </c>
      <c r="K54" s="55">
        <f>SUMIF('Report Data'!$A:$A,SIMPLE!$A54,'Report Data'!N:N)</f>
        <v>6385260</v>
      </c>
      <c r="L54" s="56">
        <f>SUMIF('Report Data'!$A:$A,SIMPLE!$A54,'Report Data'!P:P)</f>
        <v>5758093.0199999996</v>
      </c>
      <c r="M54" s="56">
        <f>SUMIF('Report Data'!$A:$A,SIMPLE!$A54,'Report Data'!R:R)</f>
        <v>5721126</v>
      </c>
      <c r="N54" s="56">
        <f>SUMIF('Report Data'!$A:$A,SIMPLE!$A54,'Report Data'!T:T)</f>
        <v>5721126</v>
      </c>
      <c r="O54" s="56">
        <f>SUMIF('Report Data'!$A:$A,SIMPLE!$A54,'Report Data'!V:V)</f>
        <v>6319148.7999999998</v>
      </c>
      <c r="P54" s="56">
        <f t="shared" si="2"/>
        <v>0</v>
      </c>
      <c r="Q54" s="91">
        <f t="shared" si="14"/>
        <v>-0.10401048665207058</v>
      </c>
      <c r="S54" s="12">
        <f t="shared" si="15"/>
        <v>4.7675838222113631E-2</v>
      </c>
    </row>
    <row r="55" spans="1:19" ht="15.75" outlineLevel="1" x14ac:dyDescent="0.25">
      <c r="A55" t="s">
        <v>216</v>
      </c>
      <c r="D55" s="46" t="s">
        <v>153</v>
      </c>
      <c r="E55" s="55">
        <f>SUMIF('Report Data'!$A:$A,SIMPLE!$A55,'Report Data'!B:B)</f>
        <v>4280871</v>
      </c>
      <c r="F55" s="55">
        <f>SUMIF('Report Data'!$A:$A,SIMPLE!$A55,'Report Data'!D:D)</f>
        <v>4237777</v>
      </c>
      <c r="G55" s="55">
        <f>SUMIF('Report Data'!$A:$A,SIMPLE!$A55,'Report Data'!F:F)</f>
        <v>4500339.9999999991</v>
      </c>
      <c r="H55" s="55">
        <f>SUMIF('Report Data'!$A:$A,SIMPLE!$A55,'Report Data'!H:H)</f>
        <v>3924803.16</v>
      </c>
      <c r="I55" s="55">
        <f>SUMIF('Report Data'!$A:$A,SIMPLE!$A55,'Report Data'!J:J)</f>
        <v>4270607</v>
      </c>
      <c r="J55" s="55">
        <f>SUMIF('Report Data'!$A:$A,SIMPLE!$A55,'Report Data'!L:L)</f>
        <v>3970094.59</v>
      </c>
      <c r="K55" s="55">
        <f>SUMIF('Report Data'!$A:$A,SIMPLE!$A55,'Report Data'!N:N)</f>
        <v>4062533.0000000005</v>
      </c>
      <c r="L55" s="56">
        <f>SUMIF('Report Data'!$A:$A,SIMPLE!$A55,'Report Data'!P:P)</f>
        <v>4411402.29</v>
      </c>
      <c r="M55" s="56">
        <f>SUMIF('Report Data'!$A:$A,SIMPLE!$A55,'Report Data'!R:R)</f>
        <v>3852273.9999999991</v>
      </c>
      <c r="N55" s="56">
        <f>SUMIF('Report Data'!$A:$A,SIMPLE!$A55,'Report Data'!T:T)</f>
        <v>3852273.9999999991</v>
      </c>
      <c r="O55" s="56">
        <f>SUMIF('Report Data'!$A:$A,SIMPLE!$A55,'Report Data'!V:V)</f>
        <v>4017315.7600000002</v>
      </c>
      <c r="P55" s="56">
        <f t="shared" si="2"/>
        <v>0</v>
      </c>
      <c r="Q55" s="91">
        <f t="shared" si="14"/>
        <v>-5.1755641123407803E-2</v>
      </c>
      <c r="S55" s="12">
        <f t="shared" si="15"/>
        <v>-1.0628094632472718E-2</v>
      </c>
    </row>
    <row r="56" spans="1:19" ht="15.75" outlineLevel="1" x14ac:dyDescent="0.25">
      <c r="A56" t="s">
        <v>64</v>
      </c>
      <c r="D56" s="46" t="s">
        <v>154</v>
      </c>
      <c r="E56" s="55">
        <f>SUMIF('Report Data'!$A:$A,SIMPLE!$A56,'Report Data'!B:B)</f>
        <v>0</v>
      </c>
      <c r="F56" s="55">
        <f>SUMIF('Report Data'!$A:$A,SIMPLE!$A56,'Report Data'!D:D)</f>
        <v>0</v>
      </c>
      <c r="G56" s="55">
        <f>SUMIF('Report Data'!$A:$A,SIMPLE!$A56,'Report Data'!F:F)</f>
        <v>0</v>
      </c>
      <c r="H56" s="55">
        <f>SUMIF('Report Data'!$A:$A,SIMPLE!$A56,'Report Data'!H:H)</f>
        <v>0</v>
      </c>
      <c r="I56" s="55">
        <f>SUMIF('Report Data'!$A:$A,SIMPLE!$A56,'Report Data'!J:J)</f>
        <v>0</v>
      </c>
      <c r="J56" s="55">
        <f>SUMIF('Report Data'!$A:$A,SIMPLE!$A56,'Report Data'!L:L)</f>
        <v>0</v>
      </c>
      <c r="K56" s="55">
        <f>SUMIF('Report Data'!$A:$A,SIMPLE!$A56,'Report Data'!N:N)</f>
        <v>0</v>
      </c>
      <c r="L56" s="56">
        <f>SUMIF('Report Data'!$A:$A,SIMPLE!$A56,'Report Data'!P:P)</f>
        <v>0</v>
      </c>
      <c r="M56" s="56">
        <f>SUMIF('Report Data'!$A:$A,SIMPLE!$A56,'Report Data'!R:R)</f>
        <v>0</v>
      </c>
      <c r="N56" s="56">
        <f>SUMIF('Report Data'!$A:$A,SIMPLE!$A56,'Report Data'!T:T)</f>
        <v>0</v>
      </c>
      <c r="O56" s="56">
        <f>SUMIF('Report Data'!$A:$A,SIMPLE!$A56,'Report Data'!V:V)</f>
        <v>0</v>
      </c>
      <c r="P56" s="56">
        <f t="shared" si="2"/>
        <v>0</v>
      </c>
      <c r="Q56" s="91">
        <f t="shared" si="14"/>
        <v>0</v>
      </c>
      <c r="S56" s="12">
        <f t="shared" si="15"/>
        <v>0</v>
      </c>
    </row>
    <row r="57" spans="1:19" ht="15.75" outlineLevel="1" x14ac:dyDescent="0.25">
      <c r="A57" t="s">
        <v>65</v>
      </c>
      <c r="D57" s="46" t="s">
        <v>155</v>
      </c>
      <c r="E57" s="55">
        <f>SUMIF('Report Data'!$A:$A,SIMPLE!$A57,'Report Data'!B:B)</f>
        <v>546938.00000000012</v>
      </c>
      <c r="F57" s="55">
        <f>SUMIF('Report Data'!$A:$A,SIMPLE!$A57,'Report Data'!D:D)</f>
        <v>136985.00000000003</v>
      </c>
      <c r="G57" s="55">
        <f>SUMIF('Report Data'!$A:$A,SIMPLE!$A57,'Report Data'!F:F)</f>
        <v>463314.99999999994</v>
      </c>
      <c r="H57" s="55">
        <f>SUMIF('Report Data'!$A:$A,SIMPLE!$A57,'Report Data'!H:H)</f>
        <v>127650.07</v>
      </c>
      <c r="I57" s="55">
        <f>SUMIF('Report Data'!$A:$A,SIMPLE!$A57,'Report Data'!J:J)</f>
        <v>449045.99999999994</v>
      </c>
      <c r="J57" s="55">
        <f>SUMIF('Report Data'!$A:$A,SIMPLE!$A57,'Report Data'!L:L)</f>
        <v>110385</v>
      </c>
      <c r="K57" s="55">
        <f>SUMIF('Report Data'!$A:$A,SIMPLE!$A57,'Report Data'!N:N)</f>
        <v>482265</v>
      </c>
      <c r="L57" s="56">
        <f>SUMIF('Report Data'!$A:$A,SIMPLE!$A57,'Report Data'!P:P)</f>
        <v>-91759.449999999953</v>
      </c>
      <c r="M57" s="56">
        <f>SUMIF('Report Data'!$A:$A,SIMPLE!$A57,'Report Data'!R:R)</f>
        <v>460787.00000000006</v>
      </c>
      <c r="N57" s="56">
        <f>SUMIF('Report Data'!$A:$A,SIMPLE!$A57,'Report Data'!T:T)</f>
        <v>460787.00000000006</v>
      </c>
      <c r="O57" s="56">
        <f>SUMIF('Report Data'!$A:$A,SIMPLE!$A57,'Report Data'!V:V)</f>
        <v>479892.99999999994</v>
      </c>
      <c r="P57" s="56">
        <f t="shared" si="2"/>
        <v>0</v>
      </c>
      <c r="Q57" s="91">
        <f t="shared" si="14"/>
        <v>-4.4535680590546578E-2</v>
      </c>
      <c r="S57" s="12">
        <f t="shared" si="15"/>
        <v>0.28497382221248646</v>
      </c>
    </row>
    <row r="58" spans="1:19" ht="15.75" outlineLevel="1" x14ac:dyDescent="0.25">
      <c r="A58" t="s">
        <v>198</v>
      </c>
      <c r="D58" s="46" t="s">
        <v>156</v>
      </c>
      <c r="E58" s="55">
        <f>SUMIF('Report Data'!$A:$A,SIMPLE!$A58,'Report Data'!B:B)</f>
        <v>23990691.000000015</v>
      </c>
      <c r="F58" s="55">
        <f>SUMIF('Report Data'!$A:$A,SIMPLE!$A58,'Report Data'!D:D)</f>
        <v>24799979.979999993</v>
      </c>
      <c r="G58" s="55">
        <f>SUMIF('Report Data'!$A:$A,SIMPLE!$A58,'Report Data'!F:F)</f>
        <v>24235568</v>
      </c>
      <c r="H58" s="55">
        <f>SUMIF('Report Data'!$A:$A,SIMPLE!$A58,'Report Data'!H:H)</f>
        <v>26106504.610000003</v>
      </c>
      <c r="I58" s="55">
        <f>SUMIF('Report Data'!$A:$A,SIMPLE!$A58,'Report Data'!J:J)</f>
        <v>24236756.000000004</v>
      </c>
      <c r="J58" s="55">
        <f>SUMIF('Report Data'!$A:$A,SIMPLE!$A58,'Report Data'!L:L)</f>
        <v>32322766.990000002</v>
      </c>
      <c r="K58" s="55">
        <f>SUMIF('Report Data'!$A:$A,SIMPLE!$A58,'Report Data'!N:N)</f>
        <v>30146616</v>
      </c>
      <c r="L58" s="56">
        <f>SUMIF('Report Data'!$A:$A,SIMPLE!$A58,'Report Data'!P:P)</f>
        <v>34720736.010000005</v>
      </c>
      <c r="M58" s="56">
        <f>SUMIF('Report Data'!$A:$A,SIMPLE!$A58,'Report Data'!R:R)</f>
        <v>39105916</v>
      </c>
      <c r="N58" s="56">
        <f>SUMIF('Report Data'!$A:$A,SIMPLE!$A58,'Report Data'!T:T)</f>
        <v>39105916</v>
      </c>
      <c r="O58" s="56">
        <f>SUMIF('Report Data'!$A:$A,SIMPLE!$A58,'Report Data'!V:V)</f>
        <v>40412437.100000001</v>
      </c>
      <c r="P58" s="56">
        <f t="shared" si="2"/>
        <v>0</v>
      </c>
      <c r="Q58" s="91">
        <f t="shared" si="14"/>
        <v>0.29719090195728759</v>
      </c>
      <c r="S58" s="12">
        <f t="shared" si="15"/>
        <v>0.1025866817356611</v>
      </c>
    </row>
    <row r="59" spans="1:19" ht="15.75" outlineLevel="1" x14ac:dyDescent="0.25">
      <c r="A59" t="s">
        <v>185</v>
      </c>
      <c r="D59" s="46" t="str">
        <f>"    "&amp;PROPER(MID(A59,FIND("]",A59)+1,LEN(A59)-FIND("]",A59)+1))</f>
        <v xml:space="preserve">     Aco Dues</v>
      </c>
      <c r="E59" s="55">
        <f>SUMIF('Report Data'!$A:$A,SIMPLE!$A59,'Report Data'!B:B)</f>
        <v>0</v>
      </c>
      <c r="F59" s="55">
        <f>SUMIF('Report Data'!$A:$A,SIMPLE!$A59,'Report Data'!D:D)</f>
        <v>279102</v>
      </c>
      <c r="G59" s="55">
        <f>SUMIF('Report Data'!$A:$A,SIMPLE!$A59,'Report Data'!F:F)</f>
        <v>427122</v>
      </c>
      <c r="H59" s="55">
        <f>SUMIF('Report Data'!$A:$A,SIMPLE!$A59,'Report Data'!H:H)</f>
        <v>192725.3</v>
      </c>
      <c r="I59" s="55">
        <f>SUMIF('Report Data'!$A:$A,SIMPLE!$A59,'Report Data'!J:J)</f>
        <v>324334</v>
      </c>
      <c r="J59" s="55">
        <f>SUMIF('Report Data'!$A:$A,SIMPLE!$A59,'Report Data'!L:L)</f>
        <v>161941.95000000004</v>
      </c>
      <c r="K59" s="55">
        <f>SUMIF('Report Data'!$A:$A,SIMPLE!$A59,'Report Data'!N:N)</f>
        <v>430116</v>
      </c>
      <c r="L59" s="56">
        <f>SUMIF('Report Data'!$A:$A,SIMPLE!$A59,'Report Data'!P:P)</f>
        <v>0</v>
      </c>
      <c r="M59" s="56">
        <f>SUMIF('Report Data'!$A:$A,SIMPLE!$A59,'Report Data'!R:R)</f>
        <v>430116</v>
      </c>
      <c r="N59" s="56">
        <f>SUMIF('Report Data'!$A:$A,SIMPLE!$A59,'Report Data'!T:T)</f>
        <v>430116</v>
      </c>
      <c r="O59" s="56">
        <f>SUMIF('Report Data'!$A:$A,SIMPLE!$A59,'Report Data'!V:V)</f>
        <v>0</v>
      </c>
      <c r="P59" s="56">
        <f t="shared" ref="P59:P71" si="16">+N59-M59</f>
        <v>0</v>
      </c>
      <c r="Q59" s="91">
        <f t="shared" si="14"/>
        <v>0</v>
      </c>
      <c r="S59" s="12"/>
    </row>
    <row r="60" spans="1:19" ht="15.75" outlineLevel="1" x14ac:dyDescent="0.25">
      <c r="A60" t="s">
        <v>186</v>
      </c>
      <c r="D60" s="46" t="str">
        <f t="shared" ref="D60:D71" si="17">"    "&amp;PROPER(MID(A60,FIND("]",A60)+1,LEN(A60)-FIND("]",A60)+1))</f>
        <v xml:space="preserve">     Community Foundation Donation</v>
      </c>
      <c r="E60" s="55">
        <f>SUMIF('Report Data'!$A:$A,SIMPLE!$A60,'Report Data'!B:B)</f>
        <v>0</v>
      </c>
      <c r="F60" s="55">
        <f>SUMIF('Report Data'!$A:$A,SIMPLE!$A60,'Report Data'!D:D)</f>
        <v>0</v>
      </c>
      <c r="G60" s="55">
        <f>SUMIF('Report Data'!$A:$A,SIMPLE!$A60,'Report Data'!F:F)</f>
        <v>0</v>
      </c>
      <c r="H60" s="55">
        <f>SUMIF('Report Data'!$A:$A,SIMPLE!$A60,'Report Data'!H:H)</f>
        <v>0</v>
      </c>
      <c r="I60" s="55">
        <f>SUMIF('Report Data'!$A:$A,SIMPLE!$A60,'Report Data'!J:J)</f>
        <v>0</v>
      </c>
      <c r="J60" s="55">
        <f>SUMIF('Report Data'!$A:$A,SIMPLE!$A60,'Report Data'!L:L)</f>
        <v>0</v>
      </c>
      <c r="K60" s="55">
        <f>SUMIF('Report Data'!$A:$A,SIMPLE!$A60,'Report Data'!N:N)</f>
        <v>0</v>
      </c>
      <c r="L60" s="56">
        <f>SUMIF('Report Data'!$A:$A,SIMPLE!$A60,'Report Data'!P:P)</f>
        <v>0</v>
      </c>
      <c r="M60" s="56">
        <f>SUMIF('Report Data'!$A:$A,SIMPLE!$A60,'Report Data'!R:R)</f>
        <v>0</v>
      </c>
      <c r="N60" s="56">
        <f>SUMIF('Report Data'!$A:$A,SIMPLE!$A60,'Report Data'!T:T)</f>
        <v>0</v>
      </c>
      <c r="O60" s="56">
        <f>SUMIF('Report Data'!$A:$A,SIMPLE!$A60,'Report Data'!V:V)</f>
        <v>0</v>
      </c>
      <c r="P60" s="56">
        <f t="shared" si="16"/>
        <v>0</v>
      </c>
      <c r="Q60" s="91">
        <f t="shared" si="14"/>
        <v>0</v>
      </c>
      <c r="S60" s="12"/>
    </row>
    <row r="61" spans="1:19" ht="15.75" outlineLevel="1" x14ac:dyDescent="0.25">
      <c r="A61" t="s">
        <v>187</v>
      </c>
      <c r="D61" s="46" t="str">
        <f t="shared" si="17"/>
        <v xml:space="preserve">     Insurance</v>
      </c>
      <c r="E61" s="55">
        <f>SUMIF('Report Data'!$A:$A,SIMPLE!$A61,'Report Data'!B:B)</f>
        <v>595300</v>
      </c>
      <c r="F61" s="55">
        <f>SUMIF('Report Data'!$A:$A,SIMPLE!$A61,'Report Data'!D:D)</f>
        <v>383333.00000000006</v>
      </c>
      <c r="G61" s="55">
        <f>SUMIF('Report Data'!$A:$A,SIMPLE!$A61,'Report Data'!F:F)</f>
        <v>600993</v>
      </c>
      <c r="H61" s="55">
        <f>SUMIF('Report Data'!$A:$A,SIMPLE!$A61,'Report Data'!H:H)</f>
        <v>0</v>
      </c>
      <c r="I61" s="55">
        <f>SUMIF('Report Data'!$A:$A,SIMPLE!$A61,'Report Data'!J:J)</f>
        <v>457743</v>
      </c>
      <c r="J61" s="55">
        <f>SUMIF('Report Data'!$A:$A,SIMPLE!$A61,'Report Data'!L:L)</f>
        <v>0</v>
      </c>
      <c r="K61" s="55">
        <f>SUMIF('Report Data'!$A:$A,SIMPLE!$A61,'Report Data'!N:N)</f>
        <v>720721.00000000012</v>
      </c>
      <c r="L61" s="56">
        <f>SUMIF('Report Data'!$A:$A,SIMPLE!$A61,'Report Data'!P:P)</f>
        <v>0</v>
      </c>
      <c r="M61" s="56">
        <f>SUMIF('Report Data'!$A:$A,SIMPLE!$A61,'Report Data'!R:R)</f>
        <v>720721.00000000012</v>
      </c>
      <c r="N61" s="56">
        <f>SUMIF('Report Data'!$A:$A,SIMPLE!$A61,'Report Data'!T:T)</f>
        <v>720721.00000000012</v>
      </c>
      <c r="O61" s="56">
        <f>SUMIF('Report Data'!$A:$A,SIMPLE!$A61,'Report Data'!V:V)</f>
        <v>0</v>
      </c>
      <c r="P61" s="56">
        <f t="shared" si="16"/>
        <v>0</v>
      </c>
      <c r="Q61" s="91">
        <f t="shared" si="14"/>
        <v>0</v>
      </c>
      <c r="S61" s="12"/>
    </row>
    <row r="62" spans="1:19" ht="15.75" outlineLevel="1" x14ac:dyDescent="0.25">
      <c r="A62" t="s">
        <v>188</v>
      </c>
      <c r="D62" s="46" t="str">
        <f t="shared" si="17"/>
        <v xml:space="preserve">     Marketing Expense</v>
      </c>
      <c r="E62" s="55">
        <f>SUMIF('Report Data'!$A:$A,SIMPLE!$A62,'Report Data'!B:B)</f>
        <v>70000.000000000015</v>
      </c>
      <c r="F62" s="55">
        <f>SUMIF('Report Data'!$A:$A,SIMPLE!$A62,'Report Data'!D:D)</f>
        <v>80337</v>
      </c>
      <c r="G62" s="55">
        <f>SUMIF('Report Data'!$A:$A,SIMPLE!$A62,'Report Data'!F:F)</f>
        <v>89561.000000000015</v>
      </c>
      <c r="H62" s="55">
        <f>SUMIF('Report Data'!$A:$A,SIMPLE!$A62,'Report Data'!H:H)</f>
        <v>0</v>
      </c>
      <c r="I62" s="55">
        <f>SUMIF('Report Data'!$A:$A,SIMPLE!$A62,'Report Data'!J:J)</f>
        <v>99999.999999999956</v>
      </c>
      <c r="J62" s="55">
        <f>SUMIF('Report Data'!$A:$A,SIMPLE!$A62,'Report Data'!L:L)</f>
        <v>0</v>
      </c>
      <c r="K62" s="55">
        <f>SUMIF('Report Data'!$A:$A,SIMPLE!$A62,'Report Data'!N:N)</f>
        <v>110004</v>
      </c>
      <c r="L62" s="56">
        <f>SUMIF('Report Data'!$A:$A,SIMPLE!$A62,'Report Data'!P:P)</f>
        <v>0</v>
      </c>
      <c r="M62" s="56">
        <f>SUMIF('Report Data'!$A:$A,SIMPLE!$A62,'Report Data'!R:R)</f>
        <v>110004</v>
      </c>
      <c r="N62" s="56">
        <f>SUMIF('Report Data'!$A:$A,SIMPLE!$A62,'Report Data'!T:T)</f>
        <v>110004</v>
      </c>
      <c r="O62" s="56">
        <f>SUMIF('Report Data'!$A:$A,SIMPLE!$A62,'Report Data'!V:V)</f>
        <v>0</v>
      </c>
      <c r="P62" s="56">
        <f t="shared" si="16"/>
        <v>0</v>
      </c>
      <c r="Q62" s="91">
        <f t="shared" si="14"/>
        <v>0</v>
      </c>
      <c r="S62" s="12"/>
    </row>
    <row r="63" spans="1:19" ht="15.75" outlineLevel="1" x14ac:dyDescent="0.25">
      <c r="A63" t="s">
        <v>189</v>
      </c>
      <c r="D63" s="46" t="str">
        <f t="shared" si="17"/>
        <v xml:space="preserve">     Medical/Surgical Drugs And Supplies</v>
      </c>
      <c r="E63" s="55">
        <f>SUMIF('Report Data'!$A:$A,SIMPLE!$A63,'Report Data'!B:B)</f>
        <v>0</v>
      </c>
      <c r="F63" s="55">
        <f>SUMIF('Report Data'!$A:$A,SIMPLE!$A63,'Report Data'!D:D)</f>
        <v>0</v>
      </c>
      <c r="G63" s="55">
        <f>SUMIF('Report Data'!$A:$A,SIMPLE!$A63,'Report Data'!F:F)</f>
        <v>0</v>
      </c>
      <c r="H63" s="55">
        <f>SUMIF('Report Data'!$A:$A,SIMPLE!$A63,'Report Data'!H:H)</f>
        <v>0</v>
      </c>
      <c r="I63" s="55">
        <f>SUMIF('Report Data'!$A:$A,SIMPLE!$A63,'Report Data'!J:J)</f>
        <v>0</v>
      </c>
      <c r="J63" s="55">
        <f>SUMIF('Report Data'!$A:$A,SIMPLE!$A63,'Report Data'!L:L)</f>
        <v>0</v>
      </c>
      <c r="K63" s="55">
        <f>SUMIF('Report Data'!$A:$A,SIMPLE!$A63,'Report Data'!N:N)</f>
        <v>0</v>
      </c>
      <c r="L63" s="56">
        <f>SUMIF('Report Data'!$A:$A,SIMPLE!$A63,'Report Data'!P:P)</f>
        <v>0</v>
      </c>
      <c r="M63" s="56">
        <f>SUMIF('Report Data'!$A:$A,SIMPLE!$A63,'Report Data'!R:R)</f>
        <v>0</v>
      </c>
      <c r="N63" s="56">
        <f>SUMIF('Report Data'!$A:$A,SIMPLE!$A63,'Report Data'!T:T)</f>
        <v>0</v>
      </c>
      <c r="O63" s="56">
        <f>SUMIF('Report Data'!$A:$A,SIMPLE!$A63,'Report Data'!V:V)</f>
        <v>0</v>
      </c>
      <c r="P63" s="56">
        <f t="shared" si="16"/>
        <v>0</v>
      </c>
      <c r="Q63" s="91">
        <f t="shared" si="14"/>
        <v>0</v>
      </c>
      <c r="S63" s="12"/>
    </row>
    <row r="64" spans="1:19" ht="15.75" outlineLevel="1" x14ac:dyDescent="0.25">
      <c r="A64" t="s">
        <v>190</v>
      </c>
      <c r="D64" s="46" t="str">
        <f t="shared" si="17"/>
        <v xml:space="preserve">     Other Nonsalary Expense</v>
      </c>
      <c r="E64" s="55">
        <f>SUMIF('Report Data'!$A:$A,SIMPLE!$A64,'Report Data'!B:B)</f>
        <v>23325391.000000015</v>
      </c>
      <c r="F64" s="55">
        <f>SUMIF('Report Data'!$A:$A,SIMPLE!$A64,'Report Data'!D:D)</f>
        <v>18378605.999999996</v>
      </c>
      <c r="G64" s="55">
        <f>SUMIF('Report Data'!$A:$A,SIMPLE!$A64,'Report Data'!F:F)</f>
        <v>22817892</v>
      </c>
      <c r="H64" s="55">
        <f>SUMIF('Report Data'!$A:$A,SIMPLE!$A64,'Report Data'!H:H)</f>
        <v>19920452.690000001</v>
      </c>
      <c r="I64" s="55">
        <f>SUMIF('Report Data'!$A:$A,SIMPLE!$A64,'Report Data'!J:J)</f>
        <v>18661441.000000004</v>
      </c>
      <c r="J64" s="55">
        <f>SUMIF('Report Data'!$A:$A,SIMPLE!$A64,'Report Data'!L:L)</f>
        <v>17632462.000000004</v>
      </c>
      <c r="K64" s="55">
        <f>SUMIF('Report Data'!$A:$A,SIMPLE!$A64,'Report Data'!N:N)</f>
        <v>19076874</v>
      </c>
      <c r="L64" s="56">
        <f>SUMIF('Report Data'!$A:$A,SIMPLE!$A64,'Report Data'!P:P)</f>
        <v>24701427.000000004</v>
      </c>
      <c r="M64" s="56">
        <f>SUMIF('Report Data'!$A:$A,SIMPLE!$A64,'Report Data'!R:R)</f>
        <v>30691173</v>
      </c>
      <c r="N64" s="56">
        <f>SUMIF('Report Data'!$A:$A,SIMPLE!$A64,'Report Data'!T:T)</f>
        <v>30691173</v>
      </c>
      <c r="O64" s="56">
        <f>SUMIF('Report Data'!$A:$A,SIMPLE!$A64,'Report Data'!V:V)</f>
        <v>32511203.000000004</v>
      </c>
      <c r="P64" s="56">
        <f t="shared" si="16"/>
        <v>0</v>
      </c>
      <c r="Q64" s="91">
        <f t="shared" si="14"/>
        <v>0.60881562671116862</v>
      </c>
      <c r="S64" s="12"/>
    </row>
    <row r="65" spans="1:19" ht="15.75" outlineLevel="1" x14ac:dyDescent="0.25">
      <c r="A65" t="s">
        <v>191</v>
      </c>
      <c r="D65" s="46" t="str">
        <f t="shared" si="17"/>
        <v xml:space="preserve">     Other Purchased Services - Consulting</v>
      </c>
      <c r="E65" s="55">
        <f>SUMIF('Report Data'!$A:$A,SIMPLE!$A65,'Report Data'!B:B)</f>
        <v>0</v>
      </c>
      <c r="F65" s="55">
        <f>SUMIF('Report Data'!$A:$A,SIMPLE!$A65,'Report Data'!D:D)</f>
        <v>0</v>
      </c>
      <c r="G65" s="55">
        <f>SUMIF('Report Data'!$A:$A,SIMPLE!$A65,'Report Data'!F:F)</f>
        <v>0</v>
      </c>
      <c r="H65" s="55">
        <f>SUMIF('Report Data'!$A:$A,SIMPLE!$A65,'Report Data'!H:H)</f>
        <v>0</v>
      </c>
      <c r="I65" s="55">
        <f>SUMIF('Report Data'!$A:$A,SIMPLE!$A65,'Report Data'!J:J)</f>
        <v>0</v>
      </c>
      <c r="J65" s="55">
        <f>SUMIF('Report Data'!$A:$A,SIMPLE!$A65,'Report Data'!L:L)</f>
        <v>0</v>
      </c>
      <c r="K65" s="55">
        <f>SUMIF('Report Data'!$A:$A,SIMPLE!$A65,'Report Data'!N:N)</f>
        <v>0</v>
      </c>
      <c r="L65" s="56">
        <f>SUMIF('Report Data'!$A:$A,SIMPLE!$A65,'Report Data'!P:P)</f>
        <v>0</v>
      </c>
      <c r="M65" s="56">
        <f>SUMIF('Report Data'!$A:$A,SIMPLE!$A65,'Report Data'!R:R)</f>
        <v>0</v>
      </c>
      <c r="N65" s="56">
        <f>SUMIF('Report Data'!$A:$A,SIMPLE!$A65,'Report Data'!T:T)</f>
        <v>0</v>
      </c>
      <c r="O65" s="56">
        <f>SUMIF('Report Data'!$A:$A,SIMPLE!$A65,'Report Data'!V:V)</f>
        <v>0</v>
      </c>
      <c r="P65" s="56">
        <f t="shared" si="16"/>
        <v>0</v>
      </c>
      <c r="Q65" s="91">
        <f t="shared" si="14"/>
        <v>0</v>
      </c>
      <c r="S65" s="12"/>
    </row>
    <row r="66" spans="1:19" ht="15.75" outlineLevel="1" x14ac:dyDescent="0.25">
      <c r="A66" t="s">
        <v>192</v>
      </c>
      <c r="D66" s="46" t="str">
        <f t="shared" si="17"/>
        <v xml:space="preserve">     Other Purchased Services -Travelers</v>
      </c>
      <c r="E66" s="55">
        <f>SUMIF('Report Data'!$A:$A,SIMPLE!$A66,'Report Data'!B:B)</f>
        <v>0</v>
      </c>
      <c r="F66" s="55">
        <f>SUMIF('Report Data'!$A:$A,SIMPLE!$A66,'Report Data'!D:D)</f>
        <v>927749.49000000011</v>
      </c>
      <c r="G66" s="55">
        <f>SUMIF('Report Data'!$A:$A,SIMPLE!$A66,'Report Data'!F:F)</f>
        <v>300000</v>
      </c>
      <c r="H66" s="55">
        <f>SUMIF('Report Data'!$A:$A,SIMPLE!$A66,'Report Data'!H:H)</f>
        <v>301518.62</v>
      </c>
      <c r="I66" s="55">
        <f>SUMIF('Report Data'!$A:$A,SIMPLE!$A66,'Report Data'!J:J)</f>
        <v>199999.99999999997</v>
      </c>
      <c r="J66" s="55">
        <f>SUMIF('Report Data'!$A:$A,SIMPLE!$A66,'Report Data'!L:L)</f>
        <v>4360824.04</v>
      </c>
      <c r="K66" s="55">
        <f>SUMIF('Report Data'!$A:$A,SIMPLE!$A66,'Report Data'!N:N)</f>
        <v>3000000</v>
      </c>
      <c r="L66" s="56">
        <f>SUMIF('Report Data'!$A:$A,SIMPLE!$A66,'Report Data'!P:P)</f>
        <v>3497548.8099999996</v>
      </c>
      <c r="M66" s="56">
        <f>SUMIF('Report Data'!$A:$A,SIMPLE!$A66,'Report Data'!R:R)</f>
        <v>1000000.0000000001</v>
      </c>
      <c r="N66" s="56">
        <f>SUMIF('Report Data'!$A:$A,SIMPLE!$A66,'Report Data'!T:T)</f>
        <v>1000000.0000000001</v>
      </c>
      <c r="O66" s="56">
        <f>SUMIF('Report Data'!$A:$A,SIMPLE!$A66,'Report Data'!V:V)</f>
        <v>1008660</v>
      </c>
      <c r="P66" s="56">
        <f t="shared" si="16"/>
        <v>0</v>
      </c>
      <c r="Q66" s="91">
        <f t="shared" si="14"/>
        <v>-0.66666666666666663</v>
      </c>
      <c r="S66" s="12"/>
    </row>
    <row r="67" spans="1:19" ht="15.75" outlineLevel="1" x14ac:dyDescent="0.25">
      <c r="A67" t="s">
        <v>193</v>
      </c>
      <c r="D67" s="46" t="str">
        <f t="shared" si="17"/>
        <v xml:space="preserve">     Other Purchased Services - Misc</v>
      </c>
      <c r="E67" s="55">
        <f>SUMIF('Report Data'!$A:$A,SIMPLE!$A67,'Report Data'!B:B)</f>
        <v>0</v>
      </c>
      <c r="F67" s="55">
        <f>SUMIF('Report Data'!$A:$A,SIMPLE!$A67,'Report Data'!D:D)</f>
        <v>0</v>
      </c>
      <c r="G67" s="55">
        <f>SUMIF('Report Data'!$A:$A,SIMPLE!$A67,'Report Data'!F:F)</f>
        <v>0</v>
      </c>
      <c r="H67" s="55">
        <f>SUMIF('Report Data'!$A:$A,SIMPLE!$A67,'Report Data'!H:H)</f>
        <v>0</v>
      </c>
      <c r="I67" s="55">
        <f>SUMIF('Report Data'!$A:$A,SIMPLE!$A67,'Report Data'!J:J)</f>
        <v>0</v>
      </c>
      <c r="J67" s="55">
        <f>SUMIF('Report Data'!$A:$A,SIMPLE!$A67,'Report Data'!L:L)</f>
        <v>0</v>
      </c>
      <c r="K67" s="55">
        <f>SUMIF('Report Data'!$A:$A,SIMPLE!$A67,'Report Data'!N:N)</f>
        <v>0</v>
      </c>
      <c r="L67" s="56">
        <f>SUMIF('Report Data'!$A:$A,SIMPLE!$A67,'Report Data'!P:P)</f>
        <v>0</v>
      </c>
      <c r="M67" s="56">
        <f>SUMIF('Report Data'!$A:$A,SIMPLE!$A67,'Report Data'!R:R)</f>
        <v>0</v>
      </c>
      <c r="N67" s="56">
        <f>SUMIF('Report Data'!$A:$A,SIMPLE!$A67,'Report Data'!T:T)</f>
        <v>0</v>
      </c>
      <c r="O67" s="56">
        <f>SUMIF('Report Data'!$A:$A,SIMPLE!$A67,'Report Data'!V:V)</f>
        <v>0</v>
      </c>
      <c r="P67" s="56">
        <f t="shared" si="16"/>
        <v>0</v>
      </c>
      <c r="Q67" s="91">
        <f t="shared" si="14"/>
        <v>0</v>
      </c>
      <c r="S67" s="12"/>
    </row>
    <row r="68" spans="1:19" ht="15.75" outlineLevel="1" x14ac:dyDescent="0.25">
      <c r="A68" t="s">
        <v>194</v>
      </c>
      <c r="D68" s="46" t="str">
        <f t="shared" si="17"/>
        <v xml:space="preserve">     Other Services</v>
      </c>
      <c r="E68" s="55">
        <f>SUMIF('Report Data'!$A:$A,SIMPLE!$A68,'Report Data'!B:B)</f>
        <v>0</v>
      </c>
      <c r="F68" s="55">
        <f>SUMIF('Report Data'!$A:$A,SIMPLE!$A68,'Report Data'!D:D)</f>
        <v>0</v>
      </c>
      <c r="G68" s="55">
        <f>SUMIF('Report Data'!$A:$A,SIMPLE!$A68,'Report Data'!F:F)</f>
        <v>0</v>
      </c>
      <c r="H68" s="55">
        <f>SUMIF('Report Data'!$A:$A,SIMPLE!$A68,'Report Data'!H:H)</f>
        <v>0</v>
      </c>
      <c r="I68" s="55">
        <f>SUMIF('Report Data'!$A:$A,SIMPLE!$A68,'Report Data'!J:J)</f>
        <v>0</v>
      </c>
      <c r="J68" s="55">
        <f>SUMIF('Report Data'!$A:$A,SIMPLE!$A68,'Report Data'!L:L)</f>
        <v>0</v>
      </c>
      <c r="K68" s="55">
        <f>SUMIF('Report Data'!$A:$A,SIMPLE!$A68,'Report Data'!N:N)</f>
        <v>0</v>
      </c>
      <c r="L68" s="56">
        <f>SUMIF('Report Data'!$A:$A,SIMPLE!$A68,'Report Data'!P:P)</f>
        <v>0</v>
      </c>
      <c r="M68" s="56">
        <f>SUMIF('Report Data'!$A:$A,SIMPLE!$A68,'Report Data'!R:R)</f>
        <v>0</v>
      </c>
      <c r="N68" s="56">
        <f>SUMIF('Report Data'!$A:$A,SIMPLE!$A68,'Report Data'!T:T)</f>
        <v>0</v>
      </c>
      <c r="O68" s="56">
        <f>SUMIF('Report Data'!$A:$A,SIMPLE!$A68,'Report Data'!V:V)</f>
        <v>0</v>
      </c>
      <c r="P68" s="56">
        <f t="shared" si="16"/>
        <v>0</v>
      </c>
      <c r="Q68" s="91">
        <f t="shared" si="14"/>
        <v>0</v>
      </c>
      <c r="S68" s="12"/>
    </row>
    <row r="69" spans="1:19" ht="15.75" outlineLevel="1" x14ac:dyDescent="0.25">
      <c r="A69" t="s">
        <v>195</v>
      </c>
      <c r="D69" s="46" t="str">
        <f t="shared" si="17"/>
        <v xml:space="preserve">     Pharmaceuticals</v>
      </c>
      <c r="E69" s="55">
        <f>SUMIF('Report Data'!$A:$A,SIMPLE!$A69,'Report Data'!B:B)</f>
        <v>0</v>
      </c>
      <c r="F69" s="55">
        <f>SUMIF('Report Data'!$A:$A,SIMPLE!$A69,'Report Data'!D:D)</f>
        <v>4750852.4899999993</v>
      </c>
      <c r="G69" s="55">
        <f>SUMIF('Report Data'!$A:$A,SIMPLE!$A69,'Report Data'!F:F)</f>
        <v>0</v>
      </c>
      <c r="H69" s="55">
        <f>SUMIF('Report Data'!$A:$A,SIMPLE!$A69,'Report Data'!H:H)</f>
        <v>5691808</v>
      </c>
      <c r="I69" s="55">
        <f>SUMIF('Report Data'!$A:$A,SIMPLE!$A69,'Report Data'!J:J)</f>
        <v>4493238</v>
      </c>
      <c r="J69" s="55">
        <f>SUMIF('Report Data'!$A:$A,SIMPLE!$A69,'Report Data'!L:L)</f>
        <v>10167539</v>
      </c>
      <c r="K69" s="55">
        <f>SUMIF('Report Data'!$A:$A,SIMPLE!$A69,'Report Data'!N:N)</f>
        <v>6808901.0000000009</v>
      </c>
      <c r="L69" s="56">
        <f>SUMIF('Report Data'!$A:$A,SIMPLE!$A69,'Report Data'!P:P)</f>
        <v>6521760.2000000002</v>
      </c>
      <c r="M69" s="56">
        <f>SUMIF('Report Data'!$A:$A,SIMPLE!$A69,'Report Data'!R:R)</f>
        <v>6153902.0000000009</v>
      </c>
      <c r="N69" s="56">
        <f>SUMIF('Report Data'!$A:$A,SIMPLE!$A69,'Report Data'!T:T)</f>
        <v>6153902.0000000009</v>
      </c>
      <c r="O69" s="56">
        <f>SUMIF('Report Data'!$A:$A,SIMPLE!$A69,'Report Data'!V:V)</f>
        <v>6892574.0999999987</v>
      </c>
      <c r="P69" s="56">
        <f t="shared" si="16"/>
        <v>0</v>
      </c>
      <c r="Q69" s="91">
        <f t="shared" si="14"/>
        <v>-9.6197462703599301E-2</v>
      </c>
      <c r="S69" s="12"/>
    </row>
    <row r="70" spans="1:19" ht="15.75" outlineLevel="1" x14ac:dyDescent="0.25">
      <c r="A70" t="s">
        <v>196</v>
      </c>
      <c r="D70" s="46" t="str">
        <f t="shared" si="17"/>
        <v xml:space="preserve">     Utilities</v>
      </c>
      <c r="E70" s="55">
        <f>SUMIF('Report Data'!$A:$A,SIMPLE!$A70,'Report Data'!B:B)</f>
        <v>0</v>
      </c>
      <c r="F70" s="55">
        <f>SUMIF('Report Data'!$A:$A,SIMPLE!$A70,'Report Data'!D:D)</f>
        <v>0</v>
      </c>
      <c r="G70" s="55">
        <f>SUMIF('Report Data'!$A:$A,SIMPLE!$A70,'Report Data'!F:F)</f>
        <v>0</v>
      </c>
      <c r="H70" s="55">
        <f>SUMIF('Report Data'!$A:$A,SIMPLE!$A70,'Report Data'!H:H)</f>
        <v>0</v>
      </c>
      <c r="I70" s="55">
        <f>SUMIF('Report Data'!$A:$A,SIMPLE!$A70,'Report Data'!J:J)</f>
        <v>0</v>
      </c>
      <c r="J70" s="55">
        <f>SUMIF('Report Data'!$A:$A,SIMPLE!$A70,'Report Data'!L:L)</f>
        <v>0</v>
      </c>
      <c r="K70" s="55">
        <f>SUMIF('Report Data'!$A:$A,SIMPLE!$A70,'Report Data'!N:N)</f>
        <v>0</v>
      </c>
      <c r="L70" s="56">
        <f>SUMIF('Report Data'!$A:$A,SIMPLE!$A70,'Report Data'!P:P)</f>
        <v>0</v>
      </c>
      <c r="M70" s="56">
        <f>SUMIF('Report Data'!$A:$A,SIMPLE!$A70,'Report Data'!R:R)</f>
        <v>0</v>
      </c>
      <c r="N70" s="56">
        <f>SUMIF('Report Data'!$A:$A,SIMPLE!$A70,'Report Data'!T:T)</f>
        <v>0</v>
      </c>
      <c r="O70" s="56">
        <f>SUMIF('Report Data'!$A:$A,SIMPLE!$A70,'Report Data'!V:V)</f>
        <v>0</v>
      </c>
      <c r="P70" s="56">
        <f t="shared" si="16"/>
        <v>0</v>
      </c>
      <c r="Q70" s="91">
        <f t="shared" si="14"/>
        <v>0</v>
      </c>
      <c r="S70" s="12"/>
    </row>
    <row r="71" spans="1:19" ht="15.75" outlineLevel="1" x14ac:dyDescent="0.25">
      <c r="A71" t="s">
        <v>197</v>
      </c>
      <c r="D71" s="46" t="str">
        <f t="shared" si="17"/>
        <v xml:space="preserve">     Bad Debt Non-Patient</v>
      </c>
      <c r="E71" s="55">
        <f>SUMIF('Report Data'!$A:$A,SIMPLE!$A71,'Report Data'!B:B)</f>
        <v>0</v>
      </c>
      <c r="F71" s="55">
        <f>SUMIF('Report Data'!$A:$A,SIMPLE!$A71,'Report Data'!D:D)</f>
        <v>0</v>
      </c>
      <c r="G71" s="55">
        <f>SUMIF('Report Data'!$A:$A,SIMPLE!$A71,'Report Data'!F:F)</f>
        <v>0</v>
      </c>
      <c r="H71" s="55">
        <f>SUMIF('Report Data'!$A:$A,SIMPLE!$A71,'Report Data'!H:H)</f>
        <v>0</v>
      </c>
      <c r="I71" s="55">
        <f>SUMIF('Report Data'!$A:$A,SIMPLE!$A71,'Report Data'!J:J)</f>
        <v>0</v>
      </c>
      <c r="J71" s="55">
        <f>SUMIF('Report Data'!$A:$A,SIMPLE!$A71,'Report Data'!L:L)</f>
        <v>0</v>
      </c>
      <c r="K71" s="55">
        <f>SUMIF('Report Data'!$A:$A,SIMPLE!$A71,'Report Data'!N:N)</f>
        <v>0</v>
      </c>
      <c r="L71" s="56">
        <f>SUMIF('Report Data'!$A:$A,SIMPLE!$A71,'Report Data'!P:P)</f>
        <v>0</v>
      </c>
      <c r="M71" s="56">
        <f>SUMIF('Report Data'!$A:$A,SIMPLE!$A71,'Report Data'!R:R)</f>
        <v>0</v>
      </c>
      <c r="N71" s="56">
        <f>SUMIF('Report Data'!$A:$A,SIMPLE!$A71,'Report Data'!T:T)</f>
        <v>0</v>
      </c>
      <c r="O71" s="56">
        <f>SUMIF('Report Data'!$A:$A,SIMPLE!$A71,'Report Data'!V:V)</f>
        <v>0</v>
      </c>
      <c r="P71" s="56">
        <f t="shared" si="16"/>
        <v>0</v>
      </c>
      <c r="Q71" s="91">
        <f t="shared" si="14"/>
        <v>0</v>
      </c>
      <c r="S71" s="12"/>
    </row>
    <row r="72" spans="1:19" ht="15.75" outlineLevel="2" x14ac:dyDescent="0.25">
      <c r="A72" t="s">
        <v>67</v>
      </c>
      <c r="D72" s="46" t="s">
        <v>157</v>
      </c>
      <c r="E72" s="55">
        <f>SUMIF('Report Data'!$A:$A,SIMPLE!$A72,'Report Data'!B:B)</f>
        <v>0</v>
      </c>
      <c r="F72" s="55">
        <f>SUMIF('Report Data'!$A:$A,SIMPLE!$A72,'Report Data'!D:D)</f>
        <v>0</v>
      </c>
      <c r="G72" s="55">
        <f>SUMIF('Report Data'!$A:$A,SIMPLE!$A72,'Report Data'!F:F)</f>
        <v>0</v>
      </c>
      <c r="H72" s="55">
        <f>SUMIF('Report Data'!$A:$A,SIMPLE!$A72,'Report Data'!H:H)</f>
        <v>0</v>
      </c>
      <c r="I72" s="55">
        <f>SUMIF('Report Data'!$A:$A,SIMPLE!$A72,'Report Data'!J:J)</f>
        <v>0</v>
      </c>
      <c r="J72" s="55">
        <f>SUMIF('Report Data'!$A:$A,SIMPLE!$A72,'Report Data'!L:L)</f>
        <v>0</v>
      </c>
      <c r="K72" s="55">
        <f>SUMIF('Report Data'!$A:$A,SIMPLE!$A72,'Report Data'!N:N)</f>
        <v>0</v>
      </c>
      <c r="L72" s="56">
        <f>SUMIF('Report Data'!$A:$A,SIMPLE!$A72,'Report Data'!P:P)</f>
        <v>0</v>
      </c>
      <c r="M72" s="56">
        <f>SUMIF('Report Data'!$A:$A,SIMPLE!$A72,'Report Data'!R:R)</f>
        <v>0</v>
      </c>
      <c r="N72" s="56">
        <f>SUMIF('Report Data'!$A:$A,SIMPLE!$A72,'Report Data'!T:T)</f>
        <v>0</v>
      </c>
      <c r="O72" s="56">
        <f>SUMIF('Report Data'!$A:$A,SIMPLE!$A72,'Report Data'!V:V)</f>
        <v>0</v>
      </c>
      <c r="P72" s="56">
        <f t="shared" si="2"/>
        <v>0</v>
      </c>
      <c r="Q72" s="91">
        <f t="shared" si="14"/>
        <v>0</v>
      </c>
      <c r="S72" s="12">
        <f t="shared" si="15"/>
        <v>0</v>
      </c>
    </row>
    <row r="73" spans="1:19" ht="15.75" outlineLevel="1" x14ac:dyDescent="0.25">
      <c r="D73" s="47" t="s">
        <v>1</v>
      </c>
      <c r="E73" s="59"/>
      <c r="F73" s="59"/>
      <c r="G73" s="59"/>
      <c r="H73" s="59"/>
      <c r="I73" s="59"/>
      <c r="J73" s="59"/>
      <c r="K73" s="59"/>
      <c r="L73" s="57"/>
      <c r="M73" s="57"/>
      <c r="N73" s="57"/>
      <c r="O73" s="57"/>
      <c r="P73" s="57"/>
      <c r="Q73" s="93">
        <f t="shared" si="14"/>
        <v>0</v>
      </c>
      <c r="S73" s="13"/>
    </row>
    <row r="74" spans="1:19" ht="15.75" x14ac:dyDescent="0.25">
      <c r="D74" s="46" t="s">
        <v>158</v>
      </c>
      <c r="E74" s="55">
        <f>SUM(E50:E73)-E58</f>
        <v>91380159.000000015</v>
      </c>
      <c r="F74" s="55">
        <f t="shared" ref="F74:O74" si="18">SUM(F50:F73)-F58</f>
        <v>92681653.99000001</v>
      </c>
      <c r="G74" s="55">
        <f t="shared" si="18"/>
        <v>96055094</v>
      </c>
      <c r="H74" s="55">
        <f t="shared" si="18"/>
        <v>95153891.919999987</v>
      </c>
      <c r="I74" s="55">
        <f t="shared" si="18"/>
        <v>96860485.999999985</v>
      </c>
      <c r="J74" s="55">
        <f t="shared" si="18"/>
        <v>104777540.16</v>
      </c>
      <c r="K74" s="55">
        <f t="shared" si="18"/>
        <v>108480389</v>
      </c>
      <c r="L74" s="55">
        <f t="shared" si="18"/>
        <v>112706339.45</v>
      </c>
      <c r="M74" s="55">
        <f t="shared" si="18"/>
        <v>114141140</v>
      </c>
      <c r="N74" s="55">
        <f t="shared" si="18"/>
        <v>114141140</v>
      </c>
      <c r="O74" s="55">
        <f t="shared" si="18"/>
        <v>119294464.66</v>
      </c>
      <c r="P74" s="56">
        <f t="shared" si="2"/>
        <v>0</v>
      </c>
      <c r="Q74" s="91">
        <f t="shared" si="14"/>
        <v>5.2182252038200261E-2</v>
      </c>
      <c r="S74" s="13">
        <f>IF(F74&gt;0,+((O74/F74)^(1/5)-1),IF(AND(F74=0,O74&gt;0),100%,IF(AND(F74=0,O74&lt;0),-100%,IF(AND(F74=0,O74=0),0%,+((O74/F74)^(1/5)-1)))))</f>
        <v>5.178095691700868E-2</v>
      </c>
    </row>
    <row r="75" spans="1:19" ht="9.75" customHeight="1" x14ac:dyDescent="0.25">
      <c r="D75" s="46" t="s">
        <v>1</v>
      </c>
      <c r="E75" s="55"/>
      <c r="F75" s="55"/>
      <c r="G75" s="55"/>
      <c r="H75" s="55"/>
      <c r="I75" s="55"/>
      <c r="J75" s="55"/>
      <c r="K75" s="55"/>
      <c r="L75" s="56"/>
      <c r="M75" s="56"/>
      <c r="N75" s="56"/>
      <c r="O75" s="56"/>
      <c r="P75" s="56"/>
      <c r="Q75" s="91"/>
      <c r="S75" s="12"/>
    </row>
    <row r="76" spans="1:19" ht="15.75" x14ac:dyDescent="0.25">
      <c r="D76" s="46" t="s">
        <v>7</v>
      </c>
      <c r="E76" s="55">
        <f t="shared" ref="E76:O76" si="19">E47-E74</f>
        <v>-10526173.000000075</v>
      </c>
      <c r="F76" s="55">
        <f t="shared" si="19"/>
        <v>-11969043.970000014</v>
      </c>
      <c r="G76" s="55">
        <f t="shared" si="19"/>
        <v>-13397640.00000006</v>
      </c>
      <c r="H76" s="55">
        <f t="shared" si="19"/>
        <v>-1707680.3599999994</v>
      </c>
      <c r="I76" s="55">
        <f t="shared" si="19"/>
        <v>-13223565.999999896</v>
      </c>
      <c r="J76" s="55">
        <f t="shared" si="19"/>
        <v>-3846610.1500000209</v>
      </c>
      <c r="K76" s="55">
        <f t="shared" si="19"/>
        <v>-9845779.2799999714</v>
      </c>
      <c r="L76" s="56">
        <f t="shared" si="19"/>
        <v>-1904537.1600001007</v>
      </c>
      <c r="M76" s="56">
        <f t="shared" si="19"/>
        <v>845103</v>
      </c>
      <c r="N76" s="56">
        <f t="shared" si="19"/>
        <v>3885980.0000000596</v>
      </c>
      <c r="O76" s="56">
        <f t="shared" si="19"/>
        <v>587212.27999997139</v>
      </c>
      <c r="P76" s="56">
        <f t="shared" si="2"/>
        <v>3040877.0000000596</v>
      </c>
      <c r="Q76" s="91">
        <f>IF(K76&gt;0,((M76/K76)-1),IF(AND(K76=0,M76&gt;0),100%,IF(AND(K76=0,M76&lt;0),-100%,IF(AND(K76=0,M76=0),0%,((M76/(K76))-1)*-1))))</f>
        <v>1.0858340387252721</v>
      </c>
      <c r="S76" s="12">
        <f>IF(F76&gt;0,+((O76/F76)^(1/5)-1),IF(AND(F76=0,O76&gt;0),100%,IF(AND(F76=0,O76&lt;0),-100%,IF(AND(F76=0,O76=0),0%,+((O76/F76)^(1/5)-1)))))</f>
        <v>-1.5472013162073015</v>
      </c>
    </row>
    <row r="77" spans="1:19" ht="8.25" customHeight="1" x14ac:dyDescent="0.25">
      <c r="D77" s="46" t="s">
        <v>1</v>
      </c>
      <c r="E77" s="55"/>
      <c r="F77" s="55"/>
      <c r="G77" s="55"/>
      <c r="H77" s="55"/>
      <c r="I77" s="55"/>
      <c r="J77" s="55"/>
      <c r="K77" s="55"/>
      <c r="L77" s="56"/>
      <c r="M77" s="56"/>
      <c r="N77" s="56"/>
      <c r="O77" s="56"/>
      <c r="P77" s="56"/>
      <c r="Q77" s="91"/>
      <c r="S77" s="12"/>
    </row>
    <row r="78" spans="1:19" ht="15.75" x14ac:dyDescent="0.25">
      <c r="A78" t="s">
        <v>217</v>
      </c>
      <c r="D78" s="46" t="s">
        <v>159</v>
      </c>
      <c r="E78" s="55">
        <f>SUMIF('Report Data'!$A:$A,SIMPLE!$A78,'Report Data'!B:B)</f>
        <v>765000</v>
      </c>
      <c r="F78" s="55">
        <f>SUMIF('Report Data'!$A:$A,SIMPLE!$A78,'Report Data'!D:D)</f>
        <v>9204560</v>
      </c>
      <c r="G78" s="55">
        <f>SUMIF('Report Data'!$A:$A,SIMPLE!$A78,'Report Data'!F:F)</f>
        <v>700000</v>
      </c>
      <c r="H78" s="55">
        <f>SUMIF('Report Data'!$A:$A,SIMPLE!$A78,'Report Data'!H:H)</f>
        <v>5600655.1500000004</v>
      </c>
      <c r="I78" s="55">
        <f>SUMIF('Report Data'!$A:$A,SIMPLE!$A78,'Report Data'!J:J)</f>
        <v>505000.00000000006</v>
      </c>
      <c r="J78" s="55">
        <f>SUMIF('Report Data'!$A:$A,SIMPLE!$A78,'Report Data'!L:L)</f>
        <v>-3914480.4099999997</v>
      </c>
      <c r="K78" s="55">
        <f>SUMIF('Report Data'!$A:$A,SIMPLE!$A78,'Report Data'!N:N)</f>
        <v>0</v>
      </c>
      <c r="L78" s="56">
        <f>SUMIF('Report Data'!$A:$A,SIMPLE!$A78,'Report Data'!P:P)</f>
        <v>3859943.0000000009</v>
      </c>
      <c r="M78" s="56">
        <f>SUMIF('Report Data'!$A:$A,SIMPLE!$A78,'Report Data'!R:R)</f>
        <v>0</v>
      </c>
      <c r="N78" s="56">
        <f>SUMIF('Report Data'!$A:$A,SIMPLE!$A78,'Report Data'!T:T)</f>
        <v>0</v>
      </c>
      <c r="O78" s="56">
        <f>SUMIF('Report Data'!$A:$A,SIMPLE!$A78,'Report Data'!V:V)</f>
        <v>0</v>
      </c>
      <c r="P78" s="56">
        <f t="shared" si="2"/>
        <v>0</v>
      </c>
      <c r="Q78" s="91">
        <f>IF(K78&gt;0,((M78/K78)-1),IF(AND(K78=0,M78&gt;0),100%,IF(AND(K78=0,M78&lt;0),-100%,IF(AND(K78=0,M78=0),0%,((M78/(K78))-1)*-1))))</f>
        <v>0</v>
      </c>
      <c r="S78" s="12">
        <f>IF(F78&gt;0,+((O78/F78)^(1/5)-1),IF(AND(F78=0,O78&gt;0),100%,IF(AND(F78=0,O78&lt;0),-100%,IF(AND(F78=0,O78=0),0%,+((O78/F78)^(1/5)-1)))))</f>
        <v>-1</v>
      </c>
    </row>
    <row r="79" spans="1:19" ht="12.75" customHeight="1" x14ac:dyDescent="0.25">
      <c r="A79" s="6"/>
      <c r="B79" s="6"/>
      <c r="D79" s="45" t="s">
        <v>1</v>
      </c>
      <c r="E79" s="53"/>
      <c r="F79" s="53"/>
      <c r="G79" s="53"/>
      <c r="H79" s="53"/>
      <c r="I79" s="53"/>
      <c r="J79" s="53"/>
      <c r="K79" s="53"/>
      <c r="L79" s="54"/>
      <c r="M79" s="54"/>
      <c r="N79" s="54"/>
      <c r="O79" s="54"/>
      <c r="P79" s="54"/>
      <c r="Q79" s="92"/>
      <c r="S79" s="15"/>
    </row>
    <row r="80" spans="1:19" ht="16.5" thickBot="1" x14ac:dyDescent="0.3">
      <c r="A80" s="9"/>
      <c r="B80" s="9"/>
      <c r="D80" s="47" t="s">
        <v>160</v>
      </c>
      <c r="E80" s="59">
        <f t="shared" ref="E80:O80" si="20">E76+E78</f>
        <v>-9761173.0000000745</v>
      </c>
      <c r="F80" s="59">
        <f t="shared" si="20"/>
        <v>-2764483.9700000137</v>
      </c>
      <c r="G80" s="59">
        <f t="shared" si="20"/>
        <v>-12697640.00000006</v>
      </c>
      <c r="H80" s="59">
        <f t="shared" si="20"/>
        <v>3892974.790000001</v>
      </c>
      <c r="I80" s="59">
        <f t="shared" si="20"/>
        <v>-12718565.999999896</v>
      </c>
      <c r="J80" s="59">
        <f t="shared" si="20"/>
        <v>-7761090.560000021</v>
      </c>
      <c r="K80" s="59">
        <f t="shared" si="20"/>
        <v>-9845779.2799999714</v>
      </c>
      <c r="L80" s="57">
        <f t="shared" si="20"/>
        <v>1955405.8399999002</v>
      </c>
      <c r="M80" s="57">
        <f t="shared" si="20"/>
        <v>845103</v>
      </c>
      <c r="N80" s="57">
        <f t="shared" si="20"/>
        <v>3885980.0000000596</v>
      </c>
      <c r="O80" s="57">
        <f t="shared" si="20"/>
        <v>587212.27999997139</v>
      </c>
      <c r="P80" s="57">
        <f t="shared" si="2"/>
        <v>3040877.0000000596</v>
      </c>
      <c r="Q80" s="93">
        <f>IF(K80&gt;0,((M80/K80)-1),IF(AND(K80=0,M80&gt;0),100%,IF(AND(K80=0,M80&lt;0),-100%,IF(AND(K80=0,M80=0),0%,((M80/(K80))-1)*-1))))</f>
        <v>1.0858340387252721</v>
      </c>
      <c r="S80" s="17">
        <f>IF(F80&gt;0,+((O80/F80)^(1/5)-1),IF(AND(F80=0,O80&gt;0),100%,IF(AND(F80=0,O80&lt;0),-100%,IF(AND(F80=0,O80=0),0%,+((O80/F80)^(1/5)-1)))))</f>
        <v>-1.733560960731158</v>
      </c>
    </row>
    <row r="81" spans="1:19" ht="9" customHeight="1" thickTop="1" x14ac:dyDescent="0.2">
      <c r="D81" s="42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56"/>
      <c r="Q81" s="78"/>
    </row>
    <row r="82" spans="1:19" ht="15.75" x14ac:dyDescent="0.25">
      <c r="D82" s="46" t="s">
        <v>161</v>
      </c>
      <c r="E82" s="31">
        <f t="shared" ref="E82:O82" si="21">E76/E47</f>
        <v>-0.13018743442036465</v>
      </c>
      <c r="F82" s="31">
        <f t="shared" si="21"/>
        <v>-0.14829211900140724</v>
      </c>
      <c r="G82" s="31">
        <f t="shared" si="21"/>
        <v>-0.16208628927767446</v>
      </c>
      <c r="H82" s="31">
        <f t="shared" si="21"/>
        <v>-1.8274473961991826E-2</v>
      </c>
      <c r="I82" s="31">
        <f t="shared" si="21"/>
        <v>-0.15810680259387699</v>
      </c>
      <c r="J82" s="31">
        <f t="shared" si="21"/>
        <v>-3.8111311860684415E-2</v>
      </c>
      <c r="K82" s="31">
        <f t="shared" si="21"/>
        <v>-9.9820735418832948E-2</v>
      </c>
      <c r="L82" s="31">
        <f t="shared" si="21"/>
        <v>-1.7188683944105748E-2</v>
      </c>
      <c r="M82" s="31">
        <f t="shared" si="21"/>
        <v>7.349600943131954E-3</v>
      </c>
      <c r="N82" s="31">
        <f t="shared" si="21"/>
        <v>3.2924466851347874E-2</v>
      </c>
      <c r="O82" s="76">
        <f t="shared" si="21"/>
        <v>4.8982654813367974E-3</v>
      </c>
      <c r="P82" s="25"/>
      <c r="Q82" s="78"/>
    </row>
    <row r="83" spans="1:19" ht="15.75" x14ac:dyDescent="0.25">
      <c r="D83" s="47" t="s">
        <v>163</v>
      </c>
      <c r="E83" s="32">
        <f t="shared" ref="E83:O83" si="22">E80/E47</f>
        <v>-0.1207259342786153</v>
      </c>
      <c r="F83" s="32">
        <f t="shared" si="22"/>
        <v>-3.4250954953816942E-2</v>
      </c>
      <c r="G83" s="32">
        <f t="shared" si="22"/>
        <v>-0.15361760356180423</v>
      </c>
      <c r="H83" s="32">
        <f t="shared" si="22"/>
        <v>4.1660060103136422E-2</v>
      </c>
      <c r="I83" s="32">
        <f t="shared" si="22"/>
        <v>-0.15206879928146425</v>
      </c>
      <c r="J83" s="32">
        <f t="shared" si="22"/>
        <v>-7.6895066351128166E-2</v>
      </c>
      <c r="K83" s="32">
        <f t="shared" si="22"/>
        <v>-9.9820735418832948E-2</v>
      </c>
      <c r="L83" s="32">
        <f t="shared" si="22"/>
        <v>1.7647780086483121E-2</v>
      </c>
      <c r="M83" s="32">
        <f t="shared" si="22"/>
        <v>7.349600943131954E-3</v>
      </c>
      <c r="N83" s="32">
        <f t="shared" si="22"/>
        <v>3.2924466851347874E-2</v>
      </c>
      <c r="O83" s="90">
        <f t="shared" si="22"/>
        <v>4.8982654813367974E-3</v>
      </c>
      <c r="P83" s="7"/>
      <c r="Q83" s="83"/>
    </row>
    <row r="85" spans="1:19" s="2" customFormat="1" outlineLevel="1" x14ac:dyDescent="0.2">
      <c r="A85" s="18" t="s">
        <v>27</v>
      </c>
      <c r="B85" s="18" t="s">
        <v>27</v>
      </c>
      <c r="C85" s="18" t="s">
        <v>27</v>
      </c>
      <c r="D85" s="18" t="s">
        <v>27</v>
      </c>
      <c r="E85" s="18" t="s">
        <v>27</v>
      </c>
      <c r="F85" s="18" t="s">
        <v>27</v>
      </c>
      <c r="G85" s="18" t="s">
        <v>27</v>
      </c>
      <c r="H85" s="18" t="s">
        <v>27</v>
      </c>
      <c r="I85" s="18" t="s">
        <v>27</v>
      </c>
      <c r="J85" s="18" t="s">
        <v>27</v>
      </c>
      <c r="K85" s="18" t="s">
        <v>27</v>
      </c>
      <c r="L85" s="18" t="s">
        <v>27</v>
      </c>
      <c r="M85" s="18" t="s">
        <v>27</v>
      </c>
      <c r="N85" s="18" t="s">
        <v>27</v>
      </c>
      <c r="O85" s="18"/>
      <c r="P85" s="18"/>
      <c r="Q85" s="79"/>
      <c r="S85" s="18"/>
    </row>
    <row r="86" spans="1:19" outlineLevel="1" x14ac:dyDescent="0.2">
      <c r="A86" t="s">
        <v>72</v>
      </c>
      <c r="D86" t="s">
        <v>3</v>
      </c>
      <c r="E86" s="3">
        <f>SUMIF('Report Data'!$A:$A,SIMPLE!$A86,'Report Data'!B:B)</f>
        <v>188074028</v>
      </c>
      <c r="F86" s="3">
        <f>SUMIF('Report Data'!$A:$A,SIMPLE!$A86,'Report Data'!D:D)</f>
        <v>172517296</v>
      </c>
      <c r="G86" s="3">
        <f>SUMIF('Report Data'!$A:$A,SIMPLE!$A86,'Report Data'!F:F)</f>
        <v>195374454</v>
      </c>
      <c r="H86" s="3">
        <f>SUMIF('Report Data'!$A:$A,SIMPLE!$A86,'Report Data'!H:H)</f>
        <v>197875612</v>
      </c>
      <c r="I86" s="3">
        <f>SUMIF('Report Data'!$A:$A,SIMPLE!$A86,'Report Data'!J:J)</f>
        <v>211533512.00000012</v>
      </c>
      <c r="J86" s="3">
        <f>SUMIF('Report Data'!$A:$A,SIMPLE!$A86,'Report Data'!L:L)</f>
        <v>215214525</v>
      </c>
      <c r="K86" s="3">
        <f>SUMIF('Report Data'!$A:$A,SIMPLE!$A86,'Report Data'!N:N)</f>
        <v>252473287.99999991</v>
      </c>
      <c r="L86" s="3">
        <f>SUMIF('Report Data'!$A:$A,SIMPLE!$A86,'Report Data'!P:P)</f>
        <v>272772922.00000006</v>
      </c>
      <c r="M86" s="3">
        <f>SUMIF('Report Data'!$A:$A,SIMPLE!$A86,'Report Data'!R:R)</f>
        <v>280449990</v>
      </c>
      <c r="N86" s="3">
        <f>SUMIF('Report Data'!$A:$A,SIMPLE!$A86,'Report Data'!T:T)</f>
        <v>280449990</v>
      </c>
      <c r="O86" s="3">
        <f>SUMIF('Report Data'!$A:$A,SIMPLE!$A86,'Report Data'!V:V)</f>
        <v>302446585.65959996</v>
      </c>
    </row>
    <row r="87" spans="1:19" outlineLevel="1" x14ac:dyDescent="0.2">
      <c r="A87"/>
      <c r="D87" s="1" t="s">
        <v>73</v>
      </c>
      <c r="E87" s="3">
        <f t="shared" ref="E87:O87" si="23">E14</f>
        <v>188074028</v>
      </c>
      <c r="F87" s="3">
        <f t="shared" si="23"/>
        <v>172517296.02000001</v>
      </c>
      <c r="G87" s="3">
        <f t="shared" si="23"/>
        <v>195374450.99999994</v>
      </c>
      <c r="H87" s="3">
        <f t="shared" si="23"/>
        <v>197875612</v>
      </c>
      <c r="I87" s="3">
        <f t="shared" si="23"/>
        <v>211533512.00000003</v>
      </c>
      <c r="J87" s="3">
        <f t="shared" si="23"/>
        <v>215214525</v>
      </c>
      <c r="K87" s="3">
        <f t="shared" si="23"/>
        <v>241900508.72000003</v>
      </c>
      <c r="L87" s="3">
        <f t="shared" si="23"/>
        <v>272772921.56999993</v>
      </c>
      <c r="M87" s="3">
        <f t="shared" si="23"/>
        <v>280449990</v>
      </c>
      <c r="N87" s="3">
        <f t="shared" si="23"/>
        <v>283490867.00000006</v>
      </c>
      <c r="O87" s="3">
        <f t="shared" si="23"/>
        <v>302483299</v>
      </c>
    </row>
    <row r="88" spans="1:19" outlineLevel="1" x14ac:dyDescent="0.2">
      <c r="A88" t="s">
        <v>45</v>
      </c>
      <c r="D88" t="s">
        <v>5</v>
      </c>
      <c r="E88" s="3">
        <f>SUMIF('Report Data'!$A:$A,SIMPLE!$A88,'Report Data'!B:B)</f>
        <v>77143352.999999955</v>
      </c>
      <c r="F88" s="3">
        <f>SUMIF('Report Data'!$A:$A,SIMPLE!$A88,'Report Data'!D:D)</f>
        <v>61154724.000000045</v>
      </c>
      <c r="G88" s="3">
        <f>SUMIF('Report Data'!$A:$A,SIMPLE!$A88,'Report Data'!F:F)</f>
        <v>78962603.000000015</v>
      </c>
      <c r="H88" s="3">
        <f>SUMIF('Report Data'!$A:$A,SIMPLE!$A88,'Report Data'!H:H)</f>
        <v>74435331.549999982</v>
      </c>
      <c r="I88" s="3">
        <f>SUMIF('Report Data'!$A:$A,SIMPLE!$A88,'Report Data'!J:J)</f>
        <v>79195329.000000179</v>
      </c>
      <c r="J88" s="3">
        <f>SUMIF('Report Data'!$A:$A,SIMPLE!$A88,'Report Data'!L:L)</f>
        <v>78942283.160000026</v>
      </c>
      <c r="K88" s="3">
        <f>SUMIF('Report Data'!$A:$A,SIMPLE!$A88,'Report Data'!N:N)</f>
        <v>91620375.999999911</v>
      </c>
      <c r="L88" s="3">
        <f>SUMIF('Report Data'!$A:$A,SIMPLE!$A88,'Report Data'!P:P)</f>
        <v>92081797.060000032</v>
      </c>
      <c r="M88" s="3">
        <f>SUMIF('Report Data'!$A:$A,SIMPLE!$A88,'Report Data'!R:R)</f>
        <v>97064120</v>
      </c>
      <c r="N88" s="3">
        <f>SUMIF('Report Data'!$A:$A,SIMPLE!$A88,'Report Data'!T:T)</f>
        <v>97064120</v>
      </c>
      <c r="O88" s="3">
        <f>SUMIF('Report Data'!$A:$A,SIMPLE!$A88,'Report Data'!V:V)</f>
        <v>99152479.65959996</v>
      </c>
    </row>
    <row r="89" spans="1:19" outlineLevel="1" x14ac:dyDescent="0.2">
      <c r="A89"/>
      <c r="D89" s="1" t="s">
        <v>73</v>
      </c>
      <c r="E89" s="3">
        <f t="shared" ref="E89:O89" si="24">+E22</f>
        <v>77143352.99999994</v>
      </c>
      <c r="F89" s="3">
        <f t="shared" si="24"/>
        <v>61154724.019999996</v>
      </c>
      <c r="G89" s="3">
        <f t="shared" si="24"/>
        <v>78962599.99999994</v>
      </c>
      <c r="H89" s="3">
        <f t="shared" si="24"/>
        <v>74435331.549999982</v>
      </c>
      <c r="I89" s="3">
        <f t="shared" si="24"/>
        <v>79195329.000000089</v>
      </c>
      <c r="J89" s="3">
        <f t="shared" si="24"/>
        <v>78942283.159999982</v>
      </c>
      <c r="K89" s="3">
        <f t="shared" si="24"/>
        <v>81047596.720000029</v>
      </c>
      <c r="L89" s="3">
        <f t="shared" si="24"/>
        <v>92081796.629999906</v>
      </c>
      <c r="M89" s="3">
        <f t="shared" si="24"/>
        <v>97064120</v>
      </c>
      <c r="N89" s="3">
        <f t="shared" si="24"/>
        <v>100104997.00000006</v>
      </c>
      <c r="O89" s="3">
        <f t="shared" si="24"/>
        <v>99189192.99999997</v>
      </c>
    </row>
    <row r="90" spans="1:19" outlineLevel="1" x14ac:dyDescent="0.2">
      <c r="A90" t="s">
        <v>69</v>
      </c>
      <c r="D90" t="s">
        <v>7</v>
      </c>
      <c r="E90" s="3">
        <f>SUMIF('Report Data'!$A:$A,SIMPLE!$A90,'Report Data'!B:B)</f>
        <v>-10526173</v>
      </c>
      <c r="F90" s="3">
        <f>SUMIF('Report Data'!$A:$A,SIMPLE!$A90,'Report Data'!D:D)</f>
        <v>515362.00999999046</v>
      </c>
      <c r="G90" s="3">
        <f>SUMIF('Report Data'!$A:$A,SIMPLE!$A90,'Report Data'!F:F)</f>
        <v>-13397637</v>
      </c>
      <c r="H90" s="3">
        <f>SUMIF('Report Data'!$A:$A,SIMPLE!$A90,'Report Data'!H:H)</f>
        <v>-1598591.3600000441</v>
      </c>
      <c r="I90" s="3">
        <f>SUMIF('Report Data'!$A:$A,SIMPLE!$A90,'Report Data'!J:J)</f>
        <v>-13223565.999999866</v>
      </c>
      <c r="J90" s="3">
        <f>SUMIF('Report Data'!$A:$A,SIMPLE!$A90,'Report Data'!L:L)</f>
        <v>-3846610.1499999762</v>
      </c>
      <c r="K90" s="3">
        <f>SUMIF('Report Data'!$A:$A,SIMPLE!$A90,'Report Data'!N:N)</f>
        <v>726999.9999999702</v>
      </c>
      <c r="L90" s="3">
        <f>SUMIF('Report Data'!$A:$A,SIMPLE!$A90,'Report Data'!P:P)</f>
        <v>-1904536.730000034</v>
      </c>
      <c r="M90" s="3">
        <f>SUMIF('Report Data'!$A:$A,SIMPLE!$A90,'Report Data'!R:R)</f>
        <v>845102.99999992549</v>
      </c>
      <c r="N90" s="3">
        <f>SUMIF('Report Data'!$A:$A,SIMPLE!$A90,'Report Data'!T:T)</f>
        <v>845102.99999992549</v>
      </c>
      <c r="O90" s="3">
        <f>SUMIF('Report Data'!$A:$A,SIMPLE!$A90,'Report Data'!V:V)</f>
        <v>550498.93959993124</v>
      </c>
    </row>
    <row r="91" spans="1:19" outlineLevel="1" x14ac:dyDescent="0.2">
      <c r="D91" s="1" t="s">
        <v>73</v>
      </c>
      <c r="E91" s="3">
        <f>+E76</f>
        <v>-10526173.000000075</v>
      </c>
      <c r="F91" s="3">
        <f t="shared" ref="F91:N91" si="25">+F76</f>
        <v>-11969043.970000014</v>
      </c>
      <c r="G91" s="3">
        <f t="shared" si="25"/>
        <v>-13397640.00000006</v>
      </c>
      <c r="H91" s="3">
        <f t="shared" si="25"/>
        <v>-1707680.3599999994</v>
      </c>
      <c r="I91" s="3">
        <f t="shared" si="25"/>
        <v>-13223565.999999896</v>
      </c>
      <c r="J91" s="3">
        <f t="shared" si="25"/>
        <v>-3846610.1500000209</v>
      </c>
      <c r="K91" s="3">
        <f t="shared" si="25"/>
        <v>-9845779.2799999714</v>
      </c>
      <c r="L91" s="3">
        <f t="shared" si="25"/>
        <v>-1904537.1600001007</v>
      </c>
      <c r="M91" s="3">
        <f t="shared" si="25"/>
        <v>845103</v>
      </c>
      <c r="N91" s="3">
        <f t="shared" si="25"/>
        <v>3885980.0000000596</v>
      </c>
      <c r="O91" s="3">
        <f t="shared" ref="O91" si="26">+O76</f>
        <v>587212.27999997139</v>
      </c>
    </row>
    <row r="92" spans="1:19" outlineLevel="1" x14ac:dyDescent="0.2">
      <c r="A92" t="s">
        <v>68</v>
      </c>
      <c r="D92" t="s">
        <v>68</v>
      </c>
      <c r="E92" s="3">
        <f>SUMIF('Report Data'!$A:$A,SIMPLE!$A92,'Report Data'!B:B)</f>
        <v>91380159.000000015</v>
      </c>
      <c r="F92" s="3">
        <f>SUMIF('Report Data'!$A:$A,SIMPLE!$A92,'Report Data'!D:D)</f>
        <v>92681653.99000001</v>
      </c>
      <c r="G92" s="3">
        <f>SUMIF('Report Data'!$A:$A,SIMPLE!$A92,'Report Data'!F:F)</f>
        <v>96055094</v>
      </c>
      <c r="H92" s="3">
        <f>SUMIF('Report Data'!$A:$A,SIMPLE!$A92,'Report Data'!H:H)</f>
        <v>95153891.919999987</v>
      </c>
      <c r="I92" s="3">
        <f>SUMIF('Report Data'!$A:$A,SIMPLE!$A92,'Report Data'!J:J)</f>
        <v>96860485.999999985</v>
      </c>
      <c r="J92" s="3">
        <f>SUMIF('Report Data'!$A:$A,SIMPLE!$A92,'Report Data'!L:L)</f>
        <v>104777540.16000001</v>
      </c>
      <c r="K92" s="3">
        <f>SUMIF('Report Data'!$A:$A,SIMPLE!$A92,'Report Data'!N:N)</f>
        <v>108480389</v>
      </c>
      <c r="L92" s="3">
        <f>SUMIF('Report Data'!$A:$A,SIMPLE!$A92,'Report Data'!P:P)</f>
        <v>112706339.45</v>
      </c>
      <c r="M92" s="3">
        <f>SUMIF('Report Data'!$A:$A,SIMPLE!$A92,'Report Data'!R:R)</f>
        <v>114141139.99999999</v>
      </c>
      <c r="N92" s="3">
        <f>SUMIF('Report Data'!$A:$A,SIMPLE!$A92,'Report Data'!T:T)</f>
        <v>114141139.99999999</v>
      </c>
      <c r="O92" s="3">
        <f>SUMIF('Report Data'!$A:$A,SIMPLE!$A92,'Report Data'!V:V)</f>
        <v>119294464.65999998</v>
      </c>
    </row>
    <row r="93" spans="1:19" outlineLevel="1" x14ac:dyDescent="0.2">
      <c r="D93" s="1" t="s">
        <v>73</v>
      </c>
      <c r="E93" s="3">
        <f>+E74</f>
        <v>91380159.000000015</v>
      </c>
      <c r="F93" s="3">
        <f t="shared" ref="F93:N93" si="27">+F74</f>
        <v>92681653.99000001</v>
      </c>
      <c r="G93" s="3">
        <f t="shared" si="27"/>
        <v>96055094</v>
      </c>
      <c r="H93" s="3">
        <f t="shared" si="27"/>
        <v>95153891.919999987</v>
      </c>
      <c r="I93" s="3">
        <f t="shared" si="27"/>
        <v>96860485.999999985</v>
      </c>
      <c r="J93" s="3">
        <f t="shared" si="27"/>
        <v>104777540.16</v>
      </c>
      <c r="K93" s="3">
        <f t="shared" si="27"/>
        <v>108480389</v>
      </c>
      <c r="L93" s="3">
        <f t="shared" si="27"/>
        <v>112706339.45</v>
      </c>
      <c r="M93" s="3">
        <f t="shared" si="27"/>
        <v>114141140</v>
      </c>
      <c r="N93" s="3">
        <f t="shared" si="27"/>
        <v>114141140</v>
      </c>
      <c r="O93" s="3">
        <f t="shared" ref="O93" si="28">+O74</f>
        <v>119294464.66</v>
      </c>
    </row>
  </sheetData>
  <mergeCells count="1">
    <mergeCell ref="O5:O6"/>
  </mergeCells>
  <pageMargins left="0.7" right="0.7" top="0.75" bottom="0.75" header="0.3" footer="0.3"/>
  <pageSetup scale="49" orientation="landscape" r:id="rId1"/>
  <headerFooter>
    <oddFooter>&amp;L&amp;F&amp;CGreen Mountain Care Board&amp;R&amp;D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02"/>
  <sheetViews>
    <sheetView workbookViewId="0">
      <pane xSplit="4" ySplit="6" topLeftCell="I7" activePane="bottomRight" state="frozen"/>
      <selection pane="topRight" activeCell="D1" sqref="D1"/>
      <selection pane="bottomLeft" activeCell="A7" sqref="A7"/>
      <selection pane="bottomRight" activeCell="V9" sqref="V9"/>
    </sheetView>
  </sheetViews>
  <sheetFormatPr defaultColWidth="9.140625" defaultRowHeight="12.75" outlineLevelRow="1" outlineLevelCol="1" x14ac:dyDescent="0.2"/>
  <cols>
    <col min="1" max="1" width="69.5703125" style="1" hidden="1" customWidth="1" outlineLevel="1"/>
    <col min="2" max="2" width="6.7109375" style="1" hidden="1" customWidth="1" outlineLevel="1"/>
    <col min="3" max="3" width="9.140625" style="1" hidden="1" customWidth="1" outlineLevel="1"/>
    <col min="4" max="4" width="50.42578125" style="1" customWidth="1" collapsed="1"/>
    <col min="5" max="9" width="18.7109375" style="3" customWidth="1" outlineLevel="1"/>
    <col min="10" max="10" width="18.7109375" style="3" customWidth="1"/>
    <col min="11" max="11" width="18.7109375" style="3" hidden="1" customWidth="1" outlineLevel="1"/>
    <col min="12" max="12" width="18.7109375" style="3" customWidth="1" collapsed="1"/>
    <col min="13" max="15" width="18.7109375" style="3" customWidth="1"/>
    <col min="16" max="16" width="1.7109375" style="3" customWidth="1"/>
    <col min="17" max="17" width="2.5703125" style="1" customWidth="1"/>
    <col min="18" max="20" width="8.85546875" style="1" customWidth="1"/>
    <col min="21" max="16384" width="9.140625" style="1"/>
  </cols>
  <sheetData>
    <row r="1" spans="1:20" x14ac:dyDescent="0.2">
      <c r="D1" s="65" t="str">
        <f>UPPER('Report Info'!B5)</f>
        <v>BRATTLEBORO MEMORIAL HOSPITAL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7"/>
      <c r="S1" s="67"/>
      <c r="T1" s="67"/>
    </row>
    <row r="2" spans="1:20" x14ac:dyDescent="0.2">
      <c r="D2" s="68" t="str">
        <f>UPPER('Report Info'!B3)</f>
        <v>REPORT 1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</row>
    <row r="3" spans="1:20" ht="13.5" thickBot="1" x14ac:dyDescent="0.25">
      <c r="D3" s="69" t="str">
        <f>UPPER('Report Info'!A2)</f>
        <v>SUMMARY STATEMENT OF REVENUE &amp; EXPENSE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  <c r="R3" s="67"/>
      <c r="S3" s="67"/>
      <c r="T3" s="67"/>
    </row>
    <row r="5" spans="1:20" x14ac:dyDescent="0.2">
      <c r="B5" s="2"/>
      <c r="E5" s="11"/>
      <c r="F5" s="11"/>
      <c r="G5" s="11"/>
      <c r="H5" s="11"/>
      <c r="I5" s="11"/>
      <c r="J5" s="11"/>
      <c r="K5" s="11"/>
      <c r="L5" s="11"/>
      <c r="M5" s="49"/>
      <c r="N5" s="11"/>
      <c r="O5" s="11"/>
      <c r="P5" s="11"/>
      <c r="R5" s="98" t="s">
        <v>24</v>
      </c>
      <c r="S5" s="98"/>
      <c r="T5" s="98"/>
    </row>
    <row r="6" spans="1:20" ht="26.25" customHeight="1" x14ac:dyDescent="0.2">
      <c r="A6" s="2" t="s">
        <v>14</v>
      </c>
      <c r="E6" s="4" t="str">
        <f>'Report Data'!B1&amp;IF(ISERROR(FIND("Budget",'Report Data'!B2)),IF(ISERROR(FIND("Actual",'Report Data'!B2)),IF(ISERROR(FIND("Projection",'Report Data'!B2)),'Report Data'!B2,"P"),"A"),"B")</f>
        <v>FY2020B</v>
      </c>
      <c r="F6" s="4" t="str">
        <f>'Report Data'!B1&amp;IF(ISERROR(FIND("Budget",'Report Data'!D2)),IF(ISERROR(FIND("Actual",'Report Data'!D2)),IF(ISERROR(FIND("Projection",'Report Data'!D2)),'Report Data'!D2,"P"),"A"),"B")</f>
        <v>FY2020A</v>
      </c>
      <c r="G6" s="4" t="str">
        <f>'Report Data'!F1&amp;IF(ISERROR(FIND("Budget",'Report Data'!F2)),IF(ISERROR(FIND("Actual",'Report Data'!F2)),IF(ISERROR(FIND("Projection",'Report Data'!F2)),'Report Data'!F2,"P"),"A"),"B")</f>
        <v>FY2021B</v>
      </c>
      <c r="H6" s="4" t="str">
        <f>'Report Data'!F1&amp;IF(ISERROR(FIND("Budget",'Report Data'!H2)),IF(ISERROR(FIND("Actual",'Report Data'!H2)),IF(ISERROR(FIND("Projection",'Report Data'!H2)),'Report Data'!H2,"P"),"A"),"B")</f>
        <v>FY2021A</v>
      </c>
      <c r="I6" s="4" t="str">
        <f>'Report Data'!J1&amp;IF(ISERROR(FIND("Budget",'Report Data'!J2)),IF(ISERROR(FIND("Actual",'Report Data'!J2)),IF(ISERROR(FIND("Projection",'Report Data'!J2)),'Report Data'!J2,"P"),"A"),"B")</f>
        <v>FY2022B</v>
      </c>
      <c r="J6" s="4" t="str">
        <f>'Report Data'!J1&amp;IF(ISERROR(FIND("Budget",'Report Data'!L2)),IF(ISERROR(FIND("Actual",'Report Data'!L2)),IF(ISERROR(FIND("Projection",'Report Data'!L2)),'Report Data'!L2,"P"),"A"),"B")</f>
        <v>FY2022A</v>
      </c>
      <c r="K6" s="4" t="str">
        <f>'Report Data'!N1&amp;IF(ISERROR(FIND("Budget",'Report Data'!N2)),IF(ISERROR(FIND("Actual",'Report Data'!N2)),IF(ISERROR(FIND("Projection",'Report Data'!N2)),'Report Data'!N2,"P"),"A"),"B")</f>
        <v>FY2023B</v>
      </c>
      <c r="L6" s="4" t="str">
        <f>'Report Data'!$N$1&amp;IF(ISERROR(FIND("Budget",'Report Data'!$P$2)),IF(ISERROR(FIND("Actual",'Report Data'!$P$2)),IF(ISERROR(FIND("Projection",'Report Data'!$P$2)),'Report Data'!$P$2,"P"),"A"),"B")</f>
        <v>FY2023A</v>
      </c>
      <c r="M6" s="4" t="str">
        <f>'Report Data'!R1&amp;IF(ISERROR(FIND("Budget",'Report Data'!R2)),IF(ISERROR(FIND("Actual",'Report Data'!R2)),IF(ISERROR(FIND("Projection",'Report Data'!R2)),'Report Data'!R2,"P"),"A"),"B")</f>
        <v>FY2024B</v>
      </c>
      <c r="N6" s="4" t="str">
        <f>'Report Data'!R1&amp;MID('Report Data'!T2,28,1)</f>
        <v>FY2024P</v>
      </c>
      <c r="O6" s="4" t="str">
        <f>'Report Data'!V1&amp;IF(ISERROR(FIND("Budget",'Report Data'!V2)),IF(ISERROR(FIND("Actual",'Report Data'!V2)),IF(ISERROR(FIND("Projection",'Report Data'!V2)),'Report Data'!V2,"P"),"A"),"B")</f>
        <v>FY2025B</v>
      </c>
      <c r="P6" s="4"/>
      <c r="Q6" s="14"/>
      <c r="R6" s="85" t="str">
        <f>M6&amp;" - "&amp;N6</f>
        <v>FY2024B - FY2024P</v>
      </c>
      <c r="S6" s="14" t="str">
        <f>M6&amp;" - "&amp;O6</f>
        <v>FY2024B - FY2025B</v>
      </c>
      <c r="T6" s="14" t="s">
        <v>224</v>
      </c>
    </row>
    <row r="7" spans="1:20" x14ac:dyDescent="0.2">
      <c r="A7" s="1" t="s">
        <v>3</v>
      </c>
      <c r="D7" s="1" t="s">
        <v>15</v>
      </c>
      <c r="R7" s="67"/>
    </row>
    <row r="8" spans="1:20" x14ac:dyDescent="0.2">
      <c r="A8" t="s">
        <v>29</v>
      </c>
      <c r="D8" s="1" t="s">
        <v>74</v>
      </c>
      <c r="E8" s="60">
        <f>SUMIF('Report Data'!$A:$A,PL!$A8,'Report Data'!B:B)</f>
        <v>41314983.999999985</v>
      </c>
      <c r="F8" s="60">
        <f>SUMIF('Report Data'!$A:$A,PL!$A8,'Report Data'!D:D)</f>
        <v>37012384.020000003</v>
      </c>
      <c r="G8" s="60">
        <f>SUMIF('Report Data'!$A:$A,PL!$A8,'Report Data'!F:F)</f>
        <v>42198446</v>
      </c>
      <c r="H8" s="60">
        <f>SUMIF('Report Data'!$A:$A,PL!$A8,'Report Data'!H:H)</f>
        <v>43840630.999999978</v>
      </c>
      <c r="I8" s="60">
        <f>SUMIF('Report Data'!$A:$A,PL!$A8,'Report Data'!J:J)</f>
        <v>45123667.999999993</v>
      </c>
      <c r="J8" s="60">
        <f>SUMIF('Report Data'!$A:$A,PL!$A8,'Report Data'!L:L)</f>
        <v>48263423</v>
      </c>
      <c r="K8" s="60">
        <f>SUMIF('Report Data'!$A:$A,PL!$A8,'Report Data'!N:N)</f>
        <v>51202454.649999984</v>
      </c>
      <c r="L8" s="60">
        <f>SUMIF('Report Data'!$A:$A,PL!$A8,'Report Data'!P:P)</f>
        <v>56571227.570000023</v>
      </c>
      <c r="M8" s="60">
        <f>'Report Data'!R91</f>
        <v>58422862.999999993</v>
      </c>
      <c r="N8" s="60">
        <f>SUMIF('Report Data'!$A:$A,PL!$A8,'Report Data'!T:T)</f>
        <v>66596980.000000007</v>
      </c>
      <c r="O8" s="60">
        <f>SUMIF('Report Data'!$A:$A,PL!$A8,'Report Data'!V:V)</f>
        <v>70933057.000000015</v>
      </c>
      <c r="Q8" s="12"/>
      <c r="R8" s="71">
        <f>IF(M8&gt;0,((N8/M8)-1),IF(AND(M8=0,N8&gt;0),100%,IF(AND(M8=0,N8&lt;0),-100%,IF(AND(M8=0,N8=0),0%,((N8/(M8))-1)*-1))))</f>
        <v>0.13991298235418581</v>
      </c>
      <c r="S8" s="12">
        <f>IF(M8&gt;0,((O8/M8)-1),IF(AND(M8=0,O8&gt;0),100%,IF(AND(M8=0,O8&lt;0),-100%,IF(AND(M8=0,O8=0),0%,((O8/(M8))-1)*-1))))</f>
        <v>0.21413182027727773</v>
      </c>
      <c r="T8" s="12">
        <f>IF(N8&gt;0,((O8/N8)-1),IF(AND(N8=0,O8&gt;0),100%,IF(AND(N8=0,O8&lt;0),-100%,IF(AND(N8=0,O8=0),0%,((O8/(N8))-1)*-1))))</f>
        <v>6.5109213661040055E-2</v>
      </c>
    </row>
    <row r="9" spans="1:20" x14ac:dyDescent="0.2">
      <c r="A9" t="s">
        <v>30</v>
      </c>
      <c r="D9" s="1" t="s">
        <v>75</v>
      </c>
      <c r="E9" s="60">
        <f>SUMIF('Report Data'!$A:$A,PL!$A9,'Report Data'!B:B)</f>
        <v>129526976.00000001</v>
      </c>
      <c r="F9" s="60">
        <f>SUMIF('Report Data'!$A:$A,PL!$A9,'Report Data'!D:D)</f>
        <v>119293422.00000001</v>
      </c>
      <c r="G9" s="60">
        <f>SUMIF('Report Data'!$A:$A,PL!$A9,'Report Data'!F:F)</f>
        <v>135226885.99999994</v>
      </c>
      <c r="H9" s="60">
        <f>SUMIF('Report Data'!$A:$A,PL!$A9,'Report Data'!H:H)</f>
        <v>154034981.00000003</v>
      </c>
      <c r="I9" s="60">
        <f>SUMIF('Report Data'!$A:$A,PL!$A9,'Report Data'!J:J)</f>
        <v>142091396.00000003</v>
      </c>
      <c r="J9" s="60">
        <f>SUMIF('Report Data'!$A:$A,PL!$A9,'Report Data'!L:L)</f>
        <v>166951102</v>
      </c>
      <c r="K9" s="60">
        <f>SUMIF('Report Data'!$A:$A,PL!$A9,'Report Data'!N:N)</f>
        <v>162917799.08000004</v>
      </c>
      <c r="L9" s="60">
        <f>SUMIF('Report Data'!$A:$A,PL!$A9,'Report Data'!P:P)</f>
        <v>216201693.99999994</v>
      </c>
      <c r="M9" s="60">
        <f>'Report Data'!R92</f>
        <v>193040626.99999997</v>
      </c>
      <c r="N9" s="60">
        <f>SUMIF('Report Data'!$A:$A,PL!$A9,'Report Data'!T:T)</f>
        <v>216893887.00000003</v>
      </c>
      <c r="O9" s="60">
        <f>SUMIF('Report Data'!$A:$A,PL!$A9,'Report Data'!V:V)</f>
        <v>231550242</v>
      </c>
      <c r="Q9" s="12"/>
      <c r="R9" s="71">
        <f>IF(M9&gt;0,((N9/M9)-1),IF(AND(M9=0,N9&gt;0),100%,IF(AND(M9=0,N9&lt;0),-100%,IF(AND(M9=0,N9=0),0%,((N9/(M9))-1)*-1))))</f>
        <v>0.12356600976021515</v>
      </c>
      <c r="S9" s="12">
        <f t="shared" ref="S9:S85" si="0">IF(M9&gt;0,((O9/M9)-1),IF(AND(M9=0,O9&gt;0),100%,IF(AND(M9=0,O9&lt;0),-100%,IF(AND(M9=0,O9=0),0%,((O9/(M9))-1)*-1))))</f>
        <v>0.19948969084108925</v>
      </c>
      <c r="T9" s="12">
        <f t="shared" ref="T9:T49" si="1">IF(N9&gt;0,((O9/N9)-1),IF(AND(N9=0,O9&gt;0),100%,IF(AND(N9=0,O9&lt;0),-100%,IF(AND(N9=0,O9=0),0%,((O9/(N9))-1)*-1))))</f>
        <v>6.7573850064294172E-2</v>
      </c>
    </row>
    <row r="10" spans="1:20" x14ac:dyDescent="0.2">
      <c r="A10" t="s">
        <v>35</v>
      </c>
      <c r="D10" s="1" t="s">
        <v>76</v>
      </c>
      <c r="E10" s="60">
        <f>SUMIF('Report Data'!$A:$A,PL!$A10,'Report Data'!B:B)</f>
        <v>17232067.999999996</v>
      </c>
      <c r="F10" s="60">
        <f>SUMIF('Report Data'!$A:$A,PL!$A10,'Report Data'!D:D)</f>
        <v>16211490</v>
      </c>
      <c r="G10" s="60">
        <f>SUMIF('Report Data'!$A:$A,PL!$A10,'Report Data'!F:F)</f>
        <v>17949118.999999996</v>
      </c>
      <c r="H10" s="60">
        <f>SUMIF('Report Data'!$A:$A,PL!$A10,'Report Data'!H:H)</f>
        <v>0</v>
      </c>
      <c r="I10" s="60">
        <f>SUMIF('Report Data'!$A:$A,PL!$A10,'Report Data'!J:J)</f>
        <v>24318448</v>
      </c>
      <c r="J10" s="60">
        <f>SUMIF('Report Data'!$A:$A,PL!$A10,'Report Data'!L:L)</f>
        <v>0</v>
      </c>
      <c r="K10" s="60">
        <f>SUMIF('Report Data'!$A:$A,PL!$A10,'Report Data'!N:N)</f>
        <v>27780254.990000006</v>
      </c>
      <c r="L10" s="60">
        <f>SUMIF('Report Data'!$A:$A,PL!$A10,'Report Data'!P:P)</f>
        <v>0</v>
      </c>
      <c r="M10" s="60">
        <f>'Report Data'!R93</f>
        <v>28986500.000000004</v>
      </c>
      <c r="N10" s="60">
        <f>SUMIF('Report Data'!$A:$A,PL!$A10,'Report Data'!T:T)</f>
        <v>0</v>
      </c>
      <c r="O10" s="60">
        <f>SUMIF('Report Data'!$A:$A,PL!$A10,'Report Data'!V:V)</f>
        <v>0</v>
      </c>
      <c r="Q10" s="12"/>
      <c r="R10" s="71">
        <f>IF(M10&gt;0,((N10/M10)-1),IF(AND(M10=0,N10&gt;0),100%,IF(AND(M10=0,N10&lt;0),-100%,IF(AND(M10=0,N10=0),0%,((N10/(M10))-1)*-1))))</f>
        <v>-1</v>
      </c>
      <c r="S10" s="12">
        <f t="shared" si="0"/>
        <v>-1</v>
      </c>
      <c r="T10" s="12">
        <f t="shared" si="1"/>
        <v>0</v>
      </c>
    </row>
    <row r="11" spans="1:20" x14ac:dyDescent="0.2">
      <c r="A11" t="s">
        <v>31</v>
      </c>
      <c r="D11" s="1" t="s">
        <v>77</v>
      </c>
      <c r="E11" s="60">
        <f>SUMIF('Report Data'!$A:$A,PL!$A11,'Report Data'!B:B)</f>
        <v>0</v>
      </c>
      <c r="F11" s="60">
        <f>SUMIF('Report Data'!$A:$A,PL!$A11,'Report Data'!D:D)</f>
        <v>0</v>
      </c>
      <c r="G11" s="60">
        <f>SUMIF('Report Data'!$A:$A,PL!$A11,'Report Data'!F:F)</f>
        <v>0</v>
      </c>
      <c r="H11" s="60">
        <f>SUMIF('Report Data'!$A:$A,PL!$A11,'Report Data'!H:H)</f>
        <v>0</v>
      </c>
      <c r="I11" s="60">
        <f>SUMIF('Report Data'!$A:$A,PL!$A11,'Report Data'!J:J)</f>
        <v>0</v>
      </c>
      <c r="J11" s="60">
        <f>SUMIF('Report Data'!$A:$A,PL!$A11,'Report Data'!L:L)</f>
        <v>0</v>
      </c>
      <c r="K11" s="60">
        <f>SUMIF('Report Data'!$A:$A,PL!$A11,'Report Data'!N:N)</f>
        <v>0</v>
      </c>
      <c r="L11" s="60">
        <f>SUMIF('Report Data'!$A:$A,PL!$A11,'Report Data'!P:P)</f>
        <v>0</v>
      </c>
      <c r="M11" s="60">
        <f>'Report Data'!R94+'Report Data'!R95</f>
        <v>0</v>
      </c>
      <c r="N11" s="60">
        <f>SUMIF('Report Data'!$A:$A,PL!$A11,'Report Data'!T:T)</f>
        <v>0</v>
      </c>
      <c r="O11" s="60">
        <f>SUMIF('Report Data'!$A:$A,PL!$A11,'Report Data'!V:V)</f>
        <v>0</v>
      </c>
      <c r="Q11" s="12"/>
      <c r="R11" s="71">
        <f>IF(M11&gt;0,((N11/M11)-1),IF(AND(M11=0,N11&gt;0),100%,IF(AND(M11=0,N11&lt;0),-100%,IF(AND(M11=0,N11=0),0%,((N11/(M11))-1)*-1))))</f>
        <v>0</v>
      </c>
      <c r="S11" s="12">
        <f t="shared" si="0"/>
        <v>0</v>
      </c>
      <c r="T11" s="12">
        <f t="shared" si="1"/>
        <v>0</v>
      </c>
    </row>
    <row r="12" spans="1:20" x14ac:dyDescent="0.2">
      <c r="A12" t="s">
        <v>32</v>
      </c>
      <c r="D12" s="1" t="s">
        <v>78</v>
      </c>
      <c r="E12" s="60">
        <f>SUMIF('Report Data'!$A:$A,PL!$A12,'Report Data'!B:B)</f>
        <v>0</v>
      </c>
      <c r="F12" s="60">
        <f>SUMIF('Report Data'!$A:$A,PL!$A12,'Report Data'!D:D)</f>
        <v>0</v>
      </c>
      <c r="G12" s="60">
        <f>SUMIF('Report Data'!$A:$A,PL!$A12,'Report Data'!F:F)</f>
        <v>0</v>
      </c>
      <c r="H12" s="60">
        <f>SUMIF('Report Data'!$A:$A,PL!$A12,'Report Data'!H:H)</f>
        <v>0</v>
      </c>
      <c r="I12" s="60">
        <f>SUMIF('Report Data'!$A:$A,PL!$A12,'Report Data'!J:J)</f>
        <v>0</v>
      </c>
      <c r="J12" s="60">
        <f>SUMIF('Report Data'!$A:$A,PL!$A12,'Report Data'!L:L)</f>
        <v>0</v>
      </c>
      <c r="K12" s="60">
        <f>SUMIF('Report Data'!$A:$A,PL!$A12,'Report Data'!N:N)</f>
        <v>0</v>
      </c>
      <c r="L12" s="60">
        <f>SUMIF('Report Data'!$A:$A,PL!$A12,'Report Data'!P:P)</f>
        <v>0</v>
      </c>
      <c r="M12" s="60">
        <f>'Report Data'!R96</f>
        <v>0</v>
      </c>
      <c r="N12" s="60">
        <f>SUMIF('Report Data'!$A:$A,PL!$A12,'Report Data'!T:T)</f>
        <v>0</v>
      </c>
      <c r="O12" s="60">
        <f>SUMIF('Report Data'!$A:$A,PL!$A12,'Report Data'!V:V)</f>
        <v>0</v>
      </c>
      <c r="Q12" s="12"/>
      <c r="R12" s="71">
        <f>IF(M12&gt;0,((N12/M12)-1),IF(AND(M12=0,N12&gt;0),100%,IF(AND(M12=0,N12&lt;0),-100%,IF(AND(M12=0,N12=0),0%,((N12/(M12))-1)*-1))))</f>
        <v>0</v>
      </c>
      <c r="S12" s="12">
        <f t="shared" si="0"/>
        <v>0</v>
      </c>
      <c r="T12" s="12">
        <f t="shared" si="1"/>
        <v>0</v>
      </c>
    </row>
    <row r="13" spans="1:20" x14ac:dyDescent="0.2"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Q13" s="12"/>
      <c r="R13" s="86"/>
      <c r="S13" s="16"/>
      <c r="T13" s="16"/>
    </row>
    <row r="14" spans="1:20" x14ac:dyDescent="0.2">
      <c r="A14" s="6" t="s">
        <v>4</v>
      </c>
      <c r="B14" s="6"/>
      <c r="C14" s="6"/>
      <c r="D14" s="6" t="s">
        <v>16</v>
      </c>
      <c r="E14" s="61">
        <f t="shared" ref="E14:O14" si="2">SUM(E8:E13)</f>
        <v>188074028</v>
      </c>
      <c r="F14" s="61">
        <f t="shared" si="2"/>
        <v>172517296.02000001</v>
      </c>
      <c r="G14" s="61">
        <f t="shared" si="2"/>
        <v>195374450.99999994</v>
      </c>
      <c r="H14" s="61">
        <f t="shared" si="2"/>
        <v>197875612</v>
      </c>
      <c r="I14" s="61">
        <f t="shared" si="2"/>
        <v>211533512.00000003</v>
      </c>
      <c r="J14" s="61">
        <f t="shared" si="2"/>
        <v>215214525</v>
      </c>
      <c r="K14" s="61">
        <f t="shared" si="2"/>
        <v>241900508.72000003</v>
      </c>
      <c r="L14" s="61">
        <f t="shared" si="2"/>
        <v>272772921.56999993</v>
      </c>
      <c r="M14" s="61">
        <f t="shared" si="2"/>
        <v>280449990</v>
      </c>
      <c r="N14" s="61">
        <f t="shared" si="2"/>
        <v>283490867.00000006</v>
      </c>
      <c r="O14" s="61">
        <f t="shared" si="2"/>
        <v>302483299</v>
      </c>
      <c r="P14" s="5"/>
      <c r="Q14" s="15"/>
      <c r="R14" s="71">
        <f>IF(M14&gt;0,((N14/M14)-1),IF(AND(M14=0,N14&gt;0),100%,IF(AND(M14=0,N14&lt;0),-100%,IF(AND(M14=0,N14=0),0%,((N14/(M14))-1)*-1))))</f>
        <v>1.084284937931379E-2</v>
      </c>
      <c r="S14" s="12">
        <f t="shared" si="0"/>
        <v>7.8564128313928672E-2</v>
      </c>
      <c r="T14" s="12">
        <f t="shared" si="1"/>
        <v>6.6994863718131459E-2</v>
      </c>
    </row>
    <row r="15" spans="1:20" x14ac:dyDescent="0.2"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Q15" s="12"/>
      <c r="R15" s="71"/>
      <c r="S15" s="12"/>
      <c r="T15" s="12"/>
    </row>
    <row r="16" spans="1:20" x14ac:dyDescent="0.2">
      <c r="A16" t="s">
        <v>38</v>
      </c>
      <c r="D16" s="1" t="s">
        <v>79</v>
      </c>
      <c r="E16" s="60">
        <f>SUMIF('Report Data'!$A:$A,PL!$A16,'Report Data'!B:B)</f>
        <v>530861.00000000012</v>
      </c>
      <c r="F16" s="60">
        <f>SUMIF('Report Data'!$A:$A,PL!$A16,'Report Data'!D:D)</f>
        <v>532029.99999999988</v>
      </c>
      <c r="G16" s="60">
        <f>SUMIF('Report Data'!$A:$A,PL!$A16,'Report Data'!F:F)</f>
        <v>530861.00000000012</v>
      </c>
      <c r="H16" s="60">
        <f>SUMIF('Report Data'!$A:$A,PL!$A16,'Report Data'!H:H)</f>
        <v>631732</v>
      </c>
      <c r="I16" s="60">
        <f>SUMIF('Report Data'!$A:$A,PL!$A16,'Report Data'!J:J)</f>
        <v>530861.00000000012</v>
      </c>
      <c r="J16" s="60">
        <f>SUMIF('Report Data'!$A:$A,PL!$A16,'Report Data'!L:L)</f>
        <v>1008434.8999999999</v>
      </c>
      <c r="K16" s="60">
        <f>SUMIF('Report Data'!$A:$A,PL!$A16,'Report Data'!N:N)</f>
        <v>617549</v>
      </c>
      <c r="L16" s="60">
        <f>SUMIF('Report Data'!$A:$A,PL!$A16,'Report Data'!P:P)</f>
        <v>583188.12</v>
      </c>
      <c r="M16" s="60">
        <f>SUMIF('Report Data'!$A:$A,PL!$A16,'Report Data'!R:R)</f>
        <v>619780</v>
      </c>
      <c r="N16" s="60">
        <f>SUMIF('Report Data'!$A:$A,PL!$A16,'Report Data'!T:T)</f>
        <v>619780</v>
      </c>
      <c r="O16" s="60">
        <f>SUMIF('Report Data'!$A:$A,PL!$A16,'Report Data'!V:V)</f>
        <v>656440</v>
      </c>
      <c r="Q16" s="12"/>
      <c r="R16" s="71">
        <f>IF(M16&gt;0,((N16/M16)-1),IF(AND(M16=0,N16&gt;0),100%,IF(AND(M16=0,N16&lt;0),-100%,IF(AND(M16=0,N16=0),0%,((N16/(M16))-1)*-1))))</f>
        <v>0</v>
      </c>
      <c r="S16" s="12">
        <f t="shared" si="0"/>
        <v>5.9150020975184736E-2</v>
      </c>
      <c r="T16" s="12">
        <f t="shared" si="1"/>
        <v>5.9150020975184736E-2</v>
      </c>
    </row>
    <row r="17" spans="1:21" x14ac:dyDescent="0.2">
      <c r="A17" t="s">
        <v>103</v>
      </c>
      <c r="D17" s="1" t="s">
        <v>104</v>
      </c>
      <c r="E17" s="60">
        <f>SUMIF('Report Data'!$A:$A,PL!$A17,'Report Data'!B:B)</f>
        <v>0</v>
      </c>
      <c r="F17" s="60">
        <f>SUMIF('Report Data'!$A:$A,PL!$A17,'Report Data'!D:D)</f>
        <v>0</v>
      </c>
      <c r="G17" s="60">
        <f>SUMIF('Report Data'!$A:$A,PL!$A17,'Report Data'!F:F)</f>
        <v>0</v>
      </c>
      <c r="H17" s="60">
        <f>SUMIF('Report Data'!$A:$A,PL!$A17,'Report Data'!H:H)</f>
        <v>0</v>
      </c>
      <c r="I17" s="60">
        <f>SUMIF('Report Data'!$A:$A,PL!$A17,'Report Data'!J:J)</f>
        <v>0</v>
      </c>
      <c r="J17" s="60">
        <f>SUMIF('Report Data'!$A:$A,PL!$A17,'Report Data'!L:L)</f>
        <v>0</v>
      </c>
      <c r="K17" s="60">
        <f>SUMIF('Report Data'!$A:$A,PL!$A17,'Report Data'!N:N)</f>
        <v>0</v>
      </c>
      <c r="L17" s="60">
        <f>SUMIF('Report Data'!$A:$A,PL!$A17,'Report Data'!P:P)</f>
        <v>0</v>
      </c>
      <c r="M17" s="60">
        <f>SUMIF('Report Data'!$A:$A,PL!$A17,'Report Data'!R:R)</f>
        <v>0</v>
      </c>
      <c r="N17" s="60">
        <f>SUMIF('Report Data'!$A:$A,PL!$A17,'Report Data'!T:T)</f>
        <v>0</v>
      </c>
      <c r="O17" s="60">
        <f>SUMIF('Report Data'!$A:$A,PL!$A17,'Report Data'!V:V)</f>
        <v>0</v>
      </c>
      <c r="Q17" s="12"/>
      <c r="R17" s="71">
        <f>IF(M17&gt;0,((N17/M17)-1),IF(AND(M17=0,N17&gt;0),100%,IF(AND(M17=0,N17&lt;0),-100%,IF(AND(M17=0,N17=0),0%,((N17/(M17))-1)*-1))))</f>
        <v>0</v>
      </c>
      <c r="S17" s="12">
        <f t="shared" si="0"/>
        <v>0</v>
      </c>
      <c r="T17" s="12">
        <f t="shared" si="1"/>
        <v>0</v>
      </c>
    </row>
    <row r="18" spans="1:21" x14ac:dyDescent="0.2">
      <c r="A18" t="s">
        <v>40</v>
      </c>
      <c r="D18" s="1" t="s">
        <v>80</v>
      </c>
      <c r="E18" s="60">
        <f>SUMIF('Report Data'!$A:$A,PL!$A18,'Report Data'!B:B)</f>
        <v>-3535830</v>
      </c>
      <c r="F18" s="60">
        <f>SUMIF('Report Data'!$A:$A,PL!$A18,'Report Data'!D:D)</f>
        <v>-2185136.0000000005</v>
      </c>
      <c r="G18" s="60">
        <f>SUMIF('Report Data'!$A:$A,PL!$A18,'Report Data'!F:F)</f>
        <v>-3388273.9999999995</v>
      </c>
      <c r="H18" s="60">
        <f>SUMIF('Report Data'!$A:$A,PL!$A18,'Report Data'!H:H)</f>
        <v>-2829398.68</v>
      </c>
      <c r="I18" s="60">
        <f>SUMIF('Report Data'!$A:$A,PL!$A18,'Report Data'!J:J)</f>
        <v>-3635638.0000000005</v>
      </c>
      <c r="J18" s="60">
        <f>SUMIF('Report Data'!$A:$A,PL!$A18,'Report Data'!L:L)</f>
        <v>-4824020.41</v>
      </c>
      <c r="K18" s="60">
        <f>SUMIF('Report Data'!$A:$A,PL!$A18,'Report Data'!N:N)</f>
        <v>-3850000.0000000005</v>
      </c>
      <c r="L18" s="60">
        <f>SUMIF('Report Data'!$A:$A,PL!$A18,'Report Data'!P:P)</f>
        <v>-5325453.3900000006</v>
      </c>
      <c r="M18" s="60">
        <f>SUMIF('Report Data'!$A:$A,PL!$A18,'Report Data'!R:R)</f>
        <v>-4589776</v>
      </c>
      <c r="N18" s="60">
        <f>SUMIF('Report Data'!$A:$A,PL!$A18,'Report Data'!T:T)</f>
        <v>-4589776</v>
      </c>
      <c r="O18" s="60">
        <f>SUMIF('Report Data'!$A:$A,PL!$A18,'Report Data'!V:V)</f>
        <v>-4399999.9999999991</v>
      </c>
      <c r="Q18" s="12"/>
      <c r="R18" s="71">
        <f>IF(M18&gt;0,((N18/M18)-1),IF(AND(M18=0,N18&gt;0),100%,IF(AND(M18=0,N18&lt;0),-100%,IF(AND(M18=0,N18=0),0%,((N18/(M18))-1)*-1))))</f>
        <v>0</v>
      </c>
      <c r="S18" s="12">
        <f t="shared" si="0"/>
        <v>4.1347551601647048E-2</v>
      </c>
      <c r="T18" s="12">
        <f t="shared" si="1"/>
        <v>4.1347551601647048E-2</v>
      </c>
    </row>
    <row r="19" spans="1:21" x14ac:dyDescent="0.2">
      <c r="A19" t="s">
        <v>41</v>
      </c>
      <c r="D19" s="1" t="s">
        <v>81</v>
      </c>
      <c r="E19" s="60">
        <f>SUMIF('Report Data'!$A:$A,PL!$A19,'Report Data'!B:B)</f>
        <v>-2883927</v>
      </c>
      <c r="F19" s="60">
        <f>SUMIF('Report Data'!$A:$A,PL!$A19,'Report Data'!D:D)</f>
        <v>-2545756</v>
      </c>
      <c r="G19" s="60">
        <f>SUMIF('Report Data'!$A:$A,PL!$A19,'Report Data'!F:F)</f>
        <v>-2930617.0000000005</v>
      </c>
      <c r="H19" s="60">
        <f>SUMIF('Report Data'!$A:$A,PL!$A19,'Report Data'!H:H)</f>
        <v>-778227.77</v>
      </c>
      <c r="I19" s="60">
        <f>SUMIF('Report Data'!$A:$A,PL!$A19,'Report Data'!J:J)</f>
        <v>-2821753</v>
      </c>
      <c r="J19" s="60">
        <f>SUMIF('Report Data'!$A:$A,PL!$A19,'Report Data'!L:L)</f>
        <v>-943341.33000000007</v>
      </c>
      <c r="K19" s="60">
        <f>SUMIF('Report Data'!$A:$A,PL!$A19,'Report Data'!N:N)</f>
        <v>-2724062</v>
      </c>
      <c r="L19" s="60">
        <f>SUMIF('Report Data'!$A:$A,PL!$A19,'Report Data'!P:P)</f>
        <v>-834388.67</v>
      </c>
      <c r="M19" s="60">
        <f>SUMIF('Report Data'!$A:$A,PL!$A19,'Report Data'!R:R)</f>
        <v>-2702417</v>
      </c>
      <c r="N19" s="60">
        <f>SUMIF('Report Data'!$A:$A,PL!$A19,'Report Data'!T:T)</f>
        <v>-2702417</v>
      </c>
      <c r="O19" s="60">
        <f>SUMIF('Report Data'!$A:$A,PL!$A19,'Report Data'!V:V)</f>
        <v>-2449633</v>
      </c>
      <c r="Q19" s="12"/>
      <c r="R19" s="71">
        <f>IF(M19&gt;0,((N19/M19)-1),IF(AND(M19=0,N19&gt;0),100%,IF(AND(M19=0,N19&lt;0),-100%,IF(AND(M19=0,N19=0),0%,((N19/(M19))-1)*-1))))</f>
        <v>0</v>
      </c>
      <c r="S19" s="12">
        <f t="shared" si="0"/>
        <v>9.3539968110028959E-2</v>
      </c>
      <c r="T19" s="12">
        <f t="shared" si="1"/>
        <v>9.3539968110028959E-2</v>
      </c>
    </row>
    <row r="20" spans="1:21" x14ac:dyDescent="0.2">
      <c r="A20" t="s">
        <v>43</v>
      </c>
      <c r="D20" s="1" t="s">
        <v>82</v>
      </c>
      <c r="E20" s="60">
        <f>SUMIF('Report Data'!$A:$A,PL!$A20,'Report Data'!B:B)</f>
        <v>-105041779.00000006</v>
      </c>
      <c r="F20" s="60">
        <f>SUMIF('Report Data'!$A:$A,PL!$A20,'Report Data'!D:D)</f>
        <v>-107163710.00000001</v>
      </c>
      <c r="G20" s="60">
        <f>SUMIF('Report Data'!$A:$A,PL!$A20,'Report Data'!F:F)</f>
        <v>-110623821</v>
      </c>
      <c r="H20" s="60">
        <f>SUMIF('Report Data'!$A:$A,PL!$A20,'Report Data'!H:H)</f>
        <v>-120464386</v>
      </c>
      <c r="I20" s="60">
        <f>SUMIF('Report Data'!$A:$A,PL!$A20,'Report Data'!J:J)</f>
        <v>-126411652.99999994</v>
      </c>
      <c r="J20" s="60">
        <f>SUMIF('Report Data'!$A:$A,PL!$A20,'Report Data'!L:L)</f>
        <v>-131513315.00000001</v>
      </c>
      <c r="K20" s="60">
        <f>SUMIF('Report Data'!$A:$A,PL!$A20,'Report Data'!N:N)</f>
        <v>-154896399</v>
      </c>
      <c r="L20" s="60">
        <f>SUMIF('Report Data'!$A:$A,PL!$A20,'Report Data'!P:P)</f>
        <v>-175114471.00000003</v>
      </c>
      <c r="M20" s="60">
        <f>SUMIF('Report Data'!$A:$A,PL!$A20,'Report Data'!R:R)</f>
        <v>-176713457</v>
      </c>
      <c r="N20" s="60">
        <f>SUMIF('Report Data'!$A:$A,PL!$A20,'Report Data'!T:T)</f>
        <v>-176713457</v>
      </c>
      <c r="O20" s="60">
        <f>SUMIF('Report Data'!$A:$A,PL!$A20,'Report Data'!V:V)</f>
        <v>-197100913.00000003</v>
      </c>
      <c r="Q20" s="12"/>
      <c r="R20" s="71">
        <f>IF(M20&gt;0,((N20/M20)-1),IF(AND(M20=0,N20&gt;0),100%,IF(AND(M20=0,N20&lt;0),-100%,IF(AND(M20=0,N20=0),0%,((N20/(M20))-1)*-1))))</f>
        <v>0</v>
      </c>
      <c r="S20" s="12">
        <f t="shared" si="0"/>
        <v>-0.11537013844961463</v>
      </c>
      <c r="T20" s="12">
        <f t="shared" si="1"/>
        <v>-0.11537013844961463</v>
      </c>
    </row>
    <row r="21" spans="1:21" x14ac:dyDescent="0.2"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Q21" s="12"/>
      <c r="R21" s="71"/>
      <c r="S21" s="12"/>
      <c r="T21" s="12"/>
    </row>
    <row r="22" spans="1:21" x14ac:dyDescent="0.2">
      <c r="A22" s="6"/>
      <c r="B22" s="6"/>
      <c r="C22" s="6"/>
      <c r="D22" s="6" t="s">
        <v>18</v>
      </c>
      <c r="E22" s="61">
        <f t="shared" ref="E22:O22" si="3">SUM(E14:E21)</f>
        <v>77143352.99999994</v>
      </c>
      <c r="F22" s="61">
        <f t="shared" si="3"/>
        <v>61154724.019999996</v>
      </c>
      <c r="G22" s="61">
        <f t="shared" si="3"/>
        <v>78962599.99999994</v>
      </c>
      <c r="H22" s="61">
        <f t="shared" si="3"/>
        <v>74435331.549999982</v>
      </c>
      <c r="I22" s="61">
        <f t="shared" si="3"/>
        <v>79195329.000000089</v>
      </c>
      <c r="J22" s="61">
        <f t="shared" si="3"/>
        <v>78942283.159999982</v>
      </c>
      <c r="K22" s="61">
        <f t="shared" si="3"/>
        <v>81047596.720000029</v>
      </c>
      <c r="L22" s="61">
        <f t="shared" si="3"/>
        <v>92081796.629999936</v>
      </c>
      <c r="M22" s="61">
        <f t="shared" si="3"/>
        <v>97064120</v>
      </c>
      <c r="N22" s="61">
        <f t="shared" si="3"/>
        <v>100104997.00000006</v>
      </c>
      <c r="O22" s="61">
        <f t="shared" si="3"/>
        <v>99189192.99999997</v>
      </c>
      <c r="P22" s="5"/>
      <c r="Q22" s="15"/>
      <c r="R22" s="75">
        <f>IF(M22&gt;0,((N22/M22)-1),IF(AND(M22=0,N22&gt;0),100%,IF(AND(M22=0,N22&lt;0),-100%,IF(AND(M22=0,N22=0),0%,((N22/(M22))-1)*-1))))</f>
        <v>3.1328538289947527E-2</v>
      </c>
      <c r="S22" s="15">
        <f t="shared" si="0"/>
        <v>2.1893496793665479E-2</v>
      </c>
      <c r="T22" s="15">
        <f t="shared" si="1"/>
        <v>-9.1484344183146993E-3</v>
      </c>
    </row>
    <row r="23" spans="1:21" x14ac:dyDescent="0.2"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1"/>
      <c r="Q23" s="13"/>
      <c r="R23" s="87"/>
      <c r="S23" s="13"/>
      <c r="T23" s="13"/>
    </row>
    <row r="24" spans="1:21" x14ac:dyDescent="0.2">
      <c r="A24" t="s">
        <v>168</v>
      </c>
      <c r="D24" s="23" t="s">
        <v>171</v>
      </c>
      <c r="E24" s="60">
        <f>SUMIF('Report Data'!$A:$A,PL!$A24,'Report Data'!B:B)</f>
        <v>0</v>
      </c>
      <c r="F24" s="60">
        <f>SUMIF('Report Data'!$A:$A,PL!$A24,'Report Data'!D:D)</f>
        <v>15439129.999999994</v>
      </c>
      <c r="G24" s="60">
        <f>SUMIF('Report Data'!$A:$A,PL!$A24,'Report Data'!F:F)</f>
        <v>0</v>
      </c>
      <c r="H24" s="60">
        <f>SUMIF('Report Data'!$A:$A,PL!$A24,'Report Data'!H:H)</f>
        <v>14053782</v>
      </c>
      <c r="I24" s="60">
        <f>SUMIF('Report Data'!$A:$A,PL!$A24,'Report Data'!J:J)</f>
        <v>0</v>
      </c>
      <c r="J24" s="60">
        <f>SUMIF('Report Data'!$A:$A,PL!$A24,'Report Data'!L:L)</f>
        <v>13787328</v>
      </c>
      <c r="K24" s="60">
        <f>SUMIF('Report Data'!$A:$A,PL!$A24,'Report Data'!N:N)</f>
        <v>13864483.999999994</v>
      </c>
      <c r="L24" s="60">
        <f>SUMIF('Report Data'!$A:$A,PL!$A24,'Report Data'!P:P)</f>
        <v>14103473.489999998</v>
      </c>
      <c r="M24" s="60">
        <f>SUMIF('Report Data'!$A:$A,PL!$A24,'Report Data'!R:R)</f>
        <v>14100061.999999998</v>
      </c>
      <c r="N24" s="60">
        <f>SUMIF('Report Data'!$A:$A,PL!$A24,'Report Data'!T:T)</f>
        <v>14100061.999999998</v>
      </c>
      <c r="O24" s="60">
        <f>SUMIF('Report Data'!$A:$A,PL!$A24,'Report Data'!V:V)</f>
        <v>14768761.179999998</v>
      </c>
      <c r="Q24" s="12"/>
      <c r="R24" s="71">
        <f>IF(M24&gt;0,((N24/M24)-1),IF(AND(M24=0,N24&gt;0),100%,IF(AND(M24=0,N24&lt;0),-100%,IF(AND(M24=0,N24=0),0%,((N24/(M24))-1)*-1))))</f>
        <v>0</v>
      </c>
      <c r="S24" s="12">
        <f t="shared" si="0"/>
        <v>4.7425265222238E-2</v>
      </c>
      <c r="T24" s="12">
        <f t="shared" si="1"/>
        <v>4.7425265222238E-2</v>
      </c>
    </row>
    <row r="25" spans="1:21" x14ac:dyDescent="0.2">
      <c r="A25" t="s">
        <v>215</v>
      </c>
      <c r="D25" s="23" t="s">
        <v>175</v>
      </c>
      <c r="E25" s="60">
        <f>SUMIF('Report Data'!$A:$A,PL!$A25,'Report Data'!B:B)</f>
        <v>0</v>
      </c>
      <c r="F25" s="60">
        <f>SUMIF('Report Data'!$A:$A,PL!$A25,'Report Data'!D:D)</f>
        <v>0</v>
      </c>
      <c r="G25" s="60">
        <f>SUMIF('Report Data'!$A:$A,PL!$A25,'Report Data'!F:F)</f>
        <v>0</v>
      </c>
      <c r="H25" s="60">
        <f>SUMIF('Report Data'!$A:$A,PL!$A25,'Report Data'!H:H)</f>
        <v>0</v>
      </c>
      <c r="I25" s="60">
        <f>SUMIF('Report Data'!$A:$A,PL!$A25,'Report Data'!J:J)</f>
        <v>0</v>
      </c>
      <c r="J25" s="60">
        <f>SUMIF('Report Data'!$A:$A,PL!$A25,'Report Data'!L:L)</f>
        <v>0</v>
      </c>
      <c r="K25" s="60">
        <f>SUMIF('Report Data'!$A:$A,PL!$A25,'Report Data'!N:N)</f>
        <v>0</v>
      </c>
      <c r="L25" s="60">
        <f>SUMIF('Report Data'!$A:$A,PL!$A25,'Report Data'!P:P)</f>
        <v>0</v>
      </c>
      <c r="M25" s="60">
        <f>SUMIF('Report Data'!$A:$A,PL!$A25,'Report Data'!R:R)</f>
        <v>0</v>
      </c>
      <c r="N25" s="60">
        <f>SUMIF('Report Data'!$A:$A,PL!$A25,'Report Data'!T:T)</f>
        <v>0</v>
      </c>
      <c r="O25" s="60">
        <f>SUMIF('Report Data'!$A:$A,PL!$A25,'Report Data'!V:V)</f>
        <v>0</v>
      </c>
      <c r="Q25" s="12"/>
      <c r="R25" s="71">
        <f>IF(M25&gt;0,((N25/M25)-1),IF(AND(M25=0,N25&gt;0),100%,IF(AND(M25=0,N25&lt;0),-100%,IF(AND(M25=0,N25=0),0%,((N25/(M25))-1)*-1))))</f>
        <v>0</v>
      </c>
      <c r="S25" s="12">
        <f t="shared" si="0"/>
        <v>0</v>
      </c>
      <c r="T25" s="12">
        <f>IF(N25&gt;0,((O25/N25)-1),IF(AND(N25=0,O25&gt;0),100%,IF(AND(N25=0,O25&lt;0),-100%,IF(AND(N25=0,O25=0),0%,((O25/(N25))-1)*-1))))</f>
        <v>0</v>
      </c>
    </row>
    <row r="26" spans="1:21" x14ac:dyDescent="0.2">
      <c r="A26" t="s">
        <v>214</v>
      </c>
      <c r="D26" s="23" t="s">
        <v>172</v>
      </c>
      <c r="E26" s="60">
        <f>SUMIF('Report Data'!$A:$A,PL!$A26,'Report Data'!B:B)</f>
        <v>0</v>
      </c>
      <c r="F26" s="60">
        <f>SUMIF('Report Data'!$A:$A,PL!$A26,'Report Data'!D:D)</f>
        <v>0</v>
      </c>
      <c r="G26" s="60">
        <f>SUMIF('Report Data'!$A:$A,PL!$A26,'Report Data'!F:F)</f>
        <v>0</v>
      </c>
      <c r="H26" s="60">
        <f>SUMIF('Report Data'!$A:$A,PL!$A26,'Report Data'!H:H)</f>
        <v>0</v>
      </c>
      <c r="I26" s="60">
        <f>SUMIF('Report Data'!$A:$A,PL!$A26,'Report Data'!J:J)</f>
        <v>0</v>
      </c>
      <c r="J26" s="60">
        <f>SUMIF('Report Data'!$A:$A,PL!$A26,'Report Data'!L:L)</f>
        <v>0</v>
      </c>
      <c r="K26" s="60">
        <f>SUMIF('Report Data'!$A:$A,PL!$A26,'Report Data'!N:N)</f>
        <v>0</v>
      </c>
      <c r="L26" s="60">
        <f>SUMIF('Report Data'!$A:$A,PL!$A26,'Report Data'!P:P)</f>
        <v>0</v>
      </c>
      <c r="M26" s="60">
        <f>SUMIF('Report Data'!$A:$A,PL!$A26,'Report Data'!R:R)</f>
        <v>0</v>
      </c>
      <c r="N26" s="60">
        <f>SUMIF('Report Data'!$A:$A,PL!$A26,'Report Data'!T:T)</f>
        <v>0</v>
      </c>
      <c r="O26" s="60">
        <f>SUMIF('Report Data'!$A:$A,PL!$A26,'Report Data'!V:V)</f>
        <v>0</v>
      </c>
      <c r="Q26" s="12"/>
      <c r="R26" s="71">
        <f>IF(M26&gt;0,((N26/M26)-1),IF(AND(M26=0,N26&gt;0),100%,IF(AND(M26=0,N26&lt;0),-100%,IF(AND(M26=0,N26=0),0%,((N26/(M26))-1)*-1))))</f>
        <v>0</v>
      </c>
      <c r="S26" s="12">
        <f t="shared" si="0"/>
        <v>0</v>
      </c>
      <c r="T26" s="12">
        <f t="shared" si="1"/>
        <v>0</v>
      </c>
    </row>
    <row r="27" spans="1:21" x14ac:dyDescent="0.2"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Q27" s="12"/>
      <c r="R27" s="71"/>
      <c r="S27" s="12"/>
      <c r="T27" s="12"/>
    </row>
    <row r="28" spans="1:21" x14ac:dyDescent="0.2">
      <c r="A28" s="6" t="s">
        <v>170</v>
      </c>
      <c r="B28" s="6"/>
      <c r="C28" s="6"/>
      <c r="D28" s="6" t="s">
        <v>202</v>
      </c>
      <c r="E28" s="61">
        <f>SUMIF('Report Data'!$A:$A,PL!$A28,'Report Data'!B:B)</f>
        <v>0</v>
      </c>
      <c r="F28" s="61">
        <f>SUMIF('Report Data'!$A:$A,PL!$A28,'Report Data'!D:D)</f>
        <v>15439129.999999994</v>
      </c>
      <c r="G28" s="61">
        <f>SUMIF('Report Data'!$A:$A,PL!$A28,'Report Data'!F:F)</f>
        <v>0</v>
      </c>
      <c r="H28" s="61">
        <f>SUMIF('Report Data'!$A:$A,PL!$A28,'Report Data'!H:H)</f>
        <v>14053782</v>
      </c>
      <c r="I28" s="61">
        <f>SUMIF('Report Data'!$A:$A,PL!$A28,'Report Data'!J:J)</f>
        <v>0</v>
      </c>
      <c r="J28" s="61">
        <f>SUMIF('Report Data'!$A:$A,PL!$A28,'Report Data'!L:L)</f>
        <v>13787328</v>
      </c>
      <c r="K28" s="61">
        <f>SUMIF('Report Data'!$A:$A,PL!$A28,'Report Data'!N:N)</f>
        <v>13864483.999999994</v>
      </c>
      <c r="L28" s="61">
        <f>SUMIF('Report Data'!$A:$A,PL!$A28,'Report Data'!P:P)</f>
        <v>14103473.489999998</v>
      </c>
      <c r="M28" s="61">
        <f>SUMIF('Report Data'!$A:$A,PL!$A28,'Report Data'!R:R)</f>
        <v>14100061.999999998</v>
      </c>
      <c r="N28" s="61">
        <f>SUMIF('Report Data'!$A:$A,PL!$A28,'Report Data'!T:T)</f>
        <v>14100061.999999998</v>
      </c>
      <c r="O28" s="61">
        <f>SUMIF('Report Data'!$A:$A,PL!$A28,'Report Data'!V:V)</f>
        <v>14768761.179999998</v>
      </c>
      <c r="P28" s="5"/>
      <c r="Q28" s="15"/>
      <c r="R28" s="75">
        <f>IF(M28&gt;0,((N28/M28)-1),IF(AND(M28=0,N28&gt;0),100%,IF(AND(M28=0,N28&lt;0),-100%,IF(AND(M28=0,N28=0),0%,((N28/(M28))-1)*-1))))</f>
        <v>0</v>
      </c>
      <c r="S28" s="15">
        <f t="shared" ref="S28" si="4">IF(M28&gt;0,((O28/M28)-1),IF(AND(M28=0,O28&gt;0),100%,IF(AND(M28=0,O28&lt;0),-100%,IF(AND(M28=0,O28=0),0%,((O28/(M28))-1)*-1))))</f>
        <v>4.7425265222238E-2</v>
      </c>
      <c r="T28" s="15">
        <f t="shared" ref="T28" si="5">IF(N28&gt;0,((O28/N28)-1),IF(AND(N28=0,O28&gt;0),100%,IF(AND(N28=0,O28&lt;0),-100%,IF(AND(N28=0,O28=0),0%,((O28/(N28))-1)*-1))))</f>
        <v>4.7425265222238E-2</v>
      </c>
    </row>
    <row r="29" spans="1:21" x14ac:dyDescent="0.2">
      <c r="A29" s="7"/>
      <c r="B29" s="7"/>
      <c r="C29" s="7"/>
      <c r="D29" s="7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8"/>
      <c r="Q29" s="16"/>
      <c r="R29" s="86"/>
      <c r="S29" s="16"/>
      <c r="T29" s="16"/>
    </row>
    <row r="30" spans="1:21" x14ac:dyDescent="0.2">
      <c r="D30" s="67" t="s">
        <v>176</v>
      </c>
      <c r="E30" s="70">
        <f t="shared" ref="E30:I30" si="6">+E28+E22</f>
        <v>77143352.99999994</v>
      </c>
      <c r="F30" s="70">
        <f t="shared" si="6"/>
        <v>76593854.019999996</v>
      </c>
      <c r="G30" s="70">
        <f t="shared" si="6"/>
        <v>78962599.99999994</v>
      </c>
      <c r="H30" s="70">
        <f t="shared" si="6"/>
        <v>88489113.549999982</v>
      </c>
      <c r="I30" s="70">
        <f t="shared" si="6"/>
        <v>79195329.000000089</v>
      </c>
      <c r="J30" s="70">
        <f>+J28+J22</f>
        <v>92729611.159999982</v>
      </c>
      <c r="K30" s="70">
        <f t="shared" ref="K30:O30" si="7">+K28+K22</f>
        <v>94912080.720000029</v>
      </c>
      <c r="L30" s="70">
        <f t="shared" si="7"/>
        <v>106185270.11999993</v>
      </c>
      <c r="M30" s="70">
        <f t="shared" si="7"/>
        <v>111164182</v>
      </c>
      <c r="N30" s="70">
        <f t="shared" si="7"/>
        <v>114205059.00000006</v>
      </c>
      <c r="O30" s="70">
        <f t="shared" si="7"/>
        <v>113957954.17999996</v>
      </c>
      <c r="P30" s="66">
        <f>SUM(P22:P29)</f>
        <v>0</v>
      </c>
      <c r="Q30" s="66">
        <f>SUM(Q22:Q29)</f>
        <v>0</v>
      </c>
      <c r="R30" s="71">
        <f>IF(M30&gt;0,((N30/M30)-1),IF(AND(M30=0,N30&gt;0),100%,IF(AND(M30=0,N30&lt;0),-100%,IF(AND(M30=0,N30=0),0%,((N30/(M30))-1)*-1))))</f>
        <v>2.735482729500105E-2</v>
      </c>
      <c r="S30" s="71">
        <f t="shared" si="0"/>
        <v>2.5131945647744347E-2</v>
      </c>
      <c r="T30" s="71">
        <f t="shared" si="1"/>
        <v>-2.1636941669991305E-3</v>
      </c>
      <c r="U30" s="13"/>
    </row>
    <row r="31" spans="1:21" x14ac:dyDescent="0.2"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Q31" s="12"/>
      <c r="R31" s="71"/>
      <c r="S31" s="12"/>
      <c r="T31" s="12"/>
    </row>
    <row r="32" spans="1:21" hidden="1" outlineLevel="1" x14ac:dyDescent="0.2">
      <c r="A32" t="s">
        <v>47</v>
      </c>
      <c r="D32" s="1" t="s">
        <v>83</v>
      </c>
      <c r="E32" s="60">
        <f>SUMIF('Report Data'!$A:$A,PL!$A32,'Report Data'!B:B)</f>
        <v>0</v>
      </c>
      <c r="F32" s="60">
        <f>SUMIF('Report Data'!$A:$A,PL!$A32,'Report Data'!D:D)</f>
        <v>0</v>
      </c>
      <c r="G32" s="60">
        <f>SUMIF('Report Data'!$A:$A,PL!$A32,'Report Data'!F:F)</f>
        <v>0</v>
      </c>
      <c r="H32" s="60">
        <f>SUMIF('Report Data'!$A:$A,PL!$A32,'Report Data'!H:H)</f>
        <v>0</v>
      </c>
      <c r="I32" s="60">
        <f>SUMIF('Report Data'!$A:$A,PL!$A32,'Report Data'!J:J)</f>
        <v>0</v>
      </c>
      <c r="J32" s="60">
        <f>SUMIF('Report Data'!$A:$A,PL!$A32,'Report Data'!L:L)</f>
        <v>0</v>
      </c>
      <c r="K32" s="60">
        <f>SUMIF('Report Data'!$A:$A,PL!$A32,'Report Data'!N:N)</f>
        <v>0</v>
      </c>
      <c r="L32" s="60">
        <f>SUMIF('Report Data'!$A:$A,PL!$A32,'Report Data'!P:P)</f>
        <v>0</v>
      </c>
      <c r="M32" s="60">
        <f>SUMIF('Report Data'!$A:$A,PL!$A32,'Report Data'!R:R)</f>
        <v>0</v>
      </c>
      <c r="N32" s="60">
        <f>SUMIF('Report Data'!$A:$A,PL!$A32,'Report Data'!T:T)</f>
        <v>0</v>
      </c>
      <c r="O32" s="60">
        <f>SUMIF('Report Data'!$A:$A,PL!$A32,'Report Data'!V:V)</f>
        <v>0</v>
      </c>
      <c r="Q32" s="12"/>
      <c r="R32" s="71">
        <f t="shared" ref="R32:R51" si="8">IF(M32&gt;0,((N32/M32)-1),IF(AND(M32=0,N32&gt;0),100%,IF(AND(M32=0,N32&lt;0),-100%,IF(AND(M32=0,N32=0),0%,((N32/(M32))-1)*-1))))</f>
        <v>0</v>
      </c>
      <c r="S32" s="12">
        <f t="shared" si="0"/>
        <v>0</v>
      </c>
      <c r="T32" s="12">
        <f t="shared" si="1"/>
        <v>0</v>
      </c>
    </row>
    <row r="33" spans="1:20" hidden="1" outlineLevel="1" x14ac:dyDescent="0.2">
      <c r="A33" t="s">
        <v>48</v>
      </c>
      <c r="D33" s="1" t="s">
        <v>84</v>
      </c>
      <c r="E33" s="60">
        <f>SUMIF('Report Data'!$A:$A,PL!$A33,'Report Data'!B:B)</f>
        <v>1158994.9999999998</v>
      </c>
      <c r="F33" s="60">
        <f>SUMIF('Report Data'!$A:$A,PL!$A33,'Report Data'!D:D)</f>
        <v>1533248</v>
      </c>
      <c r="G33" s="60">
        <f>SUMIF('Report Data'!$A:$A,PL!$A33,'Report Data'!F:F)</f>
        <v>1350760</v>
      </c>
      <c r="H33" s="60">
        <f>SUMIF('Report Data'!$A:$A,PL!$A33,'Report Data'!H:H)</f>
        <v>1455126.09</v>
      </c>
      <c r="I33" s="60">
        <f>SUMIF('Report Data'!$A:$A,PL!$A33,'Report Data'!J:J)</f>
        <v>1670367</v>
      </c>
      <c r="J33" s="60">
        <f>SUMIF('Report Data'!$A:$A,PL!$A33,'Report Data'!L:L)</f>
        <v>5465008.9500000002</v>
      </c>
      <c r="K33" s="60">
        <f>SUMIF('Report Data'!$A:$A,PL!$A33,'Report Data'!N:N)</f>
        <v>1434149.0000000002</v>
      </c>
      <c r="L33" s="60">
        <f>SUMIF('Report Data'!$A:$A,PL!$A33,'Report Data'!P:P)</f>
        <v>2749882.57</v>
      </c>
      <c r="M33" s="60">
        <f>SUMIF('Report Data'!$A:$A,PL!$A33,'Report Data'!R:R)</f>
        <v>1375866</v>
      </c>
      <c r="N33" s="60">
        <f>SUMIF('Report Data'!$A:$A,PL!$A33,'Report Data'!T:T)</f>
        <v>1375866</v>
      </c>
      <c r="O33" s="60">
        <f>SUMIF('Report Data'!$A:$A,PL!$A33,'Report Data'!V:V)</f>
        <v>3161242.5800000005</v>
      </c>
      <c r="Q33" s="12"/>
      <c r="R33" s="71">
        <f t="shared" si="8"/>
        <v>0</v>
      </c>
      <c r="S33" s="12">
        <f t="shared" si="0"/>
        <v>1.2976384182761986</v>
      </c>
      <c r="T33" s="12">
        <f t="shared" si="1"/>
        <v>1.2976384182761986</v>
      </c>
    </row>
    <row r="34" spans="1:20" hidden="1" outlineLevel="1" x14ac:dyDescent="0.2">
      <c r="A34" t="s">
        <v>49</v>
      </c>
      <c r="D34" s="1" t="s">
        <v>85</v>
      </c>
      <c r="E34" s="60">
        <f>SUMIF('Report Data'!$A:$A,PL!$A34,'Report Data'!B:B)</f>
        <v>356000.00000000006</v>
      </c>
      <c r="F34" s="60">
        <f>SUMIF('Report Data'!$A:$A,PL!$A34,'Report Data'!D:D)</f>
        <v>258577.99999999997</v>
      </c>
      <c r="G34" s="60">
        <f>SUMIF('Report Data'!$A:$A,PL!$A34,'Report Data'!F:F)</f>
        <v>356000.00000000006</v>
      </c>
      <c r="H34" s="60">
        <f>SUMIF('Report Data'!$A:$A,PL!$A34,'Report Data'!H:H)</f>
        <v>285412.45</v>
      </c>
      <c r="I34" s="60">
        <f>SUMIF('Report Data'!$A:$A,PL!$A34,'Report Data'!J:J)</f>
        <v>299953</v>
      </c>
      <c r="J34" s="60">
        <f>SUMIF('Report Data'!$A:$A,PL!$A34,'Report Data'!L:L)</f>
        <v>250209.44</v>
      </c>
      <c r="K34" s="60">
        <f>SUMIF('Report Data'!$A:$A,PL!$A34,'Report Data'!N:N)</f>
        <v>264507</v>
      </c>
      <c r="L34" s="60">
        <f>SUMIF('Report Data'!$A:$A,PL!$A34,'Report Data'!P:P)</f>
        <v>333039.64999999997</v>
      </c>
      <c r="M34" s="60">
        <f>SUMIF('Report Data'!$A:$A,PL!$A34,'Report Data'!R:R)</f>
        <v>316051</v>
      </c>
      <c r="N34" s="60">
        <f>SUMIF('Report Data'!$A:$A,PL!$A34,'Report Data'!T:T)</f>
        <v>316051</v>
      </c>
      <c r="O34" s="60">
        <f>SUMIF('Report Data'!$A:$A,PL!$A34,'Report Data'!V:V)</f>
        <v>359448.18000000011</v>
      </c>
      <c r="Q34" s="12"/>
      <c r="R34" s="71">
        <f t="shared" si="8"/>
        <v>0</v>
      </c>
      <c r="S34" s="12">
        <f t="shared" si="0"/>
        <v>0.13731068719921824</v>
      </c>
      <c r="T34" s="12">
        <f t="shared" si="1"/>
        <v>0.13731068719921824</v>
      </c>
    </row>
    <row r="35" spans="1:20" hidden="1" outlineLevel="1" x14ac:dyDescent="0.2">
      <c r="A35" t="s">
        <v>50</v>
      </c>
      <c r="D35" s="1" t="s">
        <v>86</v>
      </c>
      <c r="E35" s="60">
        <f>SUMIF('Report Data'!$A:$A,PL!$A35,'Report Data'!B:B)</f>
        <v>0</v>
      </c>
      <c r="F35" s="60">
        <f>SUMIF('Report Data'!$A:$A,PL!$A35,'Report Data'!D:D)</f>
        <v>0</v>
      </c>
      <c r="G35" s="60">
        <f>SUMIF('Report Data'!$A:$A,PL!$A35,'Report Data'!F:F)</f>
        <v>0</v>
      </c>
      <c r="H35" s="60">
        <f>SUMIF('Report Data'!$A:$A,PL!$A35,'Report Data'!H:H)</f>
        <v>0</v>
      </c>
      <c r="I35" s="60">
        <f>SUMIF('Report Data'!$A:$A,PL!$A35,'Report Data'!J:J)</f>
        <v>0</v>
      </c>
      <c r="J35" s="60">
        <f>SUMIF('Report Data'!$A:$A,PL!$A35,'Report Data'!L:L)</f>
        <v>0</v>
      </c>
      <c r="K35" s="60">
        <f>SUMIF('Report Data'!$A:$A,PL!$A35,'Report Data'!N:N)</f>
        <v>0</v>
      </c>
      <c r="L35" s="60">
        <f>SUMIF('Report Data'!$A:$A,PL!$A35,'Report Data'!P:P)</f>
        <v>0</v>
      </c>
      <c r="M35" s="60">
        <f>SUMIF('Report Data'!$A:$A,PL!$A35,'Report Data'!R:R)</f>
        <v>0</v>
      </c>
      <c r="N35" s="60">
        <f>SUMIF('Report Data'!$A:$A,PL!$A35,'Report Data'!T:T)</f>
        <v>0</v>
      </c>
      <c r="O35" s="60">
        <f>SUMIF('Report Data'!$A:$A,PL!$A35,'Report Data'!V:V)</f>
        <v>0</v>
      </c>
      <c r="Q35" s="12"/>
      <c r="R35" s="71">
        <f t="shared" si="8"/>
        <v>0</v>
      </c>
      <c r="S35" s="12">
        <f t="shared" si="0"/>
        <v>0</v>
      </c>
      <c r="T35" s="12">
        <f t="shared" si="1"/>
        <v>0</v>
      </c>
    </row>
    <row r="36" spans="1:20" hidden="1" outlineLevel="1" x14ac:dyDescent="0.2">
      <c r="A36" t="s">
        <v>51</v>
      </c>
      <c r="D36" s="1" t="s">
        <v>87</v>
      </c>
      <c r="E36" s="60">
        <f>SUMIF('Report Data'!$A:$A,PL!$A36,'Report Data'!B:B)</f>
        <v>0</v>
      </c>
      <c r="F36" s="60">
        <f>SUMIF('Report Data'!$A:$A,PL!$A36,'Report Data'!D:D)</f>
        <v>0</v>
      </c>
      <c r="G36" s="60">
        <f>SUMIF('Report Data'!$A:$A,PL!$A36,'Report Data'!F:F)</f>
        <v>0</v>
      </c>
      <c r="H36" s="60">
        <f>SUMIF('Report Data'!$A:$A,PL!$A36,'Report Data'!H:H)</f>
        <v>0</v>
      </c>
      <c r="I36" s="60">
        <f>SUMIF('Report Data'!$A:$A,PL!$A36,'Report Data'!J:J)</f>
        <v>0</v>
      </c>
      <c r="J36" s="60">
        <f>SUMIF('Report Data'!$A:$A,PL!$A36,'Report Data'!L:L)</f>
        <v>0</v>
      </c>
      <c r="K36" s="60">
        <f>SUMIF('Report Data'!$A:$A,PL!$A36,'Report Data'!N:N)</f>
        <v>0</v>
      </c>
      <c r="L36" s="60">
        <f>SUMIF('Report Data'!$A:$A,PL!$A36,'Report Data'!P:P)</f>
        <v>0</v>
      </c>
      <c r="M36" s="60">
        <f>SUMIF('Report Data'!$A:$A,PL!$A36,'Report Data'!R:R)</f>
        <v>0</v>
      </c>
      <c r="N36" s="60">
        <f>SUMIF('Report Data'!$A:$A,PL!$A36,'Report Data'!T:T)</f>
        <v>0</v>
      </c>
      <c r="O36" s="60">
        <f>SUMIF('Report Data'!$A:$A,PL!$A36,'Report Data'!V:V)</f>
        <v>0</v>
      </c>
      <c r="Q36" s="12"/>
      <c r="R36" s="71">
        <f t="shared" si="8"/>
        <v>0</v>
      </c>
      <c r="S36" s="12">
        <f t="shared" si="0"/>
        <v>0</v>
      </c>
      <c r="T36" s="12">
        <f t="shared" si="1"/>
        <v>0</v>
      </c>
    </row>
    <row r="37" spans="1:20" hidden="1" outlineLevel="1" x14ac:dyDescent="0.2">
      <c r="A37" t="s">
        <v>52</v>
      </c>
      <c r="D37" s="1" t="s">
        <v>88</v>
      </c>
      <c r="E37" s="60">
        <f>SUMIF('Report Data'!$A:$A,PL!$A37,'Report Data'!B:B)</f>
        <v>0</v>
      </c>
      <c r="F37" s="60">
        <f>SUMIF('Report Data'!$A:$A,PL!$A37,'Report Data'!D:D)</f>
        <v>0</v>
      </c>
      <c r="G37" s="60">
        <f>SUMIF('Report Data'!$A:$A,PL!$A37,'Report Data'!F:F)</f>
        <v>0</v>
      </c>
      <c r="H37" s="60">
        <f>SUMIF('Report Data'!$A:$A,PL!$A37,'Report Data'!H:H)</f>
        <v>0</v>
      </c>
      <c r="I37" s="60">
        <f>SUMIF('Report Data'!$A:$A,PL!$A37,'Report Data'!J:J)</f>
        <v>0</v>
      </c>
      <c r="J37" s="60">
        <f>SUMIF('Report Data'!$A:$A,PL!$A37,'Report Data'!L:L)</f>
        <v>0</v>
      </c>
      <c r="K37" s="60">
        <f>SUMIF('Report Data'!$A:$A,PL!$A37,'Report Data'!N:N)</f>
        <v>0</v>
      </c>
      <c r="L37" s="60">
        <f>SUMIF('Report Data'!$A:$A,PL!$A37,'Report Data'!P:P)</f>
        <v>0</v>
      </c>
      <c r="M37" s="60">
        <f>SUMIF('Report Data'!$A:$A,PL!$A37,'Report Data'!R:R)</f>
        <v>0</v>
      </c>
      <c r="N37" s="60">
        <f>SUMIF('Report Data'!$A:$A,PL!$A37,'Report Data'!T:T)</f>
        <v>0</v>
      </c>
      <c r="O37" s="60">
        <f>SUMIF('Report Data'!$A:$A,PL!$A37,'Report Data'!V:V)</f>
        <v>0</v>
      </c>
      <c r="Q37" s="12"/>
      <c r="R37" s="71">
        <f t="shared" si="8"/>
        <v>0</v>
      </c>
      <c r="S37" s="12">
        <f t="shared" si="0"/>
        <v>0</v>
      </c>
      <c r="T37" s="12">
        <f t="shared" si="1"/>
        <v>0</v>
      </c>
    </row>
    <row r="38" spans="1:20" hidden="1" outlineLevel="1" x14ac:dyDescent="0.2">
      <c r="A38" t="s">
        <v>53</v>
      </c>
      <c r="D38" s="1" t="s">
        <v>89</v>
      </c>
      <c r="E38" s="60">
        <f>SUMIF('Report Data'!$A:$A,PL!$A38,'Report Data'!B:B)</f>
        <v>310638</v>
      </c>
      <c r="F38" s="60">
        <f>SUMIF('Report Data'!$A:$A,PL!$A38,'Report Data'!D:D)</f>
        <v>0</v>
      </c>
      <c r="G38" s="60">
        <f>SUMIF('Report Data'!$A:$A,PL!$A38,'Report Data'!F:F)</f>
        <v>0</v>
      </c>
      <c r="H38" s="60">
        <f>SUMIF('Report Data'!$A:$A,PL!$A38,'Report Data'!H:H)</f>
        <v>0</v>
      </c>
      <c r="I38" s="60">
        <f>SUMIF('Report Data'!$A:$A,PL!$A38,'Report Data'!J:J)</f>
        <v>0</v>
      </c>
      <c r="J38" s="60">
        <f>SUMIF('Report Data'!$A:$A,PL!$A38,'Report Data'!L:L)</f>
        <v>0</v>
      </c>
      <c r="K38" s="60">
        <f>SUMIF('Report Data'!$A:$A,PL!$A38,'Report Data'!N:N)</f>
        <v>0</v>
      </c>
      <c r="L38" s="60">
        <f>SUMIF('Report Data'!$A:$A,PL!$A38,'Report Data'!P:P)</f>
        <v>0</v>
      </c>
      <c r="M38" s="60">
        <f>SUMIF('Report Data'!$A:$A,PL!$A38,'Report Data'!R:R)</f>
        <v>0</v>
      </c>
      <c r="N38" s="60">
        <f>SUMIF('Report Data'!$A:$A,PL!$A38,'Report Data'!T:T)</f>
        <v>0</v>
      </c>
      <c r="O38" s="60">
        <f>SUMIF('Report Data'!$A:$A,PL!$A38,'Report Data'!V:V)</f>
        <v>0</v>
      </c>
      <c r="Q38" s="12"/>
      <c r="R38" s="71">
        <f t="shared" si="8"/>
        <v>0</v>
      </c>
      <c r="S38" s="12">
        <f t="shared" si="0"/>
        <v>0</v>
      </c>
      <c r="T38" s="12">
        <f t="shared" si="1"/>
        <v>0</v>
      </c>
    </row>
    <row r="39" spans="1:20" hidden="1" outlineLevel="1" x14ac:dyDescent="0.2">
      <c r="A39" t="s">
        <v>54</v>
      </c>
      <c r="D39" s="1" t="s">
        <v>90</v>
      </c>
      <c r="E39" s="60">
        <f>SUMIF('Report Data'!$A:$A,PL!$A39,'Report Data'!B:B)</f>
        <v>12000</v>
      </c>
      <c r="F39" s="60">
        <f>SUMIF('Report Data'!$A:$A,PL!$A39,'Report Data'!D:D)</f>
        <v>8499.9999999999982</v>
      </c>
      <c r="G39" s="60">
        <f>SUMIF('Report Data'!$A:$A,PL!$A39,'Report Data'!F:F)</f>
        <v>0</v>
      </c>
      <c r="H39" s="60">
        <f>SUMIF('Report Data'!$A:$A,PL!$A39,'Report Data'!H:H)</f>
        <v>67999.899999999994</v>
      </c>
      <c r="I39" s="60">
        <f>SUMIF('Report Data'!$A:$A,PL!$A39,'Report Data'!J:J)</f>
        <v>0</v>
      </c>
      <c r="J39" s="60">
        <f>SUMIF('Report Data'!$A:$A,PL!$A39,'Report Data'!L:L)</f>
        <v>0</v>
      </c>
      <c r="K39" s="60">
        <f>SUMIF('Report Data'!$A:$A,PL!$A39,'Report Data'!N:N)</f>
        <v>0</v>
      </c>
      <c r="L39" s="60">
        <f>SUMIF('Report Data'!$A:$A,PL!$A39,'Report Data'!P:P)</f>
        <v>-8500</v>
      </c>
      <c r="M39" s="60">
        <f>SUMIF('Report Data'!$A:$A,PL!$A39,'Report Data'!R:R)</f>
        <v>0</v>
      </c>
      <c r="N39" s="60">
        <f>SUMIF('Report Data'!$A:$A,PL!$A39,'Report Data'!T:T)</f>
        <v>0</v>
      </c>
      <c r="O39" s="60">
        <f>SUMIF('Report Data'!$A:$A,PL!$A39,'Report Data'!V:V)</f>
        <v>0</v>
      </c>
      <c r="Q39" s="12"/>
      <c r="R39" s="71">
        <f t="shared" si="8"/>
        <v>0</v>
      </c>
      <c r="S39" s="12">
        <f t="shared" si="0"/>
        <v>0</v>
      </c>
      <c r="T39" s="12">
        <f t="shared" si="1"/>
        <v>0</v>
      </c>
    </row>
    <row r="40" spans="1:20" hidden="1" outlineLevel="1" x14ac:dyDescent="0.2">
      <c r="A40" t="s">
        <v>105</v>
      </c>
      <c r="D40" s="1" t="s">
        <v>91</v>
      </c>
      <c r="E40" s="60">
        <f>SUMIF('Report Data'!$A:$A,PL!$A40,'Report Data'!B:B)</f>
        <v>1695000</v>
      </c>
      <c r="F40" s="60">
        <f>SUMIF('Report Data'!$A:$A,PL!$A40,'Report Data'!D:D)</f>
        <v>1855151.0000000002</v>
      </c>
      <c r="G40" s="60">
        <f>SUMIF('Report Data'!$A:$A,PL!$A40,'Report Data'!F:F)</f>
        <v>1637168.0000000002</v>
      </c>
      <c r="H40" s="60">
        <f>SUMIF('Report Data'!$A:$A,PL!$A40,'Report Data'!H:H)</f>
        <v>1980610.65</v>
      </c>
      <c r="I40" s="60">
        <f>SUMIF('Report Data'!$A:$A,PL!$A40,'Report Data'!J:J)</f>
        <v>2145495</v>
      </c>
      <c r="J40" s="60">
        <f>SUMIF('Report Data'!$A:$A,PL!$A40,'Report Data'!L:L)</f>
        <v>1320725</v>
      </c>
      <c r="K40" s="60">
        <f>SUMIF('Report Data'!$A:$A,PL!$A40,'Report Data'!N:N)</f>
        <v>1673586.9999999998</v>
      </c>
      <c r="L40" s="60">
        <f>SUMIF('Report Data'!$A:$A,PL!$A40,'Report Data'!P:P)</f>
        <v>890253.87999999989</v>
      </c>
      <c r="M40" s="60">
        <f>SUMIF('Report Data'!$A:$A,PL!$A40,'Report Data'!R:R)</f>
        <v>1673586.9999999998</v>
      </c>
      <c r="N40" s="60">
        <f>SUMIF('Report Data'!$A:$A,PL!$A40,'Report Data'!T:T)</f>
        <v>1673586.9999999998</v>
      </c>
      <c r="O40" s="60">
        <f>SUMIF('Report Data'!$A:$A,PL!$A40,'Report Data'!V:V)</f>
        <v>1700000.0000000002</v>
      </c>
      <c r="Q40" s="12"/>
      <c r="R40" s="71">
        <f t="shared" si="8"/>
        <v>0</v>
      </c>
      <c r="S40" s="12">
        <f t="shared" si="0"/>
        <v>1.5782268863226312E-2</v>
      </c>
      <c r="T40" s="12">
        <f t="shared" si="1"/>
        <v>1.5782268863226312E-2</v>
      </c>
    </row>
    <row r="41" spans="1:20" hidden="1" outlineLevel="1" x14ac:dyDescent="0.2">
      <c r="A41" t="s">
        <v>181</v>
      </c>
      <c r="D41" s="1" t="s">
        <v>183</v>
      </c>
      <c r="E41" s="60">
        <f>SUMIF('Report Data'!$A:$A,PL!$A41,'Report Data'!B:B)</f>
        <v>0</v>
      </c>
      <c r="F41" s="60">
        <f>SUMIF('Report Data'!$A:$A,PL!$A41,'Report Data'!D:D)</f>
        <v>12484405.999999998</v>
      </c>
      <c r="G41" s="60">
        <f>SUMIF('Report Data'!$A:$A,PL!$A41,'Report Data'!F:F)</f>
        <v>0</v>
      </c>
      <c r="H41" s="60">
        <f>SUMIF('Report Data'!$A:$A,PL!$A41,'Report Data'!H:H)</f>
        <v>109089</v>
      </c>
      <c r="I41" s="60">
        <f>SUMIF('Report Data'!$A:$A,PL!$A41,'Report Data'!J:J)</f>
        <v>0</v>
      </c>
      <c r="J41" s="60">
        <f>SUMIF('Report Data'!$A:$A,PL!$A41,'Report Data'!L:L)</f>
        <v>0</v>
      </c>
      <c r="K41" s="60">
        <f>SUMIF('Report Data'!$A:$A,PL!$A41,'Report Data'!N:N)</f>
        <v>0</v>
      </c>
      <c r="L41" s="60">
        <f>SUMIF('Report Data'!$A:$A,PL!$A41,'Report Data'!P:P)</f>
        <v>0</v>
      </c>
      <c r="M41" s="60">
        <f>SUMIF('Report Data'!$A:$A,PL!$A41,'Report Data'!R:R)</f>
        <v>0</v>
      </c>
      <c r="N41" s="60">
        <f>SUMIF('Report Data'!$A:$A,PL!$A41,'Report Data'!T:T)</f>
        <v>0</v>
      </c>
      <c r="O41" s="60">
        <f>SUMIF('Report Data'!$A:$A,PL!$A41,'Report Data'!V:V)</f>
        <v>0</v>
      </c>
      <c r="Q41" s="12"/>
      <c r="R41" s="71">
        <f t="shared" ref="R41" si="9">IF(M41&gt;0,((N41/M41)-1),IF(AND(M41=0,N41&gt;0),100%,IF(AND(M41=0,N41&lt;0),-100%,IF(AND(M41=0,N41=0),0%,((N41/(M41))-1)*-1))))</f>
        <v>0</v>
      </c>
      <c r="S41" s="12">
        <f t="shared" ref="S41" si="10">IF(M41&gt;0,((O41/M41)-1),IF(AND(M41=0,O41&gt;0),100%,IF(AND(M41=0,O41&lt;0),-100%,IF(AND(M41=0,O41=0),0%,((O41/(M41))-1)*-1))))</f>
        <v>0</v>
      </c>
      <c r="T41" s="12">
        <f t="shared" si="1"/>
        <v>0</v>
      </c>
    </row>
    <row r="42" spans="1:20" hidden="1" outlineLevel="1" x14ac:dyDescent="0.2">
      <c r="A42" t="s">
        <v>55</v>
      </c>
      <c r="D42" s="1" t="s">
        <v>92</v>
      </c>
      <c r="E42" s="60">
        <f>SUMIF('Report Data'!$A:$A,PL!$A42,'Report Data'!B:B)</f>
        <v>178000.00000000009</v>
      </c>
      <c r="F42" s="60">
        <f>SUMIF('Report Data'!$A:$A,PL!$A42,'Report Data'!D:D)</f>
        <v>463278.99999999994</v>
      </c>
      <c r="G42" s="60">
        <f>SUMIF('Report Data'!$A:$A,PL!$A42,'Report Data'!F:F)</f>
        <v>350925.99999999994</v>
      </c>
      <c r="H42" s="60">
        <f>SUMIF('Report Data'!$A:$A,PL!$A42,'Report Data'!H:H)</f>
        <v>1167948.92</v>
      </c>
      <c r="I42" s="60">
        <f>SUMIF('Report Data'!$A:$A,PL!$A42,'Report Data'!J:J)</f>
        <v>325776.00000000006</v>
      </c>
      <c r="J42" s="60">
        <f>SUMIF('Report Data'!$A:$A,PL!$A42,'Report Data'!L:L)</f>
        <v>1165375.46</v>
      </c>
      <c r="K42" s="60">
        <f>SUMIF('Report Data'!$A:$A,PL!$A42,'Report Data'!N:N)</f>
        <v>350285.99999999994</v>
      </c>
      <c r="L42" s="60">
        <f>SUMIF('Report Data'!$A:$A,PL!$A42,'Report Data'!P:P)</f>
        <v>651856.06999999995</v>
      </c>
      <c r="M42" s="60">
        <f>SUMIF('Report Data'!$A:$A,PL!$A42,'Report Data'!R:R)</f>
        <v>456557.00000000006</v>
      </c>
      <c r="N42" s="60">
        <f>SUMIF('Report Data'!$A:$A,PL!$A42,'Report Data'!T:T)</f>
        <v>456557.00000000006</v>
      </c>
      <c r="O42" s="60">
        <f>SUMIF('Report Data'!$A:$A,PL!$A42,'Report Data'!V:V)</f>
        <v>703032</v>
      </c>
      <c r="Q42" s="12"/>
      <c r="R42" s="71">
        <f t="shared" si="8"/>
        <v>0</v>
      </c>
      <c r="S42" s="12">
        <f t="shared" si="0"/>
        <v>0.53985592160453111</v>
      </c>
      <c r="T42" s="12">
        <f t="shared" si="1"/>
        <v>0.53985592160453111</v>
      </c>
    </row>
    <row r="43" spans="1:20" hidden="1" outlineLevel="1" x14ac:dyDescent="0.2">
      <c r="A43" t="s">
        <v>106</v>
      </c>
      <c r="D43" s="23" t="s">
        <v>113</v>
      </c>
      <c r="E43" s="60">
        <f>SUMIF('Report Data'!$A:$A,PL!$A43,'Report Data'!B:B)</f>
        <v>0</v>
      </c>
      <c r="F43" s="60">
        <f>SUMIF('Report Data'!$A:$A,PL!$A43,'Report Data'!D:D)</f>
        <v>0</v>
      </c>
      <c r="G43" s="60">
        <f>SUMIF('Report Data'!$A:$A,PL!$A43,'Report Data'!F:F)</f>
        <v>0</v>
      </c>
      <c r="H43" s="60">
        <f>SUMIF('Report Data'!$A:$A,PL!$A43,'Report Data'!H:H)</f>
        <v>0</v>
      </c>
      <c r="I43" s="60">
        <f>SUMIF('Report Data'!$A:$A,PL!$A43,'Report Data'!J:J)</f>
        <v>0</v>
      </c>
      <c r="J43" s="60">
        <f>SUMIF('Report Data'!$A:$A,PL!$A43,'Report Data'!L:L)</f>
        <v>0</v>
      </c>
      <c r="K43" s="60">
        <f>SUMIF('Report Data'!$A:$A,PL!$A43,'Report Data'!N:N)</f>
        <v>0</v>
      </c>
      <c r="L43" s="60">
        <f>SUMIF('Report Data'!$A:$A,PL!$A43,'Report Data'!P:P)</f>
        <v>0</v>
      </c>
      <c r="M43" s="60">
        <f>SUMIF('Report Data'!$A:$A,PL!$A43,'Report Data'!R:R)</f>
        <v>0</v>
      </c>
      <c r="N43" s="60">
        <f>SUMIF('Report Data'!$A:$A,PL!$A43,'Report Data'!T:T)</f>
        <v>0</v>
      </c>
      <c r="O43" s="60">
        <f>SUMIF('Report Data'!$A:$A,PL!$A43,'Report Data'!V:V)</f>
        <v>0</v>
      </c>
      <c r="Q43" s="12"/>
      <c r="R43" s="71">
        <f t="shared" si="8"/>
        <v>0</v>
      </c>
      <c r="S43" s="12">
        <f t="shared" si="0"/>
        <v>0</v>
      </c>
      <c r="T43" s="12">
        <f t="shared" si="1"/>
        <v>0</v>
      </c>
    </row>
    <row r="44" spans="1:20" hidden="1" outlineLevel="1" x14ac:dyDescent="0.2">
      <c r="A44" t="s">
        <v>107</v>
      </c>
      <c r="D44" s="23" t="s">
        <v>114</v>
      </c>
      <c r="E44" s="60">
        <f>SUMIF('Report Data'!$A:$A,PL!$A44,'Report Data'!B:B)</f>
        <v>0</v>
      </c>
      <c r="F44" s="60">
        <f>SUMIF('Report Data'!$A:$A,PL!$A44,'Report Data'!D:D)</f>
        <v>0</v>
      </c>
      <c r="G44" s="60">
        <f>SUMIF('Report Data'!$A:$A,PL!$A44,'Report Data'!F:F)</f>
        <v>0</v>
      </c>
      <c r="H44" s="60">
        <f>SUMIF('Report Data'!$A:$A,PL!$A44,'Report Data'!H:H)</f>
        <v>0</v>
      </c>
      <c r="I44" s="60">
        <f>SUMIF('Report Data'!$A:$A,PL!$A44,'Report Data'!J:J)</f>
        <v>0</v>
      </c>
      <c r="J44" s="60">
        <f>SUMIF('Report Data'!$A:$A,PL!$A44,'Report Data'!L:L)</f>
        <v>0</v>
      </c>
      <c r="K44" s="60">
        <f>SUMIF('Report Data'!$A:$A,PL!$A44,'Report Data'!N:N)</f>
        <v>0</v>
      </c>
      <c r="L44" s="60">
        <f>SUMIF('Report Data'!$A:$A,PL!$A44,'Report Data'!P:P)</f>
        <v>0</v>
      </c>
      <c r="M44" s="60">
        <f>SUMIF('Report Data'!$A:$A,PL!$A44,'Report Data'!R:R)</f>
        <v>0</v>
      </c>
      <c r="N44" s="60">
        <f>SUMIF('Report Data'!$A:$A,PL!$A44,'Report Data'!T:T)</f>
        <v>0</v>
      </c>
      <c r="O44" s="60">
        <f>SUMIF('Report Data'!$A:$A,PL!$A44,'Report Data'!V:V)</f>
        <v>0</v>
      </c>
      <c r="Q44" s="12"/>
      <c r="R44" s="71">
        <f t="shared" si="8"/>
        <v>0</v>
      </c>
      <c r="S44" s="12">
        <f t="shared" si="0"/>
        <v>0</v>
      </c>
      <c r="T44" s="12">
        <f t="shared" si="1"/>
        <v>0</v>
      </c>
    </row>
    <row r="45" spans="1:20" hidden="1" outlineLevel="1" x14ac:dyDescent="0.2">
      <c r="A45" t="s">
        <v>108</v>
      </c>
      <c r="D45" s="23" t="s">
        <v>115</v>
      </c>
      <c r="E45" s="60">
        <f>SUMIF('Report Data'!$A:$A,PL!$A45,'Report Data'!B:B)</f>
        <v>0</v>
      </c>
      <c r="F45" s="60">
        <f>SUMIF('Report Data'!$A:$A,PL!$A45,'Report Data'!D:D)</f>
        <v>0</v>
      </c>
      <c r="G45" s="60">
        <f>SUMIF('Report Data'!$A:$A,PL!$A45,'Report Data'!F:F)</f>
        <v>0</v>
      </c>
      <c r="H45" s="60">
        <f>SUMIF('Report Data'!$A:$A,PL!$A45,'Report Data'!H:H)</f>
        <v>0</v>
      </c>
      <c r="I45" s="60">
        <f>SUMIF('Report Data'!$A:$A,PL!$A45,'Report Data'!J:J)</f>
        <v>0</v>
      </c>
      <c r="J45" s="60">
        <f>SUMIF('Report Data'!$A:$A,PL!$A45,'Report Data'!L:L)</f>
        <v>0</v>
      </c>
      <c r="K45" s="60">
        <f>SUMIF('Report Data'!$A:$A,PL!$A45,'Report Data'!N:N)</f>
        <v>0</v>
      </c>
      <c r="L45" s="60">
        <f>SUMIF('Report Data'!$A:$A,PL!$A45,'Report Data'!P:P)</f>
        <v>0</v>
      </c>
      <c r="M45" s="60">
        <f>SUMIF('Report Data'!$A:$A,PL!$A45,'Report Data'!R:R)</f>
        <v>0</v>
      </c>
      <c r="N45" s="60">
        <f>SUMIF('Report Data'!$A:$A,PL!$A45,'Report Data'!T:T)</f>
        <v>0</v>
      </c>
      <c r="O45" s="60">
        <f>SUMIF('Report Data'!$A:$A,PL!$A45,'Report Data'!V:V)</f>
        <v>0</v>
      </c>
      <c r="Q45" s="12"/>
      <c r="R45" s="71">
        <f t="shared" si="8"/>
        <v>0</v>
      </c>
      <c r="S45" s="12">
        <f t="shared" si="0"/>
        <v>0</v>
      </c>
      <c r="T45" s="12">
        <f t="shared" si="1"/>
        <v>0</v>
      </c>
    </row>
    <row r="46" spans="1:20" hidden="1" outlineLevel="1" x14ac:dyDescent="0.2">
      <c r="A46" t="s">
        <v>109</v>
      </c>
      <c r="D46" s="23" t="s">
        <v>116</v>
      </c>
      <c r="E46" s="60">
        <f>SUMIF('Report Data'!$A:$A,PL!$A46,'Report Data'!B:B)</f>
        <v>0</v>
      </c>
      <c r="F46" s="60">
        <f>SUMIF('Report Data'!$A:$A,PL!$A46,'Report Data'!D:D)</f>
        <v>0</v>
      </c>
      <c r="G46" s="60">
        <f>SUMIF('Report Data'!$A:$A,PL!$A46,'Report Data'!F:F)</f>
        <v>0</v>
      </c>
      <c r="H46" s="60">
        <f>SUMIF('Report Data'!$A:$A,PL!$A46,'Report Data'!H:H)</f>
        <v>0</v>
      </c>
      <c r="I46" s="60">
        <f>SUMIF('Report Data'!$A:$A,PL!$A46,'Report Data'!J:J)</f>
        <v>0</v>
      </c>
      <c r="J46" s="60">
        <f>SUMIF('Report Data'!$A:$A,PL!$A46,'Report Data'!L:L)</f>
        <v>0</v>
      </c>
      <c r="K46" s="60">
        <f>SUMIF('Report Data'!$A:$A,PL!$A46,'Report Data'!N:N)</f>
        <v>0</v>
      </c>
      <c r="L46" s="60">
        <f>SUMIF('Report Data'!$A:$A,PL!$A46,'Report Data'!P:P)</f>
        <v>0</v>
      </c>
      <c r="M46" s="60">
        <f>SUMIF('Report Data'!$A:$A,PL!$A46,'Report Data'!R:R)</f>
        <v>0</v>
      </c>
      <c r="N46" s="60">
        <f>SUMIF('Report Data'!$A:$A,PL!$A46,'Report Data'!T:T)</f>
        <v>0</v>
      </c>
      <c r="O46" s="60">
        <f>SUMIF('Report Data'!$A:$A,PL!$A46,'Report Data'!V:V)</f>
        <v>0</v>
      </c>
      <c r="Q46" s="12"/>
      <c r="R46" s="71">
        <f t="shared" si="8"/>
        <v>0</v>
      </c>
      <c r="S46" s="12">
        <f t="shared" si="0"/>
        <v>0</v>
      </c>
      <c r="T46" s="12">
        <f t="shared" si="1"/>
        <v>0</v>
      </c>
    </row>
    <row r="47" spans="1:20" hidden="1" outlineLevel="1" x14ac:dyDescent="0.2">
      <c r="A47" t="s">
        <v>110</v>
      </c>
      <c r="D47" s="23" t="s">
        <v>117</v>
      </c>
      <c r="E47" s="60">
        <f>SUMIF('Report Data'!$A:$A,PL!$A47,'Report Data'!B:B)</f>
        <v>0</v>
      </c>
      <c r="F47" s="60">
        <f>SUMIF('Report Data'!$A:$A,PL!$A47,'Report Data'!D:D)</f>
        <v>0</v>
      </c>
      <c r="G47" s="60">
        <f>SUMIF('Report Data'!$A:$A,PL!$A47,'Report Data'!F:F)</f>
        <v>0</v>
      </c>
      <c r="H47" s="60">
        <f>SUMIF('Report Data'!$A:$A,PL!$A47,'Report Data'!H:H)</f>
        <v>0</v>
      </c>
      <c r="I47" s="60">
        <f>SUMIF('Report Data'!$A:$A,PL!$A47,'Report Data'!J:J)</f>
        <v>0</v>
      </c>
      <c r="J47" s="60">
        <f>SUMIF('Report Data'!$A:$A,PL!$A47,'Report Data'!L:L)</f>
        <v>0</v>
      </c>
      <c r="K47" s="60">
        <f>SUMIF('Report Data'!$A:$A,PL!$A47,'Report Data'!N:N)</f>
        <v>0</v>
      </c>
      <c r="L47" s="60">
        <f>SUMIF('Report Data'!$A:$A,PL!$A47,'Report Data'!P:P)</f>
        <v>0</v>
      </c>
      <c r="M47" s="60">
        <f>SUMIF('Report Data'!$A:$A,PL!$A47,'Report Data'!R:R)</f>
        <v>0</v>
      </c>
      <c r="N47" s="60">
        <f>SUMIF('Report Data'!$A:$A,PL!$A47,'Report Data'!T:T)</f>
        <v>0</v>
      </c>
      <c r="O47" s="60">
        <f>SUMIF('Report Data'!$A:$A,PL!$A47,'Report Data'!V:V)</f>
        <v>0</v>
      </c>
      <c r="Q47" s="12"/>
      <c r="R47" s="71">
        <f t="shared" si="8"/>
        <v>0</v>
      </c>
      <c r="S47" s="12">
        <f t="shared" si="0"/>
        <v>0</v>
      </c>
      <c r="T47" s="12">
        <f t="shared" si="1"/>
        <v>0</v>
      </c>
    </row>
    <row r="48" spans="1:20" hidden="1" outlineLevel="1" x14ac:dyDescent="0.2">
      <c r="A48" t="s">
        <v>111</v>
      </c>
      <c r="D48" s="23" t="s">
        <v>118</v>
      </c>
      <c r="E48" s="60">
        <f>SUMIF('Report Data'!$A:$A,PL!$A48,'Report Data'!B:B)</f>
        <v>0</v>
      </c>
      <c r="F48" s="60">
        <f>SUMIF('Report Data'!$A:$A,PL!$A48,'Report Data'!D:D)</f>
        <v>0</v>
      </c>
      <c r="G48" s="60">
        <f>SUMIF('Report Data'!$A:$A,PL!$A48,'Report Data'!F:F)</f>
        <v>0</v>
      </c>
      <c r="H48" s="60">
        <f>SUMIF('Report Data'!$A:$A,PL!$A48,'Report Data'!H:H)</f>
        <v>0</v>
      </c>
      <c r="I48" s="60">
        <f>SUMIF('Report Data'!$A:$A,PL!$A48,'Report Data'!J:J)</f>
        <v>0</v>
      </c>
      <c r="J48" s="60">
        <f>SUMIF('Report Data'!$A:$A,PL!$A48,'Report Data'!L:L)</f>
        <v>0</v>
      </c>
      <c r="K48" s="60">
        <f>SUMIF('Report Data'!$A:$A,PL!$A48,'Report Data'!N:N)</f>
        <v>0</v>
      </c>
      <c r="L48" s="60">
        <f>SUMIF('Report Data'!$A:$A,PL!$A48,'Report Data'!P:P)</f>
        <v>0</v>
      </c>
      <c r="M48" s="60">
        <f>SUMIF('Report Data'!$A:$A,PL!$A48,'Report Data'!R:R)</f>
        <v>0</v>
      </c>
      <c r="N48" s="60">
        <f>SUMIF('Report Data'!$A:$A,PL!$A48,'Report Data'!T:T)</f>
        <v>0</v>
      </c>
      <c r="O48" s="60">
        <f>SUMIF('Report Data'!$A:$A,PL!$A48,'Report Data'!V:V)</f>
        <v>0</v>
      </c>
      <c r="Q48" s="12"/>
      <c r="R48" s="71">
        <f t="shared" si="8"/>
        <v>0</v>
      </c>
      <c r="S48" s="12">
        <f t="shared" si="0"/>
        <v>0</v>
      </c>
      <c r="T48" s="12">
        <f t="shared" si="1"/>
        <v>0</v>
      </c>
    </row>
    <row r="49" spans="1:20" hidden="1" outlineLevel="1" x14ac:dyDescent="0.2">
      <c r="A49" t="s">
        <v>112</v>
      </c>
      <c r="D49" s="23" t="s">
        <v>119</v>
      </c>
      <c r="E49" s="60">
        <f>SUMIF('Report Data'!$A:$A,PL!$A49,'Report Data'!B:B)</f>
        <v>0</v>
      </c>
      <c r="F49" s="60">
        <f>SUMIF('Report Data'!$A:$A,PL!$A49,'Report Data'!D:D)</f>
        <v>0</v>
      </c>
      <c r="G49" s="60">
        <f>SUMIF('Report Data'!$A:$A,PL!$A49,'Report Data'!F:F)</f>
        <v>0</v>
      </c>
      <c r="H49" s="60">
        <f>SUMIF('Report Data'!$A:$A,PL!$A49,'Report Data'!H:H)</f>
        <v>0</v>
      </c>
      <c r="I49" s="60">
        <f>SUMIF('Report Data'!$A:$A,PL!$A49,'Report Data'!J:J)</f>
        <v>0</v>
      </c>
      <c r="J49" s="60">
        <f>SUMIF('Report Data'!$A:$A,PL!$A49,'Report Data'!L:L)</f>
        <v>0</v>
      </c>
      <c r="K49" s="60">
        <f>SUMIF('Report Data'!$A:$A,PL!$A49,'Report Data'!N:N)</f>
        <v>0</v>
      </c>
      <c r="L49" s="60">
        <f>SUMIF('Report Data'!$A:$A,PL!$A49,'Report Data'!P:P)</f>
        <v>0</v>
      </c>
      <c r="M49" s="60">
        <f>SUMIF('Report Data'!$A:$A,PL!$A49,'Report Data'!R:R)</f>
        <v>0</v>
      </c>
      <c r="N49" s="60">
        <f>SUMIF('Report Data'!$A:$A,PL!$A49,'Report Data'!T:T)</f>
        <v>0</v>
      </c>
      <c r="O49" s="60">
        <f>SUMIF('Report Data'!$A:$A,PL!$A49,'Report Data'!V:V)</f>
        <v>0</v>
      </c>
      <c r="Q49" s="12"/>
      <c r="R49" s="71">
        <f t="shared" si="8"/>
        <v>0</v>
      </c>
      <c r="S49" s="12">
        <f t="shared" si="0"/>
        <v>0</v>
      </c>
      <c r="T49" s="12">
        <f t="shared" si="1"/>
        <v>0</v>
      </c>
    </row>
    <row r="50" spans="1:20" collapsed="1" x14ac:dyDescent="0.2">
      <c r="A50" s="7"/>
      <c r="B50" s="7"/>
      <c r="C50" s="7"/>
      <c r="D50" s="7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8"/>
      <c r="Q50" s="16"/>
      <c r="R50" s="86">
        <f t="shared" si="8"/>
        <v>0</v>
      </c>
      <c r="S50" s="16">
        <f t="shared" si="0"/>
        <v>0</v>
      </c>
      <c r="T50" s="16">
        <f t="shared" ref="T50:T51" si="11">IF(N50&gt;0,((O50/N50)-1),IF(AND(N50=0,O50&gt;0),100%,IF(AND(N50=0,O50&lt;0),-100%,IF(AND(N50=0,O50=0),0%,((O50/(N50))-1)*-1))))</f>
        <v>0</v>
      </c>
    </row>
    <row r="51" spans="1:20" x14ac:dyDescent="0.2">
      <c r="D51" s="1" t="s">
        <v>17</v>
      </c>
      <c r="E51" s="62">
        <f t="shared" ref="E51:O51" si="12">SUM(E32:E50)</f>
        <v>3710633</v>
      </c>
      <c r="F51" s="62">
        <f t="shared" si="12"/>
        <v>16603161.999999998</v>
      </c>
      <c r="G51" s="62">
        <f t="shared" si="12"/>
        <v>3694854</v>
      </c>
      <c r="H51" s="62">
        <f t="shared" si="12"/>
        <v>5066187.01</v>
      </c>
      <c r="I51" s="62">
        <f t="shared" si="12"/>
        <v>4441591</v>
      </c>
      <c r="J51" s="62">
        <f t="shared" si="12"/>
        <v>8201318.8500000006</v>
      </c>
      <c r="K51" s="62">
        <f t="shared" si="12"/>
        <v>3722529</v>
      </c>
      <c r="L51" s="62">
        <f t="shared" si="12"/>
        <v>4616532.17</v>
      </c>
      <c r="M51" s="62">
        <f t="shared" si="12"/>
        <v>3822061</v>
      </c>
      <c r="N51" s="62">
        <f t="shared" si="12"/>
        <v>3822061</v>
      </c>
      <c r="O51" s="62">
        <f t="shared" si="12"/>
        <v>5923722.7600000007</v>
      </c>
      <c r="P51" s="11"/>
      <c r="Q51" s="13"/>
      <c r="R51" s="71">
        <f t="shared" si="8"/>
        <v>0</v>
      </c>
      <c r="S51" s="12">
        <f t="shared" si="0"/>
        <v>0.54987656136309715</v>
      </c>
      <c r="T51" s="12">
        <f t="shared" si="11"/>
        <v>0.54987656136309715</v>
      </c>
    </row>
    <row r="52" spans="1:20" x14ac:dyDescent="0.2"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11"/>
      <c r="Q52" s="13"/>
      <c r="R52" s="87"/>
      <c r="S52" s="13"/>
      <c r="T52" s="13"/>
    </row>
    <row r="53" spans="1:20" x14ac:dyDescent="0.2">
      <c r="A53" s="7"/>
      <c r="B53" s="7"/>
      <c r="C53" s="7"/>
      <c r="D53" s="7" t="s">
        <v>19</v>
      </c>
      <c r="E53" s="63">
        <f t="shared" ref="E53:O53" si="13">E30+E51</f>
        <v>80853985.99999994</v>
      </c>
      <c r="F53" s="63">
        <f t="shared" si="13"/>
        <v>93197016.019999996</v>
      </c>
      <c r="G53" s="63">
        <f t="shared" si="13"/>
        <v>82657453.99999994</v>
      </c>
      <c r="H53" s="63">
        <f t="shared" si="13"/>
        <v>93555300.559999987</v>
      </c>
      <c r="I53" s="63">
        <f t="shared" si="13"/>
        <v>83636920.000000089</v>
      </c>
      <c r="J53" s="63">
        <f t="shared" si="13"/>
        <v>100930930.00999998</v>
      </c>
      <c r="K53" s="63">
        <f t="shared" si="13"/>
        <v>98634609.720000029</v>
      </c>
      <c r="L53" s="63">
        <f t="shared" si="13"/>
        <v>110801802.28999993</v>
      </c>
      <c r="M53" s="63">
        <f t="shared" si="13"/>
        <v>114986243</v>
      </c>
      <c r="N53" s="63">
        <f t="shared" si="13"/>
        <v>118027120.00000006</v>
      </c>
      <c r="O53" s="63">
        <f t="shared" si="13"/>
        <v>119881676.93999997</v>
      </c>
      <c r="P53" s="8"/>
      <c r="Q53" s="16"/>
      <c r="R53" s="86">
        <f>IF(M53&gt;0,((N53/M53)-1),IF(AND(M53=0,N53&gt;0),100%,IF(AND(M53=0,N53&lt;0),-100%,IF(AND(M53=0,N53=0),0%,((N53/(M53))-1)*-1))))</f>
        <v>2.6445572275981322E-2</v>
      </c>
      <c r="S53" s="16">
        <f t="shared" si="0"/>
        <v>4.257408375365368E-2</v>
      </c>
      <c r="T53" s="16">
        <f t="shared" ref="T53" si="14">IF(N53&gt;0,((O53/N53)-1),IF(AND(N53=0,O53&gt;0),100%,IF(AND(N53=0,O53&lt;0),-100%,IF(AND(N53=0,O53=0),0%,((O53/(N53))-1)*-1))))</f>
        <v>1.5712972916732237E-2</v>
      </c>
    </row>
    <row r="54" spans="1:20" x14ac:dyDescent="0.2"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Q54" s="12"/>
      <c r="R54" s="71"/>
      <c r="S54" s="12"/>
      <c r="T54" s="12"/>
    </row>
    <row r="55" spans="1:20" x14ac:dyDescent="0.2">
      <c r="A55" s="1" t="s">
        <v>6</v>
      </c>
      <c r="D55" s="1" t="s">
        <v>20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Q55" s="12"/>
      <c r="R55" s="71"/>
      <c r="S55" s="12"/>
      <c r="T55" s="12"/>
    </row>
    <row r="56" spans="1:20" x14ac:dyDescent="0.2">
      <c r="A56" t="s">
        <v>59</v>
      </c>
      <c r="D56" s="1" t="s">
        <v>93</v>
      </c>
      <c r="E56" s="60">
        <f>SUMIF('Report Data'!$A:$A,PL!$A56,'Report Data'!B:B)</f>
        <v>30456291</v>
      </c>
      <c r="F56" s="60">
        <f>SUMIF('Report Data'!$A:$A,PL!$A56,'Report Data'!D:D)</f>
        <v>29955500.000000011</v>
      </c>
      <c r="G56" s="60">
        <f>SUMIF('Report Data'!$A:$A,PL!$A56,'Report Data'!F:F)</f>
        <v>32924457</v>
      </c>
      <c r="H56" s="60">
        <f>SUMIF('Report Data'!$A:$A,PL!$A56,'Report Data'!H:H)</f>
        <v>60314127.079999998</v>
      </c>
      <c r="I56" s="60">
        <f>SUMIF('Report Data'!$A:$A,PL!$A56,'Report Data'!J:J)</f>
        <v>33799507.999999985</v>
      </c>
      <c r="J56" s="60">
        <f>SUMIF('Report Data'!$A:$A,PL!$A56,'Report Data'!L:L)</f>
        <v>62977333</v>
      </c>
      <c r="K56" s="60">
        <f>SUMIF('Report Data'!$A:$A,PL!$A56,'Report Data'!N:N)</f>
        <v>36452229.999999993</v>
      </c>
      <c r="L56" s="60">
        <f>SUMIF('Report Data'!$A:$A,PL!$A56,'Report Data'!P:P)</f>
        <v>67907867.579999998</v>
      </c>
      <c r="M56" s="60">
        <f>SUMIF('Report Data'!$A:$A,PL!$A56,'Report Data'!R:R)</f>
        <v>65001037.000000007</v>
      </c>
      <c r="N56" s="60">
        <f>SUMIF('Report Data'!$A:$A,PL!$A56,'Report Data'!T:T)</f>
        <v>65001037.000000007</v>
      </c>
      <c r="O56" s="60">
        <f>SUMIF('Report Data'!$A:$A,PL!$A56,'Report Data'!V:V)</f>
        <v>68065669.999999985</v>
      </c>
      <c r="Q56" s="12"/>
      <c r="R56" s="71">
        <f t="shared" ref="R56:R79" si="15">IF(M56&gt;0,((N56/M56)-1),IF(AND(M56=0,N56&gt;0),100%,IF(AND(M56=0,N56&lt;0),-100%,IF(AND(M56=0,N56=0),0%,((N56/(M56))-1)*-1))))</f>
        <v>0</v>
      </c>
      <c r="S56" s="12">
        <f t="shared" si="0"/>
        <v>4.7147447816870525E-2</v>
      </c>
      <c r="T56" s="12">
        <f t="shared" ref="T56:T79" si="16">IF(N56&gt;0,((O56/N56)-1),IF(AND(N56=0,O56&gt;0),100%,IF(AND(N56=0,O56&lt;0),-100%,IF(AND(N56=0,O56=0),0%,((O56/(N56))-1)*-1))))</f>
        <v>4.7147447816870525E-2</v>
      </c>
    </row>
    <row r="57" spans="1:20" x14ac:dyDescent="0.2">
      <c r="A57" t="s">
        <v>60</v>
      </c>
      <c r="D57" s="1" t="s">
        <v>94</v>
      </c>
      <c r="E57" s="60">
        <f>SUMIF('Report Data'!$A:$A,PL!$A57,'Report Data'!B:B)</f>
        <v>7846896.9999999991</v>
      </c>
      <c r="F57" s="60">
        <f>SUMIF('Report Data'!$A:$A,PL!$A57,'Report Data'!D:D)</f>
        <v>8578239.5100000016</v>
      </c>
      <c r="G57" s="60">
        <f>SUMIF('Report Data'!$A:$A,PL!$A57,'Report Data'!F:F)</f>
        <v>9741773</v>
      </c>
      <c r="H57" s="60">
        <f>SUMIF('Report Data'!$A:$A,PL!$A57,'Report Data'!H:H)</f>
        <v>0</v>
      </c>
      <c r="I57" s="60">
        <f>SUMIF('Report Data'!$A:$A,PL!$A57,'Report Data'!J:J)</f>
        <v>11405808.999999993</v>
      </c>
      <c r="J57" s="60">
        <f>SUMIF('Report Data'!$A:$A,PL!$A57,'Report Data'!L:L)</f>
        <v>0</v>
      </c>
      <c r="K57" s="60">
        <f>SUMIF('Report Data'!$A:$A,PL!$A57,'Report Data'!N:N)</f>
        <v>12417276</v>
      </c>
      <c r="L57" s="60">
        <f>SUMIF('Report Data'!$A:$A,PL!$A57,'Report Data'!P:P)</f>
        <v>0</v>
      </c>
      <c r="M57" s="60">
        <f>SUMIF('Report Data'!$A:$A,PL!$A57,'Report Data'!R:R)</f>
        <v>0</v>
      </c>
      <c r="N57" s="60">
        <f>SUMIF('Report Data'!$A:$A,PL!$A57,'Report Data'!T:T)</f>
        <v>0</v>
      </c>
      <c r="O57" s="60">
        <f>SUMIF('Report Data'!$A:$A,PL!$A57,'Report Data'!V:V)</f>
        <v>0</v>
      </c>
      <c r="Q57" s="12"/>
      <c r="R57" s="71">
        <f t="shared" si="15"/>
        <v>0</v>
      </c>
      <c r="S57" s="12">
        <f t="shared" si="0"/>
        <v>0</v>
      </c>
      <c r="T57" s="12">
        <f t="shared" si="16"/>
        <v>0</v>
      </c>
    </row>
    <row r="58" spans="1:20" x14ac:dyDescent="0.2">
      <c r="A58" t="s">
        <v>61</v>
      </c>
      <c r="D58" s="1" t="s">
        <v>95</v>
      </c>
      <c r="E58" s="60">
        <f>SUMIF('Report Data'!$A:$A,PL!$A58,'Report Data'!B:B)</f>
        <v>0</v>
      </c>
      <c r="F58" s="60">
        <f>SUMIF('Report Data'!$A:$A,PL!$A58,'Report Data'!D:D)</f>
        <v>0</v>
      </c>
      <c r="G58" s="60">
        <f>SUMIF('Report Data'!$A:$A,PL!$A58,'Report Data'!F:F)</f>
        <v>0</v>
      </c>
      <c r="H58" s="60">
        <f>SUMIF('Report Data'!$A:$A,PL!$A58,'Report Data'!H:H)</f>
        <v>0</v>
      </c>
      <c r="I58" s="60">
        <f>SUMIF('Report Data'!$A:$A,PL!$A58,'Report Data'!J:J)</f>
        <v>0</v>
      </c>
      <c r="J58" s="60">
        <f>SUMIF('Report Data'!$A:$A,PL!$A58,'Report Data'!L:L)</f>
        <v>0</v>
      </c>
      <c r="K58" s="60">
        <f>SUMIF('Report Data'!$A:$A,PL!$A58,'Report Data'!N:N)</f>
        <v>0</v>
      </c>
      <c r="L58" s="60">
        <f>SUMIF('Report Data'!$A:$A,PL!$A58,'Report Data'!P:P)</f>
        <v>0</v>
      </c>
      <c r="M58" s="60">
        <f>SUMIF('Report Data'!$A:$A,PL!$A58,'Report Data'!R:R)</f>
        <v>0</v>
      </c>
      <c r="N58" s="60">
        <f>SUMIF('Report Data'!$A:$A,PL!$A58,'Report Data'!T:T)</f>
        <v>0</v>
      </c>
      <c r="O58" s="60">
        <f>SUMIF('Report Data'!$A:$A,PL!$A58,'Report Data'!V:V)</f>
        <v>0</v>
      </c>
      <c r="Q58" s="12"/>
      <c r="R58" s="71">
        <f t="shared" si="15"/>
        <v>0</v>
      </c>
      <c r="S58" s="12">
        <f t="shared" si="0"/>
        <v>0</v>
      </c>
      <c r="T58" s="12">
        <f t="shared" si="16"/>
        <v>0</v>
      </c>
    </row>
    <row r="59" spans="1:20" x14ac:dyDescent="0.2">
      <c r="A59" t="s">
        <v>182</v>
      </c>
      <c r="D59" s="1" t="s">
        <v>96</v>
      </c>
      <c r="E59" s="60">
        <f>SUMIF('Report Data'!$A:$A,PL!$A59,'Report Data'!B:B)</f>
        <v>19220412.999999993</v>
      </c>
      <c r="F59" s="60">
        <f>SUMIF('Report Data'!$A:$A,PL!$A59,'Report Data'!D:D)</f>
        <v>19966791.000000004</v>
      </c>
      <c r="G59" s="60">
        <f>SUMIF('Report Data'!$A:$A,PL!$A59,'Report Data'!F:F)</f>
        <v>18671941</v>
      </c>
      <c r="H59" s="60">
        <f>SUMIF('Report Data'!$A:$A,PL!$A59,'Report Data'!H:H)</f>
        <v>0</v>
      </c>
      <c r="I59" s="60">
        <f>SUMIF('Report Data'!$A:$A,PL!$A59,'Report Data'!J:J)</f>
        <v>17172724.000000004</v>
      </c>
      <c r="J59" s="60">
        <f>SUMIF('Report Data'!$A:$A,PL!$A59,'Report Data'!L:L)</f>
        <v>0</v>
      </c>
      <c r="K59" s="60">
        <f>SUMIF('Report Data'!$A:$A,PL!$A59,'Report Data'!N:N)</f>
        <v>18534209</v>
      </c>
      <c r="L59" s="60">
        <f>SUMIF('Report Data'!$A:$A,PL!$A59,'Report Data'!P:P)</f>
        <v>0</v>
      </c>
      <c r="M59" s="60">
        <f>SUMIF('Report Data'!$A:$A,PL!$A59,'Report Data'!R:R)</f>
        <v>0</v>
      </c>
      <c r="N59" s="60">
        <f>SUMIF('Report Data'!$A:$A,PL!$A59,'Report Data'!T:T)</f>
        <v>0</v>
      </c>
      <c r="O59" s="60">
        <f>SUMIF('Report Data'!$A:$A,PL!$A59,'Report Data'!V:V)</f>
        <v>0</v>
      </c>
      <c r="Q59" s="12"/>
      <c r="R59" s="71">
        <f t="shared" si="15"/>
        <v>0</v>
      </c>
      <c r="S59" s="12">
        <f t="shared" si="0"/>
        <v>0</v>
      </c>
      <c r="T59" s="12">
        <f t="shared" si="16"/>
        <v>0</v>
      </c>
    </row>
    <row r="60" spans="1:20" x14ac:dyDescent="0.2">
      <c r="A60" t="s">
        <v>62</v>
      </c>
      <c r="D60" s="1" t="s">
        <v>97</v>
      </c>
      <c r="E60" s="60">
        <f>SUMIF('Report Data'!$A:$A,PL!$A60,'Report Data'!B:B)</f>
        <v>5038058</v>
      </c>
      <c r="F60" s="60">
        <f>SUMIF('Report Data'!$A:$A,PL!$A60,'Report Data'!D:D)</f>
        <v>5006381.5</v>
      </c>
      <c r="G60" s="60">
        <f>SUMIF('Report Data'!$A:$A,PL!$A60,'Report Data'!F:F)</f>
        <v>5517700</v>
      </c>
      <c r="H60" s="60">
        <f>SUMIF('Report Data'!$A:$A,PL!$A60,'Report Data'!H:H)</f>
        <v>4680807</v>
      </c>
      <c r="I60" s="60">
        <f>SUMIF('Report Data'!$A:$A,PL!$A60,'Report Data'!J:J)</f>
        <v>5526036</v>
      </c>
      <c r="J60" s="60">
        <f>SUMIF('Report Data'!$A:$A,PL!$A60,'Report Data'!L:L)</f>
        <v>5396960.5800000001</v>
      </c>
      <c r="K60" s="60">
        <f>SUMIF('Report Data'!$A:$A,PL!$A60,'Report Data'!N:N)</f>
        <v>6385260</v>
      </c>
      <c r="L60" s="60">
        <f>SUMIF('Report Data'!$A:$A,PL!$A60,'Report Data'!P:P)</f>
        <v>5758093.0199999996</v>
      </c>
      <c r="M60" s="60">
        <f>SUMIF('Report Data'!$A:$A,PL!$A60,'Report Data'!R:R)</f>
        <v>5721126</v>
      </c>
      <c r="N60" s="60">
        <f>SUMIF('Report Data'!$A:$A,PL!$A60,'Report Data'!T:T)</f>
        <v>5721126</v>
      </c>
      <c r="O60" s="60">
        <f>SUMIF('Report Data'!$A:$A,PL!$A60,'Report Data'!V:V)</f>
        <v>6319148.7999999998</v>
      </c>
      <c r="Q60" s="12"/>
      <c r="R60" s="71">
        <f t="shared" si="15"/>
        <v>0</v>
      </c>
      <c r="S60" s="12">
        <f t="shared" si="0"/>
        <v>0.10452886372367964</v>
      </c>
      <c r="T60" s="12">
        <f t="shared" si="16"/>
        <v>0.10452886372367964</v>
      </c>
    </row>
    <row r="61" spans="1:20" x14ac:dyDescent="0.2">
      <c r="A61" t="s">
        <v>216</v>
      </c>
      <c r="D61" s="1" t="s">
        <v>98</v>
      </c>
      <c r="E61" s="60">
        <f>SUMIF('Report Data'!$A:$A,PL!$A61,'Report Data'!B:B)</f>
        <v>4280871</v>
      </c>
      <c r="F61" s="60">
        <f>SUMIF('Report Data'!$A:$A,PL!$A61,'Report Data'!D:D)</f>
        <v>4237777</v>
      </c>
      <c r="G61" s="60">
        <f>SUMIF('Report Data'!$A:$A,PL!$A61,'Report Data'!F:F)</f>
        <v>4500339.9999999991</v>
      </c>
      <c r="H61" s="60">
        <f>SUMIF('Report Data'!$A:$A,PL!$A61,'Report Data'!H:H)</f>
        <v>3924803.16</v>
      </c>
      <c r="I61" s="60">
        <f>SUMIF('Report Data'!$A:$A,PL!$A61,'Report Data'!J:J)</f>
        <v>4270607</v>
      </c>
      <c r="J61" s="60">
        <f>SUMIF('Report Data'!$A:$A,PL!$A61,'Report Data'!L:L)</f>
        <v>3970094.59</v>
      </c>
      <c r="K61" s="60">
        <f>SUMIF('Report Data'!$A:$A,PL!$A61,'Report Data'!N:N)</f>
        <v>4062533.0000000005</v>
      </c>
      <c r="L61" s="60">
        <f>SUMIF('Report Data'!$A:$A,PL!$A61,'Report Data'!P:P)</f>
        <v>4411402.29</v>
      </c>
      <c r="M61" s="60">
        <f>SUMIF('Report Data'!$A:$A,PL!$A61,'Report Data'!R:R)</f>
        <v>3852273.9999999991</v>
      </c>
      <c r="N61" s="60">
        <f>SUMIF('Report Data'!$A:$A,PL!$A61,'Report Data'!T:T)</f>
        <v>3852273.9999999991</v>
      </c>
      <c r="O61" s="60">
        <f>SUMIF('Report Data'!$A:$A,PL!$A61,'Report Data'!V:V)</f>
        <v>4017315.7600000002</v>
      </c>
      <c r="Q61" s="12"/>
      <c r="R61" s="71">
        <f t="shared" si="15"/>
        <v>0</v>
      </c>
      <c r="S61" s="12">
        <f t="shared" si="0"/>
        <v>4.2842684606547055E-2</v>
      </c>
      <c r="T61" s="12">
        <f t="shared" si="16"/>
        <v>4.2842684606547055E-2</v>
      </c>
    </row>
    <row r="62" spans="1:20" x14ac:dyDescent="0.2">
      <c r="A62" t="s">
        <v>64</v>
      </c>
      <c r="D62" s="1" t="s">
        <v>99</v>
      </c>
      <c r="E62" s="60">
        <f>SUMIF('Report Data'!$A:$A,PL!$A62,'Report Data'!B:B)</f>
        <v>0</v>
      </c>
      <c r="F62" s="60">
        <f>SUMIF('Report Data'!$A:$A,PL!$A62,'Report Data'!D:D)</f>
        <v>0</v>
      </c>
      <c r="G62" s="60">
        <f>SUMIF('Report Data'!$A:$A,PL!$A62,'Report Data'!F:F)</f>
        <v>0</v>
      </c>
      <c r="H62" s="60">
        <f>SUMIF('Report Data'!$A:$A,PL!$A62,'Report Data'!H:H)</f>
        <v>0</v>
      </c>
      <c r="I62" s="60">
        <f>SUMIF('Report Data'!$A:$A,PL!$A62,'Report Data'!J:J)</f>
        <v>0</v>
      </c>
      <c r="J62" s="60">
        <f>SUMIF('Report Data'!$A:$A,PL!$A62,'Report Data'!L:L)</f>
        <v>0</v>
      </c>
      <c r="K62" s="60">
        <f>SUMIF('Report Data'!$A:$A,PL!$A62,'Report Data'!N:N)</f>
        <v>0</v>
      </c>
      <c r="L62" s="60">
        <f>SUMIF('Report Data'!$A:$A,PL!$A62,'Report Data'!P:P)</f>
        <v>0</v>
      </c>
      <c r="M62" s="60">
        <f>SUMIF('Report Data'!$A:$A,PL!$A62,'Report Data'!R:R)</f>
        <v>0</v>
      </c>
      <c r="N62" s="60">
        <f>SUMIF('Report Data'!$A:$A,PL!$A62,'Report Data'!T:T)</f>
        <v>0</v>
      </c>
      <c r="O62" s="60">
        <f>SUMIF('Report Data'!$A:$A,PL!$A62,'Report Data'!V:V)</f>
        <v>0</v>
      </c>
      <c r="Q62" s="12"/>
      <c r="R62" s="71">
        <f t="shared" si="15"/>
        <v>0</v>
      </c>
      <c r="S62" s="12">
        <f t="shared" si="0"/>
        <v>0</v>
      </c>
      <c r="T62" s="12">
        <f t="shared" si="16"/>
        <v>0</v>
      </c>
    </row>
    <row r="63" spans="1:20" x14ac:dyDescent="0.2">
      <c r="A63" t="s">
        <v>65</v>
      </c>
      <c r="D63" s="1" t="s">
        <v>100</v>
      </c>
      <c r="E63" s="60">
        <f>SUMIF('Report Data'!$A:$A,PL!$A63,'Report Data'!B:B)</f>
        <v>546938.00000000012</v>
      </c>
      <c r="F63" s="60">
        <f>SUMIF('Report Data'!$A:$A,PL!$A63,'Report Data'!D:D)</f>
        <v>136985.00000000003</v>
      </c>
      <c r="G63" s="60">
        <f>SUMIF('Report Data'!$A:$A,PL!$A63,'Report Data'!F:F)</f>
        <v>463314.99999999994</v>
      </c>
      <c r="H63" s="60">
        <f>SUMIF('Report Data'!$A:$A,PL!$A63,'Report Data'!H:H)</f>
        <v>127650.07</v>
      </c>
      <c r="I63" s="60">
        <f>SUMIF('Report Data'!$A:$A,PL!$A63,'Report Data'!J:J)</f>
        <v>449045.99999999994</v>
      </c>
      <c r="J63" s="60">
        <f>SUMIF('Report Data'!$A:$A,PL!$A63,'Report Data'!L:L)</f>
        <v>110385</v>
      </c>
      <c r="K63" s="60">
        <f>SUMIF('Report Data'!$A:$A,PL!$A63,'Report Data'!N:N)</f>
        <v>482265</v>
      </c>
      <c r="L63" s="60">
        <f>SUMIF('Report Data'!$A:$A,PL!$A63,'Report Data'!P:P)</f>
        <v>-91759.449999999953</v>
      </c>
      <c r="M63" s="60">
        <f>SUMIF('Report Data'!$A:$A,PL!$A63,'Report Data'!R:R)</f>
        <v>460787.00000000006</v>
      </c>
      <c r="N63" s="60">
        <f>SUMIF('Report Data'!$A:$A,PL!$A63,'Report Data'!T:T)</f>
        <v>460787.00000000006</v>
      </c>
      <c r="O63" s="60">
        <f>SUMIF('Report Data'!$A:$A,PL!$A63,'Report Data'!V:V)</f>
        <v>479892.99999999994</v>
      </c>
      <c r="Q63" s="12"/>
      <c r="R63" s="71">
        <f t="shared" si="15"/>
        <v>0</v>
      </c>
      <c r="S63" s="12">
        <f t="shared" si="0"/>
        <v>4.1463843380997956E-2</v>
      </c>
      <c r="T63" s="12">
        <f t="shared" si="16"/>
        <v>4.1463843380997956E-2</v>
      </c>
    </row>
    <row r="64" spans="1:20" x14ac:dyDescent="0.2">
      <c r="A64" t="s">
        <v>198</v>
      </c>
      <c r="D64" s="23" t="s">
        <v>199</v>
      </c>
      <c r="E64" s="60">
        <f>SUMIF('Report Data'!$A:$A,PL!$A64,'Report Data'!B:B)</f>
        <v>23990691.000000015</v>
      </c>
      <c r="F64" s="60">
        <f>SUMIF('Report Data'!$A:$A,PL!$A64,'Report Data'!D:D)</f>
        <v>24799979.979999993</v>
      </c>
      <c r="G64" s="60">
        <f>SUMIF('Report Data'!$A:$A,PL!$A64,'Report Data'!F:F)</f>
        <v>24235568</v>
      </c>
      <c r="H64" s="60">
        <f>SUMIF('Report Data'!$A:$A,PL!$A64,'Report Data'!H:H)</f>
        <v>26106504.610000003</v>
      </c>
      <c r="I64" s="60">
        <f>SUMIF('Report Data'!$A:$A,PL!$A64,'Report Data'!J:J)</f>
        <v>24236756.000000004</v>
      </c>
      <c r="J64" s="60">
        <f>SUMIF('Report Data'!$A:$A,PL!$A64,'Report Data'!L:L)</f>
        <v>32322766.990000002</v>
      </c>
      <c r="K64" s="60">
        <f>SUMIF('Report Data'!$A:$A,PL!$A64,'Report Data'!N:N)</f>
        <v>30146616</v>
      </c>
      <c r="L64" s="60">
        <f>SUMIF('Report Data'!$A:$A,PL!$A64,'Report Data'!P:P)</f>
        <v>34720736.010000005</v>
      </c>
      <c r="M64" s="60">
        <f>SUMIF('Report Data'!$A:$A,PL!$A64,'Report Data'!R:R)</f>
        <v>39105916</v>
      </c>
      <c r="N64" s="60">
        <f>SUMIF('Report Data'!$A:$A,PL!$A64,'Report Data'!T:T)</f>
        <v>39105916</v>
      </c>
      <c r="O64" s="60">
        <f>SUMIF('Report Data'!$A:$A,PL!$A64,'Report Data'!V:V)</f>
        <v>40412437.100000001</v>
      </c>
      <c r="Q64" s="12"/>
      <c r="R64" s="71">
        <f t="shared" si="15"/>
        <v>0</v>
      </c>
      <c r="S64" s="12">
        <f t="shared" si="0"/>
        <v>3.3409806843547774E-2</v>
      </c>
      <c r="T64" s="12">
        <f t="shared" si="16"/>
        <v>3.3409806843547774E-2</v>
      </c>
    </row>
    <row r="65" spans="1:20" x14ac:dyDescent="0.2">
      <c r="A65" t="s">
        <v>185</v>
      </c>
      <c r="D65" s="1" t="str">
        <f>"    "&amp;UPPER(MID(A65,FIND("]",A65)+1,LEN(A65)-FIND("]",A65)+1))</f>
        <v xml:space="preserve">     ACO DUES</v>
      </c>
      <c r="E65" s="60">
        <f>SUMIF('Report Data'!$A:$A,PL!$A65,'Report Data'!B:B)</f>
        <v>0</v>
      </c>
      <c r="F65" s="60">
        <f>SUMIF('Report Data'!$A:$A,PL!$A65,'Report Data'!D:D)</f>
        <v>279102</v>
      </c>
      <c r="G65" s="60">
        <f>SUMIF('Report Data'!$A:$A,PL!$A65,'Report Data'!F:F)</f>
        <v>427122</v>
      </c>
      <c r="H65" s="60">
        <f>SUMIF('Report Data'!$A:$A,PL!$A65,'Report Data'!H:H)</f>
        <v>192725.3</v>
      </c>
      <c r="I65" s="60">
        <f>SUMIF('Report Data'!$A:$A,PL!$A65,'Report Data'!J:J)</f>
        <v>324334</v>
      </c>
      <c r="J65" s="60">
        <f>SUMIF('Report Data'!$A:$A,PL!$A65,'Report Data'!L:L)</f>
        <v>161941.95000000004</v>
      </c>
      <c r="K65" s="60">
        <f>SUMIF('Report Data'!$A:$A,PL!$A65,'Report Data'!N:N)</f>
        <v>430116</v>
      </c>
      <c r="L65" s="60">
        <f>SUMIF('Report Data'!$A:$A,PL!$A65,'Report Data'!P:P)</f>
        <v>0</v>
      </c>
      <c r="M65" s="60">
        <f>SUMIF('Report Data'!$A:$A,PL!$A65,'Report Data'!R:R)</f>
        <v>430116</v>
      </c>
      <c r="N65" s="60">
        <f>SUMIF('Report Data'!$A:$A,PL!$A65,'Report Data'!T:T)</f>
        <v>430116</v>
      </c>
      <c r="O65" s="60">
        <f>SUMIF('Report Data'!$A:$A,PL!$A65,'Report Data'!V:V)</f>
        <v>0</v>
      </c>
      <c r="Q65" s="12"/>
      <c r="R65" s="71">
        <f t="shared" ref="R65:R77" si="17">IF(M65&gt;0,((N65/M65)-1),IF(AND(M65=0,N65&gt;0),100%,IF(AND(M65=0,N65&lt;0),-100%,IF(AND(M65=0,N65=0),0%,((N65/(M65))-1)*-1))))</f>
        <v>0</v>
      </c>
      <c r="S65" s="12">
        <f t="shared" ref="S65:S77" si="18">IF(M65&gt;0,((O65/M65)-1),IF(AND(M65=0,O65&gt;0),100%,IF(AND(M65=0,O65&lt;0),-100%,IF(AND(M65=0,O65=0),0%,((O65/(M65))-1)*-1))))</f>
        <v>-1</v>
      </c>
      <c r="T65" s="12">
        <f t="shared" ref="T65:T77" si="19">IF(N65&gt;0,((O65/N65)-1),IF(AND(N65=0,O65&gt;0),100%,IF(AND(N65=0,O65&lt;0),-100%,IF(AND(N65=0,O65=0),0%,((O65/(N65))-1)*-1))))</f>
        <v>-1</v>
      </c>
    </row>
    <row r="66" spans="1:20" x14ac:dyDescent="0.2">
      <c r="A66" t="s">
        <v>186</v>
      </c>
      <c r="D66" s="1" t="str">
        <f t="shared" ref="D66:D77" si="20">"    "&amp;UPPER(MID(A66,FIND("]",A66)+1,LEN(A66)-FIND("]",A66)+1))</f>
        <v xml:space="preserve">     COMMUNITY FOUNDATION DONATION</v>
      </c>
      <c r="E66" s="60">
        <f>SUMIF('Report Data'!$A:$A,PL!$A66,'Report Data'!B:B)</f>
        <v>0</v>
      </c>
      <c r="F66" s="60">
        <f>SUMIF('Report Data'!$A:$A,PL!$A66,'Report Data'!D:D)</f>
        <v>0</v>
      </c>
      <c r="G66" s="60">
        <f>SUMIF('Report Data'!$A:$A,PL!$A66,'Report Data'!F:F)</f>
        <v>0</v>
      </c>
      <c r="H66" s="60">
        <f>SUMIF('Report Data'!$A:$A,PL!$A66,'Report Data'!H:H)</f>
        <v>0</v>
      </c>
      <c r="I66" s="60">
        <f>SUMIF('Report Data'!$A:$A,PL!$A66,'Report Data'!J:J)</f>
        <v>0</v>
      </c>
      <c r="J66" s="60">
        <f>SUMIF('Report Data'!$A:$A,PL!$A66,'Report Data'!L:L)</f>
        <v>0</v>
      </c>
      <c r="K66" s="60">
        <f>SUMIF('Report Data'!$A:$A,PL!$A66,'Report Data'!N:N)</f>
        <v>0</v>
      </c>
      <c r="L66" s="60">
        <f>SUMIF('Report Data'!$A:$A,PL!$A66,'Report Data'!P:P)</f>
        <v>0</v>
      </c>
      <c r="M66" s="60">
        <f>SUMIF('Report Data'!$A:$A,PL!$A66,'Report Data'!R:R)</f>
        <v>0</v>
      </c>
      <c r="N66" s="60">
        <f>SUMIF('Report Data'!$A:$A,PL!$A66,'Report Data'!T:T)</f>
        <v>0</v>
      </c>
      <c r="O66" s="60">
        <f>SUMIF('Report Data'!$A:$A,PL!$A66,'Report Data'!V:V)</f>
        <v>0</v>
      </c>
      <c r="Q66" s="12"/>
      <c r="R66" s="71">
        <f t="shared" si="17"/>
        <v>0</v>
      </c>
      <c r="S66" s="12">
        <f t="shared" si="18"/>
        <v>0</v>
      </c>
      <c r="T66" s="12">
        <f t="shared" si="19"/>
        <v>0</v>
      </c>
    </row>
    <row r="67" spans="1:20" x14ac:dyDescent="0.2">
      <c r="A67" t="s">
        <v>187</v>
      </c>
      <c r="D67" s="1" t="str">
        <f t="shared" si="20"/>
        <v xml:space="preserve">     INSURANCE</v>
      </c>
      <c r="E67" s="60">
        <f>SUMIF('Report Data'!$A:$A,PL!$A67,'Report Data'!B:B)</f>
        <v>595300</v>
      </c>
      <c r="F67" s="60">
        <f>SUMIF('Report Data'!$A:$A,PL!$A67,'Report Data'!D:D)</f>
        <v>383333.00000000006</v>
      </c>
      <c r="G67" s="60">
        <f>SUMIF('Report Data'!$A:$A,PL!$A67,'Report Data'!F:F)</f>
        <v>600993</v>
      </c>
      <c r="H67" s="60">
        <f>SUMIF('Report Data'!$A:$A,PL!$A67,'Report Data'!H:H)</f>
        <v>0</v>
      </c>
      <c r="I67" s="60">
        <f>SUMIF('Report Data'!$A:$A,PL!$A67,'Report Data'!J:J)</f>
        <v>457743</v>
      </c>
      <c r="J67" s="60">
        <f>SUMIF('Report Data'!$A:$A,PL!$A67,'Report Data'!L:L)</f>
        <v>0</v>
      </c>
      <c r="K67" s="60">
        <f>SUMIF('Report Data'!$A:$A,PL!$A67,'Report Data'!N:N)</f>
        <v>720721.00000000012</v>
      </c>
      <c r="L67" s="60">
        <f>SUMIF('Report Data'!$A:$A,PL!$A67,'Report Data'!P:P)</f>
        <v>0</v>
      </c>
      <c r="M67" s="60">
        <f>SUMIF('Report Data'!$A:$A,PL!$A67,'Report Data'!R:R)</f>
        <v>720721.00000000012</v>
      </c>
      <c r="N67" s="60">
        <f>SUMIF('Report Data'!$A:$A,PL!$A67,'Report Data'!T:T)</f>
        <v>720721.00000000012</v>
      </c>
      <c r="O67" s="60">
        <f>SUMIF('Report Data'!$A:$A,PL!$A67,'Report Data'!V:V)</f>
        <v>0</v>
      </c>
      <c r="Q67" s="12"/>
      <c r="R67" s="71">
        <f t="shared" si="17"/>
        <v>0</v>
      </c>
      <c r="S67" s="12">
        <f t="shared" si="18"/>
        <v>-1</v>
      </c>
      <c r="T67" s="12">
        <f t="shared" si="19"/>
        <v>-1</v>
      </c>
    </row>
    <row r="68" spans="1:20" x14ac:dyDescent="0.2">
      <c r="A68" t="s">
        <v>188</v>
      </c>
      <c r="D68" s="1" t="str">
        <f t="shared" si="20"/>
        <v xml:space="preserve">     MARKETING EXPENSE</v>
      </c>
      <c r="E68" s="60">
        <f>SUMIF('Report Data'!$A:$A,PL!$A68,'Report Data'!B:B)</f>
        <v>70000.000000000015</v>
      </c>
      <c r="F68" s="60">
        <f>SUMIF('Report Data'!$A:$A,PL!$A68,'Report Data'!D:D)</f>
        <v>80337</v>
      </c>
      <c r="G68" s="60">
        <f>SUMIF('Report Data'!$A:$A,PL!$A68,'Report Data'!F:F)</f>
        <v>89561.000000000015</v>
      </c>
      <c r="H68" s="60">
        <f>SUMIF('Report Data'!$A:$A,PL!$A68,'Report Data'!H:H)</f>
        <v>0</v>
      </c>
      <c r="I68" s="60">
        <f>SUMIF('Report Data'!$A:$A,PL!$A68,'Report Data'!J:J)</f>
        <v>99999.999999999956</v>
      </c>
      <c r="J68" s="60">
        <f>SUMIF('Report Data'!$A:$A,PL!$A68,'Report Data'!L:L)</f>
        <v>0</v>
      </c>
      <c r="K68" s="60">
        <f>SUMIF('Report Data'!$A:$A,PL!$A68,'Report Data'!N:N)</f>
        <v>110004</v>
      </c>
      <c r="L68" s="60">
        <f>SUMIF('Report Data'!$A:$A,PL!$A68,'Report Data'!P:P)</f>
        <v>0</v>
      </c>
      <c r="M68" s="60">
        <f>SUMIF('Report Data'!$A:$A,PL!$A68,'Report Data'!R:R)</f>
        <v>110004</v>
      </c>
      <c r="N68" s="60">
        <f>SUMIF('Report Data'!$A:$A,PL!$A68,'Report Data'!T:T)</f>
        <v>110004</v>
      </c>
      <c r="O68" s="60">
        <f>SUMIF('Report Data'!$A:$A,PL!$A68,'Report Data'!V:V)</f>
        <v>0</v>
      </c>
      <c r="Q68" s="12"/>
      <c r="R68" s="71">
        <f t="shared" si="17"/>
        <v>0</v>
      </c>
      <c r="S68" s="12">
        <f t="shared" si="18"/>
        <v>-1</v>
      </c>
      <c r="T68" s="12">
        <f t="shared" si="19"/>
        <v>-1</v>
      </c>
    </row>
    <row r="69" spans="1:20" x14ac:dyDescent="0.2">
      <c r="A69" t="s">
        <v>189</v>
      </c>
      <c r="D69" s="1" t="str">
        <f t="shared" si="20"/>
        <v xml:space="preserve">     MEDICAL/SURGICAL DRUGS AND SUPPLIES</v>
      </c>
      <c r="E69" s="60">
        <f>SUMIF('Report Data'!$A:$A,PL!$A69,'Report Data'!B:B)</f>
        <v>0</v>
      </c>
      <c r="F69" s="60">
        <f>SUMIF('Report Data'!$A:$A,PL!$A69,'Report Data'!D:D)</f>
        <v>0</v>
      </c>
      <c r="G69" s="60">
        <f>SUMIF('Report Data'!$A:$A,PL!$A69,'Report Data'!F:F)</f>
        <v>0</v>
      </c>
      <c r="H69" s="60">
        <f>SUMIF('Report Data'!$A:$A,PL!$A69,'Report Data'!H:H)</f>
        <v>0</v>
      </c>
      <c r="I69" s="60">
        <f>SUMIF('Report Data'!$A:$A,PL!$A69,'Report Data'!J:J)</f>
        <v>0</v>
      </c>
      <c r="J69" s="60">
        <f>SUMIF('Report Data'!$A:$A,PL!$A69,'Report Data'!L:L)</f>
        <v>0</v>
      </c>
      <c r="K69" s="60">
        <f>SUMIF('Report Data'!$A:$A,PL!$A69,'Report Data'!N:N)</f>
        <v>0</v>
      </c>
      <c r="L69" s="60">
        <f>SUMIF('Report Data'!$A:$A,PL!$A69,'Report Data'!P:P)</f>
        <v>0</v>
      </c>
      <c r="M69" s="60">
        <f>SUMIF('Report Data'!$A:$A,PL!$A69,'Report Data'!R:R)</f>
        <v>0</v>
      </c>
      <c r="N69" s="60">
        <f>SUMIF('Report Data'!$A:$A,PL!$A69,'Report Data'!T:T)</f>
        <v>0</v>
      </c>
      <c r="O69" s="60">
        <f>SUMIF('Report Data'!$A:$A,PL!$A69,'Report Data'!V:V)</f>
        <v>0</v>
      </c>
      <c r="Q69" s="12"/>
      <c r="R69" s="71">
        <f t="shared" si="17"/>
        <v>0</v>
      </c>
      <c r="S69" s="12">
        <f t="shared" si="18"/>
        <v>0</v>
      </c>
      <c r="T69" s="12">
        <f t="shared" si="19"/>
        <v>0</v>
      </c>
    </row>
    <row r="70" spans="1:20" x14ac:dyDescent="0.2">
      <c r="A70" t="s">
        <v>190</v>
      </c>
      <c r="D70" s="1" t="str">
        <f t="shared" si="20"/>
        <v xml:space="preserve">     OTHER NONSALARY EXPENSE</v>
      </c>
      <c r="E70" s="60">
        <f>SUMIF('Report Data'!$A:$A,PL!$A70,'Report Data'!B:B)</f>
        <v>23325391.000000015</v>
      </c>
      <c r="F70" s="60">
        <f>SUMIF('Report Data'!$A:$A,PL!$A70,'Report Data'!D:D)</f>
        <v>18378605.999999996</v>
      </c>
      <c r="G70" s="60">
        <f>SUMIF('Report Data'!$A:$A,PL!$A70,'Report Data'!F:F)</f>
        <v>22817892</v>
      </c>
      <c r="H70" s="60">
        <f>SUMIF('Report Data'!$A:$A,PL!$A70,'Report Data'!H:H)</f>
        <v>19920452.690000001</v>
      </c>
      <c r="I70" s="60">
        <f>SUMIF('Report Data'!$A:$A,PL!$A70,'Report Data'!J:J)</f>
        <v>18661441.000000004</v>
      </c>
      <c r="J70" s="60">
        <f>SUMIF('Report Data'!$A:$A,PL!$A70,'Report Data'!L:L)</f>
        <v>17632462.000000004</v>
      </c>
      <c r="K70" s="60">
        <f>SUMIF('Report Data'!$A:$A,PL!$A70,'Report Data'!N:N)</f>
        <v>19076874</v>
      </c>
      <c r="L70" s="60">
        <f>SUMIF('Report Data'!$A:$A,PL!$A70,'Report Data'!P:P)</f>
        <v>24701427.000000004</v>
      </c>
      <c r="M70" s="60">
        <f>SUMIF('Report Data'!$A:$A,PL!$A70,'Report Data'!R:R)</f>
        <v>30691173</v>
      </c>
      <c r="N70" s="60">
        <f>SUMIF('Report Data'!$A:$A,PL!$A70,'Report Data'!T:T)</f>
        <v>30691173</v>
      </c>
      <c r="O70" s="60">
        <f>SUMIF('Report Data'!$A:$A,PL!$A70,'Report Data'!V:V)</f>
        <v>32511203.000000004</v>
      </c>
      <c r="Q70" s="12"/>
      <c r="R70" s="71">
        <f t="shared" si="17"/>
        <v>0</v>
      </c>
      <c r="S70" s="12">
        <f t="shared" si="18"/>
        <v>5.9301415426513904E-2</v>
      </c>
      <c r="T70" s="12">
        <f t="shared" si="19"/>
        <v>5.9301415426513904E-2</v>
      </c>
    </row>
    <row r="71" spans="1:20" x14ac:dyDescent="0.2">
      <c r="A71" t="s">
        <v>191</v>
      </c>
      <c r="D71" s="1" t="str">
        <f t="shared" si="20"/>
        <v xml:space="preserve">     OTHER PURCHASED SERVICES - CONSULTING</v>
      </c>
      <c r="E71" s="60">
        <f>SUMIF('Report Data'!$A:$A,PL!$A71,'Report Data'!B:B)</f>
        <v>0</v>
      </c>
      <c r="F71" s="60">
        <f>SUMIF('Report Data'!$A:$A,PL!$A71,'Report Data'!D:D)</f>
        <v>0</v>
      </c>
      <c r="G71" s="60">
        <f>SUMIF('Report Data'!$A:$A,PL!$A71,'Report Data'!F:F)</f>
        <v>0</v>
      </c>
      <c r="H71" s="60">
        <f>SUMIF('Report Data'!$A:$A,PL!$A71,'Report Data'!H:H)</f>
        <v>0</v>
      </c>
      <c r="I71" s="60">
        <f>SUMIF('Report Data'!$A:$A,PL!$A71,'Report Data'!J:J)</f>
        <v>0</v>
      </c>
      <c r="J71" s="60">
        <f>SUMIF('Report Data'!$A:$A,PL!$A71,'Report Data'!L:L)</f>
        <v>0</v>
      </c>
      <c r="K71" s="60">
        <f>SUMIF('Report Data'!$A:$A,PL!$A71,'Report Data'!N:N)</f>
        <v>0</v>
      </c>
      <c r="L71" s="60">
        <f>SUMIF('Report Data'!$A:$A,PL!$A71,'Report Data'!P:P)</f>
        <v>0</v>
      </c>
      <c r="M71" s="60">
        <f>SUMIF('Report Data'!$A:$A,PL!$A71,'Report Data'!R:R)</f>
        <v>0</v>
      </c>
      <c r="N71" s="60">
        <f>SUMIF('Report Data'!$A:$A,PL!$A71,'Report Data'!T:T)</f>
        <v>0</v>
      </c>
      <c r="O71" s="60">
        <f>SUMIF('Report Data'!$A:$A,PL!$A71,'Report Data'!V:V)</f>
        <v>0</v>
      </c>
      <c r="Q71" s="12"/>
      <c r="R71" s="71">
        <f t="shared" si="17"/>
        <v>0</v>
      </c>
      <c r="S71" s="12">
        <f t="shared" si="18"/>
        <v>0</v>
      </c>
      <c r="T71" s="12">
        <f t="shared" si="19"/>
        <v>0</v>
      </c>
    </row>
    <row r="72" spans="1:20" x14ac:dyDescent="0.2">
      <c r="A72" t="s">
        <v>192</v>
      </c>
      <c r="D72" s="1" t="str">
        <f t="shared" si="20"/>
        <v xml:space="preserve">     OTHER PURCHASED SERVICES -TRAVELERS</v>
      </c>
      <c r="E72" s="60">
        <f>SUMIF('Report Data'!$A:$A,PL!$A72,'Report Data'!B:B)</f>
        <v>0</v>
      </c>
      <c r="F72" s="60">
        <f>SUMIF('Report Data'!$A:$A,PL!$A72,'Report Data'!D:D)</f>
        <v>927749.49000000011</v>
      </c>
      <c r="G72" s="60">
        <f>SUMIF('Report Data'!$A:$A,PL!$A72,'Report Data'!F:F)</f>
        <v>300000</v>
      </c>
      <c r="H72" s="60">
        <f>SUMIF('Report Data'!$A:$A,PL!$A72,'Report Data'!H:H)</f>
        <v>301518.62</v>
      </c>
      <c r="I72" s="60">
        <f>SUMIF('Report Data'!$A:$A,PL!$A72,'Report Data'!J:J)</f>
        <v>199999.99999999997</v>
      </c>
      <c r="J72" s="60">
        <f>SUMIF('Report Data'!$A:$A,PL!$A72,'Report Data'!L:L)</f>
        <v>4360824.04</v>
      </c>
      <c r="K72" s="60">
        <f>SUMIF('Report Data'!$A:$A,PL!$A72,'Report Data'!N:N)</f>
        <v>3000000</v>
      </c>
      <c r="L72" s="60">
        <f>SUMIF('Report Data'!$A:$A,PL!$A72,'Report Data'!P:P)</f>
        <v>3497548.8099999996</v>
      </c>
      <c r="M72" s="60">
        <f>SUMIF('Report Data'!$A:$A,PL!$A72,'Report Data'!R:R)</f>
        <v>1000000.0000000001</v>
      </c>
      <c r="N72" s="60">
        <f>SUMIF('Report Data'!$A:$A,PL!$A72,'Report Data'!T:T)</f>
        <v>1000000.0000000001</v>
      </c>
      <c r="O72" s="60">
        <f>SUMIF('Report Data'!$A:$A,PL!$A72,'Report Data'!V:V)</f>
        <v>1008660</v>
      </c>
      <c r="Q72" s="12"/>
      <c r="R72" s="71">
        <f t="shared" si="17"/>
        <v>0</v>
      </c>
      <c r="S72" s="12">
        <f t="shared" si="18"/>
        <v>8.65999999999989E-3</v>
      </c>
      <c r="T72" s="12">
        <f t="shared" si="19"/>
        <v>8.65999999999989E-3</v>
      </c>
    </row>
    <row r="73" spans="1:20" x14ac:dyDescent="0.2">
      <c r="A73" t="s">
        <v>193</v>
      </c>
      <c r="D73" s="1" t="str">
        <f t="shared" si="20"/>
        <v xml:space="preserve">     OTHER PURCHASED SERVICES - MISC</v>
      </c>
      <c r="E73" s="60">
        <f>SUMIF('Report Data'!$A:$A,PL!$A73,'Report Data'!B:B)</f>
        <v>0</v>
      </c>
      <c r="F73" s="60">
        <f>SUMIF('Report Data'!$A:$A,PL!$A73,'Report Data'!D:D)</f>
        <v>0</v>
      </c>
      <c r="G73" s="60">
        <f>SUMIF('Report Data'!$A:$A,PL!$A73,'Report Data'!F:F)</f>
        <v>0</v>
      </c>
      <c r="H73" s="60">
        <f>SUMIF('Report Data'!$A:$A,PL!$A73,'Report Data'!H:H)</f>
        <v>0</v>
      </c>
      <c r="I73" s="60">
        <f>SUMIF('Report Data'!$A:$A,PL!$A73,'Report Data'!J:J)</f>
        <v>0</v>
      </c>
      <c r="J73" s="60">
        <f>SUMIF('Report Data'!$A:$A,PL!$A73,'Report Data'!L:L)</f>
        <v>0</v>
      </c>
      <c r="K73" s="60">
        <f>SUMIF('Report Data'!$A:$A,PL!$A73,'Report Data'!N:N)</f>
        <v>0</v>
      </c>
      <c r="L73" s="60">
        <f>SUMIF('Report Data'!$A:$A,PL!$A73,'Report Data'!P:P)</f>
        <v>0</v>
      </c>
      <c r="M73" s="60">
        <f>SUMIF('Report Data'!$A:$A,PL!$A73,'Report Data'!R:R)</f>
        <v>0</v>
      </c>
      <c r="N73" s="60">
        <f>SUMIF('Report Data'!$A:$A,PL!$A73,'Report Data'!T:T)</f>
        <v>0</v>
      </c>
      <c r="O73" s="60">
        <f>SUMIF('Report Data'!$A:$A,PL!$A73,'Report Data'!V:V)</f>
        <v>0</v>
      </c>
      <c r="Q73" s="12"/>
      <c r="R73" s="71">
        <f t="shared" si="17"/>
        <v>0</v>
      </c>
      <c r="S73" s="12">
        <f t="shared" si="18"/>
        <v>0</v>
      </c>
      <c r="T73" s="12">
        <f t="shared" si="19"/>
        <v>0</v>
      </c>
    </row>
    <row r="74" spans="1:20" x14ac:dyDescent="0.2">
      <c r="A74" t="s">
        <v>194</v>
      </c>
      <c r="D74" s="1" t="str">
        <f t="shared" si="20"/>
        <v xml:space="preserve">     OTHER SERVICES</v>
      </c>
      <c r="E74" s="60">
        <f>SUMIF('Report Data'!$A:$A,PL!$A74,'Report Data'!B:B)</f>
        <v>0</v>
      </c>
      <c r="F74" s="60">
        <f>SUMIF('Report Data'!$A:$A,PL!$A74,'Report Data'!D:D)</f>
        <v>0</v>
      </c>
      <c r="G74" s="60">
        <f>SUMIF('Report Data'!$A:$A,PL!$A74,'Report Data'!F:F)</f>
        <v>0</v>
      </c>
      <c r="H74" s="60">
        <f>SUMIF('Report Data'!$A:$A,PL!$A74,'Report Data'!H:H)</f>
        <v>0</v>
      </c>
      <c r="I74" s="60">
        <f>SUMIF('Report Data'!$A:$A,PL!$A74,'Report Data'!J:J)</f>
        <v>0</v>
      </c>
      <c r="J74" s="60">
        <f>SUMIF('Report Data'!$A:$A,PL!$A74,'Report Data'!L:L)</f>
        <v>0</v>
      </c>
      <c r="K74" s="60">
        <f>SUMIF('Report Data'!$A:$A,PL!$A74,'Report Data'!N:N)</f>
        <v>0</v>
      </c>
      <c r="L74" s="60">
        <f>SUMIF('Report Data'!$A:$A,PL!$A74,'Report Data'!P:P)</f>
        <v>0</v>
      </c>
      <c r="M74" s="60">
        <f>SUMIF('Report Data'!$A:$A,PL!$A74,'Report Data'!R:R)</f>
        <v>0</v>
      </c>
      <c r="N74" s="60">
        <f>SUMIF('Report Data'!$A:$A,PL!$A74,'Report Data'!T:T)</f>
        <v>0</v>
      </c>
      <c r="O74" s="60">
        <f>SUMIF('Report Data'!$A:$A,PL!$A74,'Report Data'!V:V)</f>
        <v>0</v>
      </c>
      <c r="Q74" s="12"/>
      <c r="R74" s="71">
        <f t="shared" si="17"/>
        <v>0</v>
      </c>
      <c r="S74" s="12">
        <f t="shared" si="18"/>
        <v>0</v>
      </c>
      <c r="T74" s="12">
        <f t="shared" si="19"/>
        <v>0</v>
      </c>
    </row>
    <row r="75" spans="1:20" x14ac:dyDescent="0.2">
      <c r="A75" t="s">
        <v>195</v>
      </c>
      <c r="D75" s="1" t="str">
        <f t="shared" si="20"/>
        <v xml:space="preserve">     PHARMACEUTICALS</v>
      </c>
      <c r="E75" s="60">
        <f>SUMIF('Report Data'!$A:$A,PL!$A75,'Report Data'!B:B)</f>
        <v>0</v>
      </c>
      <c r="F75" s="60">
        <f>SUMIF('Report Data'!$A:$A,PL!$A75,'Report Data'!D:D)</f>
        <v>4750852.4899999993</v>
      </c>
      <c r="G75" s="60">
        <f>SUMIF('Report Data'!$A:$A,PL!$A75,'Report Data'!F:F)</f>
        <v>0</v>
      </c>
      <c r="H75" s="60">
        <f>SUMIF('Report Data'!$A:$A,PL!$A75,'Report Data'!H:H)</f>
        <v>5691808</v>
      </c>
      <c r="I75" s="60">
        <f>SUMIF('Report Data'!$A:$A,PL!$A75,'Report Data'!J:J)</f>
        <v>4493238</v>
      </c>
      <c r="J75" s="60">
        <f>SUMIF('Report Data'!$A:$A,PL!$A75,'Report Data'!L:L)</f>
        <v>10167539</v>
      </c>
      <c r="K75" s="60">
        <f>SUMIF('Report Data'!$A:$A,PL!$A75,'Report Data'!N:N)</f>
        <v>6808901.0000000009</v>
      </c>
      <c r="L75" s="60">
        <f>SUMIF('Report Data'!$A:$A,PL!$A75,'Report Data'!P:P)</f>
        <v>6521760.2000000002</v>
      </c>
      <c r="M75" s="60">
        <f>SUMIF('Report Data'!$A:$A,PL!$A75,'Report Data'!R:R)</f>
        <v>6153902.0000000009</v>
      </c>
      <c r="N75" s="60">
        <f>SUMIF('Report Data'!$A:$A,PL!$A75,'Report Data'!T:T)</f>
        <v>6153902.0000000009</v>
      </c>
      <c r="O75" s="60">
        <f>SUMIF('Report Data'!$A:$A,PL!$A75,'Report Data'!V:V)</f>
        <v>6892574.0999999987</v>
      </c>
      <c r="Q75" s="12"/>
      <c r="R75" s="71">
        <f t="shared" si="17"/>
        <v>0</v>
      </c>
      <c r="S75" s="12">
        <f t="shared" si="18"/>
        <v>0.12003312694937263</v>
      </c>
      <c r="T75" s="12">
        <f t="shared" si="19"/>
        <v>0.12003312694937263</v>
      </c>
    </row>
    <row r="76" spans="1:20" x14ac:dyDescent="0.2">
      <c r="A76" t="s">
        <v>196</v>
      </c>
      <c r="D76" s="1" t="str">
        <f t="shared" si="20"/>
        <v xml:space="preserve">     UTILITIES</v>
      </c>
      <c r="E76" s="60">
        <f>SUMIF('Report Data'!$A:$A,PL!$A76,'Report Data'!B:B)</f>
        <v>0</v>
      </c>
      <c r="F76" s="60">
        <f>SUMIF('Report Data'!$A:$A,PL!$A76,'Report Data'!D:D)</f>
        <v>0</v>
      </c>
      <c r="G76" s="60">
        <f>SUMIF('Report Data'!$A:$A,PL!$A76,'Report Data'!F:F)</f>
        <v>0</v>
      </c>
      <c r="H76" s="60">
        <f>SUMIF('Report Data'!$A:$A,PL!$A76,'Report Data'!H:H)</f>
        <v>0</v>
      </c>
      <c r="I76" s="60">
        <f>SUMIF('Report Data'!$A:$A,PL!$A76,'Report Data'!J:J)</f>
        <v>0</v>
      </c>
      <c r="J76" s="60">
        <f>SUMIF('Report Data'!$A:$A,PL!$A76,'Report Data'!L:L)</f>
        <v>0</v>
      </c>
      <c r="K76" s="60">
        <f>SUMIF('Report Data'!$A:$A,PL!$A76,'Report Data'!N:N)</f>
        <v>0</v>
      </c>
      <c r="L76" s="60">
        <f>SUMIF('Report Data'!$A:$A,PL!$A76,'Report Data'!P:P)</f>
        <v>0</v>
      </c>
      <c r="M76" s="60">
        <f>SUMIF('Report Data'!$A:$A,PL!$A76,'Report Data'!R:R)</f>
        <v>0</v>
      </c>
      <c r="N76" s="60">
        <f>SUMIF('Report Data'!$A:$A,PL!$A76,'Report Data'!T:T)</f>
        <v>0</v>
      </c>
      <c r="O76" s="60">
        <f>SUMIF('Report Data'!$A:$A,PL!$A76,'Report Data'!V:V)</f>
        <v>0</v>
      </c>
      <c r="Q76" s="12"/>
      <c r="R76" s="71">
        <f t="shared" si="17"/>
        <v>0</v>
      </c>
      <c r="S76" s="12">
        <f t="shared" si="18"/>
        <v>0</v>
      </c>
      <c r="T76" s="12">
        <f t="shared" si="19"/>
        <v>0</v>
      </c>
    </row>
    <row r="77" spans="1:20" x14ac:dyDescent="0.2">
      <c r="A77" t="s">
        <v>197</v>
      </c>
      <c r="D77" s="1" t="str">
        <f t="shared" si="20"/>
        <v xml:space="preserve">     BAD DEBT NON-PATIENT</v>
      </c>
      <c r="E77" s="60">
        <f>SUMIF('Report Data'!$A:$A,PL!$A77,'Report Data'!B:B)</f>
        <v>0</v>
      </c>
      <c r="F77" s="60">
        <f>SUMIF('Report Data'!$A:$A,PL!$A77,'Report Data'!D:D)</f>
        <v>0</v>
      </c>
      <c r="G77" s="60">
        <f>SUMIF('Report Data'!$A:$A,PL!$A77,'Report Data'!F:F)</f>
        <v>0</v>
      </c>
      <c r="H77" s="60">
        <f>SUMIF('Report Data'!$A:$A,PL!$A77,'Report Data'!H:H)</f>
        <v>0</v>
      </c>
      <c r="I77" s="60">
        <f>SUMIF('Report Data'!$A:$A,PL!$A77,'Report Data'!J:J)</f>
        <v>0</v>
      </c>
      <c r="J77" s="60">
        <f>SUMIF('Report Data'!$A:$A,PL!$A77,'Report Data'!L:L)</f>
        <v>0</v>
      </c>
      <c r="K77" s="60">
        <f>SUMIF('Report Data'!$A:$A,PL!$A77,'Report Data'!N:N)</f>
        <v>0</v>
      </c>
      <c r="L77" s="60">
        <f>SUMIF('Report Data'!$A:$A,PL!$A77,'Report Data'!P:P)</f>
        <v>0</v>
      </c>
      <c r="M77" s="60">
        <f>SUMIF('Report Data'!$A:$A,PL!$A77,'Report Data'!R:R)</f>
        <v>0</v>
      </c>
      <c r="N77" s="60">
        <f>SUMIF('Report Data'!$A:$A,PL!$A77,'Report Data'!T:T)</f>
        <v>0</v>
      </c>
      <c r="O77" s="60">
        <f>SUMIF('Report Data'!$A:$A,PL!$A77,'Report Data'!V:V)</f>
        <v>0</v>
      </c>
      <c r="Q77" s="12"/>
      <c r="R77" s="71">
        <f t="shared" si="17"/>
        <v>0</v>
      </c>
      <c r="S77" s="12">
        <f t="shared" si="18"/>
        <v>0</v>
      </c>
      <c r="T77" s="12">
        <f t="shared" si="19"/>
        <v>0</v>
      </c>
    </row>
    <row r="78" spans="1:20" hidden="1" outlineLevel="1" x14ac:dyDescent="0.2"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Q78" s="12"/>
      <c r="R78" s="71">
        <f t="shared" si="15"/>
        <v>0</v>
      </c>
      <c r="S78" s="12">
        <f t="shared" si="0"/>
        <v>0</v>
      </c>
      <c r="T78" s="12">
        <f t="shared" si="16"/>
        <v>0</v>
      </c>
    </row>
    <row r="79" spans="1:20" collapsed="1" x14ac:dyDescent="0.2">
      <c r="A79" s="6"/>
      <c r="B79" s="6"/>
      <c r="C79" s="6"/>
      <c r="D79" s="72" t="s">
        <v>21</v>
      </c>
      <c r="E79" s="73">
        <f>SUM(E56:E78)-SUM(E65:E77)</f>
        <v>91380159.000000015</v>
      </c>
      <c r="F79" s="73">
        <f>SUM(F56:F78)-SUM(F65:F77)</f>
        <v>92681653.99000001</v>
      </c>
      <c r="G79" s="73">
        <f>SUM(G56:G78)-SUM(G65:G77)</f>
        <v>96055094</v>
      </c>
      <c r="H79" s="73">
        <f>SUM(H56:H78)-SUM(H65:H77)</f>
        <v>95153891.919999987</v>
      </c>
      <c r="I79" s="73">
        <f>SUM(I56:I78)-SUM(I65:I77)</f>
        <v>96860485.999999985</v>
      </c>
      <c r="J79" s="73">
        <f>SUM(J56:J78)</f>
        <v>137100307.15000001</v>
      </c>
      <c r="K79" s="73">
        <f>SUM(K56:K78)-SUM(K65:K77)</f>
        <v>108480389</v>
      </c>
      <c r="L79" s="73">
        <f>SUM(L56:L78)-SUM(L65:L77)</f>
        <v>112706339.45</v>
      </c>
      <c r="M79" s="73">
        <f>SUM(M56:M78)-SUM(M65:M77)</f>
        <v>114141140</v>
      </c>
      <c r="N79" s="73">
        <f>SUM(N56:N78)-SUM(N65:N77)</f>
        <v>114141140</v>
      </c>
      <c r="O79" s="73">
        <f>SUM(O56:O78)-SUM(O65:O77)</f>
        <v>119294464.66</v>
      </c>
      <c r="P79" s="74"/>
      <c r="Q79" s="75"/>
      <c r="R79" s="75">
        <f t="shared" si="15"/>
        <v>0</v>
      </c>
      <c r="S79" s="75">
        <f t="shared" si="0"/>
        <v>4.514870501556234E-2</v>
      </c>
      <c r="T79" s="75">
        <f t="shared" si="16"/>
        <v>4.514870501556234E-2</v>
      </c>
    </row>
    <row r="80" spans="1:20" x14ac:dyDescent="0.2"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Q80" s="12"/>
      <c r="R80" s="71"/>
      <c r="S80" s="12"/>
      <c r="T80" s="12"/>
    </row>
    <row r="81" spans="1:20" x14ac:dyDescent="0.2">
      <c r="D81" s="1" t="s">
        <v>22</v>
      </c>
      <c r="E81" s="60">
        <f t="shared" ref="E81:O81" si="21">E53-E79</f>
        <v>-10526173.000000075</v>
      </c>
      <c r="F81" s="60">
        <f t="shared" si="21"/>
        <v>515362.02999998629</v>
      </c>
      <c r="G81" s="60">
        <f t="shared" si="21"/>
        <v>-13397640.00000006</v>
      </c>
      <c r="H81" s="60">
        <f t="shared" si="21"/>
        <v>-1598591.3599999994</v>
      </c>
      <c r="I81" s="60">
        <f t="shared" si="21"/>
        <v>-13223565.999999896</v>
      </c>
      <c r="J81" s="60">
        <f t="shared" si="21"/>
        <v>-36169377.14000003</v>
      </c>
      <c r="K81" s="60">
        <f t="shared" si="21"/>
        <v>-9845779.2799999714</v>
      </c>
      <c r="L81" s="60">
        <f t="shared" si="21"/>
        <v>-1904537.1600000709</v>
      </c>
      <c r="M81" s="60">
        <f t="shared" si="21"/>
        <v>845103</v>
      </c>
      <c r="N81" s="60">
        <f t="shared" si="21"/>
        <v>3885980.0000000596</v>
      </c>
      <c r="O81" s="60">
        <f t="shared" si="21"/>
        <v>587212.27999997139</v>
      </c>
      <c r="Q81" s="12"/>
      <c r="R81" s="71">
        <f>IF(M81&gt;0,((N81/M81)-1),IF(AND(M81=0,N81&gt;0),100%,IF(AND(M81=0,N81&lt;0),-100%,IF(AND(M81=0,N81=0),0%,((N81/(M81))-1)*-1))))</f>
        <v>3.5982324048075318</v>
      </c>
      <c r="S81" s="12">
        <f t="shared" si="0"/>
        <v>-0.30515892145694501</v>
      </c>
      <c r="T81" s="12">
        <f t="shared" ref="T81" si="22">IF(N81&gt;0,((O81/N81)-1),IF(AND(N81=0,O81&gt;0),100%,IF(AND(N81=0,O81&lt;0),-100%,IF(AND(N81=0,O81=0),0%,((O81/(N81))-1)*-1))))</f>
        <v>-0.84888952593683897</v>
      </c>
    </row>
    <row r="82" spans="1:20" x14ac:dyDescent="0.2"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Q82" s="12"/>
      <c r="R82" s="71"/>
      <c r="S82" s="12"/>
      <c r="T82" s="12"/>
    </row>
    <row r="83" spans="1:20" x14ac:dyDescent="0.2">
      <c r="A83" t="s">
        <v>217</v>
      </c>
      <c r="D83" s="1" t="s">
        <v>102</v>
      </c>
      <c r="E83" s="60">
        <f>SUMIF('Report Data'!$A:$A,PL!$A83,'Report Data'!B:B)</f>
        <v>765000</v>
      </c>
      <c r="F83" s="60">
        <f>SUMIF('Report Data'!$A:$A,PL!$A83,'Report Data'!D:D)</f>
        <v>9204560</v>
      </c>
      <c r="G83" s="60">
        <f>SUMIF('Report Data'!$A:$A,PL!$A83,'Report Data'!F:F)</f>
        <v>700000</v>
      </c>
      <c r="H83" s="60">
        <f>SUMIF('Report Data'!$A:$A,PL!$A83,'Report Data'!H:H)</f>
        <v>5600655.1500000004</v>
      </c>
      <c r="I83" s="60">
        <f>SUMIF('Report Data'!$A:$A,PL!$A83,'Report Data'!J:J)</f>
        <v>505000.00000000006</v>
      </c>
      <c r="J83" s="60">
        <f>SUMIF('Report Data'!$A:$A,PL!$A83,'Report Data'!L:L)</f>
        <v>-3914480.4099999997</v>
      </c>
      <c r="K83" s="60">
        <f>SUMIF('Report Data'!$A:$A,PL!$A83,'Report Data'!N:N)</f>
        <v>0</v>
      </c>
      <c r="L83" s="60">
        <f>SUMIF('Report Data'!$A:$A,PL!$A83,'Report Data'!P:P)</f>
        <v>3859943.0000000009</v>
      </c>
      <c r="M83" s="60">
        <f>SUMIF('Report Data'!$A:$A,PL!$A83,'Report Data'!R:R)</f>
        <v>0</v>
      </c>
      <c r="N83" s="60">
        <f>SUMIF('Report Data'!$A:$A,PL!$A83,'Report Data'!T:T)</f>
        <v>0</v>
      </c>
      <c r="O83" s="60">
        <f>SUMIF('Report Data'!$A:$A,PL!$A83,'Report Data'!V:V)</f>
        <v>0</v>
      </c>
      <c r="Q83" s="12"/>
      <c r="R83" s="71">
        <f>IF(M83&gt;0,((N83/M83)-1),IF(AND(M83=0,N83&gt;0),100%,IF(AND(M83=0,N83&lt;0),-100%,IF(AND(M83=0,N83=0),0%,((N83/(M83))-1)*-1))))</f>
        <v>0</v>
      </c>
      <c r="S83" s="12">
        <f t="shared" si="0"/>
        <v>0</v>
      </c>
      <c r="T83" s="12">
        <f t="shared" ref="T83" si="23">IF(N83&gt;0,((O83/N83)-1),IF(AND(N83=0,O83&gt;0),100%,IF(AND(N83=0,O83&lt;0),-100%,IF(AND(N83=0,O83=0),0%,((O83/(N83))-1)*-1))))</f>
        <v>0</v>
      </c>
    </row>
    <row r="84" spans="1:20" x14ac:dyDescent="0.2">
      <c r="A84" s="6"/>
      <c r="B84" s="6"/>
      <c r="C84" s="6"/>
      <c r="D84" s="6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5"/>
      <c r="Q84" s="15"/>
      <c r="R84" s="75"/>
      <c r="S84" s="15"/>
      <c r="T84" s="15"/>
    </row>
    <row r="85" spans="1:20" ht="13.5" thickBot="1" x14ac:dyDescent="0.25">
      <c r="A85" s="9"/>
      <c r="B85" s="9"/>
      <c r="C85" s="9"/>
      <c r="D85" s="9" t="s">
        <v>23</v>
      </c>
      <c r="E85" s="64">
        <f t="shared" ref="E85:O85" si="24">E81+E83</f>
        <v>-9761173.0000000745</v>
      </c>
      <c r="F85" s="64">
        <f t="shared" si="24"/>
        <v>9719922.0299999863</v>
      </c>
      <c r="G85" s="64">
        <f t="shared" si="24"/>
        <v>-12697640.00000006</v>
      </c>
      <c r="H85" s="64">
        <f t="shared" si="24"/>
        <v>4002063.790000001</v>
      </c>
      <c r="I85" s="64">
        <f t="shared" si="24"/>
        <v>-12718565.999999896</v>
      </c>
      <c r="J85" s="64">
        <f t="shared" si="24"/>
        <v>-40083857.550000027</v>
      </c>
      <c r="K85" s="64">
        <f t="shared" si="24"/>
        <v>-9845779.2799999714</v>
      </c>
      <c r="L85" s="64">
        <f t="shared" si="24"/>
        <v>1955405.83999993</v>
      </c>
      <c r="M85" s="64">
        <f t="shared" si="24"/>
        <v>845103</v>
      </c>
      <c r="N85" s="64">
        <f t="shared" si="24"/>
        <v>3885980.0000000596</v>
      </c>
      <c r="O85" s="64">
        <f t="shared" si="24"/>
        <v>587212.27999997139</v>
      </c>
      <c r="P85" s="10"/>
      <c r="Q85" s="17"/>
      <c r="R85" s="88">
        <f>IF(M85&gt;0,((N85/M85)-1),IF(AND(M85=0,N85&gt;0),100%,IF(AND(M85=0,N85&lt;0),-100%,IF(AND(M85=0,N85=0),0%,((N85/(M85))-1)*-1))))</f>
        <v>3.5982324048075318</v>
      </c>
      <c r="S85" s="17">
        <f t="shared" si="0"/>
        <v>-0.30515892145694501</v>
      </c>
      <c r="T85" s="17">
        <f t="shared" ref="T85" si="25">IF(N85&gt;0,((O85/N85)-1),IF(AND(N85=0,O85&gt;0),100%,IF(AND(N85=0,O85&lt;0),-100%,IF(AND(N85=0,O85=0),0%,((O85/(N85))-1)*-1))))</f>
        <v>-0.84888952593683897</v>
      </c>
    </row>
    <row r="86" spans="1:20" ht="13.5" thickTop="1" x14ac:dyDescent="0.2"/>
    <row r="90" spans="1:20" s="2" customFormat="1" hidden="1" outlineLevel="1" x14ac:dyDescent="0.2">
      <c r="A90" s="18" t="s">
        <v>27</v>
      </c>
      <c r="B90" s="18" t="s">
        <v>27</v>
      </c>
      <c r="C90" s="18" t="s">
        <v>27</v>
      </c>
      <c r="D90" s="18" t="s">
        <v>27</v>
      </c>
      <c r="E90" s="18" t="s">
        <v>27</v>
      </c>
      <c r="F90" s="18" t="s">
        <v>27</v>
      </c>
      <c r="G90" s="18" t="s">
        <v>27</v>
      </c>
      <c r="H90" s="18" t="s">
        <v>27</v>
      </c>
      <c r="I90" s="18" t="s">
        <v>27</v>
      </c>
      <c r="J90" s="18" t="s">
        <v>27</v>
      </c>
      <c r="K90" s="18" t="s">
        <v>27</v>
      </c>
      <c r="L90" s="18" t="s">
        <v>27</v>
      </c>
      <c r="M90" s="18" t="s">
        <v>27</v>
      </c>
      <c r="N90" s="18" t="s">
        <v>27</v>
      </c>
      <c r="O90" s="18" t="s">
        <v>27</v>
      </c>
      <c r="P90" s="18"/>
      <c r="Q90" s="18"/>
      <c r="R90" s="18"/>
      <c r="S90" s="18"/>
      <c r="T90" s="18"/>
    </row>
    <row r="91" spans="1:20" hidden="1" outlineLevel="1" x14ac:dyDescent="0.2">
      <c r="A91" t="s">
        <v>72</v>
      </c>
      <c r="D91" t="s">
        <v>3</v>
      </c>
      <c r="E91" s="3">
        <f>SUMIF('Report Data'!$A:$A,PL!$A91,'Report Data'!B:B)</f>
        <v>188074028</v>
      </c>
      <c r="F91" s="3">
        <f>SUMIF('Report Data'!$A:$A,PL!$A91,'Report Data'!D:D)</f>
        <v>172517296</v>
      </c>
      <c r="G91" s="3">
        <f>SUMIF('Report Data'!$A:$A,PL!$A91,'Report Data'!F:F)</f>
        <v>195374454</v>
      </c>
      <c r="H91" s="3">
        <f>SUMIF('Report Data'!$A:$A,PL!$A91,'Report Data'!H:H)</f>
        <v>197875612</v>
      </c>
      <c r="I91" s="3">
        <f>SUMIF('Report Data'!$A:$A,PL!$A91,'Report Data'!J:J)</f>
        <v>211533512.00000012</v>
      </c>
      <c r="J91" s="3">
        <f>SUMIF('Report Data'!$A:$A,PL!$A91,'Report Data'!L:L)</f>
        <v>215214525</v>
      </c>
      <c r="K91" s="3">
        <f>SUMIF('Report Data'!$A:$A,PL!$A91,'Report Data'!N:N)</f>
        <v>252473287.99999991</v>
      </c>
      <c r="L91" s="3">
        <f>SUMIF('Report Data'!$A:$A,PL!$A91,'Report Data'!P:P)</f>
        <v>272772922.00000006</v>
      </c>
      <c r="M91" s="3">
        <f>SUMIF('Report Data'!$A:$A,PL!$A91,'Report Data'!R:R)</f>
        <v>280449990</v>
      </c>
      <c r="N91" s="3">
        <f>SUMIF('Report Data'!$A:$A,PL!$A91,'Report Data'!T:T)</f>
        <v>280449990</v>
      </c>
      <c r="O91" s="3">
        <f>SUMIF('Report Data'!$A:$A,PL!$A91,'Report Data'!V:V)</f>
        <v>302446585.65959996</v>
      </c>
      <c r="P91" s="3">
        <f>SUMIF('Report Data'!$A:$A,PL!$A91,'Report Data'!R:R)</f>
        <v>280449990</v>
      </c>
      <c r="Q91" s="3">
        <f>SUMIF('Report Data'!$A:$A,PL!$A91,'Report Data'!S:S)</f>
        <v>0</v>
      </c>
    </row>
    <row r="92" spans="1:20" hidden="1" outlineLevel="1" x14ac:dyDescent="0.2">
      <c r="A92"/>
      <c r="D92" s="1" t="s">
        <v>73</v>
      </c>
      <c r="E92" s="3">
        <f t="shared" ref="E92:O92" si="26">E14</f>
        <v>188074028</v>
      </c>
      <c r="F92" s="3">
        <f t="shared" si="26"/>
        <v>172517296.02000001</v>
      </c>
      <c r="G92" s="3">
        <f t="shared" si="26"/>
        <v>195374450.99999994</v>
      </c>
      <c r="H92" s="3">
        <f t="shared" si="26"/>
        <v>197875612</v>
      </c>
      <c r="I92" s="3">
        <f t="shared" si="26"/>
        <v>211533512.00000003</v>
      </c>
      <c r="J92" s="3">
        <f t="shared" si="26"/>
        <v>215214525</v>
      </c>
      <c r="K92" s="3">
        <f t="shared" si="26"/>
        <v>241900508.72000003</v>
      </c>
      <c r="L92" s="3">
        <f t="shared" si="26"/>
        <v>272772921.56999993</v>
      </c>
      <c r="M92" s="3">
        <f t="shared" si="26"/>
        <v>280449990</v>
      </c>
      <c r="N92" s="3">
        <f t="shared" si="26"/>
        <v>283490867.00000006</v>
      </c>
      <c r="O92" s="3">
        <f t="shared" si="26"/>
        <v>302483299</v>
      </c>
      <c r="Q92" s="3"/>
    </row>
    <row r="93" spans="1:20" hidden="1" outlineLevel="1" x14ac:dyDescent="0.2">
      <c r="A93" t="s">
        <v>45</v>
      </c>
      <c r="D93" t="s">
        <v>5</v>
      </c>
      <c r="E93" s="3">
        <f>SUMIF('Report Data'!$A:$A,PL!$A93,'Report Data'!B:B)</f>
        <v>77143352.999999955</v>
      </c>
      <c r="F93" s="3">
        <f>SUMIF('Report Data'!$A:$A,PL!$A93,'Report Data'!D:D)</f>
        <v>61154724.000000045</v>
      </c>
      <c r="G93" s="3">
        <f>SUMIF('Report Data'!$A:$A,PL!$A93,'Report Data'!F:F)</f>
        <v>78962603.000000015</v>
      </c>
      <c r="H93" s="3">
        <f>SUMIF('Report Data'!$A:$A,PL!$A93,'Report Data'!H:H)</f>
        <v>74435331.549999982</v>
      </c>
      <c r="I93" s="3">
        <f>SUMIF('Report Data'!$A:$A,PL!$A93,'Report Data'!J:J)</f>
        <v>79195329.000000179</v>
      </c>
      <c r="J93" s="3">
        <f>SUMIF('Report Data'!$A:$A,PL!$A93,'Report Data'!L:L)</f>
        <v>78942283.160000026</v>
      </c>
      <c r="K93" s="3">
        <f>SUMIF('Report Data'!$A:$A,PL!$A93,'Report Data'!N:N)</f>
        <v>91620375.999999911</v>
      </c>
      <c r="L93" s="3">
        <f>SUMIF('Report Data'!$A:$A,PL!$A93,'Report Data'!P:P)</f>
        <v>92081797.060000032</v>
      </c>
      <c r="M93" s="3">
        <f>SUMIF('Report Data'!$A:$A,PL!$A93,'Report Data'!R:R)</f>
        <v>97064120</v>
      </c>
      <c r="N93" s="3">
        <f>SUMIF('Report Data'!$A:$A,PL!$A93,'Report Data'!T:T)</f>
        <v>97064120</v>
      </c>
      <c r="O93" s="3">
        <f>SUMIF('Report Data'!$A:$A,PL!$A93,'Report Data'!V:V)</f>
        <v>99152479.65959996</v>
      </c>
      <c r="P93" s="3">
        <f>SUMIF('Report Data'!$A:$A,PL!$A93,'Report Data'!R:R)</f>
        <v>97064120</v>
      </c>
      <c r="Q93" s="3">
        <f>SUMIF('Report Data'!$A:$A,PL!$A93,'Report Data'!S:S)</f>
        <v>0</v>
      </c>
    </row>
    <row r="94" spans="1:20" hidden="1" outlineLevel="1" x14ac:dyDescent="0.2">
      <c r="A94"/>
      <c r="D94" s="1" t="s">
        <v>73</v>
      </c>
      <c r="E94" s="3">
        <f t="shared" ref="E94:O94" si="27">+E22</f>
        <v>77143352.99999994</v>
      </c>
      <c r="F94" s="3">
        <f t="shared" si="27"/>
        <v>61154724.019999996</v>
      </c>
      <c r="G94" s="3">
        <f t="shared" si="27"/>
        <v>78962599.99999994</v>
      </c>
      <c r="H94" s="3">
        <f t="shared" si="27"/>
        <v>74435331.549999982</v>
      </c>
      <c r="I94" s="3">
        <f t="shared" si="27"/>
        <v>79195329.000000089</v>
      </c>
      <c r="J94" s="3">
        <f t="shared" si="27"/>
        <v>78942283.159999982</v>
      </c>
      <c r="K94" s="3">
        <f t="shared" si="27"/>
        <v>81047596.720000029</v>
      </c>
      <c r="L94" s="3">
        <f t="shared" si="27"/>
        <v>92081796.629999936</v>
      </c>
      <c r="M94" s="3">
        <f t="shared" si="27"/>
        <v>97064120</v>
      </c>
      <c r="N94" s="3">
        <f t="shared" si="27"/>
        <v>100104997.00000006</v>
      </c>
      <c r="O94" s="3">
        <f t="shared" si="27"/>
        <v>99189192.99999997</v>
      </c>
      <c r="Q94" s="3"/>
    </row>
    <row r="95" spans="1:20" hidden="1" outlineLevel="1" x14ac:dyDescent="0.2">
      <c r="A95" t="s">
        <v>168</v>
      </c>
      <c r="D95" s="23" t="s">
        <v>173</v>
      </c>
      <c r="E95" s="3">
        <f>SUMIF('Report Data'!$A:$A,PL!$A95,'Report Data'!B:B)</f>
        <v>0</v>
      </c>
      <c r="F95" s="3">
        <f>SUMIF('Report Data'!$A:$A,PL!$A95,'Report Data'!D:D)</f>
        <v>15439129.999999994</v>
      </c>
      <c r="G95" s="3">
        <f>SUMIF('Report Data'!$A:$A,PL!$A95,'Report Data'!F:F)</f>
        <v>0</v>
      </c>
      <c r="H95" s="3">
        <f>SUMIF('Report Data'!$A:$A,PL!$A95,'Report Data'!H:H)</f>
        <v>14053782</v>
      </c>
      <c r="I95" s="3">
        <f>SUMIF('Report Data'!$A:$A,PL!$A95,'Report Data'!J:J)</f>
        <v>0</v>
      </c>
      <c r="J95" s="3">
        <f>SUMIF('Report Data'!$A:$A,PL!$A95,'Report Data'!L:L)</f>
        <v>13787328</v>
      </c>
      <c r="K95" s="3">
        <f>SUMIF('Report Data'!$A:$A,PL!$A95,'Report Data'!N:N)</f>
        <v>13864483.999999994</v>
      </c>
      <c r="L95" s="3">
        <f>SUMIF('Report Data'!$A:$A,PL!$A95,'Report Data'!P:P)</f>
        <v>14103473.489999998</v>
      </c>
      <c r="M95" s="3">
        <f>SUMIF('Report Data'!$A:$A,PL!$A95,'Report Data'!R:R)</f>
        <v>14100061.999999998</v>
      </c>
      <c r="N95" s="3">
        <f>SUMIF('Report Data'!$A:$A,PL!$A95,'Report Data'!T:T)</f>
        <v>14100061.999999998</v>
      </c>
      <c r="O95" s="3">
        <f>SUMIF('Report Data'!$A:$A,PL!$A95,'Report Data'!V:V)</f>
        <v>14768761.179999998</v>
      </c>
      <c r="Q95" s="3"/>
    </row>
    <row r="96" spans="1:20" hidden="1" outlineLevel="1" x14ac:dyDescent="0.2">
      <c r="A96"/>
      <c r="D96" s="23" t="s">
        <v>73</v>
      </c>
      <c r="E96" s="3">
        <f t="shared" ref="E96:P96" si="28">+E24</f>
        <v>0</v>
      </c>
      <c r="F96" s="3">
        <f t="shared" si="28"/>
        <v>15439129.999999994</v>
      </c>
      <c r="G96" s="3">
        <f t="shared" si="28"/>
        <v>0</v>
      </c>
      <c r="H96" s="3">
        <f t="shared" si="28"/>
        <v>14053782</v>
      </c>
      <c r="I96" s="3">
        <f t="shared" si="28"/>
        <v>0</v>
      </c>
      <c r="J96" s="3">
        <f t="shared" si="28"/>
        <v>13787328</v>
      </c>
      <c r="K96" s="3">
        <f t="shared" si="28"/>
        <v>13864483.999999994</v>
      </c>
      <c r="L96" s="3">
        <f t="shared" si="28"/>
        <v>14103473.489999998</v>
      </c>
      <c r="M96" s="3">
        <f t="shared" si="28"/>
        <v>14100061.999999998</v>
      </c>
      <c r="N96" s="3">
        <f t="shared" si="28"/>
        <v>14100061.999999998</v>
      </c>
      <c r="O96" s="3">
        <f t="shared" si="28"/>
        <v>14768761.179999998</v>
      </c>
      <c r="P96" s="3">
        <f t="shared" si="28"/>
        <v>0</v>
      </c>
      <c r="Q96" s="3"/>
    </row>
    <row r="97" spans="1:17" hidden="1" outlineLevel="1" x14ac:dyDescent="0.2">
      <c r="A97" t="s">
        <v>69</v>
      </c>
      <c r="D97" t="s">
        <v>7</v>
      </c>
      <c r="E97" s="3">
        <f>SUMIF('Report Data'!$A:$A,PL!$A97,'Report Data'!B:B)</f>
        <v>-10526173</v>
      </c>
      <c r="F97" s="3">
        <f>SUMIF('Report Data'!$A:$A,PL!$A97,'Report Data'!D:D)</f>
        <v>515362.00999999046</v>
      </c>
      <c r="G97" s="3">
        <f>SUMIF('Report Data'!$A:$A,PL!$A97,'Report Data'!F:F)</f>
        <v>-13397637</v>
      </c>
      <c r="H97" s="3">
        <f>SUMIF('Report Data'!$A:$A,PL!$A97,'Report Data'!H:H)</f>
        <v>-1598591.3600000441</v>
      </c>
      <c r="I97" s="3">
        <f>SUMIF('Report Data'!$A:$A,PL!$A97,'Report Data'!J:J)</f>
        <v>-13223565.999999866</v>
      </c>
      <c r="J97" s="3">
        <f>SUMIF('Report Data'!$A:$A,PL!$A97,'Report Data'!L:L)</f>
        <v>-3846610.1499999762</v>
      </c>
      <c r="K97" s="3">
        <f>SUMIF('Report Data'!$A:$A,PL!$A97,'Report Data'!N:N)</f>
        <v>726999.9999999702</v>
      </c>
      <c r="L97" s="3">
        <f>SUMIF('Report Data'!$A:$A,PL!$A97,'Report Data'!P:P)</f>
        <v>-1904536.730000034</v>
      </c>
      <c r="M97" s="3">
        <f>SUMIF('Report Data'!$A:$A,PL!$A97,'Report Data'!R:R)</f>
        <v>845102.99999992549</v>
      </c>
      <c r="N97" s="3">
        <f>SUMIF('Report Data'!$A:$A,PL!$A97,'Report Data'!T:T)</f>
        <v>845102.99999992549</v>
      </c>
      <c r="O97" s="3">
        <f>SUMIF('Report Data'!$A:$A,PL!$A97,'Report Data'!V:V)</f>
        <v>550498.93959993124</v>
      </c>
      <c r="P97" s="3">
        <f>SUMIF('Report Data'!$A:$A,PL!$A97,'Report Data'!R:R)</f>
        <v>845102.99999992549</v>
      </c>
      <c r="Q97" s="3">
        <f>SUMIF('Report Data'!$A:$A,PL!$A97,'Report Data'!S:S)</f>
        <v>0</v>
      </c>
    </row>
    <row r="98" spans="1:17" hidden="1" outlineLevel="1" x14ac:dyDescent="0.2">
      <c r="D98" s="1" t="s">
        <v>73</v>
      </c>
      <c r="E98" s="3">
        <f>+E81</f>
        <v>-10526173.000000075</v>
      </c>
      <c r="F98" s="3">
        <f t="shared" ref="F98:O98" si="29">+F81</f>
        <v>515362.02999998629</v>
      </c>
      <c r="G98" s="3">
        <f t="shared" si="29"/>
        <v>-13397640.00000006</v>
      </c>
      <c r="H98" s="3">
        <f t="shared" si="29"/>
        <v>-1598591.3599999994</v>
      </c>
      <c r="I98" s="3">
        <f t="shared" si="29"/>
        <v>-13223565.999999896</v>
      </c>
      <c r="J98" s="3">
        <f t="shared" si="29"/>
        <v>-36169377.14000003</v>
      </c>
      <c r="K98" s="3">
        <f t="shared" si="29"/>
        <v>-9845779.2799999714</v>
      </c>
      <c r="L98" s="3">
        <f t="shared" si="29"/>
        <v>-1904537.1600000709</v>
      </c>
      <c r="M98" s="3">
        <f t="shared" si="29"/>
        <v>845103</v>
      </c>
      <c r="N98" s="3">
        <f t="shared" si="29"/>
        <v>3885980.0000000596</v>
      </c>
      <c r="O98" s="3">
        <f t="shared" si="29"/>
        <v>587212.27999997139</v>
      </c>
    </row>
    <row r="99" spans="1:17" hidden="1" outlineLevel="1" x14ac:dyDescent="0.2">
      <c r="A99" t="s">
        <v>68</v>
      </c>
      <c r="D99" t="s">
        <v>68</v>
      </c>
      <c r="E99" s="3">
        <f>SUMIF('Report Data'!$A:$A,PL!$A99,'Report Data'!B:B)</f>
        <v>91380159.000000015</v>
      </c>
      <c r="F99" s="3">
        <f>SUMIF('Report Data'!$A:$A,PL!$A99,'Report Data'!D:D)</f>
        <v>92681653.99000001</v>
      </c>
      <c r="G99" s="3">
        <f>SUMIF('Report Data'!$A:$A,PL!$A99,'Report Data'!F:F)</f>
        <v>96055094</v>
      </c>
      <c r="H99" s="3">
        <f>SUMIF('Report Data'!$A:$A,PL!$A99,'Report Data'!H:H)</f>
        <v>95153891.919999987</v>
      </c>
      <c r="I99" s="3">
        <f>SUMIF('Report Data'!$A:$A,PL!$A99,'Report Data'!J:J)</f>
        <v>96860485.999999985</v>
      </c>
      <c r="J99" s="3">
        <f>SUMIF('Report Data'!$A:$A,PL!$A99,'Report Data'!L:L)</f>
        <v>104777540.16000001</v>
      </c>
      <c r="K99" s="3">
        <f>SUMIF('Report Data'!$A:$A,PL!$A99,'Report Data'!N:N)</f>
        <v>108480389</v>
      </c>
      <c r="L99" s="3">
        <f>SUMIF('Report Data'!$A:$A,PL!$A99,'Report Data'!P:P)</f>
        <v>112706339.45</v>
      </c>
      <c r="M99" s="3">
        <f>SUMIF('Report Data'!$A:$A,PL!$A99,'Report Data'!R:R)</f>
        <v>114141139.99999999</v>
      </c>
      <c r="N99" s="3">
        <f>SUMIF('Report Data'!$A:$A,PL!$A99,'Report Data'!T:T)</f>
        <v>114141139.99999999</v>
      </c>
      <c r="O99" s="3">
        <f>SUMIF('Report Data'!$A:$A,PL!$A99,'Report Data'!V:V)</f>
        <v>119294464.65999998</v>
      </c>
    </row>
    <row r="100" spans="1:17" hidden="1" outlineLevel="1" x14ac:dyDescent="0.2">
      <c r="D100" s="1" t="s">
        <v>73</v>
      </c>
      <c r="E100" s="3">
        <f>+E79</f>
        <v>91380159.000000015</v>
      </c>
      <c r="F100" s="3">
        <f t="shared" ref="F100:O100" si="30">+F79</f>
        <v>92681653.99000001</v>
      </c>
      <c r="G100" s="3">
        <f t="shared" si="30"/>
        <v>96055094</v>
      </c>
      <c r="H100" s="3">
        <f t="shared" si="30"/>
        <v>95153891.919999987</v>
      </c>
      <c r="I100" s="3">
        <f t="shared" si="30"/>
        <v>96860485.999999985</v>
      </c>
      <c r="J100" s="3">
        <f t="shared" si="30"/>
        <v>137100307.15000001</v>
      </c>
      <c r="K100" s="3">
        <f t="shared" si="30"/>
        <v>108480389</v>
      </c>
      <c r="L100" s="3">
        <f t="shared" si="30"/>
        <v>112706339.45</v>
      </c>
      <c r="M100" s="3">
        <f>+M79</f>
        <v>114141140</v>
      </c>
      <c r="N100" s="3">
        <f t="shared" si="30"/>
        <v>114141140</v>
      </c>
      <c r="O100" s="3">
        <f t="shared" si="30"/>
        <v>119294464.66</v>
      </c>
    </row>
    <row r="101" spans="1:17" collapsed="1" x14ac:dyDescent="0.2"/>
    <row r="102" spans="1:17" ht="13.5" customHeight="1" x14ac:dyDescent="0.2"/>
  </sheetData>
  <mergeCells count="1">
    <mergeCell ref="R5:T5"/>
  </mergeCells>
  <pageMargins left="0.7" right="0.7" top="0.75" bottom="0.75" header="0.3" footer="0.3"/>
  <pageSetup scale="63" orientation="landscape" r:id="rId1"/>
  <headerFooter>
    <oddFooter>&amp;CGreen Mountain Care Board&amp;R&amp;D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6"/>
  <sheetViews>
    <sheetView workbookViewId="0">
      <pane xSplit="1" ySplit="2" topLeftCell="N69" activePane="bottomRight" state="frozen"/>
      <selection pane="topRight" activeCell="B1" sqref="B1"/>
      <selection pane="bottomLeft" activeCell="A3" sqref="A3"/>
      <selection pane="bottomRight" activeCell="A85" sqref="A85"/>
    </sheetView>
  </sheetViews>
  <sheetFormatPr defaultRowHeight="12.75" x14ac:dyDescent="0.2"/>
  <cols>
    <col min="1" max="1" width="89.42578125" customWidth="1"/>
    <col min="2" max="2" width="24.5703125" bestFit="1" customWidth="1"/>
    <col min="4" max="4" width="18.28515625" customWidth="1"/>
    <col min="6" max="6" width="24.5703125" bestFit="1" customWidth="1"/>
    <col min="8" max="8" width="12.7109375" customWidth="1"/>
    <col min="10" max="10" width="35.140625" bestFit="1" customWidth="1"/>
    <col min="12" max="12" width="11.140625" bestFit="1" customWidth="1"/>
    <col min="14" max="14" width="24.5703125" bestFit="1" customWidth="1"/>
    <col min="16" max="16" width="16.28515625" bestFit="1" customWidth="1"/>
    <col min="18" max="18" width="35.140625" bestFit="1" customWidth="1"/>
    <col min="20" max="20" width="49.28515625" customWidth="1"/>
    <col min="22" max="22" width="38.7109375" customWidth="1"/>
  </cols>
  <sheetData>
    <row r="1" spans="1:22" ht="12.75" customHeight="1" x14ac:dyDescent="0.2">
      <c r="A1" s="99" t="s">
        <v>1</v>
      </c>
      <c r="B1" s="99" t="s">
        <v>205</v>
      </c>
      <c r="C1" s="99" t="s">
        <v>1</v>
      </c>
      <c r="D1" s="99" t="s">
        <v>1</v>
      </c>
      <c r="E1" s="99" t="s">
        <v>1</v>
      </c>
      <c r="F1" s="99" t="s">
        <v>206</v>
      </c>
      <c r="G1" s="99" t="s">
        <v>1</v>
      </c>
      <c r="H1" s="99" t="s">
        <v>1</v>
      </c>
      <c r="I1" s="99" t="s">
        <v>1</v>
      </c>
      <c r="J1" s="99" t="s">
        <v>207</v>
      </c>
      <c r="K1" s="99" t="s">
        <v>1</v>
      </c>
      <c r="L1" s="99" t="s">
        <v>1</v>
      </c>
      <c r="M1" s="99" t="s">
        <v>1</v>
      </c>
      <c r="N1" s="99" t="s">
        <v>208</v>
      </c>
      <c r="O1" s="99" t="s">
        <v>1</v>
      </c>
      <c r="P1" s="99" t="s">
        <v>1</v>
      </c>
      <c r="Q1" s="99" t="s">
        <v>1</v>
      </c>
      <c r="R1" s="99" t="s">
        <v>209</v>
      </c>
      <c r="S1" s="99" t="s">
        <v>1</v>
      </c>
      <c r="T1" s="99" t="s">
        <v>1</v>
      </c>
      <c r="U1" s="99" t="s">
        <v>1</v>
      </c>
      <c r="V1" t="s">
        <v>210</v>
      </c>
    </row>
    <row r="2" spans="1:22" ht="12.75" customHeight="1" x14ac:dyDescent="0.2">
      <c r="A2" s="99" t="s">
        <v>1</v>
      </c>
      <c r="B2" t="s">
        <v>203</v>
      </c>
      <c r="C2" t="s">
        <v>1</v>
      </c>
      <c r="D2" t="s">
        <v>2</v>
      </c>
      <c r="E2" t="s">
        <v>1</v>
      </c>
      <c r="F2" t="s">
        <v>179</v>
      </c>
      <c r="G2" t="s">
        <v>1</v>
      </c>
      <c r="H2" t="s">
        <v>2</v>
      </c>
      <c r="I2" t="s">
        <v>1</v>
      </c>
      <c r="J2" t="s">
        <v>204</v>
      </c>
      <c r="K2" t="s">
        <v>1</v>
      </c>
      <c r="L2" t="s">
        <v>2</v>
      </c>
      <c r="M2" t="s">
        <v>1</v>
      </c>
      <c r="N2" t="s">
        <v>211</v>
      </c>
      <c r="O2" t="s">
        <v>1</v>
      </c>
      <c r="P2" t="s">
        <v>2</v>
      </c>
      <c r="Q2" t="s">
        <v>1</v>
      </c>
      <c r="R2" t="s">
        <v>212</v>
      </c>
      <c r="S2" t="s">
        <v>1</v>
      </c>
      <c r="T2" t="s">
        <v>213</v>
      </c>
      <c r="U2" t="s">
        <v>1</v>
      </c>
      <c r="V2" t="s">
        <v>213</v>
      </c>
    </row>
    <row r="3" spans="1:22" ht="12.75" customHeight="1" x14ac:dyDescent="0.2">
      <c r="A3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ht="12.75" customHeight="1" x14ac:dyDescent="0.2">
      <c r="A4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</row>
    <row r="5" spans="1:22" ht="12.75" customHeight="1" x14ac:dyDescent="0.2">
      <c r="A5" t="s">
        <v>28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</row>
    <row r="6" spans="1:22" ht="12.75" customHeight="1" x14ac:dyDescent="0.2">
      <c r="A6" t="s">
        <v>29</v>
      </c>
      <c r="B6" s="95">
        <v>41314983.999999985</v>
      </c>
      <c r="C6" s="95"/>
      <c r="D6" s="95">
        <v>37012384.020000003</v>
      </c>
      <c r="E6" s="95"/>
      <c r="F6" s="95">
        <v>42198446</v>
      </c>
      <c r="G6" s="95"/>
      <c r="H6" s="95">
        <v>43840630.999999978</v>
      </c>
      <c r="I6" s="95"/>
      <c r="J6" s="95">
        <v>45123667.999999993</v>
      </c>
      <c r="K6" s="95"/>
      <c r="L6" s="95">
        <v>48263423</v>
      </c>
      <c r="M6" s="95"/>
      <c r="N6" s="95">
        <v>51202454.649999984</v>
      </c>
      <c r="O6" s="95"/>
      <c r="P6" s="95">
        <v>56571227.570000023</v>
      </c>
      <c r="Q6" s="95"/>
      <c r="R6" s="95">
        <v>0</v>
      </c>
      <c r="S6" s="95"/>
      <c r="T6" s="95">
        <v>66596980.000000007</v>
      </c>
      <c r="U6" s="95"/>
      <c r="V6" s="95">
        <v>70933057.000000015</v>
      </c>
    </row>
    <row r="7" spans="1:22" ht="12.75" customHeight="1" x14ac:dyDescent="0.2">
      <c r="A7" t="s">
        <v>30</v>
      </c>
      <c r="B7" s="95">
        <v>129526976.00000001</v>
      </c>
      <c r="C7" s="95"/>
      <c r="D7" s="95">
        <v>119293422.00000001</v>
      </c>
      <c r="E7" s="95"/>
      <c r="F7" s="95">
        <v>135226885.99999994</v>
      </c>
      <c r="G7" s="95"/>
      <c r="H7" s="95">
        <v>154034981.00000003</v>
      </c>
      <c r="I7" s="95"/>
      <c r="J7" s="95">
        <v>142091396.00000003</v>
      </c>
      <c r="K7" s="95"/>
      <c r="L7" s="95">
        <v>166951102</v>
      </c>
      <c r="M7" s="95"/>
      <c r="N7" s="95">
        <v>162917799.08000004</v>
      </c>
      <c r="O7" s="95"/>
      <c r="P7" s="95">
        <v>216201693.99999994</v>
      </c>
      <c r="Q7" s="95"/>
      <c r="R7" s="95">
        <v>0</v>
      </c>
      <c r="S7" s="95"/>
      <c r="T7" s="95">
        <v>216893887.00000003</v>
      </c>
      <c r="U7" s="95"/>
      <c r="V7" s="95">
        <v>231550242</v>
      </c>
    </row>
    <row r="8" spans="1:22" ht="12.75" customHeight="1" x14ac:dyDescent="0.2">
      <c r="A8" t="s">
        <v>31</v>
      </c>
      <c r="B8" s="95">
        <v>0</v>
      </c>
      <c r="C8" s="95"/>
      <c r="D8" s="95">
        <v>0</v>
      </c>
      <c r="E8" s="95"/>
      <c r="F8" s="95">
        <v>0</v>
      </c>
      <c r="G8" s="95"/>
      <c r="H8" s="95">
        <v>0</v>
      </c>
      <c r="I8" s="95"/>
      <c r="J8" s="95">
        <v>0</v>
      </c>
      <c r="K8" s="95"/>
      <c r="L8" s="95">
        <v>0</v>
      </c>
      <c r="M8" s="95"/>
      <c r="N8" s="95">
        <v>0</v>
      </c>
      <c r="O8" s="95"/>
      <c r="P8" s="95">
        <v>0</v>
      </c>
      <c r="Q8" s="95"/>
      <c r="R8" s="95">
        <v>0</v>
      </c>
      <c r="S8" s="95"/>
      <c r="T8" s="95">
        <v>0</v>
      </c>
      <c r="U8" s="95"/>
      <c r="V8" s="95">
        <v>0</v>
      </c>
    </row>
    <row r="9" spans="1:22" ht="12.75" customHeight="1" x14ac:dyDescent="0.2">
      <c r="A9" t="s">
        <v>32</v>
      </c>
      <c r="B9" s="95">
        <v>0</v>
      </c>
      <c r="C9" s="95"/>
      <c r="D9" s="95">
        <v>0</v>
      </c>
      <c r="E9" s="95"/>
      <c r="F9" s="95">
        <v>0</v>
      </c>
      <c r="G9" s="95"/>
      <c r="H9" s="95">
        <v>0</v>
      </c>
      <c r="I9" s="95"/>
      <c r="J9" s="95">
        <v>0</v>
      </c>
      <c r="K9" s="95"/>
      <c r="L9" s="95">
        <v>0</v>
      </c>
      <c r="M9" s="95"/>
      <c r="N9" s="95">
        <v>0</v>
      </c>
      <c r="O9" s="95"/>
      <c r="P9" s="95">
        <v>0</v>
      </c>
      <c r="Q9" s="95"/>
      <c r="R9" s="95">
        <v>0</v>
      </c>
      <c r="S9" s="95"/>
      <c r="T9" s="95">
        <v>0</v>
      </c>
      <c r="U9" s="95"/>
      <c r="V9" s="95">
        <v>0</v>
      </c>
    </row>
    <row r="10" spans="1:22" ht="12.75" customHeight="1" x14ac:dyDescent="0.2">
      <c r="A10" t="s">
        <v>33</v>
      </c>
      <c r="B10" s="95">
        <v>170841960</v>
      </c>
      <c r="C10" s="95"/>
      <c r="D10" s="95">
        <v>156305806.02000001</v>
      </c>
      <c r="E10" s="95"/>
      <c r="F10" s="95">
        <v>177425331.99999994</v>
      </c>
      <c r="G10" s="95"/>
      <c r="H10" s="95">
        <v>197875612</v>
      </c>
      <c r="I10" s="95"/>
      <c r="J10" s="95">
        <v>187215064.00000003</v>
      </c>
      <c r="K10" s="95"/>
      <c r="L10" s="95">
        <v>215214525</v>
      </c>
      <c r="M10" s="95"/>
      <c r="N10" s="95">
        <v>214120253.73000002</v>
      </c>
      <c r="O10" s="95"/>
      <c r="P10" s="95">
        <v>272772921.56999993</v>
      </c>
      <c r="Q10" s="95"/>
      <c r="R10" s="95">
        <v>0</v>
      </c>
      <c r="S10" s="95"/>
      <c r="T10" s="95">
        <v>283490867.00000006</v>
      </c>
      <c r="U10" s="95"/>
      <c r="V10" s="95">
        <v>302483299</v>
      </c>
    </row>
    <row r="11" spans="1:22" ht="12.75" customHeight="1" x14ac:dyDescent="0.2">
      <c r="A11" t="s">
        <v>34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</row>
    <row r="12" spans="1:22" ht="12.75" customHeight="1" x14ac:dyDescent="0.2">
      <c r="A12" t="s">
        <v>35</v>
      </c>
      <c r="B12" s="95">
        <v>17232067.999999996</v>
      </c>
      <c r="C12" s="95"/>
      <c r="D12" s="95">
        <v>16211490</v>
      </c>
      <c r="E12" s="95"/>
      <c r="F12" s="95">
        <v>17949118.999999996</v>
      </c>
      <c r="G12" s="95"/>
      <c r="H12" s="95">
        <v>0</v>
      </c>
      <c r="I12" s="95"/>
      <c r="J12" s="95">
        <v>24318448</v>
      </c>
      <c r="K12" s="95"/>
      <c r="L12" s="95">
        <v>0</v>
      </c>
      <c r="M12" s="95"/>
      <c r="N12" s="95">
        <v>27780254.990000006</v>
      </c>
      <c r="O12" s="95"/>
      <c r="P12" s="95">
        <v>0</v>
      </c>
      <c r="Q12" s="95"/>
      <c r="R12" s="95">
        <v>0</v>
      </c>
      <c r="S12" s="95"/>
      <c r="T12" s="95">
        <v>0</v>
      </c>
      <c r="U12" s="95"/>
      <c r="V12" s="95">
        <v>0</v>
      </c>
    </row>
    <row r="13" spans="1:22" ht="12.75" customHeight="1" x14ac:dyDescent="0.2">
      <c r="A13" t="s">
        <v>36</v>
      </c>
      <c r="B13" s="95">
        <v>17232067.999999996</v>
      </c>
      <c r="C13" s="95"/>
      <c r="D13" s="95">
        <v>16211490</v>
      </c>
      <c r="E13" s="95"/>
      <c r="F13" s="95">
        <v>17949118.999999996</v>
      </c>
      <c r="G13" s="95"/>
      <c r="H13" s="95">
        <v>0</v>
      </c>
      <c r="I13" s="95"/>
      <c r="J13" s="95">
        <v>24318448</v>
      </c>
      <c r="K13" s="95"/>
      <c r="L13" s="95">
        <v>0</v>
      </c>
      <c r="M13" s="95"/>
      <c r="N13" s="95">
        <v>27780254.990000006</v>
      </c>
      <c r="O13" s="95"/>
      <c r="P13" s="95">
        <v>0</v>
      </c>
      <c r="Q13" s="95"/>
      <c r="R13" s="95">
        <v>0</v>
      </c>
      <c r="S13" s="95"/>
      <c r="T13" s="95">
        <v>0</v>
      </c>
      <c r="U13" s="95"/>
      <c r="V13" s="95">
        <v>0</v>
      </c>
    </row>
    <row r="14" spans="1:22" ht="12.75" customHeight="1" x14ac:dyDescent="0.2">
      <c r="A14" t="s">
        <v>37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22" ht="12.75" customHeight="1" x14ac:dyDescent="0.2">
      <c r="A15" t="s">
        <v>38</v>
      </c>
      <c r="B15" s="95">
        <v>530861.00000000012</v>
      </c>
      <c r="C15" s="95"/>
      <c r="D15" s="95">
        <v>532029.99999999988</v>
      </c>
      <c r="E15" s="95"/>
      <c r="F15" s="95">
        <v>530861.00000000012</v>
      </c>
      <c r="G15" s="95"/>
      <c r="H15" s="95">
        <v>631732</v>
      </c>
      <c r="I15" s="95"/>
      <c r="J15" s="95">
        <v>530861.00000000012</v>
      </c>
      <c r="K15" s="95"/>
      <c r="L15" s="95">
        <v>1008434.8999999999</v>
      </c>
      <c r="M15" s="95"/>
      <c r="N15" s="95">
        <v>617549</v>
      </c>
      <c r="O15" s="95"/>
      <c r="P15" s="95">
        <v>583188.12</v>
      </c>
      <c r="Q15" s="95"/>
      <c r="R15" s="95">
        <v>619780</v>
      </c>
      <c r="S15" s="95"/>
      <c r="T15" s="95">
        <v>619780</v>
      </c>
      <c r="U15" s="95"/>
      <c r="V15" s="95">
        <v>656440</v>
      </c>
    </row>
    <row r="16" spans="1:22" ht="12.75" customHeight="1" x14ac:dyDescent="0.2">
      <c r="A16" t="s">
        <v>39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</row>
    <row r="17" spans="1:22" ht="12.75" customHeight="1" x14ac:dyDescent="0.2">
      <c r="A17" t="s">
        <v>40</v>
      </c>
      <c r="B17" s="95">
        <v>-3535830</v>
      </c>
      <c r="C17" s="95"/>
      <c r="D17" s="95">
        <v>-2185136.0000000005</v>
      </c>
      <c r="E17" s="95"/>
      <c r="F17" s="95">
        <v>-3388273.9999999995</v>
      </c>
      <c r="G17" s="95"/>
      <c r="H17" s="95">
        <v>-2829398.68</v>
      </c>
      <c r="I17" s="95"/>
      <c r="J17" s="95">
        <v>-3635638.0000000005</v>
      </c>
      <c r="K17" s="95"/>
      <c r="L17" s="95">
        <v>-4824020.41</v>
      </c>
      <c r="M17" s="95"/>
      <c r="N17" s="95">
        <v>-3850000.0000000005</v>
      </c>
      <c r="O17" s="95"/>
      <c r="P17" s="95">
        <v>-5325453.3900000006</v>
      </c>
      <c r="Q17" s="95"/>
      <c r="R17" s="95">
        <v>-4589776</v>
      </c>
      <c r="S17" s="95"/>
      <c r="T17" s="95">
        <v>-4589776</v>
      </c>
      <c r="U17" s="95"/>
      <c r="V17" s="95">
        <v>-4399999.9999999991</v>
      </c>
    </row>
    <row r="18" spans="1:22" ht="12.75" customHeight="1" x14ac:dyDescent="0.2">
      <c r="A18" t="s">
        <v>41</v>
      </c>
      <c r="B18" s="95">
        <v>-2883927</v>
      </c>
      <c r="C18" s="95"/>
      <c r="D18" s="95">
        <v>-2545756</v>
      </c>
      <c r="E18" s="95"/>
      <c r="F18" s="95">
        <v>-2930617.0000000005</v>
      </c>
      <c r="G18" s="95"/>
      <c r="H18" s="95">
        <v>-778227.77</v>
      </c>
      <c r="I18" s="95"/>
      <c r="J18" s="95">
        <v>-2821753</v>
      </c>
      <c r="K18" s="95"/>
      <c r="L18" s="95">
        <v>-943341.33000000007</v>
      </c>
      <c r="M18" s="95"/>
      <c r="N18" s="95">
        <v>-2724062</v>
      </c>
      <c r="O18" s="95"/>
      <c r="P18" s="95">
        <v>-834388.67</v>
      </c>
      <c r="Q18" s="95"/>
      <c r="R18" s="95">
        <v>-2702417</v>
      </c>
      <c r="S18" s="95"/>
      <c r="T18" s="95">
        <v>-2702417</v>
      </c>
      <c r="U18" s="95"/>
      <c r="V18" s="95">
        <v>-2449633</v>
      </c>
    </row>
    <row r="19" spans="1:22" ht="12.75" customHeight="1" x14ac:dyDescent="0.2">
      <c r="A19" t="s">
        <v>42</v>
      </c>
      <c r="B19" s="95">
        <v>-6419757</v>
      </c>
      <c r="C19" s="95"/>
      <c r="D19" s="95">
        <v>-4730892</v>
      </c>
      <c r="E19" s="95"/>
      <c r="F19" s="95">
        <v>-6318891</v>
      </c>
      <c r="G19" s="95"/>
      <c r="H19" s="95">
        <v>-3607626.45</v>
      </c>
      <c r="I19" s="95"/>
      <c r="J19" s="95">
        <v>-6457391</v>
      </c>
      <c r="K19" s="95"/>
      <c r="L19" s="95">
        <v>-5767361.7400000002</v>
      </c>
      <c r="M19" s="95"/>
      <c r="N19" s="95">
        <v>-6574062</v>
      </c>
      <c r="O19" s="95"/>
      <c r="P19" s="95">
        <v>-6159842.0600000005</v>
      </c>
      <c r="Q19" s="95"/>
      <c r="R19" s="95">
        <v>-7292193</v>
      </c>
      <c r="S19" s="95"/>
      <c r="T19" s="95">
        <v>-7292193</v>
      </c>
      <c r="U19" s="95"/>
      <c r="V19" s="95">
        <v>-6849632.9999999991</v>
      </c>
    </row>
    <row r="20" spans="1:22" ht="12.75" customHeight="1" x14ac:dyDescent="0.2">
      <c r="A20" t="s">
        <v>43</v>
      </c>
      <c r="B20" s="95">
        <v>-105041779.00000006</v>
      </c>
      <c r="C20" s="95"/>
      <c r="D20" s="95">
        <v>-107163710.00000001</v>
      </c>
      <c r="E20" s="95"/>
      <c r="F20" s="95">
        <v>-110623821</v>
      </c>
      <c r="G20" s="95"/>
      <c r="H20" s="95">
        <v>-120464386</v>
      </c>
      <c r="I20" s="95"/>
      <c r="J20" s="95">
        <v>-126411652.99999994</v>
      </c>
      <c r="K20" s="95"/>
      <c r="L20" s="95">
        <v>-131513315.00000001</v>
      </c>
      <c r="M20" s="95"/>
      <c r="N20" s="95">
        <v>-154896399</v>
      </c>
      <c r="O20" s="95"/>
      <c r="P20" s="95">
        <v>-175114471.00000003</v>
      </c>
      <c r="Q20" s="95"/>
      <c r="R20" s="95">
        <v>-176713457</v>
      </c>
      <c r="S20" s="95"/>
      <c r="T20" s="95">
        <v>-176713457</v>
      </c>
      <c r="U20" s="95"/>
      <c r="V20" s="95">
        <v>-197100913.00000003</v>
      </c>
    </row>
    <row r="21" spans="1:22" ht="12.75" customHeight="1" x14ac:dyDescent="0.2">
      <c r="A21" t="s">
        <v>103</v>
      </c>
      <c r="B21" s="95">
        <v>0</v>
      </c>
      <c r="C21" s="95"/>
      <c r="D21" s="95">
        <v>0</v>
      </c>
      <c r="E21" s="95"/>
      <c r="F21" s="95">
        <v>0</v>
      </c>
      <c r="G21" s="95"/>
      <c r="H21" s="95">
        <v>0</v>
      </c>
      <c r="I21" s="95"/>
      <c r="J21" s="95">
        <v>0</v>
      </c>
      <c r="K21" s="95"/>
      <c r="L21" s="95">
        <v>0</v>
      </c>
      <c r="M21" s="95"/>
      <c r="N21" s="95">
        <v>0</v>
      </c>
      <c r="O21" s="95"/>
      <c r="P21" s="95">
        <v>0</v>
      </c>
      <c r="Q21" s="95"/>
      <c r="R21" s="95">
        <v>0</v>
      </c>
      <c r="S21" s="95"/>
      <c r="T21" s="95">
        <v>0</v>
      </c>
      <c r="U21" s="95"/>
      <c r="V21" s="95">
        <v>0</v>
      </c>
    </row>
    <row r="22" spans="1:22" ht="12.75" customHeight="1" x14ac:dyDescent="0.2">
      <c r="A22" t="s">
        <v>44</v>
      </c>
      <c r="B22" s="95">
        <v>-110930675.00000006</v>
      </c>
      <c r="C22" s="95"/>
      <c r="D22" s="95">
        <v>-111362572.00000001</v>
      </c>
      <c r="E22" s="95"/>
      <c r="F22" s="95">
        <v>-116411851</v>
      </c>
      <c r="G22" s="95"/>
      <c r="H22" s="95">
        <v>-123440280.45</v>
      </c>
      <c r="I22" s="95"/>
      <c r="J22" s="95">
        <v>-132338182.99999994</v>
      </c>
      <c r="K22" s="95"/>
      <c r="L22" s="95">
        <v>-136272241.84</v>
      </c>
      <c r="M22" s="95"/>
      <c r="N22" s="95">
        <v>-160852912</v>
      </c>
      <c r="O22" s="95"/>
      <c r="P22" s="95">
        <v>-180691124.94000003</v>
      </c>
      <c r="Q22" s="95"/>
      <c r="R22" s="95">
        <v>-183385870</v>
      </c>
      <c r="S22" s="95"/>
      <c r="T22" s="95">
        <v>-183385870</v>
      </c>
      <c r="U22" s="95"/>
      <c r="V22" s="95">
        <v>-203294106.00000003</v>
      </c>
    </row>
    <row r="23" spans="1:22" ht="12.75" customHeight="1" x14ac:dyDescent="0.2">
      <c r="A23" t="s">
        <v>45</v>
      </c>
      <c r="B23" s="95">
        <v>77143352.999999955</v>
      </c>
      <c r="C23" s="95"/>
      <c r="D23" s="95">
        <v>61154724.000000045</v>
      </c>
      <c r="E23" s="95"/>
      <c r="F23" s="95">
        <v>78962603.000000015</v>
      </c>
      <c r="G23" s="95"/>
      <c r="H23" s="95">
        <v>74435331.549999982</v>
      </c>
      <c r="I23" s="95"/>
      <c r="J23" s="95">
        <v>79195329.000000179</v>
      </c>
      <c r="K23" s="95"/>
      <c r="L23" s="95">
        <v>78942283.160000026</v>
      </c>
      <c r="M23" s="95"/>
      <c r="N23" s="95">
        <v>91620375.999999911</v>
      </c>
      <c r="O23" s="95"/>
      <c r="P23" s="95">
        <v>92081797.060000032</v>
      </c>
      <c r="Q23" s="95"/>
      <c r="R23" s="95">
        <v>97064120</v>
      </c>
      <c r="S23" s="95"/>
      <c r="T23" s="95">
        <v>97064120</v>
      </c>
      <c r="U23" s="95"/>
      <c r="V23" s="95">
        <v>99152479.65959996</v>
      </c>
    </row>
    <row r="24" spans="1:22" ht="12.75" customHeight="1" x14ac:dyDescent="0.2">
      <c r="A24" t="s">
        <v>164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ht="12.75" customHeight="1" x14ac:dyDescent="0.2">
      <c r="A25" t="s">
        <v>165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</row>
    <row r="26" spans="1:22" ht="12.75" customHeight="1" x14ac:dyDescent="0.2">
      <c r="A26" t="s">
        <v>166</v>
      </c>
      <c r="B26" s="95">
        <v>0</v>
      </c>
      <c r="C26" s="95"/>
      <c r="D26" s="95">
        <v>15439129.999999994</v>
      </c>
      <c r="E26" s="95"/>
      <c r="F26" s="95">
        <v>0</v>
      </c>
      <c r="G26" s="95"/>
      <c r="H26" s="95">
        <v>14053782</v>
      </c>
      <c r="I26" s="95"/>
      <c r="J26" s="95">
        <v>0</v>
      </c>
      <c r="K26" s="95"/>
      <c r="L26" s="95">
        <v>13787328</v>
      </c>
      <c r="M26" s="95"/>
      <c r="N26" s="95">
        <v>13864483.999999994</v>
      </c>
      <c r="O26" s="95"/>
      <c r="P26" s="95">
        <v>14103473.489999998</v>
      </c>
      <c r="Q26" s="95"/>
      <c r="R26" s="95">
        <v>14100061.999999998</v>
      </c>
      <c r="S26" s="95"/>
      <c r="T26" s="95">
        <v>14100061.999999998</v>
      </c>
      <c r="U26" s="95"/>
      <c r="V26" s="95">
        <v>14768761.179999998</v>
      </c>
    </row>
    <row r="27" spans="1:22" ht="12.75" customHeight="1" x14ac:dyDescent="0.2">
      <c r="A27" t="s">
        <v>167</v>
      </c>
      <c r="B27" s="95">
        <v>0</v>
      </c>
      <c r="C27" s="95"/>
      <c r="D27" s="95">
        <v>0</v>
      </c>
      <c r="E27" s="95"/>
      <c r="F27" s="95">
        <v>0</v>
      </c>
      <c r="G27" s="95"/>
      <c r="H27" s="95">
        <v>0</v>
      </c>
      <c r="I27" s="95"/>
      <c r="J27" s="95">
        <v>0</v>
      </c>
      <c r="K27" s="95"/>
      <c r="L27" s="95">
        <v>0</v>
      </c>
      <c r="M27" s="95"/>
      <c r="N27" s="95">
        <v>0</v>
      </c>
      <c r="O27" s="95"/>
      <c r="P27" s="95">
        <v>0</v>
      </c>
      <c r="Q27" s="95"/>
      <c r="R27" s="95">
        <v>0</v>
      </c>
      <c r="S27" s="95"/>
      <c r="T27" s="95">
        <v>0</v>
      </c>
      <c r="U27" s="95"/>
      <c r="V27" s="95">
        <v>0</v>
      </c>
    </row>
    <row r="28" spans="1:22" ht="12.75" customHeight="1" x14ac:dyDescent="0.2">
      <c r="A28" t="s">
        <v>180</v>
      </c>
      <c r="B28" s="95">
        <v>0</v>
      </c>
      <c r="C28" s="95"/>
      <c r="D28" s="95">
        <v>0</v>
      </c>
      <c r="E28" s="95"/>
      <c r="F28" s="95">
        <v>0</v>
      </c>
      <c r="G28" s="95"/>
      <c r="H28" s="95">
        <v>0</v>
      </c>
      <c r="I28" s="95"/>
      <c r="J28" s="95">
        <v>0</v>
      </c>
      <c r="K28" s="95"/>
      <c r="L28" s="95">
        <v>0</v>
      </c>
      <c r="M28" s="95"/>
      <c r="N28" s="95">
        <v>0</v>
      </c>
      <c r="O28" s="95"/>
      <c r="P28" s="95">
        <v>0</v>
      </c>
      <c r="Q28" s="95"/>
      <c r="R28" s="95">
        <v>0</v>
      </c>
      <c r="S28" s="95"/>
      <c r="T28" s="95">
        <v>0</v>
      </c>
      <c r="U28" s="95"/>
      <c r="V28" s="95">
        <v>0</v>
      </c>
    </row>
    <row r="29" spans="1:22" ht="12.75" customHeight="1" x14ac:dyDescent="0.2">
      <c r="A29" t="s">
        <v>168</v>
      </c>
      <c r="B29" s="95">
        <v>0</v>
      </c>
      <c r="C29" s="95"/>
      <c r="D29" s="95">
        <v>15439129.999999994</v>
      </c>
      <c r="E29" s="95"/>
      <c r="F29" s="95">
        <v>0</v>
      </c>
      <c r="G29" s="95"/>
      <c r="H29" s="95">
        <v>14053782</v>
      </c>
      <c r="I29" s="95"/>
      <c r="J29" s="95">
        <v>0</v>
      </c>
      <c r="K29" s="95"/>
      <c r="L29" s="95">
        <v>13787328</v>
      </c>
      <c r="M29" s="95"/>
      <c r="N29" s="95">
        <v>13864483.999999994</v>
      </c>
      <c r="O29" s="95"/>
      <c r="P29" s="95">
        <v>14103473.489999998</v>
      </c>
      <c r="Q29" s="95"/>
      <c r="R29" s="95">
        <v>14100061.999999998</v>
      </c>
      <c r="S29" s="95"/>
      <c r="T29" s="95">
        <v>14100061.999999998</v>
      </c>
      <c r="U29" s="95"/>
      <c r="V29" s="95">
        <v>14768761.179999998</v>
      </c>
    </row>
    <row r="30" spans="1:22" ht="12.75" customHeight="1" x14ac:dyDescent="0.2">
      <c r="A30" t="s">
        <v>169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22" ht="12.75" customHeight="1" x14ac:dyDescent="0.2">
      <c r="A31" t="s">
        <v>214</v>
      </c>
      <c r="B31" s="95">
        <v>0</v>
      </c>
      <c r="C31" s="95"/>
      <c r="D31" s="95">
        <v>0</v>
      </c>
      <c r="E31" s="95"/>
      <c r="F31" s="95">
        <v>0</v>
      </c>
      <c r="G31" s="95"/>
      <c r="H31" s="95">
        <v>0</v>
      </c>
      <c r="I31" s="95"/>
      <c r="J31" s="95">
        <v>0</v>
      </c>
      <c r="K31" s="95"/>
      <c r="L31" s="95">
        <v>0</v>
      </c>
      <c r="M31" s="95"/>
      <c r="N31" s="95">
        <v>0</v>
      </c>
      <c r="O31" s="95"/>
      <c r="P31" s="95">
        <v>0</v>
      </c>
      <c r="Q31" s="95"/>
      <c r="R31" s="95">
        <v>0</v>
      </c>
      <c r="S31" s="95"/>
      <c r="T31" s="95">
        <v>0</v>
      </c>
      <c r="U31" s="95"/>
      <c r="V31" s="95">
        <v>0</v>
      </c>
    </row>
    <row r="32" spans="1:22" ht="12.75" customHeight="1" x14ac:dyDescent="0.2">
      <c r="A32" t="s">
        <v>174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</row>
    <row r="33" spans="1:22" ht="12.75" customHeight="1" x14ac:dyDescent="0.2">
      <c r="A33" t="s">
        <v>215</v>
      </c>
      <c r="B33" s="95">
        <v>0</v>
      </c>
      <c r="C33" s="95"/>
      <c r="D33" s="95">
        <v>0</v>
      </c>
      <c r="E33" s="95"/>
      <c r="F33" s="95">
        <v>0</v>
      </c>
      <c r="G33" s="95"/>
      <c r="H33" s="95">
        <v>0</v>
      </c>
      <c r="I33" s="95"/>
      <c r="J33" s="95">
        <v>0</v>
      </c>
      <c r="K33" s="95"/>
      <c r="L33" s="95">
        <v>0</v>
      </c>
      <c r="M33" s="95"/>
      <c r="N33" s="95">
        <v>0</v>
      </c>
      <c r="O33" s="95"/>
      <c r="P33" s="95">
        <v>0</v>
      </c>
      <c r="Q33" s="95"/>
      <c r="R33" s="95">
        <v>0</v>
      </c>
      <c r="S33" s="95"/>
      <c r="T33" s="95">
        <v>0</v>
      </c>
      <c r="U33" s="95"/>
      <c r="V33" s="95">
        <v>0</v>
      </c>
    </row>
    <row r="34" spans="1:22" ht="12.75" customHeight="1" x14ac:dyDescent="0.2">
      <c r="A34" t="s">
        <v>170</v>
      </c>
      <c r="B34" s="95">
        <v>0</v>
      </c>
      <c r="C34" s="95"/>
      <c r="D34" s="95">
        <v>15439129.999999994</v>
      </c>
      <c r="E34" s="95"/>
      <c r="F34" s="95">
        <v>0</v>
      </c>
      <c r="G34" s="95"/>
      <c r="H34" s="95">
        <v>14053782</v>
      </c>
      <c r="I34" s="95"/>
      <c r="J34" s="95">
        <v>0</v>
      </c>
      <c r="K34" s="95"/>
      <c r="L34" s="95">
        <v>13787328</v>
      </c>
      <c r="M34" s="95"/>
      <c r="N34" s="95">
        <v>13864483.999999994</v>
      </c>
      <c r="O34" s="95"/>
      <c r="P34" s="95">
        <v>14103473.489999998</v>
      </c>
      <c r="Q34" s="95"/>
      <c r="R34" s="95">
        <v>14100061.999999998</v>
      </c>
      <c r="S34" s="95"/>
      <c r="T34" s="95">
        <v>14100061.999999998</v>
      </c>
      <c r="U34" s="95"/>
      <c r="V34" s="95">
        <v>14768761.179999998</v>
      </c>
    </row>
    <row r="35" spans="1:22" ht="12.75" customHeight="1" x14ac:dyDescent="0.2">
      <c r="A35" t="s">
        <v>46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1:22" ht="12.75" customHeight="1" x14ac:dyDescent="0.2">
      <c r="A36" t="s">
        <v>47</v>
      </c>
      <c r="B36" s="95">
        <v>0</v>
      </c>
      <c r="C36" s="95"/>
      <c r="D36" s="95">
        <v>0</v>
      </c>
      <c r="E36" s="95"/>
      <c r="F36" s="95">
        <v>0</v>
      </c>
      <c r="G36" s="95"/>
      <c r="H36" s="95">
        <v>0</v>
      </c>
      <c r="I36" s="95"/>
      <c r="J36" s="95">
        <v>0</v>
      </c>
      <c r="K36" s="95"/>
      <c r="L36" s="95">
        <v>0</v>
      </c>
      <c r="M36" s="95"/>
      <c r="N36" s="95">
        <v>0</v>
      </c>
      <c r="O36" s="95"/>
      <c r="P36" s="95">
        <v>0</v>
      </c>
      <c r="Q36" s="95"/>
      <c r="R36" s="95">
        <v>0</v>
      </c>
      <c r="S36" s="95"/>
      <c r="T36" s="95">
        <v>0</v>
      </c>
      <c r="U36" s="95"/>
      <c r="V36" s="95">
        <v>0</v>
      </c>
    </row>
    <row r="37" spans="1:22" ht="12.75" customHeight="1" x14ac:dyDescent="0.2">
      <c r="A37" t="s">
        <v>48</v>
      </c>
      <c r="B37" s="95">
        <v>1158994.9999999998</v>
      </c>
      <c r="C37" s="95"/>
      <c r="D37" s="95">
        <v>1533248</v>
      </c>
      <c r="E37" s="95"/>
      <c r="F37" s="95">
        <v>1350760</v>
      </c>
      <c r="G37" s="95"/>
      <c r="H37" s="95">
        <v>1455126.09</v>
      </c>
      <c r="I37" s="95"/>
      <c r="J37" s="95">
        <v>1670367</v>
      </c>
      <c r="K37" s="95"/>
      <c r="L37" s="95">
        <v>5465008.9500000002</v>
      </c>
      <c r="M37" s="95"/>
      <c r="N37" s="95">
        <v>1434149.0000000002</v>
      </c>
      <c r="O37" s="95"/>
      <c r="P37" s="95">
        <v>2749882.57</v>
      </c>
      <c r="Q37" s="95"/>
      <c r="R37" s="95">
        <v>1375866</v>
      </c>
      <c r="S37" s="95"/>
      <c r="T37" s="95">
        <v>1375866</v>
      </c>
      <c r="U37" s="95"/>
      <c r="V37" s="95">
        <v>3161242.5800000005</v>
      </c>
    </row>
    <row r="38" spans="1:22" ht="12.75" customHeight="1" x14ac:dyDescent="0.2">
      <c r="A38" t="s">
        <v>49</v>
      </c>
      <c r="B38" s="95">
        <v>356000.00000000006</v>
      </c>
      <c r="C38" s="95"/>
      <c r="D38" s="95">
        <v>258577.99999999997</v>
      </c>
      <c r="E38" s="95"/>
      <c r="F38" s="95">
        <v>356000.00000000006</v>
      </c>
      <c r="G38" s="95"/>
      <c r="H38" s="95">
        <v>285412.45</v>
      </c>
      <c r="I38" s="95"/>
      <c r="J38" s="95">
        <v>299953</v>
      </c>
      <c r="K38" s="95"/>
      <c r="L38" s="95">
        <v>250209.44</v>
      </c>
      <c r="M38" s="95"/>
      <c r="N38" s="95">
        <v>264507</v>
      </c>
      <c r="O38" s="95"/>
      <c r="P38" s="95">
        <v>333039.64999999997</v>
      </c>
      <c r="Q38" s="95"/>
      <c r="R38" s="95">
        <v>316051</v>
      </c>
      <c r="S38" s="95"/>
      <c r="T38" s="95">
        <v>316051</v>
      </c>
      <c r="U38" s="95"/>
      <c r="V38" s="95">
        <v>359448.18000000011</v>
      </c>
    </row>
    <row r="39" spans="1:22" ht="12.75" customHeight="1" x14ac:dyDescent="0.2">
      <c r="A39" t="s">
        <v>50</v>
      </c>
      <c r="B39" s="95">
        <v>0</v>
      </c>
      <c r="C39" s="95"/>
      <c r="D39" s="95">
        <v>0</v>
      </c>
      <c r="E39" s="95"/>
      <c r="F39" s="95">
        <v>0</v>
      </c>
      <c r="G39" s="95"/>
      <c r="H39" s="95">
        <v>0</v>
      </c>
      <c r="I39" s="95"/>
      <c r="J39" s="95">
        <v>0</v>
      </c>
      <c r="K39" s="95"/>
      <c r="L39" s="95">
        <v>0</v>
      </c>
      <c r="M39" s="95"/>
      <c r="N39" s="95">
        <v>0</v>
      </c>
      <c r="O39" s="95"/>
      <c r="P39" s="95">
        <v>0</v>
      </c>
      <c r="Q39" s="95"/>
      <c r="R39" s="95">
        <v>0</v>
      </c>
      <c r="S39" s="95"/>
      <c r="T39" s="95">
        <v>0</v>
      </c>
      <c r="U39" s="95"/>
      <c r="V39" s="95">
        <v>0</v>
      </c>
    </row>
    <row r="40" spans="1:22" ht="12.75" customHeight="1" x14ac:dyDescent="0.2">
      <c r="A40" t="s">
        <v>51</v>
      </c>
      <c r="B40" s="95">
        <v>0</v>
      </c>
      <c r="C40" s="95"/>
      <c r="D40" s="95">
        <v>0</v>
      </c>
      <c r="E40" s="95"/>
      <c r="F40" s="95">
        <v>0</v>
      </c>
      <c r="G40" s="95"/>
      <c r="H40" s="95">
        <v>0</v>
      </c>
      <c r="I40" s="95"/>
      <c r="J40" s="95">
        <v>0</v>
      </c>
      <c r="K40" s="95"/>
      <c r="L40" s="95">
        <v>0</v>
      </c>
      <c r="M40" s="95"/>
      <c r="N40" s="95">
        <v>0</v>
      </c>
      <c r="O40" s="95"/>
      <c r="P40" s="95">
        <v>0</v>
      </c>
      <c r="Q40" s="95"/>
      <c r="R40" s="95">
        <v>0</v>
      </c>
      <c r="S40" s="95"/>
      <c r="T40" s="95">
        <v>0</v>
      </c>
      <c r="U40" s="95"/>
      <c r="V40" s="95">
        <v>0</v>
      </c>
    </row>
    <row r="41" spans="1:22" ht="12.75" customHeight="1" x14ac:dyDescent="0.2">
      <c r="A41" t="s">
        <v>52</v>
      </c>
      <c r="B41" s="95">
        <v>0</v>
      </c>
      <c r="C41" s="95"/>
      <c r="D41" s="95">
        <v>0</v>
      </c>
      <c r="E41" s="95"/>
      <c r="F41" s="95">
        <v>0</v>
      </c>
      <c r="G41" s="95"/>
      <c r="H41" s="95">
        <v>0</v>
      </c>
      <c r="I41" s="95"/>
      <c r="J41" s="95">
        <v>0</v>
      </c>
      <c r="K41" s="95"/>
      <c r="L41" s="95">
        <v>0</v>
      </c>
      <c r="M41" s="95"/>
      <c r="N41" s="95">
        <v>0</v>
      </c>
      <c r="O41" s="95"/>
      <c r="P41" s="95">
        <v>0</v>
      </c>
      <c r="Q41" s="95"/>
      <c r="R41" s="95">
        <v>0</v>
      </c>
      <c r="S41" s="95"/>
      <c r="T41" s="95">
        <v>0</v>
      </c>
      <c r="U41" s="95"/>
      <c r="V41" s="95">
        <v>0</v>
      </c>
    </row>
    <row r="42" spans="1:22" ht="12.75" customHeight="1" x14ac:dyDescent="0.2">
      <c r="A42" t="s">
        <v>53</v>
      </c>
      <c r="B42" s="95">
        <v>310638</v>
      </c>
      <c r="C42" s="95"/>
      <c r="D42" s="95">
        <v>0</v>
      </c>
      <c r="E42" s="95"/>
      <c r="F42" s="95">
        <v>0</v>
      </c>
      <c r="G42" s="95"/>
      <c r="H42" s="95">
        <v>0</v>
      </c>
      <c r="I42" s="95"/>
      <c r="J42" s="95">
        <v>0</v>
      </c>
      <c r="K42" s="95"/>
      <c r="L42" s="95">
        <v>0</v>
      </c>
      <c r="M42" s="95"/>
      <c r="N42" s="95">
        <v>0</v>
      </c>
      <c r="O42" s="95"/>
      <c r="P42" s="95">
        <v>0</v>
      </c>
      <c r="Q42" s="95"/>
      <c r="R42" s="95">
        <v>0</v>
      </c>
      <c r="S42" s="95"/>
      <c r="T42" s="95">
        <v>0</v>
      </c>
      <c r="U42" s="95"/>
      <c r="V42" s="95">
        <v>0</v>
      </c>
    </row>
    <row r="43" spans="1:22" ht="12.75" customHeight="1" x14ac:dyDescent="0.2">
      <c r="A43" t="s">
        <v>54</v>
      </c>
      <c r="B43" s="95">
        <v>12000</v>
      </c>
      <c r="C43" s="95"/>
      <c r="D43" s="95">
        <v>8499.9999999999982</v>
      </c>
      <c r="E43" s="95"/>
      <c r="F43" s="95">
        <v>0</v>
      </c>
      <c r="G43" s="95"/>
      <c r="H43" s="95">
        <v>67999.899999999994</v>
      </c>
      <c r="I43" s="95"/>
      <c r="J43" s="95">
        <v>0</v>
      </c>
      <c r="K43" s="95"/>
      <c r="L43" s="95">
        <v>0</v>
      </c>
      <c r="M43" s="95"/>
      <c r="N43" s="95">
        <v>0</v>
      </c>
      <c r="O43" s="95"/>
      <c r="P43" s="95">
        <v>-8500</v>
      </c>
      <c r="Q43" s="95"/>
      <c r="R43" s="95">
        <v>0</v>
      </c>
      <c r="S43" s="95"/>
      <c r="T43" s="95">
        <v>0</v>
      </c>
      <c r="U43" s="95"/>
      <c r="V43" s="95">
        <v>0</v>
      </c>
    </row>
    <row r="44" spans="1:22" ht="12.75" customHeight="1" x14ac:dyDescent="0.2">
      <c r="A44" t="s">
        <v>105</v>
      </c>
      <c r="B44" s="95">
        <v>1695000</v>
      </c>
      <c r="C44" s="95"/>
      <c r="D44" s="95">
        <v>1855151.0000000002</v>
      </c>
      <c r="E44" s="95"/>
      <c r="F44" s="95">
        <v>1637168.0000000002</v>
      </c>
      <c r="G44" s="95"/>
      <c r="H44" s="95">
        <v>1980610.65</v>
      </c>
      <c r="I44" s="95"/>
      <c r="J44" s="95">
        <v>2145495</v>
      </c>
      <c r="K44" s="95"/>
      <c r="L44" s="95">
        <v>1320725</v>
      </c>
      <c r="M44" s="95"/>
      <c r="N44" s="95">
        <v>1673586.9999999998</v>
      </c>
      <c r="O44" s="95"/>
      <c r="P44" s="95">
        <v>890253.87999999989</v>
      </c>
      <c r="Q44" s="95"/>
      <c r="R44" s="95">
        <v>1673586.9999999998</v>
      </c>
      <c r="S44" s="95"/>
      <c r="T44" s="95">
        <v>1673586.9999999998</v>
      </c>
      <c r="U44" s="95"/>
      <c r="V44" s="95">
        <v>1700000.0000000002</v>
      </c>
    </row>
    <row r="45" spans="1:22" ht="12.75" customHeight="1" x14ac:dyDescent="0.2">
      <c r="A45" t="s">
        <v>181</v>
      </c>
      <c r="B45" s="95">
        <v>0</v>
      </c>
      <c r="C45" s="95"/>
      <c r="D45" s="95">
        <v>12484405.999999998</v>
      </c>
      <c r="E45" s="95"/>
      <c r="F45" s="95">
        <v>0</v>
      </c>
      <c r="G45" s="95"/>
      <c r="H45" s="95">
        <v>109089</v>
      </c>
      <c r="I45" s="95"/>
      <c r="J45" s="95">
        <v>0</v>
      </c>
      <c r="K45" s="95"/>
      <c r="L45" s="95">
        <v>0</v>
      </c>
      <c r="M45" s="95"/>
      <c r="N45" s="95">
        <v>0</v>
      </c>
      <c r="O45" s="95"/>
      <c r="P45" s="95">
        <v>0</v>
      </c>
      <c r="Q45" s="95"/>
      <c r="R45" s="95">
        <v>0</v>
      </c>
      <c r="S45" s="95"/>
      <c r="T45" s="95">
        <v>0</v>
      </c>
      <c r="U45" s="95"/>
      <c r="V45" s="95">
        <v>0</v>
      </c>
    </row>
    <row r="46" spans="1:22" ht="12.75" customHeight="1" x14ac:dyDescent="0.2">
      <c r="A46" t="s">
        <v>106</v>
      </c>
      <c r="B46" s="95">
        <v>0</v>
      </c>
      <c r="C46" s="95"/>
      <c r="D46" s="95">
        <v>0</v>
      </c>
      <c r="E46" s="95"/>
      <c r="F46" s="95">
        <v>0</v>
      </c>
      <c r="G46" s="95"/>
      <c r="H46" s="95">
        <v>0</v>
      </c>
      <c r="I46" s="95"/>
      <c r="J46" s="95">
        <v>0</v>
      </c>
      <c r="K46" s="95"/>
      <c r="L46" s="95">
        <v>0</v>
      </c>
      <c r="M46" s="95"/>
      <c r="N46" s="95">
        <v>0</v>
      </c>
      <c r="O46" s="95"/>
      <c r="P46" s="95">
        <v>0</v>
      </c>
      <c r="Q46" s="95"/>
      <c r="R46" s="95">
        <v>0</v>
      </c>
      <c r="S46" s="95"/>
      <c r="T46" s="95">
        <v>0</v>
      </c>
      <c r="U46" s="95"/>
      <c r="V46" s="95">
        <v>0</v>
      </c>
    </row>
    <row r="47" spans="1:22" ht="12.75" customHeight="1" x14ac:dyDescent="0.2">
      <c r="A47" t="s">
        <v>107</v>
      </c>
      <c r="B47" s="95">
        <v>0</v>
      </c>
      <c r="C47" s="95"/>
      <c r="D47" s="95">
        <v>0</v>
      </c>
      <c r="E47" s="95"/>
      <c r="F47" s="95">
        <v>0</v>
      </c>
      <c r="G47" s="95"/>
      <c r="H47" s="95">
        <v>0</v>
      </c>
      <c r="I47" s="95"/>
      <c r="J47" s="95">
        <v>0</v>
      </c>
      <c r="K47" s="95"/>
      <c r="L47" s="95">
        <v>0</v>
      </c>
      <c r="M47" s="95"/>
      <c r="N47" s="95">
        <v>0</v>
      </c>
      <c r="O47" s="95"/>
      <c r="P47" s="95">
        <v>0</v>
      </c>
      <c r="Q47" s="95"/>
      <c r="R47" s="95">
        <v>0</v>
      </c>
      <c r="S47" s="95"/>
      <c r="T47" s="95">
        <v>0</v>
      </c>
      <c r="U47" s="95"/>
      <c r="V47" s="95">
        <v>0</v>
      </c>
    </row>
    <row r="48" spans="1:22" ht="12.75" customHeight="1" x14ac:dyDescent="0.2">
      <c r="A48" t="s">
        <v>108</v>
      </c>
      <c r="B48" s="95">
        <v>0</v>
      </c>
      <c r="C48" s="95"/>
      <c r="D48" s="95">
        <v>0</v>
      </c>
      <c r="E48" s="95"/>
      <c r="F48" s="95">
        <v>0</v>
      </c>
      <c r="G48" s="95"/>
      <c r="H48" s="95">
        <v>0</v>
      </c>
      <c r="I48" s="95"/>
      <c r="J48" s="95">
        <v>0</v>
      </c>
      <c r="K48" s="95"/>
      <c r="L48" s="95">
        <v>0</v>
      </c>
      <c r="M48" s="95"/>
      <c r="N48" s="95">
        <v>0</v>
      </c>
      <c r="O48" s="95"/>
      <c r="P48" s="95">
        <v>0</v>
      </c>
      <c r="Q48" s="95"/>
      <c r="R48" s="95">
        <v>0</v>
      </c>
      <c r="S48" s="95"/>
      <c r="T48" s="95">
        <v>0</v>
      </c>
      <c r="U48" s="95"/>
      <c r="V48" s="95">
        <v>0</v>
      </c>
    </row>
    <row r="49" spans="1:22" ht="12.75" customHeight="1" x14ac:dyDescent="0.2">
      <c r="A49" t="s">
        <v>109</v>
      </c>
      <c r="B49" s="95">
        <v>0</v>
      </c>
      <c r="C49" s="95"/>
      <c r="D49" s="95">
        <v>0</v>
      </c>
      <c r="E49" s="95"/>
      <c r="F49" s="95">
        <v>0</v>
      </c>
      <c r="G49" s="95"/>
      <c r="H49" s="95">
        <v>0</v>
      </c>
      <c r="I49" s="95"/>
      <c r="J49" s="95">
        <v>0</v>
      </c>
      <c r="K49" s="95"/>
      <c r="L49" s="95">
        <v>0</v>
      </c>
      <c r="M49" s="95"/>
      <c r="N49" s="95">
        <v>0</v>
      </c>
      <c r="O49" s="95"/>
      <c r="P49" s="95">
        <v>0</v>
      </c>
      <c r="Q49" s="95"/>
      <c r="R49" s="95">
        <v>0</v>
      </c>
      <c r="S49" s="95"/>
      <c r="T49" s="95">
        <v>0</v>
      </c>
      <c r="U49" s="95"/>
      <c r="V49" s="95">
        <v>0</v>
      </c>
    </row>
    <row r="50" spans="1:22" ht="12.75" customHeight="1" x14ac:dyDescent="0.2">
      <c r="A50" t="s">
        <v>110</v>
      </c>
      <c r="B50" s="95">
        <v>0</v>
      </c>
      <c r="C50" s="95"/>
      <c r="D50" s="95">
        <v>0</v>
      </c>
      <c r="E50" s="95"/>
      <c r="F50" s="95">
        <v>0</v>
      </c>
      <c r="G50" s="95"/>
      <c r="H50" s="95">
        <v>0</v>
      </c>
      <c r="I50" s="95"/>
      <c r="J50" s="95">
        <v>0</v>
      </c>
      <c r="K50" s="95"/>
      <c r="L50" s="95">
        <v>0</v>
      </c>
      <c r="M50" s="95"/>
      <c r="N50" s="95">
        <v>0</v>
      </c>
      <c r="O50" s="95"/>
      <c r="P50" s="95">
        <v>0</v>
      </c>
      <c r="Q50" s="95"/>
      <c r="R50" s="95">
        <v>0</v>
      </c>
      <c r="S50" s="95"/>
      <c r="T50" s="95">
        <v>0</v>
      </c>
      <c r="U50" s="95"/>
      <c r="V50" s="95">
        <v>0</v>
      </c>
    </row>
    <row r="51" spans="1:22" ht="12.75" customHeight="1" x14ac:dyDescent="0.2">
      <c r="A51" t="s">
        <v>111</v>
      </c>
      <c r="B51" s="95">
        <v>0</v>
      </c>
      <c r="C51" s="95"/>
      <c r="D51" s="95">
        <v>0</v>
      </c>
      <c r="E51" s="95"/>
      <c r="F51" s="95">
        <v>0</v>
      </c>
      <c r="G51" s="95"/>
      <c r="H51" s="95">
        <v>0</v>
      </c>
      <c r="I51" s="95"/>
      <c r="J51" s="95">
        <v>0</v>
      </c>
      <c r="K51" s="95"/>
      <c r="L51" s="95">
        <v>0</v>
      </c>
      <c r="M51" s="95"/>
      <c r="N51" s="95">
        <v>0</v>
      </c>
      <c r="O51" s="95"/>
      <c r="P51" s="95">
        <v>0</v>
      </c>
      <c r="Q51" s="95"/>
      <c r="R51" s="95">
        <v>0</v>
      </c>
      <c r="S51" s="95"/>
      <c r="T51" s="95">
        <v>0</v>
      </c>
      <c r="U51" s="95"/>
      <c r="V51" s="95">
        <v>0</v>
      </c>
    </row>
    <row r="52" spans="1:22" ht="12.75" customHeight="1" x14ac:dyDescent="0.2">
      <c r="A52" t="s">
        <v>112</v>
      </c>
      <c r="B52" s="95">
        <v>0</v>
      </c>
      <c r="C52" s="95"/>
      <c r="D52" s="95">
        <v>0</v>
      </c>
      <c r="E52" s="95"/>
      <c r="F52" s="95">
        <v>0</v>
      </c>
      <c r="G52" s="95"/>
      <c r="H52" s="95">
        <v>0</v>
      </c>
      <c r="I52" s="95"/>
      <c r="J52" s="95">
        <v>0</v>
      </c>
      <c r="K52" s="95"/>
      <c r="L52" s="95">
        <v>0</v>
      </c>
      <c r="M52" s="95"/>
      <c r="N52" s="95">
        <v>0</v>
      </c>
      <c r="O52" s="95"/>
      <c r="P52" s="95">
        <v>0</v>
      </c>
      <c r="Q52" s="95"/>
      <c r="R52" s="95">
        <v>0</v>
      </c>
      <c r="S52" s="95"/>
      <c r="T52" s="95">
        <v>0</v>
      </c>
      <c r="U52" s="95"/>
      <c r="V52" s="95">
        <v>0</v>
      </c>
    </row>
    <row r="53" spans="1:22" ht="12.75" customHeight="1" x14ac:dyDescent="0.2">
      <c r="A53" t="s">
        <v>55</v>
      </c>
      <c r="B53" s="95">
        <v>178000.00000000009</v>
      </c>
      <c r="C53" s="95"/>
      <c r="D53" s="95">
        <v>463278.99999999994</v>
      </c>
      <c r="E53" s="95"/>
      <c r="F53" s="95">
        <v>350925.99999999994</v>
      </c>
      <c r="G53" s="95"/>
      <c r="H53" s="95">
        <v>1167948.92</v>
      </c>
      <c r="I53" s="95"/>
      <c r="J53" s="95">
        <v>325776.00000000006</v>
      </c>
      <c r="K53" s="95"/>
      <c r="L53" s="95">
        <v>1165375.46</v>
      </c>
      <c r="M53" s="95"/>
      <c r="N53" s="95">
        <v>350285.99999999994</v>
      </c>
      <c r="O53" s="95"/>
      <c r="P53" s="95">
        <v>651856.06999999995</v>
      </c>
      <c r="Q53" s="95"/>
      <c r="R53" s="95">
        <v>456557.00000000006</v>
      </c>
      <c r="S53" s="95"/>
      <c r="T53" s="95">
        <v>456557.00000000006</v>
      </c>
      <c r="U53" s="95"/>
      <c r="V53" s="95">
        <v>703032</v>
      </c>
    </row>
    <row r="54" spans="1:22" ht="12.75" customHeight="1" x14ac:dyDescent="0.2">
      <c r="A54" t="s">
        <v>56</v>
      </c>
      <c r="B54" s="95">
        <v>3710633</v>
      </c>
      <c r="C54" s="95"/>
      <c r="D54" s="95">
        <v>16603161.999999998</v>
      </c>
      <c r="E54" s="95"/>
      <c r="F54" s="95">
        <v>3694854</v>
      </c>
      <c r="G54" s="95"/>
      <c r="H54" s="95">
        <v>5066187.01</v>
      </c>
      <c r="I54" s="95"/>
      <c r="J54" s="95">
        <v>4441591</v>
      </c>
      <c r="K54" s="95"/>
      <c r="L54" s="95">
        <v>8201318.8500000006</v>
      </c>
      <c r="M54" s="95"/>
      <c r="N54" s="95">
        <v>3722529</v>
      </c>
      <c r="O54" s="95"/>
      <c r="P54" s="95">
        <v>4616532.17</v>
      </c>
      <c r="Q54" s="95"/>
      <c r="R54" s="95">
        <v>3822061</v>
      </c>
      <c r="S54" s="95"/>
      <c r="T54" s="95">
        <v>3822061</v>
      </c>
      <c r="U54" s="95"/>
      <c r="V54" s="95">
        <v>5923722.7600000007</v>
      </c>
    </row>
    <row r="55" spans="1:22" ht="12.75" customHeight="1" x14ac:dyDescent="0.2">
      <c r="A55" t="s">
        <v>57</v>
      </c>
      <c r="B55" s="95">
        <v>80853985.999999955</v>
      </c>
      <c r="C55" s="95"/>
      <c r="D55" s="95">
        <v>93197016.000000045</v>
      </c>
      <c r="E55" s="95"/>
      <c r="F55" s="95">
        <v>82657457.000000015</v>
      </c>
      <c r="G55" s="95"/>
      <c r="H55" s="95">
        <v>93555300.559999987</v>
      </c>
      <c r="I55" s="95"/>
      <c r="J55" s="95">
        <v>83636920.000000179</v>
      </c>
      <c r="K55" s="95"/>
      <c r="L55" s="95">
        <v>100930930.01000002</v>
      </c>
      <c r="M55" s="95"/>
      <c r="N55" s="95">
        <v>109207388.99999991</v>
      </c>
      <c r="O55" s="95"/>
      <c r="P55" s="95">
        <v>110801802.72000003</v>
      </c>
      <c r="Q55" s="95"/>
      <c r="R55" s="95">
        <v>114986243</v>
      </c>
      <c r="S55" s="95"/>
      <c r="T55" s="95">
        <v>114986243</v>
      </c>
      <c r="U55" s="95"/>
      <c r="V55" s="95">
        <v>119844963.59959996</v>
      </c>
    </row>
    <row r="56" spans="1:22" ht="12.75" customHeight="1" x14ac:dyDescent="0.2">
      <c r="A56" t="s">
        <v>58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</row>
    <row r="57" spans="1:22" ht="12.75" customHeight="1" x14ac:dyDescent="0.2">
      <c r="A57" t="s">
        <v>59</v>
      </c>
      <c r="B57" s="95">
        <v>30456291</v>
      </c>
      <c r="C57" s="95"/>
      <c r="D57" s="95">
        <v>29955500.000000011</v>
      </c>
      <c r="E57" s="95"/>
      <c r="F57" s="95">
        <v>32924457</v>
      </c>
      <c r="G57" s="95"/>
      <c r="H57" s="95">
        <v>60314127.079999998</v>
      </c>
      <c r="I57" s="95"/>
      <c r="J57" s="95">
        <v>33799507.999999985</v>
      </c>
      <c r="K57" s="95"/>
      <c r="L57" s="95">
        <v>62977333</v>
      </c>
      <c r="M57" s="95"/>
      <c r="N57" s="95">
        <v>36452229.999999993</v>
      </c>
      <c r="O57" s="95"/>
      <c r="P57" s="95">
        <v>67907867.579999998</v>
      </c>
      <c r="Q57" s="95"/>
      <c r="R57" s="95">
        <v>65001037.000000007</v>
      </c>
      <c r="S57" s="95"/>
      <c r="T57" s="95">
        <v>65001037.000000007</v>
      </c>
      <c r="U57" s="95"/>
      <c r="V57" s="95">
        <v>68065669.999999985</v>
      </c>
    </row>
    <row r="58" spans="1:22" ht="12.75" customHeight="1" x14ac:dyDescent="0.2">
      <c r="A58" t="s">
        <v>60</v>
      </c>
      <c r="B58" s="95">
        <v>7846896.9999999991</v>
      </c>
      <c r="C58" s="95"/>
      <c r="D58" s="95">
        <v>8578239.5100000016</v>
      </c>
      <c r="E58" s="95"/>
      <c r="F58" s="95">
        <v>9741773</v>
      </c>
      <c r="G58" s="95"/>
      <c r="H58" s="95">
        <v>0</v>
      </c>
      <c r="I58" s="95"/>
      <c r="J58" s="95">
        <v>11405808.999999993</v>
      </c>
      <c r="K58" s="95"/>
      <c r="L58" s="95">
        <v>0</v>
      </c>
      <c r="M58" s="95"/>
      <c r="N58" s="95">
        <v>12417276</v>
      </c>
      <c r="O58" s="95"/>
      <c r="P58" s="95">
        <v>0</v>
      </c>
      <c r="Q58" s="95"/>
      <c r="R58" s="95">
        <v>0</v>
      </c>
      <c r="S58" s="95"/>
      <c r="T58" s="95">
        <v>0</v>
      </c>
      <c r="U58" s="95"/>
      <c r="V58" s="95">
        <v>0</v>
      </c>
    </row>
    <row r="59" spans="1:22" ht="12.75" customHeight="1" x14ac:dyDescent="0.2">
      <c r="A59" t="s">
        <v>182</v>
      </c>
      <c r="B59" s="95">
        <v>19220412.999999993</v>
      </c>
      <c r="C59" s="95"/>
      <c r="D59" s="95">
        <v>19966791.000000004</v>
      </c>
      <c r="E59" s="95"/>
      <c r="F59" s="95">
        <v>18671941</v>
      </c>
      <c r="G59" s="95"/>
      <c r="H59" s="95">
        <v>0</v>
      </c>
      <c r="I59" s="95"/>
      <c r="J59" s="95">
        <v>17172724.000000004</v>
      </c>
      <c r="K59" s="95"/>
      <c r="L59" s="95">
        <v>0</v>
      </c>
      <c r="M59" s="95"/>
      <c r="N59" s="95">
        <v>18534209</v>
      </c>
      <c r="O59" s="95"/>
      <c r="P59" s="95">
        <v>0</v>
      </c>
      <c r="Q59" s="95"/>
      <c r="R59" s="95">
        <v>0</v>
      </c>
      <c r="S59" s="95"/>
      <c r="T59" s="95">
        <v>0</v>
      </c>
      <c r="U59" s="95"/>
      <c r="V59" s="95">
        <v>0</v>
      </c>
    </row>
    <row r="60" spans="1:22" ht="12.75" customHeight="1" x14ac:dyDescent="0.2">
      <c r="A60" t="s">
        <v>61</v>
      </c>
      <c r="B60" s="95">
        <v>0</v>
      </c>
      <c r="C60" s="95"/>
      <c r="D60" s="95">
        <v>0</v>
      </c>
      <c r="E60" s="95"/>
      <c r="F60" s="95">
        <v>0</v>
      </c>
      <c r="G60" s="95"/>
      <c r="H60" s="95">
        <v>0</v>
      </c>
      <c r="I60" s="95"/>
      <c r="J60" s="95">
        <v>0</v>
      </c>
      <c r="K60" s="95"/>
      <c r="L60" s="95">
        <v>0</v>
      </c>
      <c r="M60" s="95"/>
      <c r="N60" s="95">
        <v>0</v>
      </c>
      <c r="O60" s="95"/>
      <c r="P60" s="95">
        <v>0</v>
      </c>
      <c r="Q60" s="95"/>
      <c r="R60" s="95">
        <v>0</v>
      </c>
      <c r="S60" s="95"/>
      <c r="T60" s="95">
        <v>0</v>
      </c>
      <c r="U60" s="95"/>
      <c r="V60" s="95">
        <v>0</v>
      </c>
    </row>
    <row r="61" spans="1:22" ht="12.75" customHeight="1" x14ac:dyDescent="0.2">
      <c r="A61" t="s">
        <v>62</v>
      </c>
      <c r="B61" s="95">
        <v>5038058</v>
      </c>
      <c r="C61" s="95"/>
      <c r="D61" s="95">
        <v>5006381.5</v>
      </c>
      <c r="E61" s="95"/>
      <c r="F61" s="95">
        <v>5517700</v>
      </c>
      <c r="G61" s="95"/>
      <c r="H61" s="95">
        <v>4680807</v>
      </c>
      <c r="I61" s="95"/>
      <c r="J61" s="95">
        <v>5526036</v>
      </c>
      <c r="K61" s="95"/>
      <c r="L61" s="95">
        <v>5396960.5800000001</v>
      </c>
      <c r="M61" s="95"/>
      <c r="N61" s="95">
        <v>6385260</v>
      </c>
      <c r="O61" s="95"/>
      <c r="P61" s="95">
        <v>5758093.0199999996</v>
      </c>
      <c r="Q61" s="95"/>
      <c r="R61" s="95">
        <v>5721126</v>
      </c>
      <c r="S61" s="95"/>
      <c r="T61" s="95">
        <v>5721126</v>
      </c>
      <c r="U61" s="95"/>
      <c r="V61" s="95">
        <v>6319148.7999999998</v>
      </c>
    </row>
    <row r="62" spans="1:22" ht="12.75" customHeight="1" x14ac:dyDescent="0.2">
      <c r="A62" t="s">
        <v>63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</row>
    <row r="63" spans="1:22" ht="12.75" customHeight="1" x14ac:dyDescent="0.2">
      <c r="A63" t="s">
        <v>216</v>
      </c>
      <c r="B63" s="95">
        <v>4280871</v>
      </c>
      <c r="C63" s="95"/>
      <c r="D63" s="95">
        <v>4237777</v>
      </c>
      <c r="E63" s="95"/>
      <c r="F63" s="95">
        <v>4500339.9999999991</v>
      </c>
      <c r="G63" s="95"/>
      <c r="H63" s="95">
        <v>3924803.16</v>
      </c>
      <c r="I63" s="95"/>
      <c r="J63" s="95">
        <v>4270607</v>
      </c>
      <c r="K63" s="95"/>
      <c r="L63" s="95">
        <v>3970094.59</v>
      </c>
      <c r="M63" s="95"/>
      <c r="N63" s="95">
        <v>4062533.0000000005</v>
      </c>
      <c r="O63" s="95"/>
      <c r="P63" s="95">
        <v>4411402.29</v>
      </c>
      <c r="Q63" s="95"/>
      <c r="R63" s="95">
        <v>3852273.9999999991</v>
      </c>
      <c r="S63" s="95"/>
      <c r="T63" s="95">
        <v>3852273.9999999991</v>
      </c>
      <c r="U63" s="95"/>
      <c r="V63" s="95">
        <v>4017315.7600000002</v>
      </c>
    </row>
    <row r="64" spans="1:22" ht="12.75" customHeight="1" x14ac:dyDescent="0.2">
      <c r="A64" t="s">
        <v>64</v>
      </c>
      <c r="B64" s="95">
        <v>0</v>
      </c>
      <c r="C64" s="95"/>
      <c r="D64" s="95">
        <v>0</v>
      </c>
      <c r="E64" s="95"/>
      <c r="F64" s="95">
        <v>0</v>
      </c>
      <c r="G64" s="95"/>
      <c r="H64" s="95">
        <v>0</v>
      </c>
      <c r="I64" s="95"/>
      <c r="J64" s="95">
        <v>0</v>
      </c>
      <c r="K64" s="95"/>
      <c r="L64" s="95">
        <v>0</v>
      </c>
      <c r="M64" s="95"/>
      <c r="N64" s="95">
        <v>0</v>
      </c>
      <c r="O64" s="95"/>
      <c r="P64" s="95">
        <v>0</v>
      </c>
      <c r="Q64" s="95"/>
      <c r="R64" s="95">
        <v>0</v>
      </c>
      <c r="S64" s="95"/>
      <c r="T64" s="95">
        <v>0</v>
      </c>
      <c r="U64" s="95"/>
      <c r="V64" s="95">
        <v>0</v>
      </c>
    </row>
    <row r="65" spans="1:22" ht="12.75" customHeight="1" x14ac:dyDescent="0.2">
      <c r="A65" t="s">
        <v>65</v>
      </c>
      <c r="B65" s="95">
        <v>546938.00000000012</v>
      </c>
      <c r="C65" s="95"/>
      <c r="D65" s="95">
        <v>136985.00000000003</v>
      </c>
      <c r="E65" s="95"/>
      <c r="F65" s="95">
        <v>463314.99999999994</v>
      </c>
      <c r="G65" s="95"/>
      <c r="H65" s="95">
        <v>127650.07</v>
      </c>
      <c r="I65" s="95"/>
      <c r="J65" s="95">
        <v>449045.99999999994</v>
      </c>
      <c r="K65" s="95"/>
      <c r="L65" s="95">
        <v>110385</v>
      </c>
      <c r="M65" s="95"/>
      <c r="N65" s="95">
        <v>482265</v>
      </c>
      <c r="O65" s="95"/>
      <c r="P65" s="95">
        <v>-91759.449999999953</v>
      </c>
      <c r="Q65" s="95"/>
      <c r="R65" s="95">
        <v>460787.00000000006</v>
      </c>
      <c r="S65" s="95"/>
      <c r="T65" s="95">
        <v>460787.00000000006</v>
      </c>
      <c r="U65" s="95"/>
      <c r="V65" s="95">
        <v>479892.99999999994</v>
      </c>
    </row>
    <row r="66" spans="1:22" ht="12.75" customHeight="1" x14ac:dyDescent="0.2">
      <c r="A66" t="s">
        <v>66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</row>
    <row r="67" spans="1:22" ht="12.75" customHeight="1" x14ac:dyDescent="0.2">
      <c r="A67" t="s">
        <v>185</v>
      </c>
      <c r="B67" s="95">
        <v>0</v>
      </c>
      <c r="C67" s="95"/>
      <c r="D67" s="95">
        <v>279102</v>
      </c>
      <c r="E67" s="95"/>
      <c r="F67" s="95">
        <v>427122</v>
      </c>
      <c r="G67" s="95"/>
      <c r="H67" s="95">
        <v>192725.3</v>
      </c>
      <c r="I67" s="95"/>
      <c r="J67" s="95">
        <v>324334</v>
      </c>
      <c r="K67" s="95"/>
      <c r="L67" s="95">
        <v>161941.95000000004</v>
      </c>
      <c r="M67" s="95"/>
      <c r="N67" s="95">
        <v>430116</v>
      </c>
      <c r="O67" s="95"/>
      <c r="P67" s="95">
        <v>0</v>
      </c>
      <c r="Q67" s="95"/>
      <c r="R67" s="95">
        <v>430116</v>
      </c>
      <c r="S67" s="95"/>
      <c r="T67" s="95">
        <v>430116</v>
      </c>
      <c r="U67" s="95"/>
      <c r="V67" s="95">
        <v>0</v>
      </c>
    </row>
    <row r="68" spans="1:22" ht="12.75" customHeight="1" x14ac:dyDescent="0.2">
      <c r="A68" t="s">
        <v>186</v>
      </c>
      <c r="B68" s="95">
        <v>0</v>
      </c>
      <c r="C68" s="95"/>
      <c r="D68" s="95">
        <v>0</v>
      </c>
      <c r="E68" s="95"/>
      <c r="F68" s="95">
        <v>0</v>
      </c>
      <c r="G68" s="95"/>
      <c r="H68" s="95">
        <v>0</v>
      </c>
      <c r="I68" s="95"/>
      <c r="J68" s="95">
        <v>0</v>
      </c>
      <c r="K68" s="95"/>
      <c r="L68" s="95">
        <v>0</v>
      </c>
      <c r="M68" s="95"/>
      <c r="N68" s="95">
        <v>0</v>
      </c>
      <c r="O68" s="95"/>
      <c r="P68" s="95">
        <v>0</v>
      </c>
      <c r="Q68" s="95"/>
      <c r="R68" s="95">
        <v>0</v>
      </c>
      <c r="S68" s="95"/>
      <c r="T68" s="95">
        <v>0</v>
      </c>
      <c r="U68" s="95"/>
      <c r="V68" s="95">
        <v>0</v>
      </c>
    </row>
    <row r="69" spans="1:22" ht="12.75" customHeight="1" x14ac:dyDescent="0.2">
      <c r="A69" t="s">
        <v>187</v>
      </c>
      <c r="B69" s="95">
        <v>595300</v>
      </c>
      <c r="C69" s="95"/>
      <c r="D69" s="95">
        <v>383333.00000000006</v>
      </c>
      <c r="E69" s="95"/>
      <c r="F69" s="95">
        <v>600993</v>
      </c>
      <c r="G69" s="95"/>
      <c r="H69" s="95">
        <v>0</v>
      </c>
      <c r="I69" s="95"/>
      <c r="J69" s="95">
        <v>457743</v>
      </c>
      <c r="K69" s="95"/>
      <c r="L69" s="95">
        <v>0</v>
      </c>
      <c r="M69" s="95"/>
      <c r="N69" s="95">
        <v>720721.00000000012</v>
      </c>
      <c r="O69" s="95"/>
      <c r="P69" s="95">
        <v>0</v>
      </c>
      <c r="Q69" s="95"/>
      <c r="R69" s="95">
        <v>720721.00000000012</v>
      </c>
      <c r="S69" s="95"/>
      <c r="T69" s="95">
        <v>720721.00000000012</v>
      </c>
      <c r="U69" s="95"/>
      <c r="V69" s="95">
        <v>0</v>
      </c>
    </row>
    <row r="70" spans="1:22" ht="12.75" customHeight="1" x14ac:dyDescent="0.2">
      <c r="A70" t="s">
        <v>188</v>
      </c>
      <c r="B70" s="95">
        <v>70000.000000000015</v>
      </c>
      <c r="C70" s="95"/>
      <c r="D70" s="95">
        <v>80337</v>
      </c>
      <c r="E70" s="95"/>
      <c r="F70" s="95">
        <v>89561.000000000015</v>
      </c>
      <c r="G70" s="95"/>
      <c r="H70" s="95">
        <v>0</v>
      </c>
      <c r="I70" s="95"/>
      <c r="J70" s="95">
        <v>99999.999999999956</v>
      </c>
      <c r="K70" s="95"/>
      <c r="L70" s="95">
        <v>0</v>
      </c>
      <c r="M70" s="95"/>
      <c r="N70" s="95">
        <v>110004</v>
      </c>
      <c r="O70" s="95"/>
      <c r="P70" s="95">
        <v>0</v>
      </c>
      <c r="Q70" s="95"/>
      <c r="R70" s="95">
        <v>110004</v>
      </c>
      <c r="S70" s="95"/>
      <c r="T70" s="95">
        <v>110004</v>
      </c>
      <c r="U70" s="95"/>
      <c r="V70" s="95">
        <v>0</v>
      </c>
    </row>
    <row r="71" spans="1:22" ht="12.75" customHeight="1" x14ac:dyDescent="0.2">
      <c r="A71" t="s">
        <v>189</v>
      </c>
      <c r="B71" s="95">
        <v>0</v>
      </c>
      <c r="C71" s="95"/>
      <c r="D71" s="95">
        <v>0</v>
      </c>
      <c r="E71" s="95"/>
      <c r="F71" s="95">
        <v>0</v>
      </c>
      <c r="G71" s="95"/>
      <c r="H71" s="95">
        <v>0</v>
      </c>
      <c r="I71" s="95"/>
      <c r="J71" s="95">
        <v>0</v>
      </c>
      <c r="K71" s="95"/>
      <c r="L71" s="95">
        <v>0</v>
      </c>
      <c r="M71" s="95"/>
      <c r="N71" s="95">
        <v>0</v>
      </c>
      <c r="O71" s="95"/>
      <c r="P71" s="95">
        <v>0</v>
      </c>
      <c r="Q71" s="95"/>
      <c r="R71" s="95">
        <v>0</v>
      </c>
      <c r="S71" s="95"/>
      <c r="T71" s="95">
        <v>0</v>
      </c>
      <c r="U71" s="95"/>
      <c r="V71" s="95">
        <v>0</v>
      </c>
    </row>
    <row r="72" spans="1:22" ht="12.75" customHeight="1" x14ac:dyDescent="0.2">
      <c r="A72" t="s">
        <v>190</v>
      </c>
      <c r="B72" s="95">
        <v>23325391.000000015</v>
      </c>
      <c r="C72" s="95"/>
      <c r="D72" s="95">
        <v>18378605.999999996</v>
      </c>
      <c r="E72" s="95"/>
      <c r="F72" s="95">
        <v>22817892</v>
      </c>
      <c r="G72" s="95"/>
      <c r="H72" s="95">
        <v>19920452.690000001</v>
      </c>
      <c r="I72" s="95"/>
      <c r="J72" s="95">
        <v>18661441.000000004</v>
      </c>
      <c r="K72" s="95"/>
      <c r="L72" s="95">
        <v>17632462.000000004</v>
      </c>
      <c r="M72" s="95"/>
      <c r="N72" s="95">
        <v>19076874</v>
      </c>
      <c r="O72" s="95"/>
      <c r="P72" s="95">
        <v>24701427.000000004</v>
      </c>
      <c r="Q72" s="95"/>
      <c r="R72" s="95">
        <v>30691173</v>
      </c>
      <c r="S72" s="95"/>
      <c r="T72" s="95">
        <v>30691173</v>
      </c>
      <c r="U72" s="95"/>
      <c r="V72" s="95">
        <v>32511203.000000004</v>
      </c>
    </row>
    <row r="73" spans="1:22" ht="12.75" customHeight="1" x14ac:dyDescent="0.2">
      <c r="A73" t="s">
        <v>191</v>
      </c>
      <c r="B73" s="95">
        <v>0</v>
      </c>
      <c r="C73" s="95"/>
      <c r="D73" s="95">
        <v>0</v>
      </c>
      <c r="E73" s="95"/>
      <c r="F73" s="95">
        <v>0</v>
      </c>
      <c r="G73" s="95"/>
      <c r="H73" s="95">
        <v>0</v>
      </c>
      <c r="I73" s="95"/>
      <c r="J73" s="95">
        <v>0</v>
      </c>
      <c r="K73" s="95"/>
      <c r="L73" s="95">
        <v>0</v>
      </c>
      <c r="M73" s="95"/>
      <c r="N73" s="95">
        <v>0</v>
      </c>
      <c r="O73" s="95"/>
      <c r="P73" s="95">
        <v>0</v>
      </c>
      <c r="Q73" s="95"/>
      <c r="R73" s="95">
        <v>0</v>
      </c>
      <c r="S73" s="95"/>
      <c r="T73" s="95">
        <v>0</v>
      </c>
      <c r="U73" s="95"/>
      <c r="V73" s="95">
        <v>0</v>
      </c>
    </row>
    <row r="74" spans="1:22" ht="12.75" customHeight="1" x14ac:dyDescent="0.2">
      <c r="A74" t="s">
        <v>192</v>
      </c>
      <c r="B74" s="95">
        <v>0</v>
      </c>
      <c r="C74" s="95"/>
      <c r="D74" s="95">
        <v>927749.49000000011</v>
      </c>
      <c r="E74" s="95"/>
      <c r="F74" s="95">
        <v>300000</v>
      </c>
      <c r="G74" s="95"/>
      <c r="H74" s="95">
        <v>301518.62</v>
      </c>
      <c r="I74" s="95"/>
      <c r="J74" s="95">
        <v>199999.99999999997</v>
      </c>
      <c r="K74" s="95"/>
      <c r="L74" s="95">
        <v>4360824.04</v>
      </c>
      <c r="M74" s="95"/>
      <c r="N74" s="95">
        <v>3000000</v>
      </c>
      <c r="O74" s="95"/>
      <c r="P74" s="95">
        <v>3497548.8099999996</v>
      </c>
      <c r="Q74" s="95"/>
      <c r="R74" s="95">
        <v>1000000.0000000001</v>
      </c>
      <c r="S74" s="95"/>
      <c r="T74" s="95">
        <v>1000000.0000000001</v>
      </c>
      <c r="U74" s="95"/>
      <c r="V74" s="95">
        <v>1008660</v>
      </c>
    </row>
    <row r="75" spans="1:22" ht="12.75" customHeight="1" x14ac:dyDescent="0.2">
      <c r="A75" t="s">
        <v>193</v>
      </c>
      <c r="B75" s="95">
        <v>0</v>
      </c>
      <c r="C75" s="95"/>
      <c r="D75" s="95">
        <v>0</v>
      </c>
      <c r="E75" s="95"/>
      <c r="F75" s="95">
        <v>0</v>
      </c>
      <c r="G75" s="95"/>
      <c r="H75" s="95">
        <v>0</v>
      </c>
      <c r="I75" s="95"/>
      <c r="J75" s="95">
        <v>0</v>
      </c>
      <c r="K75" s="95"/>
      <c r="L75" s="95">
        <v>0</v>
      </c>
      <c r="M75" s="95"/>
      <c r="N75" s="95">
        <v>0</v>
      </c>
      <c r="O75" s="95"/>
      <c r="P75" s="95">
        <v>0</v>
      </c>
      <c r="Q75" s="95"/>
      <c r="R75" s="95">
        <v>0</v>
      </c>
      <c r="S75" s="95"/>
      <c r="T75" s="95">
        <v>0</v>
      </c>
      <c r="U75" s="95"/>
      <c r="V75" s="95">
        <v>0</v>
      </c>
    </row>
    <row r="76" spans="1:22" ht="12.75" customHeight="1" x14ac:dyDescent="0.2">
      <c r="A76" t="s">
        <v>194</v>
      </c>
      <c r="B76" s="95">
        <v>0</v>
      </c>
      <c r="C76" s="95"/>
      <c r="D76" s="95">
        <v>0</v>
      </c>
      <c r="E76" s="95"/>
      <c r="F76" s="95">
        <v>0</v>
      </c>
      <c r="G76" s="95"/>
      <c r="H76" s="95">
        <v>0</v>
      </c>
      <c r="I76" s="95"/>
      <c r="J76" s="95">
        <v>0</v>
      </c>
      <c r="K76" s="95"/>
      <c r="L76" s="95">
        <v>0</v>
      </c>
      <c r="M76" s="95"/>
      <c r="N76" s="95">
        <v>0</v>
      </c>
      <c r="O76" s="95"/>
      <c r="P76" s="95">
        <v>0</v>
      </c>
      <c r="Q76" s="95"/>
      <c r="R76" s="95">
        <v>0</v>
      </c>
      <c r="S76" s="95"/>
      <c r="T76" s="95">
        <v>0</v>
      </c>
      <c r="U76" s="95"/>
      <c r="V76" s="95">
        <v>0</v>
      </c>
    </row>
    <row r="77" spans="1:22" ht="12.75" customHeight="1" x14ac:dyDescent="0.2">
      <c r="A77" t="s">
        <v>195</v>
      </c>
      <c r="B77" s="95">
        <v>0</v>
      </c>
      <c r="C77" s="95"/>
      <c r="D77" s="95">
        <v>4750852.4899999993</v>
      </c>
      <c r="E77" s="95"/>
      <c r="F77" s="95">
        <v>0</v>
      </c>
      <c r="G77" s="95"/>
      <c r="H77" s="95">
        <v>5691808</v>
      </c>
      <c r="I77" s="95"/>
      <c r="J77" s="95">
        <v>4493238</v>
      </c>
      <c r="K77" s="95"/>
      <c r="L77" s="95">
        <v>10167539</v>
      </c>
      <c r="M77" s="95"/>
      <c r="N77" s="95">
        <v>6808901.0000000009</v>
      </c>
      <c r="O77" s="95"/>
      <c r="P77" s="95">
        <v>6521760.2000000002</v>
      </c>
      <c r="Q77" s="95"/>
      <c r="R77" s="95">
        <v>6153902.0000000009</v>
      </c>
      <c r="S77" s="95"/>
      <c r="T77" s="95">
        <v>6153902.0000000009</v>
      </c>
      <c r="U77" s="95"/>
      <c r="V77" s="95">
        <v>6892574.0999999987</v>
      </c>
    </row>
    <row r="78" spans="1:22" ht="12.75" customHeight="1" x14ac:dyDescent="0.2">
      <c r="A78" t="s">
        <v>196</v>
      </c>
      <c r="B78" s="95">
        <v>0</v>
      </c>
      <c r="C78" s="95"/>
      <c r="D78" s="95">
        <v>0</v>
      </c>
      <c r="E78" s="95"/>
      <c r="F78" s="95">
        <v>0</v>
      </c>
      <c r="G78" s="95"/>
      <c r="H78" s="95">
        <v>0</v>
      </c>
      <c r="I78" s="95"/>
      <c r="J78" s="95">
        <v>0</v>
      </c>
      <c r="K78" s="95"/>
      <c r="L78" s="95">
        <v>0</v>
      </c>
      <c r="M78" s="95"/>
      <c r="N78" s="95">
        <v>0</v>
      </c>
      <c r="O78" s="95"/>
      <c r="P78" s="95">
        <v>0</v>
      </c>
      <c r="Q78" s="95"/>
      <c r="R78" s="95">
        <v>0</v>
      </c>
      <c r="S78" s="95"/>
      <c r="T78" s="95">
        <v>0</v>
      </c>
      <c r="U78" s="95"/>
      <c r="V78" s="95">
        <v>0</v>
      </c>
    </row>
    <row r="79" spans="1:22" ht="12.75" customHeight="1" x14ac:dyDescent="0.2">
      <c r="A79" t="s">
        <v>197</v>
      </c>
      <c r="B79" s="95">
        <v>0</v>
      </c>
      <c r="C79" s="95"/>
      <c r="D79" s="95">
        <v>0</v>
      </c>
      <c r="E79" s="95"/>
      <c r="F79" s="95">
        <v>0</v>
      </c>
      <c r="G79" s="95"/>
      <c r="H79" s="95">
        <v>0</v>
      </c>
      <c r="I79" s="95"/>
      <c r="J79" s="95">
        <v>0</v>
      </c>
      <c r="K79" s="95"/>
      <c r="L79" s="95">
        <v>0</v>
      </c>
      <c r="M79" s="95"/>
      <c r="N79" s="95">
        <v>0</v>
      </c>
      <c r="O79" s="95"/>
      <c r="P79" s="95">
        <v>0</v>
      </c>
      <c r="Q79" s="95"/>
      <c r="R79" s="95">
        <v>0</v>
      </c>
      <c r="S79" s="95"/>
      <c r="T79" s="95">
        <v>0</v>
      </c>
      <c r="U79" s="95"/>
      <c r="V79" s="95">
        <v>0</v>
      </c>
    </row>
    <row r="80" spans="1:22" ht="12.75" customHeight="1" x14ac:dyDescent="0.2">
      <c r="A80" t="s">
        <v>198</v>
      </c>
      <c r="B80" s="95">
        <v>23990691.000000015</v>
      </c>
      <c r="C80" s="95"/>
      <c r="D80" s="95">
        <v>24799979.979999993</v>
      </c>
      <c r="E80" s="95"/>
      <c r="F80" s="95">
        <v>24235568</v>
      </c>
      <c r="G80" s="95"/>
      <c r="H80" s="95">
        <v>26106504.610000003</v>
      </c>
      <c r="I80" s="95"/>
      <c r="J80" s="95">
        <v>24236756.000000004</v>
      </c>
      <c r="K80" s="95"/>
      <c r="L80" s="95">
        <v>32322766.990000002</v>
      </c>
      <c r="M80" s="95"/>
      <c r="N80" s="95">
        <v>30146616</v>
      </c>
      <c r="O80" s="95"/>
      <c r="P80" s="95">
        <v>34720736.010000005</v>
      </c>
      <c r="Q80" s="95"/>
      <c r="R80" s="95">
        <v>39105916</v>
      </c>
      <c r="S80" s="95"/>
      <c r="T80" s="95">
        <v>39105916</v>
      </c>
      <c r="U80" s="95"/>
      <c r="V80" s="95">
        <v>40412437.100000001</v>
      </c>
    </row>
    <row r="81" spans="1:22" ht="12.75" customHeight="1" x14ac:dyDescent="0.2">
      <c r="A81" t="s">
        <v>120</v>
      </c>
      <c r="B81" s="95">
        <v>0</v>
      </c>
      <c r="C81" s="95"/>
      <c r="D81" s="95">
        <v>0</v>
      </c>
      <c r="E81" s="95"/>
      <c r="F81" s="95">
        <v>0</v>
      </c>
      <c r="G81" s="95"/>
      <c r="H81" s="95">
        <v>0</v>
      </c>
      <c r="I81" s="95"/>
      <c r="J81" s="95">
        <v>0</v>
      </c>
      <c r="K81" s="95"/>
      <c r="L81" s="95">
        <v>0</v>
      </c>
      <c r="M81" s="95"/>
      <c r="N81" s="95">
        <v>0</v>
      </c>
      <c r="O81" s="95"/>
      <c r="P81" s="95">
        <v>0</v>
      </c>
      <c r="Q81" s="95"/>
      <c r="R81" s="95">
        <v>0</v>
      </c>
      <c r="S81" s="95"/>
      <c r="T81" s="95">
        <v>0</v>
      </c>
      <c r="U81" s="95"/>
      <c r="V81" s="95">
        <v>0</v>
      </c>
    </row>
    <row r="82" spans="1:22" ht="12.75" customHeight="1" x14ac:dyDescent="0.2">
      <c r="A82" t="s">
        <v>68</v>
      </c>
      <c r="B82" s="95">
        <v>91380159.000000015</v>
      </c>
      <c r="C82" s="95"/>
      <c r="D82" s="95">
        <v>92681653.99000001</v>
      </c>
      <c r="E82" s="95"/>
      <c r="F82" s="95">
        <v>96055094</v>
      </c>
      <c r="G82" s="95"/>
      <c r="H82" s="95">
        <v>95153891.919999987</v>
      </c>
      <c r="I82" s="95"/>
      <c r="J82" s="95">
        <v>96860485.999999985</v>
      </c>
      <c r="K82" s="95"/>
      <c r="L82" s="95">
        <v>104777540.16000001</v>
      </c>
      <c r="M82" s="95"/>
      <c r="N82" s="95">
        <v>108480389</v>
      </c>
      <c r="O82" s="95"/>
      <c r="P82" s="95">
        <v>112706339.45</v>
      </c>
      <c r="Q82" s="95"/>
      <c r="R82" s="95">
        <v>114141139.99999999</v>
      </c>
      <c r="S82" s="95"/>
      <c r="T82" s="95">
        <v>114141139.99999999</v>
      </c>
      <c r="U82" s="95"/>
      <c r="V82" s="95">
        <v>119294464.65999998</v>
      </c>
    </row>
    <row r="83" spans="1:22" ht="12.75" customHeight="1" x14ac:dyDescent="0.2">
      <c r="A83" t="s">
        <v>69</v>
      </c>
      <c r="B83" s="95">
        <v>-10526173</v>
      </c>
      <c r="C83" s="95"/>
      <c r="D83" s="95">
        <v>515362.00999999046</v>
      </c>
      <c r="E83" s="95"/>
      <c r="F83" s="95">
        <v>-13397637</v>
      </c>
      <c r="G83" s="95"/>
      <c r="H83" s="95">
        <v>-1598591.3600000441</v>
      </c>
      <c r="I83" s="95"/>
      <c r="J83" s="95">
        <v>-13223565.999999866</v>
      </c>
      <c r="K83" s="95"/>
      <c r="L83" s="95">
        <v>-3846610.1499999762</v>
      </c>
      <c r="M83" s="95"/>
      <c r="N83" s="95">
        <v>726999.9999999702</v>
      </c>
      <c r="O83" s="95"/>
      <c r="P83" s="95">
        <v>-1904536.730000034</v>
      </c>
      <c r="Q83" s="95"/>
      <c r="R83" s="95">
        <v>845102.99999992549</v>
      </c>
      <c r="S83" s="95"/>
      <c r="T83" s="95">
        <v>845102.99999992549</v>
      </c>
      <c r="U83" s="95"/>
      <c r="V83" s="95">
        <v>550498.93959993124</v>
      </c>
    </row>
    <row r="84" spans="1:22" ht="12.75" customHeight="1" x14ac:dyDescent="0.2">
      <c r="A84" t="s">
        <v>70</v>
      </c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</row>
    <row r="85" spans="1:22" ht="12.75" customHeight="1" x14ac:dyDescent="0.2">
      <c r="A85" t="s">
        <v>217</v>
      </c>
      <c r="B85" s="95">
        <v>765000</v>
      </c>
      <c r="C85" s="95"/>
      <c r="D85" s="95">
        <v>9204560</v>
      </c>
      <c r="E85" s="95"/>
      <c r="F85" s="95">
        <v>700000</v>
      </c>
      <c r="G85" s="95"/>
      <c r="H85" s="95">
        <v>5600655.1500000004</v>
      </c>
      <c r="I85" s="95"/>
      <c r="J85" s="95">
        <v>505000.00000000006</v>
      </c>
      <c r="K85" s="95"/>
      <c r="L85" s="95">
        <v>-3914480.4099999997</v>
      </c>
      <c r="M85" s="95"/>
      <c r="N85" s="95">
        <v>0</v>
      </c>
      <c r="O85" s="95"/>
      <c r="P85" s="95">
        <v>3859943.0000000009</v>
      </c>
      <c r="Q85" s="95"/>
      <c r="R85" s="95">
        <v>0</v>
      </c>
      <c r="S85" s="95"/>
      <c r="T85" s="95">
        <v>0</v>
      </c>
      <c r="U85" s="95"/>
      <c r="V85" s="95">
        <v>0</v>
      </c>
    </row>
    <row r="86" spans="1:22" ht="12.75" customHeight="1" x14ac:dyDescent="0.2">
      <c r="A86" t="s">
        <v>71</v>
      </c>
      <c r="B86" s="95">
        <v>-9761173</v>
      </c>
      <c r="C86" s="95"/>
      <c r="D86" s="95">
        <v>9719922.0099999905</v>
      </c>
      <c r="E86" s="95"/>
      <c r="F86" s="95">
        <v>-12697637</v>
      </c>
      <c r="G86" s="95"/>
      <c r="H86" s="95">
        <v>4002063.7899999563</v>
      </c>
      <c r="I86" s="95"/>
      <c r="J86" s="95">
        <v>-12718565.999999866</v>
      </c>
      <c r="K86" s="95"/>
      <c r="L86" s="95">
        <v>-7761090.5599999763</v>
      </c>
      <c r="M86" s="95"/>
      <c r="N86" s="95">
        <v>726999.9999999702</v>
      </c>
      <c r="O86" s="95"/>
      <c r="P86" s="95">
        <v>1955406.269999967</v>
      </c>
      <c r="Q86" s="95"/>
      <c r="R86" s="95">
        <v>845102.99999992549</v>
      </c>
      <c r="S86" s="95"/>
      <c r="T86" s="95">
        <v>845102.99999992549</v>
      </c>
      <c r="U86" s="95"/>
      <c r="V86" s="95">
        <v>550498.93959993124</v>
      </c>
    </row>
    <row r="87" spans="1:22" ht="12.75" customHeight="1" x14ac:dyDescent="0.2">
      <c r="A87" t="s">
        <v>26</v>
      </c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</row>
    <row r="88" spans="1:22" ht="12.75" customHeight="1" x14ac:dyDescent="0.2">
      <c r="A88" t="s">
        <v>0</v>
      </c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</row>
    <row r="89" spans="1:22" ht="12.75" customHeight="1" x14ac:dyDescent="0.2">
      <c r="A89" t="s">
        <v>72</v>
      </c>
      <c r="B89" s="95">
        <v>188074028</v>
      </c>
      <c r="C89" s="95"/>
      <c r="D89" s="95">
        <v>172517296</v>
      </c>
      <c r="E89" s="95"/>
      <c r="F89" s="95">
        <v>195374454</v>
      </c>
      <c r="G89" s="95"/>
      <c r="H89" s="95">
        <v>197875612</v>
      </c>
      <c r="I89" s="95"/>
      <c r="J89" s="95">
        <v>211533512.00000012</v>
      </c>
      <c r="K89" s="95"/>
      <c r="L89" s="95">
        <v>215214525</v>
      </c>
      <c r="M89" s="95"/>
      <c r="N89" s="95">
        <v>252473287.99999991</v>
      </c>
      <c r="O89" s="95"/>
      <c r="P89" s="95">
        <v>272772922.00000006</v>
      </c>
      <c r="Q89" s="95"/>
      <c r="R89" s="95">
        <v>280449990</v>
      </c>
      <c r="S89" s="95"/>
      <c r="T89" s="95">
        <v>280449990</v>
      </c>
      <c r="U89" s="95"/>
      <c r="V89" s="95">
        <v>302446585.65959996</v>
      </c>
    </row>
    <row r="90" spans="1:22" ht="12.75" customHeight="1" x14ac:dyDescent="0.2">
      <c r="A90" t="s">
        <v>0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</row>
    <row r="91" spans="1:22" ht="12.75" customHeight="1" x14ac:dyDescent="0.2">
      <c r="A91" t="s">
        <v>218</v>
      </c>
      <c r="B91" s="95">
        <v>41314984</v>
      </c>
      <c r="C91" s="95"/>
      <c r="D91" s="95">
        <v>37012383.999999993</v>
      </c>
      <c r="E91" s="95"/>
      <c r="F91" s="95">
        <v>42198448</v>
      </c>
      <c r="G91" s="95"/>
      <c r="H91" s="95">
        <v>43840631</v>
      </c>
      <c r="I91" s="95"/>
      <c r="J91" s="95">
        <v>45123668.00000003</v>
      </c>
      <c r="K91" s="95"/>
      <c r="L91" s="95">
        <v>48263422.999999993</v>
      </c>
      <c r="M91" s="95"/>
      <c r="N91" s="95">
        <v>55060063.999999993</v>
      </c>
      <c r="O91" s="95"/>
      <c r="P91" s="95">
        <v>56571228</v>
      </c>
      <c r="Q91" s="95"/>
      <c r="R91" s="95">
        <v>58422862.999999993</v>
      </c>
      <c r="S91" s="95"/>
      <c r="T91" s="95">
        <v>58422862.999999993</v>
      </c>
      <c r="U91" s="95"/>
      <c r="V91" s="95">
        <v>57865240.956000008</v>
      </c>
    </row>
    <row r="92" spans="1:22" ht="12.75" customHeight="1" x14ac:dyDescent="0.2">
      <c r="A92" t="s">
        <v>219</v>
      </c>
      <c r="B92" s="95">
        <v>146759044</v>
      </c>
      <c r="C92" s="95"/>
      <c r="D92" s="95">
        <v>135504912</v>
      </c>
      <c r="E92" s="95"/>
      <c r="F92" s="95">
        <v>153176006</v>
      </c>
      <c r="G92" s="95"/>
      <c r="H92" s="95">
        <v>154034981</v>
      </c>
      <c r="I92" s="95"/>
      <c r="J92" s="95">
        <v>138965886.00000003</v>
      </c>
      <c r="K92" s="95"/>
      <c r="L92" s="95">
        <v>166951102</v>
      </c>
      <c r="M92" s="95"/>
      <c r="N92" s="95">
        <v>170957981</v>
      </c>
      <c r="O92" s="95"/>
      <c r="P92" s="95">
        <v>216201694.00000003</v>
      </c>
      <c r="Q92" s="95"/>
      <c r="R92" s="95">
        <v>193040626.99999997</v>
      </c>
      <c r="S92" s="95"/>
      <c r="T92" s="95">
        <v>193040626.99999997</v>
      </c>
      <c r="U92" s="95"/>
      <c r="V92" s="95">
        <v>207806419.70360002</v>
      </c>
    </row>
    <row r="93" spans="1:22" ht="12.75" customHeight="1" x14ac:dyDescent="0.2">
      <c r="A93" t="s">
        <v>220</v>
      </c>
      <c r="B93" s="95">
        <v>0</v>
      </c>
      <c r="C93" s="95"/>
      <c r="D93" s="95">
        <v>0</v>
      </c>
      <c r="E93" s="95"/>
      <c r="F93" s="95">
        <v>0</v>
      </c>
      <c r="G93" s="95"/>
      <c r="H93" s="95">
        <v>0</v>
      </c>
      <c r="I93" s="95"/>
      <c r="J93" s="95">
        <v>27443957.999999996</v>
      </c>
      <c r="K93" s="95"/>
      <c r="L93" s="95">
        <v>0</v>
      </c>
      <c r="M93" s="95"/>
      <c r="N93" s="95">
        <v>26455242.999999996</v>
      </c>
      <c r="O93" s="95"/>
      <c r="P93" s="95">
        <v>0</v>
      </c>
      <c r="Q93" s="95"/>
      <c r="R93" s="95">
        <v>28986500.000000004</v>
      </c>
      <c r="S93" s="95"/>
      <c r="T93" s="95">
        <v>28986500.000000004</v>
      </c>
      <c r="U93" s="95"/>
      <c r="V93" s="95">
        <v>36774925</v>
      </c>
    </row>
    <row r="94" spans="1:22" ht="12.75" customHeight="1" x14ac:dyDescent="0.2">
      <c r="A94" t="s">
        <v>221</v>
      </c>
      <c r="B94" s="95">
        <v>0</v>
      </c>
      <c r="C94" s="95"/>
      <c r="D94" s="95">
        <v>0</v>
      </c>
      <c r="E94" s="95"/>
      <c r="F94" s="95">
        <v>0</v>
      </c>
      <c r="G94" s="95"/>
      <c r="H94" s="95">
        <v>0</v>
      </c>
      <c r="I94" s="95"/>
      <c r="J94" s="95">
        <v>0</v>
      </c>
      <c r="K94" s="95"/>
      <c r="L94" s="95">
        <v>0</v>
      </c>
      <c r="M94" s="95"/>
      <c r="N94" s="95">
        <v>0</v>
      </c>
      <c r="O94" s="95"/>
      <c r="P94" s="95">
        <v>0</v>
      </c>
      <c r="Q94" s="95"/>
      <c r="R94" s="95">
        <v>0</v>
      </c>
      <c r="S94" s="95"/>
      <c r="T94" s="95">
        <v>0</v>
      </c>
      <c r="U94" s="95"/>
      <c r="V94" s="95">
        <v>0</v>
      </c>
    </row>
    <row r="95" spans="1:22" ht="12.75" customHeight="1" x14ac:dyDescent="0.2">
      <c r="A95" t="s">
        <v>222</v>
      </c>
      <c r="B95" s="95">
        <v>0</v>
      </c>
      <c r="C95" s="95"/>
      <c r="D95" s="95">
        <v>0</v>
      </c>
      <c r="E95" s="95"/>
      <c r="F95" s="95">
        <v>0</v>
      </c>
      <c r="G95" s="95"/>
      <c r="H95" s="95">
        <v>0</v>
      </c>
      <c r="I95" s="95"/>
      <c r="J95" s="95">
        <v>0</v>
      </c>
      <c r="K95" s="95"/>
      <c r="L95" s="95">
        <v>0</v>
      </c>
      <c r="M95" s="95"/>
      <c r="N95" s="95">
        <v>0</v>
      </c>
      <c r="O95" s="95"/>
      <c r="P95" s="95">
        <v>0</v>
      </c>
      <c r="Q95" s="95"/>
      <c r="R95" s="95">
        <v>0</v>
      </c>
      <c r="S95" s="95"/>
      <c r="T95" s="95">
        <v>0</v>
      </c>
      <c r="U95" s="95"/>
      <c r="V95" s="95">
        <v>0</v>
      </c>
    </row>
    <row r="96" spans="1:22" ht="12.75" customHeight="1" x14ac:dyDescent="0.2">
      <c r="A96" t="s">
        <v>223</v>
      </c>
      <c r="B96" s="95">
        <v>0</v>
      </c>
      <c r="C96" s="95"/>
      <c r="D96" s="95">
        <v>0</v>
      </c>
      <c r="E96" s="95"/>
      <c r="F96" s="95">
        <v>0</v>
      </c>
      <c r="G96" s="95"/>
      <c r="H96" s="95">
        <v>0</v>
      </c>
      <c r="I96" s="95"/>
      <c r="J96" s="95">
        <v>0</v>
      </c>
      <c r="K96" s="95"/>
      <c r="L96" s="95">
        <v>0</v>
      </c>
      <c r="M96" s="95"/>
      <c r="N96" s="95">
        <v>0</v>
      </c>
      <c r="O96" s="95"/>
      <c r="P96" s="95">
        <v>0</v>
      </c>
      <c r="Q96" s="95"/>
      <c r="R96" s="95">
        <v>0</v>
      </c>
      <c r="S96" s="95"/>
      <c r="T96" s="95">
        <v>0</v>
      </c>
      <c r="U96" s="95"/>
      <c r="V96" s="95">
        <v>0</v>
      </c>
    </row>
  </sheetData>
  <mergeCells count="6">
    <mergeCell ref="A1:A2"/>
    <mergeCell ref="B1:E1"/>
    <mergeCell ref="F1:I1"/>
    <mergeCell ref="J1:M1"/>
    <mergeCell ref="N1:Q1"/>
    <mergeCell ref="R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6"/>
  <sheetViews>
    <sheetView tabSelected="1" workbookViewId="0">
      <selection activeCell="A47" sqref="A47"/>
    </sheetView>
  </sheetViews>
  <sheetFormatPr defaultRowHeight="12.75" x14ac:dyDescent="0.2"/>
  <sheetData>
    <row r="2" spans="1:2" ht="12.75" customHeight="1" x14ac:dyDescent="0.2">
      <c r="A2" t="s">
        <v>8</v>
      </c>
    </row>
    <row r="3" spans="1:2" ht="12.75" customHeight="1" x14ac:dyDescent="0.2">
      <c r="A3" t="s">
        <v>9</v>
      </c>
      <c r="B3" t="s">
        <v>10</v>
      </c>
    </row>
    <row r="4" spans="1:2" ht="12.75" customHeight="1" x14ac:dyDescent="0.2"/>
    <row r="5" spans="1:2" ht="12.75" customHeight="1" x14ac:dyDescent="0.2">
      <c r="A5" t="s">
        <v>11</v>
      </c>
      <c r="B5" t="s">
        <v>225</v>
      </c>
    </row>
    <row r="6" spans="1:2" ht="12.75" customHeight="1" x14ac:dyDescent="0.2">
      <c r="A6" t="s">
        <v>12</v>
      </c>
      <c r="B6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CAE338EA9D064E9C17BF7952C6204F" ma:contentTypeVersion="17" ma:contentTypeDescription="Create a new document." ma:contentTypeScope="" ma:versionID="d175c38aaee3ac6428a490f41afbe164">
  <xsd:schema xmlns:xsd="http://www.w3.org/2001/XMLSchema" xmlns:xs="http://www.w3.org/2001/XMLSchema" xmlns:p="http://schemas.microsoft.com/office/2006/metadata/properties" xmlns:ns2="2819d22d-c924-42b3-954a-d3b43813cc67" xmlns:ns3="18dbc17e-cec9-4211-a89f-0bf74a616302" targetNamespace="http://schemas.microsoft.com/office/2006/metadata/properties" ma:root="true" ma:fieldsID="a5b784b79ee7d46f29d38b4b483c1c3b" ns2:_="" ns3:_="">
    <xsd:import namespace="2819d22d-c924-42b3-954a-d3b43813cc67"/>
    <xsd:import namespace="18dbc17e-cec9-4211-a89f-0bf74a616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9d22d-c924-42b3-954a-d3b43813cc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bc17e-cec9-4211-a89f-0bf74a616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61913b-1a94-4df5-bbf5-603f3215decd}" ma:internalName="TaxCatchAll" ma:showField="CatchAllData" ma:web="18dbc17e-cec9-4211-a89f-0bf74a616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dbc17e-cec9-4211-a89f-0bf74a616302" xsi:nil="true"/>
    <lcf76f155ced4ddcb4097134ff3c332f xmlns="2819d22d-c924-42b3-954a-d3b43813cc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0C3F77-A57C-4E64-8D5D-7AC3D2F98CFA}"/>
</file>

<file path=customXml/itemProps2.xml><?xml version="1.0" encoding="utf-8"?>
<ds:datastoreItem xmlns:ds="http://schemas.openxmlformats.org/officeDocument/2006/customXml" ds:itemID="{CE18AA9F-2E3D-40B6-B77C-6BA8D6755D3F}"/>
</file>

<file path=customXml/itemProps3.xml><?xml version="1.0" encoding="utf-8"?>
<ds:datastoreItem xmlns:ds="http://schemas.openxmlformats.org/officeDocument/2006/customXml" ds:itemID="{2CF08FA2-605C-419E-AFED-4A1D21D1B4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GRAPHS</vt:lpstr>
      <vt:lpstr>SIMPLE</vt:lpstr>
      <vt:lpstr>PL</vt:lpstr>
      <vt:lpstr>Report Data</vt:lpstr>
      <vt:lpstr>Report Info</vt:lpstr>
      <vt:lpstr>PL!Print_Area</vt:lpstr>
      <vt:lpstr>SIMPLE!Print_Area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2008-12-12T22:09:54Z</dcterms:created>
  <dcterms:modified xsi:type="dcterms:W3CDTF">2024-07-12T19:34:06Z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TemplateVersion">
    <vt:i4>6</vt:i4>
  </property>
  <property fmtid="{D5CDD505-2E9C-101B-9397-08002B2CF9AE}" pid="3" name="ContentTypeId">
    <vt:lpwstr>0x010100D8CAE338EA9D064E9C17BF7952C6204F</vt:lpwstr>
  </property>
</Properties>
</file>