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ermontgov.sharepoint.com/teams/GMCB-BusinessOfficeTeam/Shared Documents/Hospital Budget Team/FY25 Brattleboro Retreat/Final (12-9)/"/>
    </mc:Choice>
  </mc:AlternateContent>
  <xr:revisionPtr revIDLastSave="4" documentId="13_ncr:1_{C2540126-C91C-48EB-92F0-03F6F7EF2F9D}" xr6:coauthVersionLast="47" xr6:coauthVersionMax="47" xr10:uidLastSave="{42E87CE2-CC26-4A47-95C1-E389E291A06C}"/>
  <bookViews>
    <workbookView xWindow="28680" yWindow="-120" windowWidth="29040" windowHeight="15720" xr2:uid="{00000000-000D-0000-FFFF-FFFF00000000}"/>
  </bookViews>
  <sheets>
    <sheet name="Balance Sheet" sheetId="1" r:id="rId1"/>
    <sheet name="2024 2025 wp" sheetId="3" r:id="rId2"/>
    <sheet name="Information about this Sheet" sheetId="2" r:id="rId3"/>
  </sheets>
  <definedNames>
    <definedName name="OSRRefC10_0_1x_0" localSheetId="1">'2024 2025 wp'!#REF!</definedName>
    <definedName name="OSRRefC10_0_4x_0" localSheetId="1">'2024 2025 wp'!#REF!</definedName>
    <definedName name="OSRRefC20_0_1x_0" localSheetId="1">'2024 2025 wp'!#REF!</definedName>
    <definedName name="OSRRefC20_0_2x_0" localSheetId="1">'2024 2025 wp'!#REF!</definedName>
    <definedName name="OSRRefD10_0_1x_0" localSheetId="1">'2024 2025 wp'!#REF!</definedName>
    <definedName name="OSRRefD20_0_1x_0" localSheetId="1">'2024 2025 wp'!#REF!</definedName>
    <definedName name="OSRRefD20_0_2x_0" localSheetId="1">'2024 2025 wp'!#REF!</definedName>
    <definedName name="OSRRefE10_0_1x_0" localSheetId="1">'2024 2025 wp'!$E$13</definedName>
    <definedName name="OSRRefE10_0_4x_0" localSheetId="1">'2024 2025 wp'!$E$26:$E$27</definedName>
    <definedName name="OSRRefE20_0_1x_0" localSheetId="1">'2024 2025 wp'!$E$47:$E$52</definedName>
    <definedName name="OSRRefE20_0_2x_0" localSheetId="1">'2024 2025 wp'!$E$56:$E$58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8" i="3" l="1"/>
  <c r="B52" i="1"/>
  <c r="B66" i="1"/>
  <c r="B65" i="1"/>
  <c r="B64" i="1"/>
  <c r="B76" i="1"/>
  <c r="B75" i="1"/>
  <c r="D73" i="3"/>
  <c r="D69" i="3"/>
  <c r="D67" i="3"/>
  <c r="D61" i="3"/>
  <c r="D59" i="3"/>
  <c r="D53" i="3"/>
  <c r="D48" i="3"/>
  <c r="D38" i="3"/>
  <c r="D36" i="3"/>
  <c r="B50" i="1" s="1"/>
  <c r="B42" i="1"/>
  <c r="B22" i="1"/>
  <c r="B30" i="1"/>
  <c r="B36" i="1"/>
  <c r="D28" i="3"/>
  <c r="D30" i="3" s="1"/>
  <c r="D23" i="3"/>
  <c r="D20" i="3"/>
  <c r="D10" i="3"/>
  <c r="D16" i="3"/>
  <c r="D8" i="3"/>
  <c r="B58" i="1"/>
  <c r="B57" i="1"/>
  <c r="B8" i="1"/>
  <c r="B6" i="1"/>
  <c r="B5" i="1"/>
  <c r="B56" i="1"/>
  <c r="B38" i="1"/>
  <c r="B37" i="1"/>
  <c r="B33" i="1"/>
  <c r="B32" i="1"/>
  <c r="B31" i="1"/>
  <c r="B19" i="1"/>
  <c r="D75" i="1"/>
  <c r="D42" i="1"/>
  <c r="D38" i="1"/>
  <c r="D37" i="1"/>
  <c r="D36" i="1"/>
  <c r="C38" i="1"/>
  <c r="C37" i="1"/>
  <c r="C36" i="1"/>
  <c r="D33" i="1"/>
  <c r="C33" i="1"/>
  <c r="D32" i="1"/>
  <c r="C32" i="1"/>
  <c r="D31" i="1"/>
  <c r="C31" i="1"/>
  <c r="D30" i="1"/>
  <c r="C30" i="1"/>
  <c r="B67" i="1" l="1"/>
  <c r="B68" i="1" s="1"/>
  <c r="B77" i="1"/>
  <c r="B59" i="1"/>
  <c r="B34" i="1"/>
  <c r="B40" i="1" s="1"/>
  <c r="I20" i="3"/>
  <c r="I19" i="3" s="1"/>
  <c r="B11" i="1"/>
  <c r="B39" i="1"/>
  <c r="D77" i="1"/>
  <c r="C75" i="1"/>
  <c r="C77" i="1" s="1"/>
  <c r="C57" i="1"/>
  <c r="D54" i="1"/>
  <c r="C54" i="1"/>
  <c r="D58" i="1"/>
  <c r="C58" i="1"/>
  <c r="D50" i="1"/>
  <c r="D23" i="1"/>
  <c r="D22" i="1"/>
  <c r="D10" i="1"/>
  <c r="C10" i="1"/>
  <c r="D8" i="1"/>
  <c r="C8" i="1"/>
  <c r="D6" i="1"/>
  <c r="C6" i="1"/>
  <c r="C5" i="1"/>
  <c r="F21" i="3"/>
  <c r="F57" i="3"/>
  <c r="F40" i="3"/>
  <c r="D57" i="1" s="1"/>
  <c r="B72" i="1" l="1"/>
  <c r="B79" i="1" s="1"/>
  <c r="E36" i="3"/>
  <c r="C50" i="1" s="1"/>
  <c r="F58" i="3"/>
  <c r="F23" i="3" l="1"/>
  <c r="F67" i="3"/>
  <c r="F59" i="3"/>
  <c r="F28" i="3"/>
  <c r="E28" i="3"/>
  <c r="F16" i="3"/>
  <c r="F10" i="3"/>
  <c r="F4" i="3"/>
  <c r="D5" i="1" s="1"/>
  <c r="F30" i="3" l="1"/>
  <c r="E39" i="3" l="1"/>
  <c r="E38" i="3"/>
  <c r="I38" i="3"/>
  <c r="J38" i="3" s="1"/>
  <c r="E57" i="3"/>
  <c r="E59" i="3" s="1"/>
  <c r="I57" i="3"/>
  <c r="J57" i="3" s="1"/>
  <c r="I58" i="3"/>
  <c r="J58" i="3" s="1"/>
  <c r="I39" i="3"/>
  <c r="J39" i="3" s="1"/>
  <c r="C69" i="3"/>
  <c r="C73" i="3" s="1"/>
  <c r="B73" i="3"/>
  <c r="I35" i="3"/>
  <c r="J35" i="3" s="1"/>
  <c r="F38" i="3" l="1"/>
  <c r="C52" i="1"/>
  <c r="E22" i="3"/>
  <c r="C42" i="1" s="1"/>
  <c r="I22" i="3"/>
  <c r="J22" i="3" s="1"/>
  <c r="E21" i="3"/>
  <c r="E13" i="3"/>
  <c r="I21" i="3"/>
  <c r="J21" i="3" s="1"/>
  <c r="E15" i="3"/>
  <c r="C22" i="1" s="1"/>
  <c r="I13" i="3"/>
  <c r="B24" i="1" l="1"/>
  <c r="B25" i="1" s="1"/>
  <c r="B44" i="1" s="1"/>
  <c r="B81" i="1" s="1"/>
  <c r="C23" i="1"/>
  <c r="D52" i="1"/>
  <c r="F48" i="3"/>
  <c r="F53" i="3" s="1"/>
  <c r="F61" i="3" s="1"/>
  <c r="F69" i="3" s="1"/>
  <c r="F73" i="3" s="1"/>
  <c r="H1" i="3" s="1"/>
  <c r="E48" i="3"/>
  <c r="E53" i="3" s="1"/>
  <c r="E23" i="3"/>
  <c r="E10" i="3"/>
  <c r="E61" i="3" l="1"/>
  <c r="E69" i="3" s="1"/>
  <c r="D67" i="1"/>
  <c r="D68" i="1" s="1"/>
  <c r="C67" i="1"/>
  <c r="C68" i="1" s="1"/>
  <c r="D56" i="1"/>
  <c r="D59" i="1" s="1"/>
  <c r="C56" i="1"/>
  <c r="C59" i="1" s="1"/>
  <c r="D39" i="1"/>
  <c r="C39" i="1"/>
  <c r="C40" i="1" s="1"/>
  <c r="D34" i="1"/>
  <c r="C34" i="1"/>
  <c r="D24" i="1"/>
  <c r="C24" i="1"/>
  <c r="D19" i="1"/>
  <c r="C19" i="1"/>
  <c r="D11" i="1"/>
  <c r="C11" i="1"/>
  <c r="D25" i="1" l="1"/>
  <c r="D44" i="1" s="1"/>
  <c r="C25" i="1"/>
  <c r="D40" i="1"/>
  <c r="D72" i="1"/>
  <c r="D79" i="1" s="1"/>
  <c r="C72" i="1"/>
  <c r="C79" i="1" s="1"/>
  <c r="C44" i="1"/>
  <c r="E16" i="3"/>
  <c r="E30" i="3" s="1"/>
  <c r="D81" i="1" l="1"/>
  <c r="C81" i="1"/>
  <c r="G1" i="3"/>
  <c r="E73" i="3"/>
</calcChain>
</file>

<file path=xl/sharedStrings.xml><?xml version="1.0" encoding="utf-8"?>
<sst xmlns="http://schemas.openxmlformats.org/spreadsheetml/2006/main" count="207" uniqueCount="181">
  <si>
    <t>Accounts</t>
  </si>
  <si>
    <t>FY2024</t>
  </si>
  <si>
    <t>FY2025</t>
  </si>
  <si>
    <t>Assets</t>
  </si>
  <si>
    <t xml:space="preserve">  Current Assets</t>
  </si>
  <si>
    <t xml:space="preserve">    Cash &amp; Investments</t>
  </si>
  <si>
    <t xml:space="preserve">    Patient Accounts Receivable, Gross</t>
  </si>
  <si>
    <t xml:space="preserve">    Less: Allowance For Uncollectible Accts</t>
  </si>
  <si>
    <t xml:space="preserve">    Due From Third Parties</t>
  </si>
  <si>
    <t xml:space="preserve">    ACO Risk Reserve/Settlement Receivable</t>
  </si>
  <si>
    <t xml:space="preserve">    Other Current Assets</t>
  </si>
  <si>
    <t xml:space="preserve">    Total</t>
  </si>
  <si>
    <t xml:space="preserve">  Fixed Assets</t>
  </si>
  <si>
    <t xml:space="preserve">  Board Designated Assets</t>
  </si>
  <si>
    <t xml:space="preserve">    Funded Depreciation</t>
  </si>
  <si>
    <t xml:space="preserve">      Restricted Funded Depreciation</t>
  </si>
  <si>
    <t xml:space="preserve">      Unrestricted Funded Depreciaton</t>
  </si>
  <si>
    <t xml:space="preserve">    Escrowed Bond Funds</t>
  </si>
  <si>
    <t xml:space="preserve">    Other</t>
  </si>
  <si>
    <t xml:space="preserve">      Restricted Other Board Designated Assets</t>
  </si>
  <si>
    <t xml:space="preserve">      Unrestricted Other Board Designated Assets</t>
  </si>
  <si>
    <t xml:space="preserve">  Long Term Assets</t>
  </si>
  <si>
    <t xml:space="preserve">    Net, Property, Plant And Equipment</t>
  </si>
  <si>
    <t xml:space="preserve">      Gross, Property, Plant And Equipment</t>
  </si>
  <si>
    <t xml:space="preserve">        Land, Buildings &amp; Improvements</t>
  </si>
  <si>
    <t xml:space="preserve">        Construction In Progress</t>
  </si>
  <si>
    <t xml:space="preserve">        Major Movable Equipment</t>
  </si>
  <si>
    <t xml:space="preserve">        Fixed Equipment</t>
  </si>
  <si>
    <t xml:space="preserve">      Accumulated Depreciation</t>
  </si>
  <si>
    <t xml:space="preserve">        Equipment - Fixed</t>
  </si>
  <si>
    <t xml:space="preserve">        Equipment - Major Moveable</t>
  </si>
  <si>
    <t xml:space="preserve">  Other Long-Term Assets</t>
  </si>
  <si>
    <t>Liabilities and Equities</t>
  </si>
  <si>
    <t xml:space="preserve">  Liabilities</t>
  </si>
  <si>
    <t xml:space="preserve">    Current Liabilities</t>
  </si>
  <si>
    <t xml:space="preserve">      Accounts Payable</t>
  </si>
  <si>
    <t xml:space="preserve">      Current Liabilities COVID-19</t>
  </si>
  <si>
    <t xml:space="preserve">      Salaries, Wages And Payroll Taxes Payable</t>
  </si>
  <si>
    <t xml:space="preserve">      Estimated Third-Party Settlements</t>
  </si>
  <si>
    <t xml:space="preserve">        Other Third Party Settlements</t>
  </si>
  <si>
    <t xml:space="preserve">        ACO Risk Reserves/Settlement  Payable</t>
  </si>
  <si>
    <t xml:space="preserve">      Other Current Liabilities</t>
  </si>
  <si>
    <t xml:space="preserve">      Current Portion Of Long-Term Debt</t>
  </si>
  <si>
    <t xml:space="preserve">    Long Term Liabilities</t>
  </si>
  <si>
    <t xml:space="preserve">      Long Term Liabilities COVID-19</t>
  </si>
  <si>
    <t xml:space="preserve">      Long-Term Debt</t>
  </si>
  <si>
    <t xml:space="preserve">        Bonds &amp; Mortgages Payable</t>
  </si>
  <si>
    <t xml:space="preserve">        Capital Lease Obligations</t>
  </si>
  <si>
    <t xml:space="preserve">        Other Long-Term Debt</t>
  </si>
  <si>
    <t xml:space="preserve">    Other Noncurrent Liabilities</t>
  </si>
  <si>
    <t xml:space="preserve">  Fund Balance</t>
  </si>
  <si>
    <t xml:space="preserve">    Net Assets</t>
  </si>
  <si>
    <t xml:space="preserve">    YTD Change In Net Assets</t>
  </si>
  <si>
    <t>Check:</t>
  </si>
  <si>
    <t>Notes:</t>
  </si>
  <si>
    <t>Nov 15, 2024 4:26:16 PM EST</t>
  </si>
  <si>
    <t>Confidential Information. Do not distribute without permission.</t>
  </si>
  <si>
    <t>Matt Sutter at Green Mountain Care Board</t>
  </si>
  <si>
    <t>Sheet</t>
  </si>
  <si>
    <t>Balance Sheet</t>
  </si>
  <si>
    <t>Level</t>
  </si>
  <si>
    <t>Brattleboro Retreat</t>
  </si>
  <si>
    <t>Version</t>
  </si>
  <si>
    <t>Budget 2025 Submitted 2024 Proj.</t>
  </si>
  <si>
    <t xml:space="preserve">    Total Current Assets</t>
  </si>
  <si>
    <t xml:space="preserve">      Total Funded Depreciation</t>
  </si>
  <si>
    <t xml:space="preserve">      Total Other Board Designated Assets</t>
  </si>
  <si>
    <t xml:space="preserve">    Total Board Designated Assets</t>
  </si>
  <si>
    <t xml:space="preserve">        Total Gross PPE</t>
  </si>
  <si>
    <t xml:space="preserve">        Total Accumulated Depreciation</t>
  </si>
  <si>
    <t xml:space="preserve">      Total Net PPE</t>
  </si>
  <si>
    <t xml:space="preserve">        Total Est. Third-Party Settlements</t>
  </si>
  <si>
    <t xml:space="preserve">      Total Current Liabilities</t>
  </si>
  <si>
    <t xml:space="preserve">        Total Long-term Debt</t>
  </si>
  <si>
    <t xml:space="preserve">      Total Long Term Liabiliies</t>
  </si>
  <si>
    <t xml:space="preserve">    Total Liabilities</t>
  </si>
  <si>
    <t xml:space="preserve">  Total Liabilites and Equities</t>
  </si>
  <si>
    <t xml:space="preserve">  Total Assets</t>
  </si>
  <si>
    <t>Current Assets</t>
  </si>
  <si>
    <t>Cash &amp; cash equivalents</t>
  </si>
  <si>
    <t>Patient and other Receivable-Net</t>
  </si>
  <si>
    <t xml:space="preserve"> Due from Third-party Payors</t>
  </si>
  <si>
    <t>Inventories</t>
  </si>
  <si>
    <t>Prepaid Expenses</t>
  </si>
  <si>
    <t>Other Current Assets</t>
  </si>
  <si>
    <t>Total Current Assets</t>
  </si>
  <si>
    <t>Investments</t>
  </si>
  <si>
    <t>Board-designated Assets</t>
  </si>
  <si>
    <t>By Donor Restriction</t>
  </si>
  <si>
    <t>By Bond indenture</t>
  </si>
  <si>
    <t>Total Investments</t>
  </si>
  <si>
    <t>Property Plant and Equipment</t>
  </si>
  <si>
    <t>Property, Plant &amp; Equipment</t>
  </si>
  <si>
    <t>Accumulated Depreciation</t>
  </si>
  <si>
    <t>Right of use assets - operating lease</t>
  </si>
  <si>
    <t>Total Property Plant and Equipment</t>
  </si>
  <si>
    <t>Other Assets</t>
  </si>
  <si>
    <t>Cash Surrender Value Ins</t>
  </si>
  <si>
    <t xml:space="preserve"> Other Assets</t>
  </si>
  <si>
    <t>Total Other Assets</t>
  </si>
  <si>
    <t>TOTAL ASSETS</t>
  </si>
  <si>
    <t>Liabilities &amp; Net Assets</t>
  </si>
  <si>
    <t>Current Liabilities</t>
  </si>
  <si>
    <t>Current portion of long-term debt</t>
  </si>
  <si>
    <t>Accounts Payable</t>
  </si>
  <si>
    <t>Accrued Expenses</t>
  </si>
  <si>
    <t>Salary &amp; Wages Payable</t>
  </si>
  <si>
    <t>Accrued Earned Time</t>
  </si>
  <si>
    <t>Short Term Lease Liability</t>
  </si>
  <si>
    <t>State APM Funds</t>
  </si>
  <si>
    <t>Level 1 Recon</t>
  </si>
  <si>
    <t>Provider Tax Payable</t>
  </si>
  <si>
    <t>Due to Third Party Payors</t>
  </si>
  <si>
    <t>STIMULUS ADVANCE MEDICARE</t>
  </si>
  <si>
    <t>STIMULUS ADVANCE MEDICAID</t>
  </si>
  <si>
    <t>Deferred Compensation</t>
  </si>
  <si>
    <t>Total Current Liabilities</t>
  </si>
  <si>
    <t/>
  </si>
  <si>
    <t>457B Deferred Comp Plan.</t>
  </si>
  <si>
    <t>Insurance Settlement Payable</t>
  </si>
  <si>
    <t xml:space="preserve">Total </t>
  </si>
  <si>
    <t>Other Long Term Liabilities</t>
  </si>
  <si>
    <t xml:space="preserve">Long Term Lease Liability </t>
  </si>
  <si>
    <t>Long Term Debt, excluding current portion</t>
  </si>
  <si>
    <t>Total  Long Term Liabilities</t>
  </si>
  <si>
    <t>Total Liabilities</t>
  </si>
  <si>
    <t>Net Assets</t>
  </si>
  <si>
    <t>With donor restrictions</t>
  </si>
  <si>
    <t>Net Assets - Unrestricted</t>
  </si>
  <si>
    <t>Current Year Net Income/(Loss)</t>
  </si>
  <si>
    <t>Total Liabilities &amp; Net Assets</t>
  </si>
  <si>
    <t>10/31/2024</t>
  </si>
  <si>
    <t>12/31/2024</t>
  </si>
  <si>
    <t xml:space="preserve"> </t>
  </si>
  <si>
    <t>12/31/2025</t>
  </si>
  <si>
    <t>01-1700</t>
  </si>
  <si>
    <t>Land</t>
  </si>
  <si>
    <t>PY</t>
  </si>
  <si>
    <t>01-1710</t>
  </si>
  <si>
    <t>Land Improvements</t>
  </si>
  <si>
    <t>01-1720</t>
  </si>
  <si>
    <t>Buildings</t>
  </si>
  <si>
    <t>01-1730</t>
  </si>
  <si>
    <t>Building Improvements</t>
  </si>
  <si>
    <t>01-1731</t>
  </si>
  <si>
    <t>Building Improvements LL</t>
  </si>
  <si>
    <t>01-1740</t>
  </si>
  <si>
    <t>Fixed Equipment</t>
  </si>
  <si>
    <t>01-1750</t>
  </si>
  <si>
    <t>Major Moveable Equipment</t>
  </si>
  <si>
    <t>01-1780</t>
  </si>
  <si>
    <t>Capital Leases</t>
  </si>
  <si>
    <t>01-1790</t>
  </si>
  <si>
    <t>Leasehold Improvements</t>
  </si>
  <si>
    <t>01-1772</t>
  </si>
  <si>
    <t>Construction in Progress</t>
  </si>
  <si>
    <t>Total</t>
  </si>
  <si>
    <t>GL#</t>
  </si>
  <si>
    <t>End. Balance</t>
  </si>
  <si>
    <t>Adjustments</t>
  </si>
  <si>
    <t>Depreciation</t>
  </si>
  <si>
    <t>Net Change</t>
  </si>
  <si>
    <t>01-1810</t>
  </si>
  <si>
    <t>LAND IMPROVEMENTS</t>
  </si>
  <si>
    <t>01-1820</t>
  </si>
  <si>
    <t>BUILDINGS</t>
  </si>
  <si>
    <t>01-1830/01-1831/01-1890</t>
  </si>
  <si>
    <t>BUILDING IMPROVEMENTS</t>
  </si>
  <si>
    <t>01-1840</t>
  </si>
  <si>
    <t>FIXED EQUIPMENT</t>
  </si>
  <si>
    <t>01-1850/01-1880</t>
  </si>
  <si>
    <t>MOVEABLE EQUIPMENT</t>
  </si>
  <si>
    <t>Cash Flow</t>
  </si>
  <si>
    <t>Net book balance - 12/31/2021</t>
  </si>
  <si>
    <t>Additions</t>
  </si>
  <si>
    <t>Proceeds</t>
  </si>
  <si>
    <t>(Gain)/Loss</t>
  </si>
  <si>
    <t>Ending balance - 12/31/2021</t>
  </si>
  <si>
    <t>9/30/2024</t>
  </si>
  <si>
    <t>FY2023</t>
  </si>
  <si>
    <t>12/31/2023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</si>
</sst>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  <numFmt numFmtId="166" formatCode="_(&quot;$&quot;* #,##0_);_(&quot;$&quot;* \(#,##0\);_(&quot;$&quot;* &quot;-&quot;??_);_(@_)"/>
  </numFmts>
  <fonts count="15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1"/>
      <color indexed="8"/>
      <name val="Aptos Narrow"/>
      <family val="2"/>
      <scheme val="minor"/>
    </font>
    <font>
      <b/>
      <sz val="10"/>
      <name val="Calibri"/>
      <family val="2"/>
    </font>
    <font>
      <sz val="11"/>
      <name val="Aptos Narrow"/>
      <family val="2"/>
      <scheme val="minor"/>
    </font>
    <font>
      <sz val="11"/>
      <color theme="1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b/>
      <u/>
      <sz val="11"/>
      <color indexed="8"/>
      <name val="Aptos Narrow"/>
      <family val="2"/>
      <scheme val="minor"/>
    </font>
    <font>
      <u/>
      <sz val="11"/>
      <color indexed="8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none">
        <f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4" borderId="0"/>
    <xf numFmtId="43" fontId="1" fillId="4" borderId="0" applyFont="0" applyFill="0" applyBorder="0" applyAlignment="0" applyProtection="0"/>
  </cellStyleXfs>
  <cellXfs count="63">
    <xf numFmtId="0" fontId="0" fillId="0" borderId="0" xfId="0"/>
    <xf numFmtId="0" fontId="3" fillId="3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4" fillId="4" borderId="0" xfId="0" applyFont="1" applyFill="1"/>
    <xf numFmtId="0" fontId="3" fillId="4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3" fillId="5" borderId="0" xfId="0" applyFont="1" applyFill="1" applyAlignment="1">
      <alignment horizontal="left"/>
    </xf>
    <xf numFmtId="0" fontId="2" fillId="6" borderId="0" xfId="0" applyFont="1" applyFill="1" applyAlignment="1">
      <alignment horizontal="left"/>
    </xf>
    <xf numFmtId="0" fontId="3" fillId="6" borderId="0" xfId="0" applyFont="1" applyFill="1" applyAlignment="1">
      <alignment horizontal="left"/>
    </xf>
    <xf numFmtId="0" fontId="6" fillId="6" borderId="0" xfId="0" applyFont="1" applyFill="1" applyAlignment="1">
      <alignment horizontal="left"/>
    </xf>
    <xf numFmtId="164" fontId="3" fillId="3" borderId="0" xfId="1" applyNumberFormat="1" applyFont="1" applyFill="1" applyAlignment="1">
      <alignment horizontal="center"/>
    </xf>
    <xf numFmtId="164" fontId="0" fillId="5" borderId="0" xfId="1" applyNumberFormat="1" applyFont="1" applyFill="1"/>
    <xf numFmtId="164" fontId="0" fillId="0" borderId="0" xfId="1" applyNumberFormat="1" applyFont="1"/>
    <xf numFmtId="164" fontId="0" fillId="6" borderId="0" xfId="1" applyNumberFormat="1" applyFont="1" applyFill="1"/>
    <xf numFmtId="164" fontId="7" fillId="6" borderId="0" xfId="1" applyNumberFormat="1" applyFont="1" applyFill="1"/>
    <xf numFmtId="0" fontId="8" fillId="4" borderId="0" xfId="3" applyFont="1"/>
    <xf numFmtId="165" fontId="10" fillId="4" borderId="2" xfId="4" applyNumberFormat="1" applyFont="1" applyFill="1" applyBorder="1" applyAlignment="1">
      <alignment horizontal="center"/>
    </xf>
    <xf numFmtId="0" fontId="10" fillId="4" borderId="0" xfId="3" applyFont="1"/>
    <xf numFmtId="164" fontId="9" fillId="4" borderId="0" xfId="4" applyNumberFormat="1" applyFont="1"/>
    <xf numFmtId="0" fontId="10" fillId="4" borderId="0" xfId="3" applyFont="1" applyAlignment="1">
      <alignment horizontal="centerContinuous"/>
    </xf>
    <xf numFmtId="164" fontId="11" fillId="4" borderId="0" xfId="4" applyNumberFormat="1" applyFont="1" applyAlignment="1">
      <alignment horizontal="centerContinuous"/>
    </xf>
    <xf numFmtId="0" fontId="8" fillId="4" borderId="0" xfId="3" applyFont="1" applyAlignment="1">
      <alignment horizontal="left" indent="1"/>
    </xf>
    <xf numFmtId="166" fontId="9" fillId="0" borderId="0" xfId="2" applyNumberFormat="1" applyFont="1"/>
    <xf numFmtId="164" fontId="9" fillId="4" borderId="0" xfId="1" applyNumberFormat="1" applyFont="1" applyFill="1"/>
    <xf numFmtId="0" fontId="8" fillId="4" borderId="0" xfId="3" applyFont="1" applyAlignment="1">
      <alignment horizontal="left" indent="2"/>
    </xf>
    <xf numFmtId="164" fontId="9" fillId="0" borderId="2" xfId="1" applyNumberFormat="1" applyFont="1" applyBorder="1"/>
    <xf numFmtId="164" fontId="9" fillId="0" borderId="0" xfId="1" applyNumberFormat="1" applyFont="1"/>
    <xf numFmtId="0" fontId="9" fillId="0" borderId="0" xfId="0" applyFont="1" applyAlignment="1">
      <alignment vertical="center"/>
    </xf>
    <xf numFmtId="164" fontId="9" fillId="0" borderId="0" xfId="1" applyNumberFormat="1" applyFont="1" applyAlignment="1">
      <alignment vertical="center"/>
    </xf>
    <xf numFmtId="166" fontId="12" fillId="0" borderId="3" xfId="2" applyNumberFormat="1" applyFont="1" applyBorder="1"/>
    <xf numFmtId="164" fontId="12" fillId="0" borderId="2" xfId="1" applyNumberFormat="1" applyFont="1" applyBorder="1"/>
    <xf numFmtId="37" fontId="8" fillId="4" borderId="0" xfId="3" applyNumberFormat="1" applyFont="1"/>
    <xf numFmtId="0" fontId="8" fillId="4" borderId="4" xfId="3" applyFont="1" applyBorder="1"/>
    <xf numFmtId="164" fontId="9" fillId="4" borderId="4" xfId="4" applyNumberFormat="1" applyFont="1" applyBorder="1"/>
    <xf numFmtId="165" fontId="10" fillId="4" borderId="2" xfId="4" quotePrefix="1" applyNumberFormat="1" applyFont="1" applyFill="1" applyBorder="1" applyAlignment="1">
      <alignment horizontal="center"/>
    </xf>
    <xf numFmtId="166" fontId="0" fillId="0" borderId="0" xfId="2" applyNumberFormat="1" applyFont="1"/>
    <xf numFmtId="43" fontId="9" fillId="0" borderId="0" xfId="1" applyFont="1"/>
    <xf numFmtId="2" fontId="0" fillId="0" borderId="0" xfId="0" applyNumberFormat="1"/>
    <xf numFmtId="164" fontId="9" fillId="4" borderId="2" xfId="1" applyNumberFormat="1" applyFont="1" applyFill="1" applyBorder="1"/>
    <xf numFmtId="166" fontId="0" fillId="0" borderId="0" xfId="0" applyNumberFormat="1"/>
    <xf numFmtId="3" fontId="0" fillId="0" borderId="0" xfId="0" applyNumberFormat="1"/>
    <xf numFmtId="165" fontId="10" fillId="4" borderId="1" xfId="4" quotePrefix="1" applyNumberFormat="1" applyFont="1" applyFill="1" applyBorder="1" applyAlignment="1">
      <alignment horizontal="center"/>
    </xf>
    <xf numFmtId="0" fontId="13" fillId="0" borderId="0" xfId="0" quotePrefix="1" applyFont="1"/>
    <xf numFmtId="0" fontId="13" fillId="0" borderId="0" xfId="0" applyFont="1"/>
    <xf numFmtId="164" fontId="14" fillId="0" borderId="0" xfId="1" applyNumberFormat="1" applyFont="1"/>
    <xf numFmtId="164" fontId="2" fillId="3" borderId="0" xfId="1" applyNumberFormat="1" applyFont="1" applyFill="1" applyAlignment="1">
      <alignment horizontal="center"/>
    </xf>
    <xf numFmtId="43" fontId="0" fillId="0" borderId="0" xfId="1" applyFont="1"/>
    <xf numFmtId="165" fontId="10" fillId="7" borderId="2" xfId="4" quotePrefix="1" applyNumberFormat="1" applyFont="1" applyFill="1" applyBorder="1" applyAlignment="1">
      <alignment horizontal="center"/>
    </xf>
    <xf numFmtId="164" fontId="9" fillId="7" borderId="0" xfId="4" applyNumberFormat="1" applyFont="1" applyFill="1"/>
    <xf numFmtId="166" fontId="9" fillId="7" borderId="0" xfId="2" applyNumberFormat="1" applyFont="1" applyFill="1"/>
    <xf numFmtId="164" fontId="9" fillId="7" borderId="0" xfId="1" applyNumberFormat="1" applyFont="1" applyFill="1"/>
    <xf numFmtId="164" fontId="9" fillId="7" borderId="2" xfId="1" applyNumberFormat="1" applyFont="1" applyFill="1" applyBorder="1"/>
    <xf numFmtId="164" fontId="9" fillId="7" borderId="0" xfId="1" applyNumberFormat="1" applyFont="1" applyFill="1" applyAlignment="1">
      <alignment vertical="center"/>
    </xf>
    <xf numFmtId="166" fontId="12" fillId="7" borderId="3" xfId="2" applyNumberFormat="1" applyFont="1" applyFill="1" applyBorder="1"/>
    <xf numFmtId="164" fontId="11" fillId="7" borderId="0" xfId="4" applyNumberFormat="1" applyFont="1" applyFill="1" applyAlignment="1">
      <alignment horizontal="centerContinuous"/>
    </xf>
    <xf numFmtId="164" fontId="12" fillId="7" borderId="2" xfId="1" applyNumberFormat="1" applyFont="1" applyFill="1" applyBorder="1"/>
    <xf numFmtId="37" fontId="8" fillId="7" borderId="0" xfId="3" applyNumberFormat="1" applyFont="1" applyFill="1"/>
    <xf numFmtId="164" fontId="9" fillId="7" borderId="0" xfId="4" applyNumberFormat="1" applyFont="1" applyFill="1" applyBorder="1"/>
    <xf numFmtId="166" fontId="0" fillId="7" borderId="0" xfId="0" applyNumberFormat="1" applyFill="1"/>
    <xf numFmtId="0" fontId="0" fillId="7" borderId="0" xfId="0" applyFill="1"/>
    <xf numFmtId="164" fontId="0" fillId="0" borderId="0" xfId="0" applyNumberFormat="1"/>
    <xf numFmtId="0" fontId="0" fillId="0" borderId="0" xfId="0"/>
    <xf numFmtId="0" fontId="3" fillId="4" borderId="0" xfId="0" applyFont="1" applyFill="1" applyAlignment="1">
      <alignment horizontal="left"/>
    </xf>
  </cellXfs>
  <cellStyles count="5">
    <cellStyle name="Comma" xfId="1" builtinId="3"/>
    <cellStyle name="Comma 3" xfId="4" xr:uid="{C9065E5C-1942-4E1A-B71F-A3AC6B9AA22E}"/>
    <cellStyle name="Currency" xfId="2" builtinId="4"/>
    <cellStyle name="Normal" xfId="0" builtinId="0"/>
    <cellStyle name="Normal 4" xfId="3" xr:uid="{5F86134B-8009-4B97-80BD-F8F42AEDC4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0"/>
  <sheetViews>
    <sheetView tabSelected="1" workbookViewId="0">
      <selection activeCell="G19" sqref="G19"/>
    </sheetView>
  </sheetViews>
  <sheetFormatPr defaultRowHeight="15" x14ac:dyDescent="0.25"/>
  <cols>
    <col min="1" max="1" width="46.42578125" customWidth="1"/>
    <col min="2" max="3" width="14.28515625" style="12" customWidth="1"/>
    <col min="4" max="4" width="12" style="12" customWidth="1"/>
    <col min="6" max="6" width="13.28515625" bestFit="1" customWidth="1"/>
  </cols>
  <sheetData>
    <row r="1" spans="1:4" x14ac:dyDescent="0.25">
      <c r="A1" s="1" t="s">
        <v>0</v>
      </c>
      <c r="B1" s="45" t="s">
        <v>179</v>
      </c>
      <c r="C1" s="10" t="s">
        <v>1</v>
      </c>
      <c r="D1" s="10" t="s">
        <v>2</v>
      </c>
    </row>
    <row r="2" spans="1:4" x14ac:dyDescent="0.25">
      <c r="A2" s="2" t="s">
        <v>3</v>
      </c>
      <c r="B2" s="11"/>
      <c r="C2" s="11"/>
      <c r="D2" s="11"/>
    </row>
    <row r="3" spans="1:4" ht="6.75" customHeight="1" x14ac:dyDescent="0.25">
      <c r="A3" s="2"/>
      <c r="B3" s="11"/>
      <c r="C3" s="11"/>
      <c r="D3" s="11"/>
    </row>
    <row r="4" spans="1:4" x14ac:dyDescent="0.25">
      <c r="A4" s="2" t="s">
        <v>4</v>
      </c>
      <c r="B4" s="11"/>
      <c r="C4" s="11"/>
      <c r="D4" s="11"/>
    </row>
    <row r="5" spans="1:4" x14ac:dyDescent="0.25">
      <c r="A5" s="2" t="s">
        <v>5</v>
      </c>
      <c r="B5" s="12">
        <f>'2024 2025 wp'!D4</f>
        <v>18696480</v>
      </c>
      <c r="C5" s="12">
        <f>'2024 2025 wp'!E4</f>
        <v>12250000</v>
      </c>
      <c r="D5" s="12">
        <f>'2024 2025 wp'!F4</f>
        <v>9454494</v>
      </c>
    </row>
    <row r="6" spans="1:4" x14ac:dyDescent="0.25">
      <c r="A6" s="2" t="s">
        <v>6</v>
      </c>
      <c r="B6" s="12">
        <f>'2024 2025 wp'!D5</f>
        <v>1627760</v>
      </c>
      <c r="C6" s="12">
        <f>'2024 2025 wp'!E5</f>
        <v>3000000</v>
      </c>
      <c r="D6" s="12">
        <f>'2024 2025 wp'!F5</f>
        <v>4500000</v>
      </c>
    </row>
    <row r="7" spans="1:4" x14ac:dyDescent="0.25">
      <c r="A7" s="2" t="s">
        <v>7</v>
      </c>
    </row>
    <row r="8" spans="1:4" x14ac:dyDescent="0.25">
      <c r="A8" s="2" t="s">
        <v>8</v>
      </c>
      <c r="B8" s="12">
        <f>'2024 2025 wp'!D6</f>
        <v>7810946</v>
      </c>
      <c r="C8" s="12">
        <f>'2024 2025 wp'!E6</f>
        <v>7500000</v>
      </c>
      <c r="D8" s="12">
        <f>'2024 2025 wp'!F6</f>
        <v>7500000</v>
      </c>
    </row>
    <row r="9" spans="1:4" x14ac:dyDescent="0.25">
      <c r="A9" s="2" t="s">
        <v>9</v>
      </c>
      <c r="B9" s="12">
        <v>0</v>
      </c>
      <c r="C9" s="12">
        <v>0</v>
      </c>
      <c r="D9" s="12">
        <v>0</v>
      </c>
    </row>
    <row r="10" spans="1:4" x14ac:dyDescent="0.25">
      <c r="A10" s="2" t="s">
        <v>10</v>
      </c>
      <c r="B10" s="12">
        <v>1267943</v>
      </c>
      <c r="C10" s="12">
        <f>+'2024 2025 wp'!E7+'2024 2025 wp'!E8</f>
        <v>1636000</v>
      </c>
      <c r="D10" s="12">
        <f>+'2024 2025 wp'!F7+'2024 2025 wp'!F8</f>
        <v>2050299</v>
      </c>
    </row>
    <row r="11" spans="1:4" x14ac:dyDescent="0.25">
      <c r="A11" s="7" t="s">
        <v>64</v>
      </c>
      <c r="B11" s="13">
        <f>SUM(B5:B10)</f>
        <v>29403129</v>
      </c>
      <c r="C11" s="13">
        <f>SUM(C5:C10)</f>
        <v>24386000</v>
      </c>
      <c r="D11" s="13">
        <f>SUM(D5:D10)</f>
        <v>23504793</v>
      </c>
    </row>
    <row r="12" spans="1:4" x14ac:dyDescent="0.25">
      <c r="A12" s="5"/>
      <c r="B12" s="11"/>
      <c r="C12" s="11"/>
      <c r="D12" s="11"/>
    </row>
    <row r="13" spans="1:4" x14ac:dyDescent="0.25">
      <c r="A13" s="2" t="s">
        <v>12</v>
      </c>
    </row>
    <row r="14" spans="1:4" x14ac:dyDescent="0.25">
      <c r="A14" s="2"/>
      <c r="B14" s="11"/>
      <c r="C14" s="11"/>
      <c r="D14" s="11"/>
    </row>
    <row r="15" spans="1:4" x14ac:dyDescent="0.25">
      <c r="A15" s="2" t="s">
        <v>13</v>
      </c>
      <c r="B15" s="11"/>
      <c r="C15" s="11"/>
      <c r="D15" s="11"/>
    </row>
    <row r="16" spans="1:4" x14ac:dyDescent="0.25">
      <c r="A16" s="2" t="s">
        <v>14</v>
      </c>
      <c r="B16" s="11"/>
      <c r="C16" s="11"/>
      <c r="D16" s="11"/>
    </row>
    <row r="17" spans="1:4" x14ac:dyDescent="0.25">
      <c r="A17" s="2" t="s">
        <v>15</v>
      </c>
    </row>
    <row r="18" spans="1:4" x14ac:dyDescent="0.25">
      <c r="A18" s="2" t="s">
        <v>16</v>
      </c>
    </row>
    <row r="19" spans="1:4" x14ac:dyDescent="0.25">
      <c r="A19" s="7" t="s">
        <v>65</v>
      </c>
      <c r="B19" s="13">
        <f>SUM(B17:B18)</f>
        <v>0</v>
      </c>
      <c r="C19" s="13">
        <f>SUM(C17:C18)</f>
        <v>0</v>
      </c>
      <c r="D19" s="13">
        <f>SUM(D17:D18)</f>
        <v>0</v>
      </c>
    </row>
    <row r="20" spans="1:4" x14ac:dyDescent="0.25">
      <c r="A20" s="2" t="s">
        <v>17</v>
      </c>
    </row>
    <row r="21" spans="1:4" x14ac:dyDescent="0.25">
      <c r="A21" s="2" t="s">
        <v>18</v>
      </c>
      <c r="B21" s="11"/>
      <c r="C21" s="11"/>
      <c r="D21" s="11"/>
    </row>
    <row r="22" spans="1:4" x14ac:dyDescent="0.25">
      <c r="A22" s="2" t="s">
        <v>19</v>
      </c>
      <c r="B22" s="12">
        <f>7452166-B23</f>
        <v>3985047</v>
      </c>
      <c r="C22" s="12">
        <f>'2024 2025 wp'!E14+'2024 2025 wp'!E15</f>
        <v>4258850</v>
      </c>
      <c r="D22" s="12">
        <f>'2024 2025 wp'!F14+'2024 2025 wp'!F15</f>
        <v>4650000</v>
      </c>
    </row>
    <row r="23" spans="1:4" x14ac:dyDescent="0.25">
      <c r="A23" s="2" t="s">
        <v>20</v>
      </c>
      <c r="B23" s="12">
        <v>3467119</v>
      </c>
      <c r="C23" s="12">
        <f>'2024 2025 wp'!OSRRefE10_0_1x_0</f>
        <v>3707119.38</v>
      </c>
      <c r="D23" s="12">
        <f>'2024 2025 wp'!F13</f>
        <v>3800000</v>
      </c>
    </row>
    <row r="24" spans="1:4" x14ac:dyDescent="0.25">
      <c r="A24" s="7" t="s">
        <v>66</v>
      </c>
      <c r="B24" s="13">
        <f>SUM(B22:B23)</f>
        <v>7452166</v>
      </c>
      <c r="C24" s="13">
        <f>SUM(C22:C23)</f>
        <v>7965969.3799999999</v>
      </c>
      <c r="D24" s="13">
        <f>SUM(D22:D23)</f>
        <v>8450000</v>
      </c>
    </row>
    <row r="25" spans="1:4" x14ac:dyDescent="0.25">
      <c r="A25" s="7" t="s">
        <v>67</v>
      </c>
      <c r="B25" s="13">
        <f>B24+B20+B19</f>
        <v>7452166</v>
      </c>
      <c r="C25" s="13">
        <f>C24+C20+C19</f>
        <v>7965969.3799999999</v>
      </c>
      <c r="D25" s="13">
        <f>D24+D20+D19</f>
        <v>8450000</v>
      </c>
    </row>
    <row r="26" spans="1:4" x14ac:dyDescent="0.25">
      <c r="A26" s="2"/>
      <c r="B26" s="11"/>
      <c r="C26" s="11"/>
      <c r="D26" s="11"/>
    </row>
    <row r="27" spans="1:4" x14ac:dyDescent="0.25">
      <c r="A27" s="2" t="s">
        <v>21</v>
      </c>
      <c r="B27" s="11"/>
      <c r="C27" s="11"/>
      <c r="D27" s="11"/>
    </row>
    <row r="28" spans="1:4" x14ac:dyDescent="0.25">
      <c r="A28" s="2" t="s">
        <v>22</v>
      </c>
      <c r="B28" s="11"/>
      <c r="C28" s="11"/>
      <c r="D28" s="11"/>
    </row>
    <row r="29" spans="1:4" x14ac:dyDescent="0.25">
      <c r="A29" s="2" t="s">
        <v>23</v>
      </c>
      <c r="B29" s="11"/>
      <c r="C29" s="11"/>
      <c r="D29" s="11"/>
    </row>
    <row r="30" spans="1:4" x14ac:dyDescent="0.25">
      <c r="A30" s="2" t="s">
        <v>24</v>
      </c>
      <c r="B30" s="12">
        <f>67875137-B31-B32-B33+1777387</f>
        <v>56654793.590000011</v>
      </c>
      <c r="C30" s="12">
        <f>'2024 2025 wp'!T19+'2024 2025 wp'!T20+'2024 2025 wp'!T21+'2024 2025 wp'!T23+'2024 2025 wp'!T22</f>
        <v>56927742.482408613</v>
      </c>
      <c r="D30" s="12">
        <f>'2024 2025 wp'!U19+'2024 2025 wp'!U20+'2024 2025 wp'!U21+'2024 2025 wp'!U23+'2024 2025 wp'!U22</f>
        <v>58960074.206715457</v>
      </c>
    </row>
    <row r="31" spans="1:4" x14ac:dyDescent="0.25">
      <c r="A31" s="2" t="s">
        <v>25</v>
      </c>
      <c r="B31" s="12">
        <f>'2024 2025 wp'!S28</f>
        <v>566543.09999999986</v>
      </c>
      <c r="C31" s="12">
        <f>'2024 2025 wp'!T28</f>
        <v>569791.57625215908</v>
      </c>
      <c r="D31" s="12">
        <f>'2024 2025 wp'!U28</f>
        <v>590176.23005902744</v>
      </c>
    </row>
    <row r="32" spans="1:4" x14ac:dyDescent="0.25">
      <c r="A32" s="2" t="s">
        <v>26</v>
      </c>
      <c r="B32" s="12">
        <f>'2024 2025 wp'!S25+'2024 2025 wp'!S26+'2024 2025 wp'!S27</f>
        <v>11240256.77</v>
      </c>
      <c r="C32" s="12">
        <f>'2024 2025 wp'!T25+'2024 2025 wp'!T26+'2024 2025 wp'!T27</f>
        <v>11304706.777749659</v>
      </c>
      <c r="D32" s="12">
        <f>'2024 2025 wp'!U25+'2024 2025 wp'!U26+'2024 2025 wp'!U27</f>
        <v>11709139.808452457</v>
      </c>
    </row>
    <row r="33" spans="1:6" x14ac:dyDescent="0.25">
      <c r="A33" s="2" t="s">
        <v>27</v>
      </c>
      <c r="B33" s="12">
        <f>'2024 2025 wp'!S24</f>
        <v>1190930.54</v>
      </c>
      <c r="C33" s="12">
        <f>'2024 2025 wp'!T24</f>
        <v>1197759.1635895576</v>
      </c>
      <c r="D33" s="12">
        <f>'2024 2025 wp'!U24</f>
        <v>1240609.7547730473</v>
      </c>
    </row>
    <row r="34" spans="1:6" x14ac:dyDescent="0.25">
      <c r="A34" s="7" t="s">
        <v>68</v>
      </c>
      <c r="B34" s="13">
        <f>SUM(B30:B33)</f>
        <v>69652524.000000015</v>
      </c>
      <c r="C34" s="13">
        <f>SUM(C30:C33)</f>
        <v>69999999.999999985</v>
      </c>
      <c r="D34" s="13">
        <f>SUM(D30:D33)</f>
        <v>72500000</v>
      </c>
    </row>
    <row r="35" spans="1:6" x14ac:dyDescent="0.25">
      <c r="A35" s="6" t="s">
        <v>28</v>
      </c>
      <c r="B35" s="11"/>
      <c r="C35" s="11"/>
      <c r="D35" s="11"/>
    </row>
    <row r="36" spans="1:6" x14ac:dyDescent="0.25">
      <c r="A36" s="2" t="s">
        <v>24</v>
      </c>
      <c r="B36" s="12">
        <f>-48846122-B37-B38</f>
        <v>-38664105.18</v>
      </c>
      <c r="C36" s="12">
        <f>'2024 2025 wp'!T35+'2024 2025 wp'!T36+'2024 2025 wp'!T37</f>
        <v>-38905016.913619682</v>
      </c>
      <c r="D36" s="12">
        <f>'2024 2025 wp'!U35+'2024 2025 wp'!U36+'2024 2025 wp'!U37</f>
        <v>-40382885.156272598</v>
      </c>
    </row>
    <row r="37" spans="1:6" x14ac:dyDescent="0.25">
      <c r="A37" s="2" t="s">
        <v>29</v>
      </c>
      <c r="B37" s="12">
        <f>'2024 2025 wp'!S38</f>
        <v>-876133.65</v>
      </c>
      <c r="C37" s="12">
        <f>'2024 2025 wp'!T38</f>
        <v>-885991.65742211358</v>
      </c>
      <c r="D37" s="12">
        <f>'2024 2025 wp'!U38</f>
        <v>-919647.44368399237</v>
      </c>
    </row>
    <row r="38" spans="1:6" x14ac:dyDescent="0.25">
      <c r="A38" s="2" t="s">
        <v>30</v>
      </c>
      <c r="B38" s="12">
        <f>'2024 2025 wp'!S39</f>
        <v>-9305883.1699999999</v>
      </c>
      <c r="C38" s="12">
        <f>'2024 2025 wp'!T39</f>
        <v>-9410590.328958204</v>
      </c>
      <c r="D38" s="12">
        <f>'2024 2025 wp'!U39</f>
        <v>-9768066.4000434037</v>
      </c>
    </row>
    <row r="39" spans="1:6" x14ac:dyDescent="0.25">
      <c r="A39" s="7" t="s">
        <v>69</v>
      </c>
      <c r="B39" s="13">
        <f>SUM(B36:B38)</f>
        <v>-48846122</v>
      </c>
      <c r="C39" s="13">
        <f>SUM(C36:C38)</f>
        <v>-49201598.899999999</v>
      </c>
      <c r="D39" s="13">
        <f>SUM(D36:D38)</f>
        <v>-51070598.999999993</v>
      </c>
    </row>
    <row r="40" spans="1:6" x14ac:dyDescent="0.25">
      <c r="A40" s="7" t="s">
        <v>70</v>
      </c>
      <c r="B40" s="13">
        <f>B39+B34</f>
        <v>20806402.000000015</v>
      </c>
      <c r="C40" s="13">
        <f>C39+C34</f>
        <v>20798401.099999987</v>
      </c>
      <c r="D40" s="13">
        <f>D39+D34</f>
        <v>21429401.000000007</v>
      </c>
      <c r="F40" s="46" t="s">
        <v>133</v>
      </c>
    </row>
    <row r="41" spans="1:6" x14ac:dyDescent="0.25">
      <c r="A41" s="2"/>
      <c r="B41" s="11"/>
      <c r="C41" s="11"/>
      <c r="D41" s="11"/>
    </row>
    <row r="42" spans="1:6" x14ac:dyDescent="0.25">
      <c r="A42" s="2" t="s">
        <v>31</v>
      </c>
      <c r="B42" s="12">
        <f>1576540+525049+648122</f>
        <v>2749711</v>
      </c>
      <c r="C42" s="12">
        <f>'2024 2025 wp'!E27+'2024 2025 wp'!E22+'2024 2025 wp'!E26</f>
        <v>2208444.1799999997</v>
      </c>
      <c r="D42" s="12">
        <f>650000+'2024 2025 wp'!F22+'2024 2025 wp'!F26</f>
        <v>1876949</v>
      </c>
    </row>
    <row r="43" spans="1:6" x14ac:dyDescent="0.25">
      <c r="A43" s="2"/>
      <c r="B43" s="11"/>
      <c r="C43" s="11"/>
      <c r="D43" s="11"/>
    </row>
    <row r="44" spans="1:6" x14ac:dyDescent="0.25">
      <c r="A44" s="7" t="s">
        <v>77</v>
      </c>
      <c r="B44" s="13">
        <f>B42+B40+B25+B13+B11</f>
        <v>60411408.000000015</v>
      </c>
      <c r="C44" s="13">
        <f>C42+C40+C25+C13+C11</f>
        <v>55358814.659999982</v>
      </c>
      <c r="D44" s="13">
        <f>D42+D40+D25+D13+D11</f>
        <v>55261143.000000007</v>
      </c>
    </row>
    <row r="46" spans="1:6" x14ac:dyDescent="0.25">
      <c r="A46" s="6" t="s">
        <v>32</v>
      </c>
      <c r="B46" s="11"/>
      <c r="C46" s="11"/>
      <c r="D46" s="11"/>
    </row>
    <row r="47" spans="1:6" x14ac:dyDescent="0.25">
      <c r="A47" s="6" t="s">
        <v>33</v>
      </c>
      <c r="B47" s="11"/>
      <c r="C47" s="11"/>
      <c r="D47" s="11"/>
    </row>
    <row r="48" spans="1:6" x14ac:dyDescent="0.25">
      <c r="A48" s="6"/>
      <c r="B48" s="11"/>
      <c r="C48" s="11"/>
      <c r="D48" s="11"/>
    </row>
    <row r="49" spans="1:6" x14ac:dyDescent="0.25">
      <c r="A49" s="6" t="s">
        <v>34</v>
      </c>
      <c r="B49" s="11"/>
      <c r="C49" s="11"/>
      <c r="D49" s="11"/>
    </row>
    <row r="50" spans="1:6" x14ac:dyDescent="0.25">
      <c r="A50" s="2" t="s">
        <v>35</v>
      </c>
      <c r="B50" s="12">
        <f>'2024 2025 wp'!D36</f>
        <v>4580203</v>
      </c>
      <c r="C50" s="12">
        <f>'2024 2025 wp'!E36</f>
        <v>2263922</v>
      </c>
      <c r="D50" s="12">
        <f>'2024 2025 wp'!F36</f>
        <v>2000000</v>
      </c>
    </row>
    <row r="51" spans="1:6" x14ac:dyDescent="0.25">
      <c r="A51" s="2" t="s">
        <v>36</v>
      </c>
    </row>
    <row r="52" spans="1:6" x14ac:dyDescent="0.25">
      <c r="A52" s="2" t="s">
        <v>37</v>
      </c>
      <c r="B52" s="12">
        <f>'2024 2025 wp'!D38+'2024 2025 wp'!D39+'2024 2025 wp'!D47+'2024 2025 wp'!D51</f>
        <v>3930013</v>
      </c>
      <c r="C52" s="12">
        <f>'2024 2025 wp'!E38+'2024 2025 wp'!E39</f>
        <v>4150839</v>
      </c>
      <c r="D52" s="12">
        <f>'2024 2025 wp'!F38+'2024 2025 wp'!F39</f>
        <v>3637261.8</v>
      </c>
    </row>
    <row r="53" spans="1:6" x14ac:dyDescent="0.25">
      <c r="A53" s="6" t="s">
        <v>38</v>
      </c>
      <c r="B53" s="11"/>
      <c r="C53" s="11"/>
      <c r="D53" s="11"/>
    </row>
    <row r="54" spans="1:6" x14ac:dyDescent="0.25">
      <c r="A54" s="2" t="s">
        <v>39</v>
      </c>
      <c r="B54" s="12">
        <v>105764</v>
      </c>
      <c r="C54" s="12">
        <f>'2024 2025 wp'!E44</f>
        <v>73330</v>
      </c>
      <c r="D54" s="12">
        <f>'2024 2025 wp'!F44</f>
        <v>50000</v>
      </c>
    </row>
    <row r="55" spans="1:6" x14ac:dyDescent="0.25">
      <c r="A55" s="2" t="s">
        <v>40</v>
      </c>
      <c r="B55" s="12">
        <v>0</v>
      </c>
    </row>
    <row r="56" spans="1:6" x14ac:dyDescent="0.25">
      <c r="A56" s="7" t="s">
        <v>71</v>
      </c>
      <c r="B56" s="13">
        <f>SUM(B54:B55)</f>
        <v>105764</v>
      </c>
      <c r="C56" s="13">
        <f>SUM(C54:C55)</f>
        <v>73330</v>
      </c>
      <c r="D56" s="13">
        <f>SUM(D54:D55)</f>
        <v>50000</v>
      </c>
    </row>
    <row r="57" spans="1:6" x14ac:dyDescent="0.25">
      <c r="A57" s="2" t="s">
        <v>41</v>
      </c>
      <c r="B57" s="12">
        <f>'2024 2025 wp'!D37+'2024 2025 wp'!D40</f>
        <v>521429</v>
      </c>
      <c r="C57" s="12">
        <f>'2024 2025 wp'!E37+'2024 2025 wp'!E40</f>
        <v>971429</v>
      </c>
      <c r="D57" s="12">
        <f>'2024 2025 wp'!F37+'2024 2025 wp'!F40</f>
        <v>1134343.72</v>
      </c>
    </row>
    <row r="58" spans="1:6" x14ac:dyDescent="0.25">
      <c r="A58" s="2" t="s">
        <v>42</v>
      </c>
      <c r="B58" s="12">
        <f>'2024 2025 wp'!D35</f>
        <v>943227</v>
      </c>
      <c r="C58" s="12">
        <f>'2024 2025 wp'!E35</f>
        <v>930704</v>
      </c>
      <c r="D58" s="12">
        <f>'2024 2025 wp'!F35</f>
        <v>957627</v>
      </c>
    </row>
    <row r="59" spans="1:6" x14ac:dyDescent="0.25">
      <c r="A59" s="7" t="s">
        <v>72</v>
      </c>
      <c r="B59" s="13">
        <f>SUM(B57:B58)+B56+SUM(B50:B52)</f>
        <v>10080636</v>
      </c>
      <c r="C59" s="13">
        <f>SUM(C57:C58)+C56+SUM(C50:C52)</f>
        <v>8390224</v>
      </c>
      <c r="D59" s="13">
        <f>SUM(D57:D58)+D56+SUM(D50:D52)</f>
        <v>7779232.5199999996</v>
      </c>
      <c r="F59" s="60" t="s">
        <v>133</v>
      </c>
    </row>
    <row r="60" spans="1:6" x14ac:dyDescent="0.25">
      <c r="A60" s="2"/>
      <c r="B60" s="11"/>
      <c r="C60" s="11"/>
      <c r="D60" s="11"/>
    </row>
    <row r="61" spans="1:6" x14ac:dyDescent="0.25">
      <c r="A61" s="6" t="s">
        <v>43</v>
      </c>
      <c r="B61" s="11"/>
      <c r="C61" s="11"/>
      <c r="D61" s="11"/>
    </row>
    <row r="62" spans="1:6" x14ac:dyDescent="0.25">
      <c r="A62" s="2" t="s">
        <v>44</v>
      </c>
    </row>
    <row r="63" spans="1:6" x14ac:dyDescent="0.25">
      <c r="A63" s="6" t="s">
        <v>45</v>
      </c>
      <c r="B63" s="11"/>
      <c r="C63" s="11"/>
      <c r="D63" s="11"/>
    </row>
    <row r="64" spans="1:6" x14ac:dyDescent="0.25">
      <c r="A64" s="2" t="s">
        <v>46</v>
      </c>
      <c r="B64" s="12">
        <f>'2024 2025 wp'!D58</f>
        <v>7002355</v>
      </c>
      <c r="C64" s="12">
        <v>5932565</v>
      </c>
      <c r="D64" s="12">
        <v>4948015</v>
      </c>
    </row>
    <row r="65" spans="1:4" x14ac:dyDescent="0.25">
      <c r="A65" s="2" t="s">
        <v>47</v>
      </c>
      <c r="B65" s="12">
        <f>'2024 2025 wp'!D57</f>
        <v>758744</v>
      </c>
      <c r="C65" s="12">
        <v>237594</v>
      </c>
      <c r="D65" s="12">
        <v>627994</v>
      </c>
    </row>
    <row r="66" spans="1:4" x14ac:dyDescent="0.25">
      <c r="A66" s="2" t="s">
        <v>48</v>
      </c>
      <c r="B66" s="12">
        <f>'2024 2025 wp'!D56</f>
        <v>2661507</v>
      </c>
    </row>
    <row r="67" spans="1:4" x14ac:dyDescent="0.25">
      <c r="A67" s="9" t="s">
        <v>73</v>
      </c>
      <c r="B67" s="14">
        <f>SUM(B63:B66)</f>
        <v>10422606</v>
      </c>
      <c r="C67" s="14">
        <f>SUM(C63:C66)</f>
        <v>6170159</v>
      </c>
      <c r="D67" s="14">
        <f>SUM(D63:D66)</f>
        <v>5576009</v>
      </c>
    </row>
    <row r="68" spans="1:4" x14ac:dyDescent="0.25">
      <c r="A68" s="7" t="s">
        <v>74</v>
      </c>
      <c r="B68" s="13">
        <f>B67+B62</f>
        <v>10422606</v>
      </c>
      <c r="C68" s="13">
        <f>C67+C62</f>
        <v>6170159</v>
      </c>
      <c r="D68" s="13">
        <f>D67+D62</f>
        <v>5576009</v>
      </c>
    </row>
    <row r="69" spans="1:4" x14ac:dyDescent="0.25">
      <c r="A69" s="2"/>
      <c r="B69" s="11"/>
      <c r="C69" s="11"/>
      <c r="D69" s="11"/>
    </row>
    <row r="70" spans="1:4" x14ac:dyDescent="0.25">
      <c r="A70" s="2" t="s">
        <v>49</v>
      </c>
    </row>
    <row r="71" spans="1:4" x14ac:dyDescent="0.25">
      <c r="A71" s="2"/>
      <c r="B71" s="11"/>
      <c r="C71" s="11"/>
      <c r="D71" s="11"/>
    </row>
    <row r="72" spans="1:4" x14ac:dyDescent="0.25">
      <c r="A72" s="7" t="s">
        <v>75</v>
      </c>
      <c r="B72" s="13">
        <f>B59+B68+B70</f>
        <v>20503242</v>
      </c>
      <c r="C72" s="13">
        <f>C59+C68+C70</f>
        <v>14560383</v>
      </c>
      <c r="D72" s="13">
        <f>D59+D68+D70</f>
        <v>13355241.52</v>
      </c>
    </row>
    <row r="73" spans="1:4" x14ac:dyDescent="0.25">
      <c r="A73" s="2"/>
      <c r="B73" s="11"/>
      <c r="C73" s="11"/>
      <c r="D73" s="11"/>
    </row>
    <row r="74" spans="1:4" x14ac:dyDescent="0.25">
      <c r="A74" s="6" t="s">
        <v>50</v>
      </c>
      <c r="B74" s="11"/>
      <c r="C74" s="11"/>
      <c r="D74" s="11"/>
    </row>
    <row r="75" spans="1:4" x14ac:dyDescent="0.25">
      <c r="A75" s="2" t="s">
        <v>51</v>
      </c>
      <c r="B75" s="12">
        <f>'2024 2025 wp'!D67+'2024 2025 wp'!D66</f>
        <v>29806668</v>
      </c>
      <c r="C75" s="12">
        <f>1230141+38166962</f>
        <v>39397103</v>
      </c>
      <c r="D75" s="12">
        <f>39568291+1200000</f>
        <v>40768291</v>
      </c>
    </row>
    <row r="76" spans="1:4" x14ac:dyDescent="0.25">
      <c r="A76" s="2" t="s">
        <v>52</v>
      </c>
      <c r="B76" s="12">
        <f>'2024 2025 wp'!D68</f>
        <v>10101498</v>
      </c>
      <c r="C76" s="12">
        <v>1401329</v>
      </c>
      <c r="D76" s="12">
        <v>1137610</v>
      </c>
    </row>
    <row r="77" spans="1:4" x14ac:dyDescent="0.25">
      <c r="A77" s="8" t="s">
        <v>11</v>
      </c>
      <c r="B77" s="13">
        <f>B75+B76</f>
        <v>39908166</v>
      </c>
      <c r="C77" s="13">
        <f>C75+C76</f>
        <v>40798432</v>
      </c>
      <c r="D77" s="13">
        <f>D75+D76</f>
        <v>41905901</v>
      </c>
    </row>
    <row r="78" spans="1:4" x14ac:dyDescent="0.25">
      <c r="A78" s="2"/>
    </row>
    <row r="79" spans="1:4" ht="14.25" customHeight="1" x14ac:dyDescent="0.25">
      <c r="A79" s="7" t="s">
        <v>76</v>
      </c>
      <c r="B79" s="13">
        <f>B72+B77</f>
        <v>60411408</v>
      </c>
      <c r="C79" s="13">
        <f>C72+C77</f>
        <v>55358815</v>
      </c>
      <c r="D79" s="13">
        <f>D72+D77</f>
        <v>55261142.519999996</v>
      </c>
    </row>
    <row r="81" spans="1:9" x14ac:dyDescent="0.25">
      <c r="A81" s="2" t="s">
        <v>53</v>
      </c>
      <c r="B81" s="11">
        <f>B44-B79</f>
        <v>0</v>
      </c>
      <c r="C81" s="11">
        <f>C44-C79</f>
        <v>-0.34000001847743988</v>
      </c>
      <c r="D81" s="11">
        <f>D44-D79</f>
        <v>0.48000001162290573</v>
      </c>
    </row>
    <row r="85" spans="1:9" x14ac:dyDescent="0.25">
      <c r="A85" s="2" t="s">
        <v>54</v>
      </c>
    </row>
    <row r="86" spans="1:9" x14ac:dyDescent="0.25">
      <c r="A86" s="61"/>
      <c r="B86" s="61"/>
      <c r="C86" s="61"/>
      <c r="D86" s="61"/>
      <c r="E86" s="61"/>
      <c r="F86" s="61"/>
      <c r="G86" s="61"/>
      <c r="H86" s="61"/>
      <c r="I86" s="61"/>
    </row>
    <row r="89" spans="1:9" x14ac:dyDescent="0.25">
      <c r="A89" s="3" t="s">
        <v>55</v>
      </c>
    </row>
    <row r="90" spans="1:9" x14ac:dyDescent="0.25">
      <c r="A90" s="3" t="s">
        <v>56</v>
      </c>
    </row>
  </sheetData>
  <mergeCells count="1">
    <mergeCell ref="A86:I8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68246-35E6-48ED-B4B9-8E9B375D0F22}">
  <dimension ref="A1:U7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H23" sqref="H23"/>
    </sheetView>
  </sheetViews>
  <sheetFormatPr defaultRowHeight="15" x14ac:dyDescent="0.25"/>
  <cols>
    <col min="1" max="1" width="37.7109375" bestFit="1" customWidth="1"/>
    <col min="2" max="2" width="19.7109375" style="18" bestFit="1" customWidth="1"/>
    <col min="3" max="3" width="17.28515625" bestFit="1" customWidth="1"/>
    <col min="4" max="4" width="17.28515625" style="59" customWidth="1"/>
    <col min="5" max="6" width="17.85546875" customWidth="1"/>
    <col min="7" max="7" width="12.5703125" bestFit="1" customWidth="1"/>
    <col min="8" max="8" width="13.42578125" bestFit="1" customWidth="1"/>
    <col min="9" max="9" width="13.28515625" style="37" customWidth="1"/>
    <col min="12" max="12" width="23" bestFit="1" customWidth="1"/>
    <col min="13" max="13" width="28" bestFit="1" customWidth="1"/>
    <col min="14" max="14" width="12.7109375" bestFit="1" customWidth="1"/>
    <col min="15" max="15" width="3.140625" bestFit="1" customWidth="1"/>
    <col min="16" max="16" width="12" bestFit="1" customWidth="1"/>
    <col min="17" max="17" width="12.28515625" bestFit="1" customWidth="1"/>
    <col min="18" max="18" width="11" bestFit="1" customWidth="1"/>
    <col min="19" max="21" width="16" bestFit="1" customWidth="1"/>
  </cols>
  <sheetData>
    <row r="1" spans="1:9" x14ac:dyDescent="0.25">
      <c r="A1" s="15"/>
      <c r="B1" s="16">
        <v>45291</v>
      </c>
      <c r="C1" s="34" t="s">
        <v>131</v>
      </c>
      <c r="D1" s="47" t="s">
        <v>180</v>
      </c>
      <c r="E1" s="34" t="s">
        <v>132</v>
      </c>
      <c r="F1" s="41" t="s">
        <v>134</v>
      </c>
      <c r="G1" s="39">
        <f>E30-E69</f>
        <v>-0.34000000357627869</v>
      </c>
      <c r="H1" s="39">
        <f>F73</f>
        <v>0.42507690936326981</v>
      </c>
    </row>
    <row r="2" spans="1:9" x14ac:dyDescent="0.25">
      <c r="A2" s="17"/>
      <c r="C2" s="18"/>
      <c r="D2" s="48"/>
    </row>
    <row r="3" spans="1:9" x14ac:dyDescent="0.25">
      <c r="A3" s="17" t="s">
        <v>78</v>
      </c>
      <c r="C3" s="18"/>
      <c r="D3" s="48"/>
    </row>
    <row r="4" spans="1:9" x14ac:dyDescent="0.25">
      <c r="A4" s="21" t="s">
        <v>79</v>
      </c>
      <c r="B4" s="22">
        <v>18697740.749999996</v>
      </c>
      <c r="C4" s="22">
        <v>15127838.739999996</v>
      </c>
      <c r="D4" s="49">
        <v>18696480</v>
      </c>
      <c r="E4" s="35">
        <v>12250000</v>
      </c>
      <c r="F4" s="35">
        <f>6729450+2725044</f>
        <v>9454494</v>
      </c>
    </row>
    <row r="5" spans="1:9" x14ac:dyDescent="0.25">
      <c r="A5" s="21" t="s">
        <v>80</v>
      </c>
      <c r="B5" s="23">
        <v>1627760.8999999997</v>
      </c>
      <c r="C5" s="23">
        <v>4403534.4999999972</v>
      </c>
      <c r="D5" s="50">
        <v>1627760</v>
      </c>
      <c r="E5" s="23">
        <v>3000000</v>
      </c>
      <c r="F5" s="23">
        <v>4500000</v>
      </c>
    </row>
    <row r="6" spans="1:9" x14ac:dyDescent="0.25">
      <c r="A6" s="21" t="s">
        <v>81</v>
      </c>
      <c r="B6" s="23">
        <v>7810945.5899999999</v>
      </c>
      <c r="C6" s="23">
        <v>4753533.59</v>
      </c>
      <c r="D6" s="50">
        <v>7810946</v>
      </c>
      <c r="E6" s="23">
        <v>7500000</v>
      </c>
      <c r="F6" s="23">
        <v>7500000</v>
      </c>
    </row>
    <row r="7" spans="1:9" x14ac:dyDescent="0.25">
      <c r="A7" s="21" t="s">
        <v>82</v>
      </c>
      <c r="B7" s="23">
        <v>124526.51</v>
      </c>
      <c r="C7" s="23">
        <v>135695.41999999998</v>
      </c>
      <c r="D7" s="50">
        <v>124526.51</v>
      </c>
      <c r="E7" s="23">
        <v>136000</v>
      </c>
      <c r="F7" s="23">
        <v>200000</v>
      </c>
    </row>
    <row r="8" spans="1:9" x14ac:dyDescent="0.25">
      <c r="A8" s="21" t="s">
        <v>83</v>
      </c>
      <c r="B8" s="23">
        <v>1143416.0799999998</v>
      </c>
      <c r="C8" s="23">
        <v>1290226.2500000002</v>
      </c>
      <c r="D8" s="50">
        <f>1267943-D7-D9</f>
        <v>888805.91</v>
      </c>
      <c r="E8" s="23">
        <v>1500000</v>
      </c>
      <c r="F8" s="23">
        <v>1850299</v>
      </c>
    </row>
    <row r="9" spans="1:9" x14ac:dyDescent="0.25">
      <c r="A9" s="21" t="s">
        <v>84</v>
      </c>
      <c r="B9" s="23">
        <v>0</v>
      </c>
      <c r="C9" s="23">
        <v>0</v>
      </c>
      <c r="D9" s="50">
        <v>254610.57999999996</v>
      </c>
      <c r="E9" s="23"/>
      <c r="F9" s="23"/>
    </row>
    <row r="10" spans="1:9" x14ac:dyDescent="0.25">
      <c r="A10" s="24" t="s">
        <v>85</v>
      </c>
      <c r="B10" s="25">
        <v>29404389.829999994</v>
      </c>
      <c r="C10" s="25">
        <v>25710828.499999996</v>
      </c>
      <c r="D10" s="51">
        <f>SUM(D4:D9)</f>
        <v>29403129</v>
      </c>
      <c r="E10" s="25">
        <f>SUM(E4:E9)</f>
        <v>24386000</v>
      </c>
      <c r="F10" s="25">
        <f>SUM(F4:F9)</f>
        <v>23504793</v>
      </c>
    </row>
    <row r="11" spans="1:9" x14ac:dyDescent="0.25">
      <c r="A11" s="15"/>
      <c r="B11" s="26"/>
      <c r="C11" s="26"/>
      <c r="D11" s="50"/>
    </row>
    <row r="12" spans="1:9" x14ac:dyDescent="0.25">
      <c r="A12" s="17" t="s">
        <v>86</v>
      </c>
      <c r="B12" s="26"/>
      <c r="C12" s="26"/>
      <c r="D12" s="50"/>
    </row>
    <row r="13" spans="1:9" x14ac:dyDescent="0.25">
      <c r="A13" s="21" t="s">
        <v>87</v>
      </c>
      <c r="B13" s="26">
        <v>3467119.38</v>
      </c>
      <c r="C13" s="26">
        <v>3666883.57</v>
      </c>
      <c r="D13" s="50">
        <v>3467119</v>
      </c>
      <c r="E13" s="23">
        <f>B13+240000</f>
        <v>3707119.38</v>
      </c>
      <c r="F13" s="23">
        <v>3800000</v>
      </c>
      <c r="I13" s="37">
        <f>(C13-B13)/10*12</f>
        <v>239717.02799999993</v>
      </c>
    </row>
    <row r="14" spans="1:9" x14ac:dyDescent="0.25">
      <c r="A14" s="21" t="s">
        <v>88</v>
      </c>
      <c r="B14" s="26">
        <v>1739935.93</v>
      </c>
      <c r="C14" s="26">
        <v>1710048.6799999997</v>
      </c>
      <c r="D14" s="50">
        <v>1741197</v>
      </c>
      <c r="E14" s="23">
        <v>1700000</v>
      </c>
      <c r="F14" s="23">
        <v>1800000</v>
      </c>
    </row>
    <row r="15" spans="1:9" x14ac:dyDescent="0.25">
      <c r="A15" s="21" t="s">
        <v>89</v>
      </c>
      <c r="B15" s="26">
        <v>2243850</v>
      </c>
      <c r="C15" s="26">
        <v>2543850</v>
      </c>
      <c r="D15" s="50">
        <v>2243850</v>
      </c>
      <c r="E15" s="23">
        <f>2543850+15000</f>
        <v>2558850</v>
      </c>
      <c r="F15" s="23">
        <v>2850000</v>
      </c>
    </row>
    <row r="16" spans="1:9" x14ac:dyDescent="0.25">
      <c r="A16" s="24" t="s">
        <v>90</v>
      </c>
      <c r="B16" s="25">
        <v>7450905.3099999996</v>
      </c>
      <c r="C16" s="25">
        <v>7920782.25</v>
      </c>
      <c r="D16" s="51">
        <f>SUM(D13:D15)</f>
        <v>7452166</v>
      </c>
      <c r="E16" s="25">
        <f>SUM(E13:E15)</f>
        <v>7965969.3799999999</v>
      </c>
      <c r="F16" s="25">
        <f>SUM(F13:F15)</f>
        <v>8450000</v>
      </c>
    </row>
    <row r="17" spans="1:21" x14ac:dyDescent="0.25">
      <c r="A17" s="27"/>
      <c r="B17" s="28"/>
      <c r="C17" s="28"/>
      <c r="D17" s="52"/>
    </row>
    <row r="18" spans="1:21" x14ac:dyDescent="0.25">
      <c r="A18" s="15"/>
      <c r="B18" s="26"/>
      <c r="C18" s="26"/>
      <c r="D18" s="50"/>
      <c r="S18" s="42" t="s">
        <v>178</v>
      </c>
      <c r="T18" s="43" t="s">
        <v>132</v>
      </c>
      <c r="U18" s="43" t="s">
        <v>134</v>
      </c>
    </row>
    <row r="19" spans="1:21" x14ac:dyDescent="0.25">
      <c r="A19" s="17" t="s">
        <v>91</v>
      </c>
      <c r="B19" s="26"/>
      <c r="C19" s="26"/>
      <c r="D19" s="50"/>
      <c r="I19" s="37">
        <f>20806402-I20</f>
        <v>-0.58999999612569809</v>
      </c>
      <c r="L19" t="s">
        <v>135</v>
      </c>
      <c r="M19" t="s">
        <v>136</v>
      </c>
      <c r="N19">
        <v>120032.74</v>
      </c>
      <c r="O19" t="s">
        <v>137</v>
      </c>
      <c r="S19" s="12">
        <v>120032.74</v>
      </c>
      <c r="T19" s="12">
        <v>120032.74</v>
      </c>
      <c r="U19" s="12">
        <v>120032.74</v>
      </c>
    </row>
    <row r="20" spans="1:21" x14ac:dyDescent="0.25">
      <c r="A20" s="21" t="s">
        <v>92</v>
      </c>
      <c r="B20" s="26">
        <v>67875137.350000009</v>
      </c>
      <c r="C20" s="26">
        <v>69521559.300000012</v>
      </c>
      <c r="D20" s="50">
        <f>69601602.72-141044</f>
        <v>69460558.719999999</v>
      </c>
      <c r="E20" s="23">
        <v>70000000</v>
      </c>
      <c r="F20" s="23">
        <v>72500000</v>
      </c>
      <c r="I20" s="37">
        <f>D20+D21</f>
        <v>20806402.589999996</v>
      </c>
      <c r="L20" t="s">
        <v>138</v>
      </c>
      <c r="M20" t="s">
        <v>139</v>
      </c>
      <c r="N20">
        <v>2554021.5199999996</v>
      </c>
      <c r="O20" t="s">
        <v>137</v>
      </c>
      <c r="P20">
        <v>29458.37</v>
      </c>
      <c r="S20" s="12">
        <v>2583479.8899999997</v>
      </c>
      <c r="T20" s="12">
        <v>2598293.1902954155</v>
      </c>
      <c r="U20" s="12">
        <v>2691248.7715647956</v>
      </c>
    </row>
    <row r="21" spans="1:21" x14ac:dyDescent="0.25">
      <c r="A21" s="21" t="s">
        <v>93</v>
      </c>
      <c r="B21" s="26">
        <v>-47068734.900000006</v>
      </c>
      <c r="C21" s="26">
        <v>-48846121.959999993</v>
      </c>
      <c r="D21" s="50">
        <v>-48654156.130000003</v>
      </c>
      <c r="E21" s="23">
        <f>B21-2132864</f>
        <v>-49201598.900000006</v>
      </c>
      <c r="F21" s="23">
        <f>-49201599-2107000+238000</f>
        <v>-51070599</v>
      </c>
      <c r="I21" s="37">
        <f>B21-C21</f>
        <v>1777387.0599999875</v>
      </c>
      <c r="J21">
        <f>I21/10*12</f>
        <v>2132864.4719999852</v>
      </c>
      <c r="L21" t="s">
        <v>140</v>
      </c>
      <c r="M21" t="s">
        <v>141</v>
      </c>
      <c r="N21">
        <v>5150666.54</v>
      </c>
      <c r="O21" t="s">
        <v>137</v>
      </c>
      <c r="S21" s="12">
        <v>5150666.54</v>
      </c>
      <c r="T21" s="12">
        <v>5180199.7175075561</v>
      </c>
      <c r="U21" s="12">
        <v>5365524.6368164681</v>
      </c>
    </row>
    <row r="22" spans="1:21" x14ac:dyDescent="0.25">
      <c r="A22" s="21" t="s">
        <v>94</v>
      </c>
      <c r="B22" s="26">
        <v>1576540.18</v>
      </c>
      <c r="C22" s="26">
        <v>1163899.1800000002</v>
      </c>
      <c r="D22" s="50">
        <v>1576540</v>
      </c>
      <c r="E22" s="23">
        <f>B22-495169</f>
        <v>1081371.18</v>
      </c>
      <c r="F22" s="23">
        <v>746214</v>
      </c>
      <c r="I22" s="37">
        <f>B22-C22</f>
        <v>412640.99999999977</v>
      </c>
      <c r="J22">
        <f>I22/10*12</f>
        <v>495169.19999999972</v>
      </c>
      <c r="L22" t="s">
        <v>142</v>
      </c>
      <c r="M22" t="s">
        <v>143</v>
      </c>
      <c r="N22">
        <v>41396589.959999993</v>
      </c>
      <c r="O22" t="s">
        <v>137</v>
      </c>
      <c r="P22">
        <v>49792.3</v>
      </c>
      <c r="Q22" t="s">
        <v>133</v>
      </c>
      <c r="R22" t="s">
        <v>133</v>
      </c>
      <c r="S22" s="12">
        <v>41446382.25999999</v>
      </c>
      <c r="T22" s="12">
        <v>41684029.825577125</v>
      </c>
      <c r="U22" s="12">
        <v>43175302.341149606</v>
      </c>
    </row>
    <row r="23" spans="1:21" x14ac:dyDescent="0.25">
      <c r="A23" s="24" t="s">
        <v>95</v>
      </c>
      <c r="B23" s="25">
        <v>22382942.630000003</v>
      </c>
      <c r="C23" s="25">
        <v>21839336.520000018</v>
      </c>
      <c r="D23" s="51">
        <f>D20+D21+D22</f>
        <v>22382942.589999996</v>
      </c>
      <c r="E23" s="38">
        <f>SUM(E20:E22)</f>
        <v>21879772.279999994</v>
      </c>
      <c r="F23" s="38">
        <f>SUM(F20:F22)</f>
        <v>22175615</v>
      </c>
      <c r="L23" t="s">
        <v>144</v>
      </c>
      <c r="M23" t="s">
        <v>145</v>
      </c>
      <c r="N23">
        <v>7303310.8799999999</v>
      </c>
      <c r="O23" t="s">
        <v>137</v>
      </c>
      <c r="S23" s="12">
        <v>7303310.8799999999</v>
      </c>
      <c r="T23" s="12">
        <v>7345187.0090285167</v>
      </c>
      <c r="U23" s="12">
        <v>7607965.7171845874</v>
      </c>
    </row>
    <row r="24" spans="1:21" x14ac:dyDescent="0.25">
      <c r="A24" s="15"/>
      <c r="B24" s="26"/>
      <c r="C24" s="26"/>
      <c r="D24" s="50"/>
      <c r="L24" t="s">
        <v>146</v>
      </c>
      <c r="M24" t="s">
        <v>147</v>
      </c>
      <c r="N24">
        <v>1173074.7</v>
      </c>
      <c r="O24" t="s">
        <v>137</v>
      </c>
      <c r="P24">
        <v>17855.84</v>
      </c>
      <c r="S24" s="12">
        <v>1190930.54</v>
      </c>
      <c r="T24" s="12">
        <v>1197759.1635895576</v>
      </c>
      <c r="U24" s="12">
        <v>1240609.7547730473</v>
      </c>
    </row>
    <row r="25" spans="1:21" x14ac:dyDescent="0.25">
      <c r="A25" s="17" t="s">
        <v>96</v>
      </c>
      <c r="B25" s="26"/>
      <c r="C25" s="26"/>
      <c r="D25" s="50"/>
      <c r="L25" t="s">
        <v>148</v>
      </c>
      <c r="M25" t="s">
        <v>149</v>
      </c>
      <c r="N25">
        <v>10447265.59</v>
      </c>
      <c r="O25" t="s">
        <v>137</v>
      </c>
      <c r="P25">
        <v>65798.03</v>
      </c>
      <c r="Q25" t="s">
        <v>133</v>
      </c>
      <c r="S25" s="12">
        <v>10513063.619999999</v>
      </c>
      <c r="T25" s="12">
        <v>10573344.007329769</v>
      </c>
      <c r="U25" s="12">
        <v>10951612.072624858</v>
      </c>
    </row>
    <row r="26" spans="1:21" x14ac:dyDescent="0.25">
      <c r="A26" s="15" t="s">
        <v>97</v>
      </c>
      <c r="B26" s="26">
        <v>525049</v>
      </c>
      <c r="C26" s="26">
        <v>480735</v>
      </c>
      <c r="D26" s="50">
        <v>525049</v>
      </c>
      <c r="E26" s="23">
        <v>480735</v>
      </c>
      <c r="F26" s="23">
        <v>480735</v>
      </c>
      <c r="L26" t="s">
        <v>150</v>
      </c>
      <c r="M26" t="s">
        <v>151</v>
      </c>
      <c r="N26">
        <v>377193.15</v>
      </c>
      <c r="O26" t="s">
        <v>137</v>
      </c>
      <c r="S26" s="12">
        <v>377193.15</v>
      </c>
      <c r="T26" s="12">
        <v>379355.9210058637</v>
      </c>
      <c r="U26" s="12">
        <v>392927.61887151981</v>
      </c>
    </row>
    <row r="27" spans="1:21" x14ac:dyDescent="0.25">
      <c r="A27" s="15" t="s">
        <v>98</v>
      </c>
      <c r="B27" s="23">
        <v>648122.44999999995</v>
      </c>
      <c r="C27" s="23">
        <v>646338.36</v>
      </c>
      <c r="D27" s="50">
        <v>648121</v>
      </c>
      <c r="E27" s="23">
        <v>646338</v>
      </c>
      <c r="F27" s="23">
        <v>650000</v>
      </c>
      <c r="L27" t="s">
        <v>152</v>
      </c>
      <c r="M27" t="s">
        <v>153</v>
      </c>
      <c r="N27">
        <v>350000</v>
      </c>
      <c r="S27" s="12">
        <v>350000</v>
      </c>
      <c r="T27" s="12">
        <v>352006.84941402642</v>
      </c>
      <c r="U27" s="12">
        <v>364600.11695607915</v>
      </c>
    </row>
    <row r="28" spans="1:21" x14ac:dyDescent="0.25">
      <c r="A28" s="24" t="s">
        <v>99</v>
      </c>
      <c r="B28" s="25">
        <v>0</v>
      </c>
      <c r="C28" s="25">
        <v>1127073.3599999999</v>
      </c>
      <c r="D28" s="51">
        <f>D26+D27</f>
        <v>1173170</v>
      </c>
      <c r="E28" s="38">
        <f>E26+E27</f>
        <v>1127073</v>
      </c>
      <c r="F28" s="38">
        <f>F26+F27</f>
        <v>1130735</v>
      </c>
      <c r="L28" t="s">
        <v>154</v>
      </c>
      <c r="M28" t="s">
        <v>155</v>
      </c>
      <c r="N28">
        <v>456977.90999999992</v>
      </c>
      <c r="O28" t="s">
        <v>137</v>
      </c>
      <c r="P28">
        <v>109565.19</v>
      </c>
      <c r="R28" t="s">
        <v>133</v>
      </c>
      <c r="S28" s="44">
        <v>566543.09999999986</v>
      </c>
      <c r="T28" s="44">
        <v>569791.57625215908</v>
      </c>
      <c r="U28" s="44">
        <v>590176.23005902744</v>
      </c>
    </row>
    <row r="29" spans="1:21" x14ac:dyDescent="0.25">
      <c r="A29" s="27"/>
      <c r="B29" s="28"/>
      <c r="C29" s="28"/>
      <c r="D29" s="52"/>
      <c r="M29" t="s">
        <v>156</v>
      </c>
      <c r="N29">
        <v>69329132.989999995</v>
      </c>
      <c r="P29">
        <v>272469.73</v>
      </c>
      <c r="Q29">
        <v>0</v>
      </c>
      <c r="R29">
        <v>0</v>
      </c>
      <c r="S29" s="12">
        <v>69601602.719999999</v>
      </c>
      <c r="T29" s="12">
        <v>69999999.999999985</v>
      </c>
      <c r="U29" s="12">
        <v>72500000</v>
      </c>
    </row>
    <row r="30" spans="1:21" ht="15.75" thickBot="1" x14ac:dyDescent="0.3">
      <c r="A30" s="17" t="s">
        <v>100</v>
      </c>
      <c r="B30" s="29">
        <v>60411409.219999999</v>
      </c>
      <c r="C30" s="29">
        <v>56598020.63000001</v>
      </c>
      <c r="D30" s="53">
        <f>D28+D23+D16+D10</f>
        <v>60411407.589999996</v>
      </c>
      <c r="E30" s="29">
        <f>E28+E23+E16+E10</f>
        <v>55358814.659999996</v>
      </c>
      <c r="F30" s="29">
        <f>F28+F23+F16+F10</f>
        <v>55261143</v>
      </c>
      <c r="N30" t="s">
        <v>133</v>
      </c>
      <c r="S30" s="12">
        <v>69601602.719999999</v>
      </c>
      <c r="T30" s="12">
        <v>70000000</v>
      </c>
      <c r="U30" s="12">
        <v>72500000</v>
      </c>
    </row>
    <row r="31" spans="1:21" ht="15.75" thickTop="1" x14ac:dyDescent="0.25">
      <c r="A31" s="15"/>
      <c r="B31" s="26"/>
      <c r="C31" s="26"/>
      <c r="D31" s="50"/>
      <c r="N31">
        <v>0</v>
      </c>
      <c r="S31" s="12">
        <v>0</v>
      </c>
      <c r="T31" s="12">
        <v>398397.28000000119</v>
      </c>
      <c r="U31" s="12">
        <v>2500000</v>
      </c>
    </row>
    <row r="32" spans="1:21" x14ac:dyDescent="0.25">
      <c r="A32" s="19" t="s">
        <v>101</v>
      </c>
      <c r="B32" s="20"/>
      <c r="C32" s="20"/>
      <c r="D32" s="54"/>
      <c r="S32" s="12">
        <v>69481569.979999989</v>
      </c>
      <c r="T32" s="12"/>
      <c r="U32" s="12"/>
    </row>
    <row r="33" spans="1:21" x14ac:dyDescent="0.25">
      <c r="A33" s="17"/>
      <c r="B33" s="26"/>
      <c r="C33" s="26"/>
      <c r="D33" s="50"/>
      <c r="S33" s="12"/>
      <c r="T33" s="12"/>
      <c r="U33" s="12"/>
    </row>
    <row r="34" spans="1:21" x14ac:dyDescent="0.25">
      <c r="A34" s="17" t="s">
        <v>102</v>
      </c>
      <c r="B34" s="26"/>
      <c r="C34" s="26"/>
      <c r="D34" s="50"/>
      <c r="L34" t="s">
        <v>157</v>
      </c>
      <c r="N34" t="s">
        <v>158</v>
      </c>
      <c r="P34" t="s">
        <v>159</v>
      </c>
      <c r="Q34" t="s">
        <v>160</v>
      </c>
      <c r="R34" t="s">
        <v>161</v>
      </c>
      <c r="S34" s="12" t="s">
        <v>158</v>
      </c>
      <c r="T34" s="12"/>
      <c r="U34" s="12"/>
    </row>
    <row r="35" spans="1:21" x14ac:dyDescent="0.25">
      <c r="A35" s="21" t="s">
        <v>103</v>
      </c>
      <c r="B35" s="26">
        <v>943227.27</v>
      </c>
      <c r="C35" s="22">
        <v>930704.37</v>
      </c>
      <c r="D35" s="49">
        <v>943227</v>
      </c>
      <c r="E35" s="22">
        <v>930704</v>
      </c>
      <c r="F35" s="22">
        <v>957627</v>
      </c>
      <c r="I35" s="37">
        <f>B35-C35</f>
        <v>12522.900000000023</v>
      </c>
      <c r="J35">
        <f>I35/10*12</f>
        <v>15027.480000000027</v>
      </c>
      <c r="L35" t="s">
        <v>162</v>
      </c>
      <c r="M35" t="s">
        <v>163</v>
      </c>
      <c r="N35">
        <v>-2053129.88</v>
      </c>
      <c r="O35" t="s">
        <v>137</v>
      </c>
      <c r="Q35">
        <v>-16420</v>
      </c>
      <c r="R35">
        <v>-16420</v>
      </c>
      <c r="S35" s="12">
        <v>-2069549.88</v>
      </c>
      <c r="T35" s="12">
        <v>-2092835.868476158</v>
      </c>
      <c r="U35" s="12">
        <v>-2172335.5297659361</v>
      </c>
    </row>
    <row r="36" spans="1:21" x14ac:dyDescent="0.25">
      <c r="A36" s="21" t="s">
        <v>104</v>
      </c>
      <c r="B36" s="26">
        <v>4039931.4</v>
      </c>
      <c r="C36" s="26">
        <v>2424099.33</v>
      </c>
      <c r="D36" s="50">
        <f>4580203-D37</f>
        <v>4580203</v>
      </c>
      <c r="E36" s="26">
        <f>2200000+63922</f>
        <v>2263922</v>
      </c>
      <c r="F36" s="26">
        <v>2000000</v>
      </c>
      <c r="L36" t="s">
        <v>164</v>
      </c>
      <c r="M36" t="s">
        <v>165</v>
      </c>
      <c r="N36">
        <v>-5145942.6399999997</v>
      </c>
      <c r="O36" t="s">
        <v>137</v>
      </c>
      <c r="Q36">
        <v>-457.41</v>
      </c>
      <c r="R36">
        <v>-457.41</v>
      </c>
      <c r="S36" s="12">
        <v>-5146400.05</v>
      </c>
      <c r="T36" s="12">
        <v>-5204305.8842184041</v>
      </c>
      <c r="U36" s="12">
        <v>-5401999.6266068202</v>
      </c>
    </row>
    <row r="37" spans="1:21" x14ac:dyDescent="0.25">
      <c r="A37" s="21" t="s">
        <v>105</v>
      </c>
      <c r="B37" s="26">
        <v>572713.72</v>
      </c>
      <c r="C37" s="26">
        <v>1537679.78</v>
      </c>
      <c r="D37" s="50"/>
      <c r="E37" s="26">
        <v>450000</v>
      </c>
      <c r="F37" s="26">
        <v>375000</v>
      </c>
      <c r="L37" t="s">
        <v>166</v>
      </c>
      <c r="M37" t="s">
        <v>167</v>
      </c>
      <c r="N37">
        <v>-30832555.669999998</v>
      </c>
      <c r="O37" t="s">
        <v>137</v>
      </c>
      <c r="Q37">
        <v>-423633.71</v>
      </c>
      <c r="R37">
        <v>-423633.71</v>
      </c>
      <c r="S37" s="12">
        <v>-31256189.379999999</v>
      </c>
      <c r="T37" s="12">
        <v>-31607875.16092512</v>
      </c>
      <c r="U37" s="12">
        <v>-32808549.999899842</v>
      </c>
    </row>
    <row r="38" spans="1:21" x14ac:dyDescent="0.25">
      <c r="A38" s="21" t="s">
        <v>106</v>
      </c>
      <c r="B38" s="26">
        <v>1610123.49</v>
      </c>
      <c r="C38" s="26">
        <v>1310237.7100000002</v>
      </c>
      <c r="D38" s="50">
        <f>3913229-D39</f>
        <v>3913229</v>
      </c>
      <c r="E38" s="26">
        <f>1310238+360000</f>
        <v>1670238</v>
      </c>
      <c r="F38" s="26">
        <f>(E38/10*11)-300000</f>
        <v>1537261.7999999998</v>
      </c>
      <c r="I38" s="37">
        <f>B38-C38</f>
        <v>299885.7799999998</v>
      </c>
      <c r="J38">
        <f>I38/10*12</f>
        <v>359862.93599999975</v>
      </c>
      <c r="L38" t="s">
        <v>168</v>
      </c>
      <c r="M38" t="s">
        <v>169</v>
      </c>
      <c r="N38">
        <v>-865117.65</v>
      </c>
      <c r="O38" t="s">
        <v>137</v>
      </c>
      <c r="Q38">
        <v>-11016</v>
      </c>
      <c r="R38">
        <v>-11016</v>
      </c>
      <c r="S38" s="12">
        <v>-876133.65</v>
      </c>
      <c r="T38" s="12">
        <v>-885991.65742211358</v>
      </c>
      <c r="U38" s="12">
        <v>-919647.44368399237</v>
      </c>
    </row>
    <row r="39" spans="1:21" x14ac:dyDescent="0.25">
      <c r="A39" s="21" t="s">
        <v>107</v>
      </c>
      <c r="B39" s="26">
        <v>2303105.58</v>
      </c>
      <c r="C39" s="26">
        <v>2603026.12</v>
      </c>
      <c r="D39" s="50"/>
      <c r="E39" s="26">
        <f>2500000-19399</f>
        <v>2480601</v>
      </c>
      <c r="F39" s="26">
        <v>2100000</v>
      </c>
      <c r="I39" s="37">
        <f>B39-C39</f>
        <v>-299920.54000000004</v>
      </c>
      <c r="J39">
        <f>I39/10*12</f>
        <v>-359904.64800000004</v>
      </c>
      <c r="L39" t="s">
        <v>170</v>
      </c>
      <c r="M39" t="s">
        <v>171</v>
      </c>
      <c r="N39">
        <v>-9224861.9800000004</v>
      </c>
      <c r="O39" t="s">
        <v>137</v>
      </c>
      <c r="P39">
        <v>0</v>
      </c>
      <c r="Q39">
        <v>-81021.19</v>
      </c>
      <c r="R39">
        <v>-81021.19</v>
      </c>
      <c r="S39" s="44">
        <v>-9305883.1699999999</v>
      </c>
      <c r="T39" s="44">
        <v>-9410590.328958204</v>
      </c>
      <c r="U39" s="44">
        <v>-9768066.4000434037</v>
      </c>
    </row>
    <row r="40" spans="1:21" x14ac:dyDescent="0.25">
      <c r="A40" s="21" t="s">
        <v>108</v>
      </c>
      <c r="B40" s="26">
        <v>521429</v>
      </c>
      <c r="C40" s="26">
        <v>521429</v>
      </c>
      <c r="D40" s="50">
        <v>521429</v>
      </c>
      <c r="E40" s="26">
        <v>521429</v>
      </c>
      <c r="F40" s="26">
        <f>585308+68732+(8775.31*12)</f>
        <v>759343.72</v>
      </c>
      <c r="N40">
        <v>-47574893.00999999</v>
      </c>
      <c r="O40">
        <v>0</v>
      </c>
      <c r="P40">
        <v>0</v>
      </c>
      <c r="Q40">
        <v>-532548.31000000006</v>
      </c>
      <c r="R40">
        <v>-532548.31000000006</v>
      </c>
      <c r="S40" s="12">
        <v>-48654156.130000003</v>
      </c>
      <c r="T40" s="12">
        <v>-49201598.899999999</v>
      </c>
      <c r="U40" s="12">
        <v>-51070598.999999993</v>
      </c>
    </row>
    <row r="41" spans="1:21" x14ac:dyDescent="0.25">
      <c r="A41" s="21" t="s">
        <v>109</v>
      </c>
      <c r="B41" s="26">
        <v>0</v>
      </c>
      <c r="C41" s="26">
        <v>0</v>
      </c>
      <c r="D41" s="50">
        <v>105764</v>
      </c>
      <c r="E41" s="26">
        <v>0</v>
      </c>
      <c r="F41" s="26"/>
      <c r="S41" s="12"/>
      <c r="T41" s="12">
        <v>-49201598.900000006</v>
      </c>
      <c r="U41" s="12">
        <v>-51070599</v>
      </c>
    </row>
    <row r="42" spans="1:21" x14ac:dyDescent="0.25">
      <c r="A42" s="21" t="s">
        <v>110</v>
      </c>
      <c r="B42" s="26">
        <v>0</v>
      </c>
      <c r="C42" s="26">
        <v>0</v>
      </c>
      <c r="D42" s="50"/>
      <c r="E42" s="26">
        <v>0</v>
      </c>
      <c r="F42" s="26"/>
      <c r="S42">
        <v>-48654156.130000003</v>
      </c>
      <c r="T42">
        <v>-547442.77000000328</v>
      </c>
      <c r="U42">
        <v>-1869000.099999994</v>
      </c>
    </row>
    <row r="43" spans="1:21" x14ac:dyDescent="0.25">
      <c r="A43" s="21" t="s">
        <v>111</v>
      </c>
      <c r="B43" s="26">
        <v>0</v>
      </c>
      <c r="C43" s="26">
        <v>0</v>
      </c>
      <c r="D43" s="50"/>
      <c r="E43" s="26">
        <v>0</v>
      </c>
      <c r="F43" s="26"/>
      <c r="M43" t="s">
        <v>172</v>
      </c>
      <c r="N43" t="e">
        <v>#REF!</v>
      </c>
      <c r="S43" t="e">
        <v>#REF!</v>
      </c>
    </row>
    <row r="44" spans="1:21" x14ac:dyDescent="0.25">
      <c r="A44" s="21" t="s">
        <v>112</v>
      </c>
      <c r="B44" s="26">
        <v>73330</v>
      </c>
      <c r="C44" s="26">
        <v>73330</v>
      </c>
      <c r="D44" s="50"/>
      <c r="E44" s="26">
        <v>73330</v>
      </c>
      <c r="F44" s="26">
        <v>50000</v>
      </c>
      <c r="M44" t="s">
        <v>173</v>
      </c>
      <c r="N44">
        <v>461843.74</v>
      </c>
      <c r="S44">
        <v>272469.73</v>
      </c>
    </row>
    <row r="45" spans="1:21" x14ac:dyDescent="0.25">
      <c r="A45" s="21" t="s">
        <v>113</v>
      </c>
      <c r="B45" s="26">
        <v>0</v>
      </c>
      <c r="C45" s="26">
        <v>0</v>
      </c>
      <c r="D45" s="50"/>
      <c r="E45" s="26"/>
      <c r="F45" s="26"/>
      <c r="M45" t="s">
        <v>174</v>
      </c>
      <c r="N45" t="e">
        <v>#REF!</v>
      </c>
      <c r="S45" t="e">
        <v>#REF!</v>
      </c>
    </row>
    <row r="46" spans="1:21" x14ac:dyDescent="0.25">
      <c r="A46" s="21" t="s">
        <v>114</v>
      </c>
      <c r="B46" s="26">
        <v>0</v>
      </c>
      <c r="C46" s="26">
        <v>0</v>
      </c>
      <c r="D46" s="50"/>
      <c r="E46" s="26"/>
      <c r="F46" s="26"/>
      <c r="M46" t="s">
        <v>175</v>
      </c>
      <c r="N46">
        <v>641693.44999999995</v>
      </c>
      <c r="S46">
        <v>951810.99999999977</v>
      </c>
    </row>
    <row r="47" spans="1:21" x14ac:dyDescent="0.25">
      <c r="A47" s="15" t="s">
        <v>115</v>
      </c>
      <c r="B47" s="26">
        <v>0</v>
      </c>
      <c r="C47" s="26">
        <v>0</v>
      </c>
      <c r="D47" s="50">
        <v>15000</v>
      </c>
      <c r="E47" s="26"/>
      <c r="F47" s="26"/>
      <c r="M47" t="s">
        <v>160</v>
      </c>
      <c r="N47" t="e">
        <v>#REF!</v>
      </c>
      <c r="S47" t="e">
        <v>#REF!</v>
      </c>
    </row>
    <row r="48" spans="1:21" x14ac:dyDescent="0.25">
      <c r="A48" s="24" t="s">
        <v>116</v>
      </c>
      <c r="B48" s="25">
        <v>10063860.460000001</v>
      </c>
      <c r="C48" s="25">
        <v>9400506.3100000005</v>
      </c>
      <c r="D48" s="51">
        <f>SUM(D35:D47)</f>
        <v>10078852</v>
      </c>
      <c r="E48" s="25">
        <f>SUM(E35:E47)</f>
        <v>8390224</v>
      </c>
      <c r="F48" s="25">
        <f>SUM(F35:F47)</f>
        <v>7779232.5199999996</v>
      </c>
      <c r="M48" t="s">
        <v>176</v>
      </c>
    </row>
    <row r="49" spans="1:13" x14ac:dyDescent="0.25">
      <c r="A49" s="15"/>
      <c r="B49" s="26"/>
      <c r="C49" s="26"/>
      <c r="D49" s="50"/>
      <c r="M49" t="s">
        <v>177</v>
      </c>
    </row>
    <row r="50" spans="1:13" x14ac:dyDescent="0.25">
      <c r="A50" s="15" t="s">
        <v>117</v>
      </c>
      <c r="B50" s="26"/>
      <c r="C50" s="26"/>
      <c r="D50" s="50"/>
    </row>
    <row r="51" spans="1:13" x14ac:dyDescent="0.25">
      <c r="A51" s="15" t="s">
        <v>118</v>
      </c>
      <c r="B51" s="26">
        <v>0</v>
      </c>
      <c r="C51" s="26">
        <v>0</v>
      </c>
      <c r="D51" s="50">
        <v>1784</v>
      </c>
    </row>
    <row r="52" spans="1:13" x14ac:dyDescent="0.25">
      <c r="A52" s="15" t="s">
        <v>119</v>
      </c>
      <c r="B52" s="26">
        <v>0</v>
      </c>
      <c r="C52" s="26">
        <v>0</v>
      </c>
      <c r="D52" s="50"/>
    </row>
    <row r="53" spans="1:13" x14ac:dyDescent="0.25">
      <c r="A53" s="15" t="s">
        <v>120</v>
      </c>
      <c r="B53" s="25">
        <v>0</v>
      </c>
      <c r="C53" s="25">
        <v>9400506.3100000005</v>
      </c>
      <c r="D53" s="51">
        <f>D51+D52</f>
        <v>1784</v>
      </c>
      <c r="E53" s="25">
        <f>E48</f>
        <v>8390224</v>
      </c>
      <c r="F53" s="25">
        <f>F48</f>
        <v>7779232.5199999996</v>
      </c>
    </row>
    <row r="54" spans="1:13" x14ac:dyDescent="0.25">
      <c r="A54" s="27"/>
      <c r="B54" s="28"/>
      <c r="C54" s="28"/>
      <c r="D54" s="52"/>
      <c r="M54">
        <v>120032.62</v>
      </c>
    </row>
    <row r="55" spans="1:13" x14ac:dyDescent="0.25">
      <c r="A55" s="15" t="s">
        <v>117</v>
      </c>
      <c r="B55" s="26"/>
      <c r="C55" s="26"/>
      <c r="D55" s="50"/>
      <c r="M55">
        <v>2480651.0099999998</v>
      </c>
    </row>
    <row r="56" spans="1:13" x14ac:dyDescent="0.25">
      <c r="A56" s="15" t="s">
        <v>121</v>
      </c>
      <c r="B56" s="26">
        <v>2661507.4700000002</v>
      </c>
      <c r="C56" s="26">
        <v>0</v>
      </c>
      <c r="D56" s="50">
        <v>2661507</v>
      </c>
      <c r="E56">
        <v>0</v>
      </c>
      <c r="F56">
        <v>0</v>
      </c>
      <c r="M56">
        <v>5150666.54</v>
      </c>
    </row>
    <row r="57" spans="1:13" x14ac:dyDescent="0.25">
      <c r="A57" s="15" t="s">
        <v>122</v>
      </c>
      <c r="B57" s="26">
        <v>773744.11</v>
      </c>
      <c r="C57" s="26">
        <v>326952.11</v>
      </c>
      <c r="D57" s="50">
        <v>758744</v>
      </c>
      <c r="E57" s="40">
        <f>773744-536150</f>
        <v>237594</v>
      </c>
      <c r="F57" s="40">
        <f>(48*8775.31)+206779</f>
        <v>627993.88</v>
      </c>
      <c r="I57" s="37">
        <f>B57-C57</f>
        <v>446792</v>
      </c>
      <c r="J57">
        <f>I57/10*12</f>
        <v>536150.39999999991</v>
      </c>
      <c r="M57">
        <v>38682917.979999997</v>
      </c>
    </row>
    <row r="58" spans="1:13" x14ac:dyDescent="0.25">
      <c r="A58" s="15" t="s">
        <v>123</v>
      </c>
      <c r="B58" s="26">
        <v>7002354.6600000001</v>
      </c>
      <c r="C58" s="26">
        <v>6164131.1199999992</v>
      </c>
      <c r="D58" s="50">
        <v>7002355</v>
      </c>
      <c r="E58" s="40">
        <v>5932565</v>
      </c>
      <c r="F58" s="40">
        <f>5905642-957627</f>
        <v>4948015</v>
      </c>
      <c r="I58" s="37">
        <f>B58-C58</f>
        <v>838223.54000000097</v>
      </c>
      <c r="J58">
        <f>I58/10*12</f>
        <v>1005868.2480000011</v>
      </c>
      <c r="M58">
        <v>7303072.0800000001</v>
      </c>
    </row>
    <row r="59" spans="1:13" x14ac:dyDescent="0.25">
      <c r="A59" s="15" t="s">
        <v>124</v>
      </c>
      <c r="B59" s="25">
        <v>0</v>
      </c>
      <c r="C59" s="25">
        <v>6491083.2299999995</v>
      </c>
      <c r="D59" s="51">
        <f>SUM(D56:D58)</f>
        <v>10422606</v>
      </c>
      <c r="E59" s="25">
        <f>E56+E57+E58</f>
        <v>6170159</v>
      </c>
      <c r="F59" s="25">
        <f>F56+F57+F58</f>
        <v>5576008.8799999999</v>
      </c>
      <c r="M59">
        <v>870345.52</v>
      </c>
    </row>
    <row r="60" spans="1:13" x14ac:dyDescent="0.25">
      <c r="A60" s="27"/>
      <c r="B60" s="28"/>
      <c r="C60" s="28"/>
      <c r="D60" s="52"/>
      <c r="M60">
        <v>9718706.4000000004</v>
      </c>
    </row>
    <row r="61" spans="1:13" x14ac:dyDescent="0.25">
      <c r="A61" s="17" t="s">
        <v>125</v>
      </c>
      <c r="B61" s="30">
        <v>20501466.700000003</v>
      </c>
      <c r="C61" s="30">
        <v>15891589.539999999</v>
      </c>
      <c r="D61" s="55">
        <f>D59+D48+D53</f>
        <v>20503242</v>
      </c>
      <c r="E61" s="30">
        <f>E59+E53</f>
        <v>14560383</v>
      </c>
      <c r="F61" s="30">
        <f>F59+F53</f>
        <v>13355241.399999999</v>
      </c>
      <c r="M61">
        <v>310506.52</v>
      </c>
    </row>
    <row r="62" spans="1:13" x14ac:dyDescent="0.25">
      <c r="A62" s="15"/>
      <c r="B62" s="26"/>
      <c r="C62" s="26"/>
      <c r="D62" s="50"/>
      <c r="M62">
        <v>376712.31</v>
      </c>
    </row>
    <row r="63" spans="1:13" x14ac:dyDescent="0.25">
      <c r="A63" s="17" t="s">
        <v>126</v>
      </c>
      <c r="B63" s="26"/>
      <c r="C63" s="26"/>
      <c r="D63" s="50"/>
    </row>
    <row r="64" spans="1:13" x14ac:dyDescent="0.25">
      <c r="A64" s="15"/>
      <c r="B64" s="26"/>
      <c r="C64" s="26"/>
      <c r="D64" s="50"/>
    </row>
    <row r="65" spans="1:6" x14ac:dyDescent="0.25">
      <c r="A65" s="15" t="s">
        <v>117</v>
      </c>
      <c r="B65" s="26"/>
      <c r="C65" s="26"/>
      <c r="D65" s="50"/>
    </row>
    <row r="66" spans="1:6" x14ac:dyDescent="0.25">
      <c r="A66" s="15" t="s">
        <v>127</v>
      </c>
      <c r="B66" s="26">
        <v>1742980.6999999997</v>
      </c>
      <c r="C66" s="26">
        <v>1238140.6000000001</v>
      </c>
      <c r="D66" s="50">
        <v>1741197</v>
      </c>
      <c r="E66" s="26">
        <v>1230141</v>
      </c>
      <c r="F66" s="26">
        <v>1200000</v>
      </c>
    </row>
    <row r="67" spans="1:6" x14ac:dyDescent="0.25">
      <c r="A67" s="15" t="s">
        <v>128</v>
      </c>
      <c r="B67" s="26">
        <v>38166961</v>
      </c>
      <c r="C67" s="26">
        <v>38166961.530000001</v>
      </c>
      <c r="D67" s="50">
        <f>38166969-D68</f>
        <v>28065471</v>
      </c>
      <c r="E67" s="26">
        <v>38166962</v>
      </c>
      <c r="F67" s="26">
        <f>38166962+1401329</f>
        <v>39568291</v>
      </c>
    </row>
    <row r="68" spans="1:6" x14ac:dyDescent="0.25">
      <c r="A68" s="15" t="s">
        <v>129</v>
      </c>
      <c r="B68" s="26"/>
      <c r="C68" s="31">
        <v>1301329</v>
      </c>
      <c r="D68" s="56">
        <v>10101498</v>
      </c>
      <c r="E68" s="26">
        <f>1301329+100000</f>
        <v>1401329</v>
      </c>
      <c r="F68" s="26">
        <v>1137610.1749230921</v>
      </c>
    </row>
    <row r="69" spans="1:6" ht="15.75" thickBot="1" x14ac:dyDescent="0.3">
      <c r="A69" s="17" t="s">
        <v>130</v>
      </c>
      <c r="B69" s="29">
        <v>60411408.400000006</v>
      </c>
      <c r="C69" s="29">
        <f>C61+C66+C67+C68</f>
        <v>56598020.670000002</v>
      </c>
      <c r="D69" s="53">
        <f>D61+D66+D67+D68</f>
        <v>60411408</v>
      </c>
      <c r="E69" s="29">
        <f>E61+E66+E67+E68</f>
        <v>55358815</v>
      </c>
      <c r="F69" s="29">
        <f>F61+F66+F67+F68</f>
        <v>55261142.574923091</v>
      </c>
    </row>
    <row r="70" spans="1:6" ht="15.75" thickTop="1" x14ac:dyDescent="0.25">
      <c r="A70" s="15"/>
      <c r="C70" s="18"/>
      <c r="D70" s="48"/>
    </row>
    <row r="71" spans="1:6" ht="15.75" thickBot="1" x14ac:dyDescent="0.3">
      <c r="A71" s="32"/>
      <c r="B71" s="33"/>
      <c r="C71" s="33"/>
      <c r="D71" s="57"/>
    </row>
    <row r="73" spans="1:6" x14ac:dyDescent="0.25">
      <c r="B73" s="36">
        <f>B69-B30</f>
        <v>-0.81999999284744263</v>
      </c>
      <c r="C73" s="39">
        <f>C30-C69</f>
        <v>-3.9999991655349731E-2</v>
      </c>
      <c r="D73" s="58">
        <f>D30-D69</f>
        <v>-0.41000000387430191</v>
      </c>
      <c r="E73" s="39">
        <f>E30-E69</f>
        <v>-0.34000000357627869</v>
      </c>
      <c r="F73" s="39">
        <f>F30-F69</f>
        <v>0.42507690936326981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5"/>
  <sheetViews>
    <sheetView workbookViewId="0"/>
  </sheetViews>
  <sheetFormatPr defaultRowHeight="15" x14ac:dyDescent="0.25"/>
  <cols>
    <col min="2" max="2" width="33.7109375" customWidth="1"/>
  </cols>
  <sheetData>
    <row r="2" spans="1:3" x14ac:dyDescent="0.25">
      <c r="A2" s="62" t="s">
        <v>57</v>
      </c>
      <c r="B2" s="61"/>
      <c r="C2" s="61"/>
    </row>
    <row r="3" spans="1:3" x14ac:dyDescent="0.25">
      <c r="A3" s="4" t="s">
        <v>58</v>
      </c>
      <c r="B3" s="4" t="s">
        <v>59</v>
      </c>
    </row>
    <row r="4" spans="1:3" x14ac:dyDescent="0.25">
      <c r="A4" s="4" t="s">
        <v>60</v>
      </c>
      <c r="B4" s="4" t="s">
        <v>61</v>
      </c>
    </row>
    <row r="5" spans="1:3" x14ac:dyDescent="0.25">
      <c r="A5" s="4" t="s">
        <v>62</v>
      </c>
      <c r="B5" s="4" t="s">
        <v>63</v>
      </c>
    </row>
  </sheetData>
  <mergeCells count="1">
    <mergeCell ref="A2:C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dbc17e-cec9-4211-a89f-0bf74a616302" xsi:nil="true"/>
    <lcf76f155ced4ddcb4097134ff3c332f xmlns="2819d22d-c924-42b3-954a-d3b43813cc6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CAE338EA9D064E9C17BF7952C6204F" ma:contentTypeVersion="17" ma:contentTypeDescription="Create a new document." ma:contentTypeScope="" ma:versionID="d175c38aaee3ac6428a490f41afbe164">
  <xsd:schema xmlns:xsd="http://www.w3.org/2001/XMLSchema" xmlns:xs="http://www.w3.org/2001/XMLSchema" xmlns:p="http://schemas.microsoft.com/office/2006/metadata/properties" xmlns:ns2="2819d22d-c924-42b3-954a-d3b43813cc67" xmlns:ns3="18dbc17e-cec9-4211-a89f-0bf74a616302" targetNamespace="http://schemas.microsoft.com/office/2006/metadata/properties" ma:root="true" ma:fieldsID="a5b784b79ee7d46f29d38b4b483c1c3b" ns2:_="" ns3:_="">
    <xsd:import namespace="2819d22d-c924-42b3-954a-d3b43813cc67"/>
    <xsd:import namespace="18dbc17e-cec9-4211-a89f-0bf74a6163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19d22d-c924-42b3-954a-d3b43813cc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b405ef0-1b2e-414d-886f-c62305e768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dbc17e-cec9-4211-a89f-0bf74a61630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b61913b-1a94-4df5-bbf5-603f3215decd}" ma:internalName="TaxCatchAll" ma:showField="CatchAllData" ma:web="18dbc17e-cec9-4211-a89f-0bf74a6163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BD2031-6D49-457C-BE8B-A781AEC6D5A7}">
  <ds:schemaRefs>
    <ds:schemaRef ds:uri="http://schemas.microsoft.com/office/2006/metadata/properties"/>
    <ds:schemaRef ds:uri="http://schemas.microsoft.com/office/infopath/2007/PartnerControls"/>
    <ds:schemaRef ds:uri="18dbc17e-cec9-4211-a89f-0bf74a616302"/>
    <ds:schemaRef ds:uri="2819d22d-c924-42b3-954a-d3b43813cc67"/>
  </ds:schemaRefs>
</ds:datastoreItem>
</file>

<file path=customXml/itemProps2.xml><?xml version="1.0" encoding="utf-8"?>
<ds:datastoreItem xmlns:ds="http://schemas.openxmlformats.org/officeDocument/2006/customXml" ds:itemID="{9ABFC583-0780-4DEA-9AFD-6300499B81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F67357-2E24-40A3-B037-507E95F2F6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19d22d-c924-42b3-954a-d3b43813cc67"/>
    <ds:schemaRef ds:uri="18dbc17e-cec9-4211-a89f-0bf74a6163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Balance Sheet</vt:lpstr>
      <vt:lpstr>2024 2025 wp</vt:lpstr>
      <vt:lpstr>Information about this Sheet</vt:lpstr>
      <vt:lpstr>'2024 2025 wp'!OSRRefE10_0_1x_0</vt:lpstr>
      <vt:lpstr>'2024 2025 wp'!OSRRefE10_0_4x_0</vt:lpstr>
      <vt:lpstr>'2024 2025 wp'!OSRRefE20_0_1x_0</vt:lpstr>
      <vt:lpstr>'2024 2025 wp'!OSRRefE20_0_2x_0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Sutter, Matthew</cp:lastModifiedBy>
  <dcterms:created xsi:type="dcterms:W3CDTF">2024-11-15T21:26:16Z</dcterms:created>
  <dcterms:modified xsi:type="dcterms:W3CDTF">2024-12-11T16:26:46Z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0x010100D8CAE338EA9D064E9C17BF7952C6204F</vt:lpwstr>
  </property>
  <property fmtid="{D5CDD505-2E9C-101B-9397-08002B2CF9AE}" pid="3" name="MediaServiceImageTags">
    <vt:lpwstr/>
  </property>
</Properties>
</file>