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S:\AOA\GMCB\GMCB - Shared\HCA-Special\HOME\HOSP\B2022\Appendix workbook\"/>
    </mc:Choice>
  </mc:AlternateContent>
  <xr:revisionPtr revIDLastSave="0" documentId="8_{6B77360A-C6D7-4B5E-B7E8-F059A5444403}" xr6:coauthVersionLast="47" xr6:coauthVersionMax="47" xr10:uidLastSave="{00000000-0000-0000-0000-000000000000}"/>
  <bookViews>
    <workbookView xWindow="28680" yWindow="-120" windowWidth="29040" windowHeight="15840" activeTab="1" xr2:uid="{EDA287F5-79D0-4FF5-98F1-6BE045AC2F7D}"/>
  </bookViews>
  <sheets>
    <sheet name="Overview" sheetId="17" r:id="rId1"/>
    <sheet name="1. Reconciliation" sheetId="15" r:id="rId2"/>
    <sheet name="2. Charge and NPR Detail" sheetId="13" r:id="rId3"/>
    <sheet name="3. Utilization" sheetId="7" r:id="rId4"/>
    <sheet name="4. Inflation" sheetId="16" r:id="rId5"/>
    <sheet name="5. Vaccine Clinics and Testing" sheetId="21" r:id="rId6"/>
    <sheet name="6. Value Based Care Participati" sheetId="8" r:id="rId7"/>
    <sheet name="7. COVID-19 Advances, Relief Fu" sheetId="20" r:id="rId8"/>
    <sheet name="Edit of Request Summary" sheetId="4" r:id="rId9"/>
    <sheet name="Non-Financial- Reimb. Ratio" sheetId="9"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Reconciliation'!$B$6:$O$115</definedName>
    <definedName name="_xlnm.Print_Area" localSheetId="2">'2. Charge and NPR Detail'!$A$2:$H$49</definedName>
    <definedName name="_xlnm.Print_Area" localSheetId="3">'3. Utilization'!$B$1:$D$16</definedName>
    <definedName name="_xlnm.Print_Area" localSheetId="4">'4. Inflation'!$B$1:$D$20</definedName>
    <definedName name="_xlnm.Print_Area" localSheetId="5">'5. Vaccine Clinics and Testing'!$B$7:$D$48</definedName>
    <definedName name="_xlnm.Print_Area" localSheetId="6">'6. Value Based Care Participati'!$B$2:$F$15</definedName>
    <definedName name="_xlnm.Print_Area" localSheetId="0">Overview!$A$1:$B$13</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15" l="1"/>
  <c r="C24" i="20" l="1"/>
  <c r="C23" i="20"/>
  <c r="C22" i="20"/>
  <c r="E10" i="8" l="1"/>
  <c r="E24" i="13" l="1"/>
  <c r="E35" i="13"/>
  <c r="D35" i="13" s="1"/>
  <c r="E34" i="13"/>
  <c r="D34" i="13" s="1"/>
  <c r="E33" i="13"/>
  <c r="D33" i="13" s="1"/>
  <c r="E32" i="13"/>
  <c r="D32" i="13" s="1"/>
  <c r="E23" i="13"/>
  <c r="E22" i="13"/>
  <c r="E21" i="13"/>
  <c r="C9" i="7" l="1"/>
  <c r="C10" i="7"/>
  <c r="C11" i="7"/>
  <c r="E16" i="16"/>
  <c r="E11" i="15"/>
  <c r="C25" i="20" l="1"/>
  <c r="C21" i="20"/>
  <c r="C20" i="20"/>
  <c r="C19" i="20"/>
  <c r="C18" i="20"/>
  <c r="C17" i="20"/>
  <c r="C16" i="20"/>
  <c r="C15" i="20"/>
  <c r="C14" i="20"/>
  <c r="C13" i="20"/>
  <c r="C12" i="20"/>
  <c r="D16" i="16"/>
  <c r="F7" i="16"/>
  <c r="D38" i="15"/>
  <c r="G82" i="15"/>
  <c r="G84" i="15" s="1"/>
  <c r="G85" i="15" s="1"/>
  <c r="G23" i="15"/>
  <c r="G25" i="15" s="1"/>
  <c r="G26" i="15" s="1"/>
  <c r="C73" i="15"/>
  <c r="C72" i="15"/>
  <c r="C71" i="15"/>
  <c r="C13" i="15"/>
  <c r="C12" i="15"/>
  <c r="F82" i="15"/>
  <c r="F84" i="15" s="1"/>
  <c r="F85" i="15" s="1"/>
  <c r="F23" i="15"/>
  <c r="F25" i="15" s="1"/>
  <c r="F26" i="15" s="1"/>
  <c r="C19" i="15"/>
  <c r="C18" i="15"/>
  <c r="C17" i="15"/>
  <c r="C16" i="15"/>
  <c r="C15" i="15"/>
  <c r="C14" i="15"/>
  <c r="K26" i="20"/>
  <c r="J26" i="20"/>
  <c r="I26" i="20"/>
  <c r="H26" i="20"/>
  <c r="G26" i="20"/>
  <c r="D26" i="20"/>
  <c r="E26" i="20"/>
  <c r="F26" i="20"/>
  <c r="F15" i="16"/>
  <c r="F14" i="16"/>
  <c r="F13" i="16"/>
  <c r="F12" i="16"/>
  <c r="F11" i="16"/>
  <c r="F10" i="16"/>
  <c r="F9" i="16"/>
  <c r="F8" i="16"/>
  <c r="D21" i="13"/>
  <c r="C49" i="13"/>
  <c r="C39" i="13"/>
  <c r="D39" i="13"/>
  <c r="C15" i="13"/>
  <c r="H49" i="13"/>
  <c r="G49" i="13"/>
  <c r="F49" i="13"/>
  <c r="E48" i="13"/>
  <c r="D48" i="13" s="1"/>
  <c r="E47" i="13"/>
  <c r="D47" i="13" s="1"/>
  <c r="E46" i="13"/>
  <c r="D46" i="13" s="1"/>
  <c r="E45" i="13"/>
  <c r="D45" i="13" s="1"/>
  <c r="E44" i="13"/>
  <c r="D44" i="13" s="1"/>
  <c r="D49" i="13" s="1"/>
  <c r="J39" i="13"/>
  <c r="I39" i="13"/>
  <c r="H39" i="13"/>
  <c r="G39" i="13"/>
  <c r="F39" i="13"/>
  <c r="E39" i="13"/>
  <c r="J25" i="13"/>
  <c r="I25" i="13"/>
  <c r="H25" i="13"/>
  <c r="G25" i="13"/>
  <c r="F25" i="13"/>
  <c r="C25" i="13"/>
  <c r="E25" i="13"/>
  <c r="D25" i="13" s="1"/>
  <c r="D23" i="13"/>
  <c r="D22" i="13"/>
  <c r="D104" i="15"/>
  <c r="D103" i="15"/>
  <c r="D106" i="15"/>
  <c r="D48" i="15"/>
  <c r="D47" i="15"/>
  <c r="D50" i="15"/>
  <c r="C57" i="15"/>
  <c r="C27" i="21"/>
  <c r="C23" i="21"/>
  <c r="D27" i="21"/>
  <c r="D23" i="21"/>
  <c r="B11" i="4"/>
  <c r="C53" i="13" l="1"/>
  <c r="C26" i="20"/>
  <c r="C28" i="21"/>
  <c r="C38" i="21" s="1"/>
  <c r="C42" i="21" s="1"/>
  <c r="C46" i="21" s="1"/>
  <c r="D53" i="13"/>
  <c r="E49" i="13"/>
  <c r="F53" i="13" s="1"/>
  <c r="D28" i="21"/>
  <c r="D38" i="21" s="1"/>
  <c r="D45" i="21" s="1"/>
  <c r="C28" i="15"/>
  <c r="D42" i="21"/>
  <c r="D46" i="21" s="1"/>
  <c r="D15" i="7"/>
  <c r="C18" i="7" s="1"/>
  <c r="C15" i="7"/>
  <c r="D17" i="7"/>
  <c r="C39" i="15"/>
  <c r="D105" i="15"/>
  <c r="D107" i="15"/>
  <c r="D46" i="15"/>
  <c r="D51" i="15"/>
  <c r="D49" i="15"/>
  <c r="D45" i="15"/>
  <c r="H82" i="15"/>
  <c r="H84" i="15" s="1"/>
  <c r="H85" i="15" s="1"/>
  <c r="E82" i="15"/>
  <c r="E84" i="15" s="1"/>
  <c r="E85" i="15" s="1"/>
  <c r="D82" i="15"/>
  <c r="D84" i="15" s="1"/>
  <c r="D85" i="15" s="1"/>
  <c r="C81" i="15"/>
  <c r="C80" i="15"/>
  <c r="C79" i="15"/>
  <c r="C78" i="15"/>
  <c r="C77" i="15"/>
  <c r="C76" i="15"/>
  <c r="C75" i="15"/>
  <c r="C74" i="15"/>
  <c r="C70" i="15"/>
  <c r="E23" i="15"/>
  <c r="E25" i="15" s="1"/>
  <c r="E26" i="15" s="1"/>
  <c r="H23" i="15"/>
  <c r="H25" i="15" s="1"/>
  <c r="H26" i="15" s="1"/>
  <c r="D23" i="15"/>
  <c r="D25" i="15" s="1"/>
  <c r="D26" i="15" s="1"/>
  <c r="B12" i="4"/>
  <c r="B13" i="4"/>
  <c r="C20" i="15"/>
  <c r="C22" i="15"/>
  <c r="C11" i="15"/>
  <c r="C54" i="13" s="1"/>
  <c r="C45" i="21" l="1"/>
  <c r="C55" i="13"/>
  <c r="E53" i="13"/>
  <c r="B14" i="4"/>
  <c r="B10" i="4"/>
  <c r="B15" i="4" s="1"/>
  <c r="C82" i="15"/>
  <c r="C87" i="15" s="1"/>
  <c r="C88" i="15" s="1"/>
  <c r="C84" i="15" l="1"/>
  <c r="C23" i="15"/>
  <c r="F54" i="13" s="1"/>
  <c r="F55" i="13" s="1"/>
  <c r="C85" i="15" l="1"/>
  <c r="B7" i="4" s="1"/>
  <c r="B5" i="4"/>
  <c r="C29" i="15"/>
  <c r="C31" i="15" s="1"/>
  <c r="C32" i="15" s="1"/>
  <c r="D101" i="15"/>
  <c r="D100" i="15"/>
  <c r="D99" i="15"/>
  <c r="D98" i="15"/>
  <c r="D97" i="15"/>
  <c r="D96" i="15"/>
  <c r="D95" i="15"/>
  <c r="D94" i="15"/>
  <c r="D44" i="15" l="1"/>
  <c r="D43" i="15"/>
  <c r="D42" i="15"/>
  <c r="D41" i="15"/>
  <c r="D40" i="15"/>
  <c r="C25" i="15" l="1"/>
  <c r="C26" i="15" s="1"/>
  <c r="D54" i="13" l="1"/>
  <c r="D55" i="13" s="1"/>
  <c r="C52" i="15"/>
  <c r="D39" i="15"/>
  <c r="D52" i="15" s="1"/>
  <c r="C58" i="15" l="1"/>
  <c r="C60" i="15" s="1"/>
  <c r="C61" i="15" s="1"/>
  <c r="B6" i="4"/>
  <c r="E54" i="13"/>
  <c r="E55" i="13" s="1"/>
  <c r="C54" i="15"/>
  <c r="C55" i="15" s="1"/>
  <c r="C108" i="15" l="1"/>
  <c r="D102" i="15"/>
  <c r="D108" i="15" s="1"/>
  <c r="C113" i="15" l="1"/>
  <c r="C114" i="15" s="1"/>
  <c r="C110" i="15"/>
  <c r="C111" i="15" s="1"/>
</calcChain>
</file>

<file path=xl/sharedStrings.xml><?xml version="1.0" encoding="utf-8"?>
<sst xmlns="http://schemas.openxmlformats.org/spreadsheetml/2006/main" count="372" uniqueCount="266">
  <si>
    <t>FY2022 Budget Reporting Requirements</t>
  </si>
  <si>
    <t>Appendices 1-7</t>
  </si>
  <si>
    <t>Do not Modify</t>
  </si>
  <si>
    <t>Appendix 1: Reconciliation Tables</t>
  </si>
  <si>
    <t>Appendix 2: Change in Charge</t>
  </si>
  <si>
    <t>Modify</t>
  </si>
  <si>
    <t>Appendix 3: Utilization</t>
  </si>
  <si>
    <t>Appendix 4: Inflation</t>
  </si>
  <si>
    <t>Appendix 5: Vaccine Clinics and Testing</t>
  </si>
  <si>
    <t>Appendix 6: Value-Based Care Participation</t>
  </si>
  <si>
    <t>Appendix 7: COVID-19 Advances, Relief Funds, and Other Grants</t>
  </si>
  <si>
    <t>Request Summary (automatically populated)</t>
  </si>
  <si>
    <t>Appendix 1</t>
  </si>
  <si>
    <t>Do not Modify, except for cells labeled "Other"</t>
  </si>
  <si>
    <t>Reconciliation Tables</t>
  </si>
  <si>
    <t>Budget-to-Budget</t>
  </si>
  <si>
    <t>Table 1: NPR Variance - FY 2021 Approved Budget to FY 2022 Proposed Budget</t>
  </si>
  <si>
    <t>NPR</t>
  </si>
  <si>
    <t>Total</t>
  </si>
  <si>
    <t>Total Medicare</t>
  </si>
  <si>
    <t>Total Medicaid</t>
  </si>
  <si>
    <t>Total Commercial</t>
  </si>
  <si>
    <t>FY 2021 Approved Budget</t>
  </si>
  <si>
    <t>NPR/FPP Rate Impact</t>
  </si>
  <si>
    <t>Utilization (not factored into change in charge request)</t>
  </si>
  <si>
    <t>Provider Acquisitions/Transfers</t>
  </si>
  <si>
    <t>Changes in Accounting</t>
  </si>
  <si>
    <t>Reimbursement/Payer Mix</t>
  </si>
  <si>
    <t>Other (specify)</t>
  </si>
  <si>
    <t>FY 2022 Proposed Budget</t>
  </si>
  <si>
    <t>$ Change from FY 2021 Approved Budget</t>
  </si>
  <si>
    <t>% Change from FY 2021 Approved Budget</t>
  </si>
  <si>
    <t>Impact of COVID-19 vaccination clinics and testing</t>
  </si>
  <si>
    <t>FY 2022 Proposed Budget without COVID-19 vaccination clinics and testing</t>
  </si>
  <si>
    <t>$ Change from FY 2021 Approved Budget to Adjusted FY 2022</t>
  </si>
  <si>
    <t>% Change from FY 2021 Approved Budget to Adjusted FY 2022</t>
  </si>
  <si>
    <t>Table 2: FY 2021 Approved Expenses to FY 2022 Proposed Budget</t>
  </si>
  <si>
    <t>Expenses</t>
  </si>
  <si>
    <t>Amount</t>
  </si>
  <si>
    <t>% over/under</t>
  </si>
  <si>
    <t>FY 21 Approved Budget</t>
  </si>
  <si>
    <t>New Positions</t>
  </si>
  <si>
    <t>Inflation Increases</t>
  </si>
  <si>
    <t>Salaries</t>
  </si>
  <si>
    <t>Fringe</t>
  </si>
  <si>
    <t>Travelers (nurses)</t>
  </si>
  <si>
    <t>Locum tenans (MDs)</t>
  </si>
  <si>
    <t>Drugs</t>
  </si>
  <si>
    <t>Health Care Provider Tax</t>
  </si>
  <si>
    <t>Cost Savings</t>
  </si>
  <si>
    <t>Other (specify, add additional rows as necessary)</t>
  </si>
  <si>
    <t>FY 22 Proposed Budget</t>
  </si>
  <si>
    <t>Projection-to-Budget</t>
  </si>
  <si>
    <t>Table 3: NPR Variance - FY 2021 Projection to FY 2022 Proposed Budget</t>
  </si>
  <si>
    <t>Projection derived as of:</t>
  </si>
  <si>
    <t>(ex. May 2021 year-to-date)</t>
  </si>
  <si>
    <t>FY 2021 Projection</t>
  </si>
  <si>
    <t>Rate Effect</t>
  </si>
  <si>
    <t>Disproportionate Share Payments (DSH)</t>
  </si>
  <si>
    <t>Utilization (not factoring in change in charge request)</t>
  </si>
  <si>
    <t>Fixed Prospective Payments</t>
  </si>
  <si>
    <t>Bad Debt/Free Care</t>
  </si>
  <si>
    <t>$ Change from FY 2021 Projection</t>
  </si>
  <si>
    <t>% Change from FY 2021 Projection</t>
  </si>
  <si>
    <t>$ Change from FY 2021 Projection to Adjusted FY 2022</t>
  </si>
  <si>
    <t>% Change from FY 2021 Projection to Adjusted FY 2022</t>
  </si>
  <si>
    <t>Table 4: FY 2021 Projected Expenses to FY 2022 Proposed Budget</t>
  </si>
  <si>
    <t>Appendix 2</t>
  </si>
  <si>
    <t>Charge and NPR Detail</t>
  </si>
  <si>
    <t>The following tables demonstrate the hospital's charges by payer from your requested charge master increase.</t>
  </si>
  <si>
    <r>
      <rPr>
        <b/>
        <sz val="11"/>
        <color theme="1"/>
        <rFont val="Calibri"/>
        <family val="2"/>
      </rPr>
      <t>Table 1:</t>
    </r>
    <r>
      <rPr>
        <sz val="11"/>
        <color theme="1"/>
        <rFont val="Calibri"/>
        <family val="2"/>
      </rPr>
      <t xml:space="preserve">  Please provide the requested charge master increase by area of service without of utilization and acuity. </t>
    </r>
  </si>
  <si>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</si>
  <si>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</si>
  <si>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</si>
  <si>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</si>
  <si>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</si>
  <si>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</si>
  <si>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</si>
  <si>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</si>
  <si>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t>Budget-to-Budget Variance (%)</t>
  </si>
  <si>
    <t>In State</t>
  </si>
  <si>
    <t>Other</t>
  </si>
  <si>
    <r>
      <rPr>
        <b/>
        <sz val="11"/>
        <color theme="1"/>
        <rFont val="Calibri"/>
        <family val="2"/>
      </rPr>
      <t>Table 3:</t>
    </r>
    <r>
      <rPr>
        <sz val="11"/>
        <color theme="1"/>
        <rFont val="Calibri"/>
        <family val="2"/>
      </rPr>
      <t xml:space="preserve">  Please provide FY21 budgeted NPR/FPP and FY22 budgeted NPR/FPP by category of service taking into account the gross revenue assumptions in Table 2. </t>
    </r>
  </si>
  <si>
    <t>Areas of Service</t>
  </si>
  <si>
    <t>FY21 Budget NPR</t>
  </si>
  <si>
    <t>Budget-to-Budget Variance ($)</t>
  </si>
  <si>
    <t>FY22 Budget NPR</t>
  </si>
  <si>
    <t>FY21 Budget FPP</t>
  </si>
  <si>
    <t>FY22 Total Budget FPP</t>
  </si>
  <si>
    <t>Reserves</t>
  </si>
  <si>
    <t>Other Reform Payments</t>
  </si>
  <si>
    <t>FY21 Budget NPR/FPP</t>
  </si>
  <si>
    <t>FY22 Budget NPR/FPP</t>
  </si>
  <si>
    <t>Total Overall NPR/FPP</t>
  </si>
  <si>
    <t>From 1. Reconciliation tab</t>
  </si>
  <si>
    <t>Variance (should be 0)</t>
  </si>
  <si>
    <r>
      <rPr>
        <b/>
        <sz val="11"/>
        <color theme="1"/>
        <rFont val="Calibri"/>
        <family val="2"/>
      </rPr>
      <t>Table 4:</t>
    </r>
    <r>
      <rPr>
        <sz val="11"/>
        <color theme="1"/>
        <rFont val="Calibri"/>
        <family val="2"/>
      </rPr>
      <t xml:space="preserve"> Please indicate the NPR/FPP FY2022 dollar value of 1% overall change in charge.</t>
    </r>
  </si>
  <si>
    <t>NPR/FPP value of 1% Overall Change in Charge</t>
  </si>
  <si>
    <t>Appendix 3</t>
  </si>
  <si>
    <t>Utilization</t>
  </si>
  <si>
    <t>Category of Service</t>
  </si>
  <si>
    <t>Total increase in Gross Revenues (%)</t>
  </si>
  <si>
    <t>Total increase in Gross Revenues ($)</t>
  </si>
  <si>
    <t>$ Change from FY 2021 Approved budget</t>
  </si>
  <si>
    <t>% Change from FY 2021 Approved budget</t>
  </si>
  <si>
    <t>Does not need to tie to P&amp;L</t>
  </si>
  <si>
    <t>Appendix 4</t>
  </si>
  <si>
    <t>Inflation</t>
  </si>
  <si>
    <t>Expense Category</t>
  </si>
  <si>
    <t>Estimated Inflation</t>
  </si>
  <si>
    <t>Comment</t>
  </si>
  <si>
    <t>% Increase</t>
  </si>
  <si>
    <t>$ Increase</t>
  </si>
  <si>
    <t>Category % of Operating Expense Budget</t>
  </si>
  <si>
    <t>Example: Wages/Compensation- Medical Staff</t>
  </si>
  <si>
    <t>This is inflation price effect only, does not account for new hires (volume).</t>
  </si>
  <si>
    <t>Wages/Compensation - Medical Staff</t>
  </si>
  <si>
    <t>Wages/Compensation - Non-Medical Staff</t>
  </si>
  <si>
    <t>Medical Supplies</t>
  </si>
  <si>
    <t>Non-Medical Supplies</t>
  </si>
  <si>
    <t>Other (Please Specify)</t>
  </si>
  <si>
    <t>%</t>
  </si>
  <si>
    <t>*should be 100%</t>
  </si>
  <si>
    <t>Not intended for systemwide look or comparative analysis</t>
  </si>
  <si>
    <t>Appendix 5</t>
  </si>
  <si>
    <t>Vaccine Clinics and Testing</t>
  </si>
  <si>
    <t>Where is your hospital reporting Vaccine/Testing Revenues and Expenses?</t>
  </si>
  <si>
    <t>Fiscal Year 2022 Budget Analysis</t>
  </si>
  <si>
    <t>INCOME STATEMENT</t>
  </si>
  <si>
    <t>2021 Projection Vaccine/Testing Income Statement Supplement</t>
  </si>
  <si>
    <t>2022 Budget Vaccine/Testing Income Statement Supplement</t>
  </si>
  <si>
    <t>Revenues</t>
  </si>
  <si>
    <t>Gross Patient Care Revenue</t>
  </si>
  <si>
    <t>Disproportionate Share Payments</t>
  </si>
  <si>
    <t>Graduate Medical Education (UVMMC only)</t>
  </si>
  <si>
    <t>Bad Debt</t>
  </si>
  <si>
    <t>Free Care</t>
  </si>
  <si>
    <t>Deductions from Revenue</t>
  </si>
  <si>
    <t>Net Patient Care Revenue</t>
  </si>
  <si>
    <t>Fixed Prospective Payments, Reserves &amp; Other</t>
  </si>
  <si>
    <t>Total NPR &amp; FPP</t>
  </si>
  <si>
    <t>COVID-19 Stimulus and Other Grant Funding</t>
  </si>
  <si>
    <t>Other Operating Revenue</t>
  </si>
  <si>
    <t>Total Operating Revenue</t>
  </si>
  <si>
    <t>Salaries, Fringe Benefits, Physician Fees, Contracts</t>
  </si>
  <si>
    <t>Medical/Surgical Drugs and Supplies</t>
  </si>
  <si>
    <t>Depreciation/Amortization</t>
  </si>
  <si>
    <t>Interest - Short and Long Term</t>
  </si>
  <si>
    <t>Other Operating Expenses (includes ACO Participation Fees)</t>
  </si>
  <si>
    <t>Operating Expense</t>
  </si>
  <si>
    <t>Net Operating Income</t>
  </si>
  <si>
    <t>Non Operating Revenue</t>
  </si>
  <si>
    <t>Excess (Deficit) of Rev over Exp</t>
  </si>
  <si>
    <t>Income Statement Metrics</t>
  </si>
  <si>
    <t>Operating Margin %</t>
  </si>
  <si>
    <t>Total Margin %</t>
  </si>
  <si>
    <t>edit from P&amp;L</t>
  </si>
  <si>
    <t>Appendix 6</t>
  </si>
  <si>
    <t>Value-Based Care Participation</t>
  </si>
  <si>
    <t>Complete the following table if the hospital is participating in one or more of value-based care programs. If the hospital is not participating in value-based care programs, please indicate in the narrative.</t>
  </si>
  <si>
    <t>Value-Based Care Program</t>
  </si>
  <si>
    <t xml:space="preserve">Participating in Program in Calendar Year (CY) 2022? </t>
  </si>
  <si>
    <t xml:space="preserve">Budgeted Number of Attributed Lives (monthly average </t>
  </si>
  <si>
    <t xml:space="preserve">Budgeted Amount of FPP (monthly average </t>
  </si>
  <si>
    <t xml:space="preserve">Budgeted Maximum Upside/Downside Risk </t>
  </si>
  <si>
    <t>(Yes/No)</t>
  </si>
  <si>
    <t xml:space="preserve"> for CY 2022)</t>
  </si>
  <si>
    <t xml:space="preserve"> for CY 2022</t>
  </si>
  <si>
    <t>Medicaid</t>
  </si>
  <si>
    <t>Medicare</t>
  </si>
  <si>
    <t>Self-Insured</t>
  </si>
  <si>
    <t>TOTAL</t>
  </si>
  <si>
    <t>Appendix 7</t>
  </si>
  <si>
    <t>Do not Modify, except cells labeled "Other"</t>
  </si>
  <si>
    <t>COVID-19 Advances, Relief Funds, and Other Grants</t>
  </si>
  <si>
    <t>Description</t>
  </si>
  <si>
    <t>Amounts Received</t>
  </si>
  <si>
    <t>Recognized in Revenues</t>
  </si>
  <si>
    <t>Recorded as a liability</t>
  </si>
  <si>
    <t>As of Sept. 30, 2020</t>
  </si>
  <si>
    <t>As of Sept. 30, 2021</t>
  </si>
  <si>
    <t>As of Sept. 30, 2022</t>
  </si>
  <si>
    <t>CARES Act Funding</t>
  </si>
  <si>
    <t>Medicare Advance - Repayment</t>
  </si>
  <si>
    <t>VT Blue Cross Advance</t>
  </si>
  <si>
    <t>VT Healthcare Stabilization Grant</t>
  </si>
  <si>
    <t>VT Medicaid Retainer Funding</t>
  </si>
  <si>
    <t>VT Hazard Pay Grant</t>
  </si>
  <si>
    <t>VT Unemployment Credit - CARES Act</t>
  </si>
  <si>
    <t>CARES Workforce Retention Credit</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</si>
  <si>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</si>
  <si>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</si>
  <si>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</si>
  <si>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</si>
  <si>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</si>
  <si>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</si>
  <si>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</si>
  <si>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</si>
  <si>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</si>
  <si>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</si>
  <si>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</si>
  <si>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</si>
  <si>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</si>
  <si>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</si>
  <si>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</si>
  <si>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</si>
  <si>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</si>
  <si>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</si>
  <si>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</si>
  <si>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</si>
  <si>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</si>
  <si>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</si>
  <si>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</si>
  <si>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</si>
  <si>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</si>
  <si>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</si>
  <si>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</si>
  <si>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</si>
  <si>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 xml:space="preserve">Identify key categories of operating expense inflation and provide the estimated inflation factor. This is not an assessment of overall growth of the category (i.e.-does not need to tie to the P&amp;L). It should focus on price effects only (not utilization growth or new hires).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</si>
  <si>
    <t>Grand Total</t>
  </si>
  <si>
    <t>PPP Funds</t>
  </si>
  <si>
    <t>Total Self-Pay/Other</t>
  </si>
  <si>
    <t>NPR ($) Analysis by Payer</t>
  </si>
  <si>
    <t>FPP ($) Analysis by Payer</t>
  </si>
  <si>
    <t>FY21 Budget Gross Revenue</t>
  </si>
  <si>
    <t>FY 22 Budget Gross Revenue</t>
  </si>
  <si>
    <t xml:space="preserve">Gross Revenue by Commercial Payer 
</t>
  </si>
  <si>
    <t xml:space="preserve">Gross Revenue by Self-Pay/Other      </t>
  </si>
  <si>
    <t xml:space="preserve">Gross Revenue by Medicaid
</t>
  </si>
  <si>
    <t xml:space="preserve">Gross Revenue by Medicare
</t>
  </si>
  <si>
    <t>Gross Revenue ($) Analysis by Payer</t>
  </si>
  <si>
    <t xml:space="preserve"> NPR by Commercial Payer</t>
  </si>
  <si>
    <t xml:space="preserve"> NPR by Self-Pay/Other</t>
  </si>
  <si>
    <t>NPR by Medicaid</t>
  </si>
  <si>
    <t>NPR by Medicare</t>
  </si>
  <si>
    <t>FPP by Medicaid</t>
  </si>
  <si>
    <t>FPP by Medicare</t>
  </si>
  <si>
    <t>Total FPP Across All Categories</t>
  </si>
  <si>
    <t>Total NPR Across All Categories</t>
  </si>
  <si>
    <t>Total Gross Revenues Across All Categories</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</si>
  <si>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</si>
  <si>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Commercial (not Self-Insured)</t>
  </si>
  <si>
    <t>DSH</t>
  </si>
  <si>
    <t>from Appendix 4. Inflation (price effect only)</t>
  </si>
  <si>
    <t xml:space="preserve"> FPP by Commercial Payer (in state only)*</t>
  </si>
  <si>
    <t>*if possible</t>
  </si>
  <si>
    <t>tie to income statement</t>
  </si>
  <si>
    <t>Weighted Average 
(Column C * Column E)</t>
  </si>
  <si>
    <r>
      <t xml:space="preserve">Please denote the advances, relief funds, and other grants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2020, September 30, 2021 and September 30, 2022.</t>
    </r>
  </si>
  <si>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</si>
  <si>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Other (Supplies)</t>
  </si>
  <si>
    <t>Other (Purchased Services)</t>
  </si>
  <si>
    <t>Other (Depreciation)</t>
  </si>
  <si>
    <t>No</t>
  </si>
  <si>
    <t>Other (All remaining)</t>
  </si>
  <si>
    <t>$459,197 / $555,586</t>
  </si>
  <si>
    <t>$464,218 / $491,702</t>
  </si>
  <si>
    <t>Yes</t>
  </si>
  <si>
    <t>Other (COVID Vaccine Grant)</t>
  </si>
  <si>
    <t>Other (FEMA)</t>
  </si>
  <si>
    <t>Other (HRSA)</t>
  </si>
  <si>
    <t>Other (VHEPC)</t>
  </si>
  <si>
    <t>Other (VAHHS)</t>
  </si>
  <si>
    <t>Other (Podiatry)</t>
  </si>
  <si>
    <t>Other (Neurology)</t>
  </si>
  <si>
    <t>1% overall change in charge is $734,279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</si>
</sst>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3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sz val="11"/>
      <color rgb="FFFF0000"/>
      <name val="Calibri"/>
      <family val="2"/>
      <scheme val="minor"/>
    </font>
    <font>
      <b/>
      <sz val="24"/>
      <color theme="1"/>
      <name val="Calibri"/>
      <family val="2"/>
      <scheme val="minor"/>
    </font>
    <font>
      <sz val="24"/>
      <color theme="1"/>
      <name val="Calibri"/>
      <family val="2"/>
      <scheme val="minor"/>
    </font>
    <font>
      <b/>
      <sz val="20"/>
      <color theme="1"/>
      <name val="Calibri"/>
      <family val="2"/>
      <scheme val="minor"/>
    </font>
    <font>
      <sz val="20"/>
      <color theme="1"/>
      <name val="Calibri"/>
      <family val="2"/>
      <scheme val="minor"/>
    </font>
    <font>
      <b/>
      <sz val="26"/>
      <color theme="1"/>
      <name val="Calibri"/>
      <family val="2"/>
      <scheme val="minor"/>
    </font>
    <font>
      <b/>
      <i/>
      <sz val="11"/>
      <color theme="1"/>
      <name val="Calibri"/>
      <family val="2"/>
    </font>
    <font>
      <sz val="11"/>
      <name val="Calibri"/>
      <family val="2"/>
    </font>
    <font>
      <i/>
      <sz val="11"/>
      <color theme="1"/>
      <name val="Calibri"/>
      <family val="2"/>
      <scheme val="minor"/>
    </font>
    <font>
      <b/>
      <sz val="24"/>
      <color theme="1"/>
      <name val="Calibri"/>
      <family val="2"/>
    </font>
    <font>
      <sz val="12"/>
      <color theme="1"/>
      <name val="Calibri"/>
      <family val="2"/>
    </font>
    <font>
      <i/>
      <sz val="12"/>
      <color rgb="FFFF0000"/>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auto="1"/>
      </left>
      <right style="thin">
        <color auto="1"/>
      </right>
      <top/>
      <bottom/>
      <diagonal/>
    </border>
    <border>
      <left style="medium">
        <color indexed="64"/>
      </left>
      <right style="thin">
        <color indexed="64"/>
      </right>
      <top/>
      <bottom/>
      <diagonal/>
    </border>
    <border>
      <left style="medium">
        <color indexed="64"/>
      </left>
      <right style="thin">
        <color auto="1"/>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cellStyleXfs>
  <cellXfs count="386">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8" fillId="4" borderId="12" xfId="5" applyFont="1" applyFill="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0" fontId="0" fillId="0" borderId="0" xfId="0" applyBorder="1" applyAlignment="1">
      <alignment horizontal="center"/>
    </xf>
    <xf numFmtId="164" fontId="0" fillId="0" borderId="0" xfId="3" applyNumberFormat="1"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0" fontId="2" fillId="0" borderId="0" xfId="1" applyNumberFormat="1" applyFont="1" applyAlignment="1">
      <alignment horizontal="right"/>
    </xf>
    <xf numFmtId="0" fontId="2" fillId="0" borderId="0" xfId="1" applyNumberFormat="1" applyFont="1" applyAlignment="1">
      <alignment horizontal="center" wrapText="1"/>
    </xf>
    <xf numFmtId="0" fontId="19" fillId="0" borderId="0" xfId="1" applyNumberFormat="1" applyFont="1" applyAlignment="1">
      <alignment horizontal="right"/>
    </xf>
    <xf numFmtId="166" fontId="19" fillId="0" borderId="0" xfId="1" applyNumberFormat="1" applyFont="1"/>
    <xf numFmtId="0" fontId="20" fillId="0" borderId="0" xfId="1" applyNumberFormat="1" applyFont="1" applyAlignment="1">
      <alignment horizontal="right"/>
    </xf>
    <xf numFmtId="0" fontId="19" fillId="0" borderId="21" xfId="1" applyNumberFormat="1" applyFont="1" applyBorder="1"/>
    <xf numFmtId="166" fontId="20" fillId="0" borderId="14" xfId="1" applyNumberFormat="1" applyFont="1" applyBorder="1"/>
    <xf numFmtId="166" fontId="20" fillId="0" borderId="0" xfId="1" applyNumberFormat="1" applyFont="1"/>
    <xf numFmtId="0" fontId="19" fillId="11" borderId="22" xfId="1" applyNumberFormat="1" applyFont="1" applyFill="1" applyBorder="1"/>
    <xf numFmtId="0" fontId="21" fillId="0" borderId="0" xfId="1" applyNumberFormat="1" applyFont="1" applyFill="1" applyAlignment="1">
      <alignment horizontal="right"/>
    </xf>
    <xf numFmtId="166" fontId="21" fillId="0" borderId="0" xfId="1" applyNumberFormat="1" applyFont="1" applyFill="1"/>
    <xf numFmtId="0" fontId="22" fillId="0" borderId="0" xfId="1" applyNumberFormat="1" applyFont="1" applyAlignment="1">
      <alignment horizontal="right"/>
    </xf>
    <xf numFmtId="0" fontId="22" fillId="0" borderId="23" xfId="1" applyNumberFormat="1" applyFont="1" applyBorder="1"/>
    <xf numFmtId="166" fontId="22" fillId="0" borderId="0" xfId="1" applyNumberFormat="1" applyFont="1" applyBorder="1"/>
    <xf numFmtId="166" fontId="22" fillId="0" borderId="0" xfId="1" applyNumberFormat="1" applyFont="1"/>
    <xf numFmtId="0" fontId="23" fillId="0" borderId="19" xfId="1" applyNumberFormat="1" applyFont="1" applyBorder="1" applyAlignment="1">
      <alignment horizontal="center" vertical="center"/>
    </xf>
    <xf numFmtId="0" fontId="23" fillId="15" borderId="13" xfId="1" applyNumberFormat="1" applyFont="1" applyFill="1" applyBorder="1" applyAlignment="1">
      <alignment horizontal="center" vertical="center"/>
    </xf>
    <xf numFmtId="166" fontId="23" fillId="14" borderId="4" xfId="1" applyNumberFormat="1" applyFont="1" applyFill="1" applyBorder="1" applyAlignment="1">
      <alignment horizontal="center" vertical="center" wrapText="1"/>
    </xf>
    <xf numFmtId="166" fontId="23" fillId="0" borderId="0" xfId="1" applyNumberFormat="1" applyFont="1" applyAlignment="1">
      <alignment horizontal="center" vertical="center" wrapText="1"/>
    </xf>
    <xf numFmtId="166" fontId="23" fillId="0" borderId="0" xfId="1" applyNumberFormat="1" applyFont="1" applyAlignment="1">
      <alignment horizontal="center" vertical="center"/>
    </xf>
    <xf numFmtId="0" fontId="20" fillId="0" borderId="15" xfId="1" applyNumberFormat="1" applyFont="1" applyBorder="1" applyAlignment="1">
      <alignment horizontal="right"/>
    </xf>
    <xf numFmtId="0" fontId="19" fillId="16" borderId="23" xfId="1" applyNumberFormat="1" applyFont="1" applyFill="1" applyBorder="1"/>
    <xf numFmtId="166" fontId="20" fillId="16" borderId="24" xfId="1" applyNumberFormat="1" applyFont="1" applyFill="1" applyBorder="1"/>
    <xf numFmtId="166" fontId="20" fillId="16" borderId="17" xfId="1" applyNumberFormat="1" applyFont="1" applyFill="1" applyBorder="1"/>
    <xf numFmtId="0" fontId="19" fillId="0" borderId="15" xfId="1" applyNumberFormat="1" applyFont="1" applyBorder="1" applyAlignment="1">
      <alignment horizontal="right"/>
    </xf>
    <xf numFmtId="49" fontId="19" fillId="17" borderId="23" xfId="1" quotePrefix="1" applyNumberFormat="1" applyFont="1" applyFill="1" applyBorder="1"/>
    <xf numFmtId="167" fontId="19" fillId="17" borderId="24" xfId="2" quotePrefix="1" applyNumberFormat="1" applyFont="1" applyFill="1" applyBorder="1"/>
    <xf numFmtId="167" fontId="19" fillId="17" borderId="17" xfId="2" quotePrefix="1" applyNumberFormat="1" applyFont="1" applyFill="1" applyBorder="1"/>
    <xf numFmtId="164" fontId="19" fillId="0" borderId="0" xfId="3" applyNumberFormat="1" applyFont="1"/>
    <xf numFmtId="49" fontId="20" fillId="0" borderId="23" xfId="1" quotePrefix="1" applyNumberFormat="1" applyFont="1" applyBorder="1" applyAlignment="1">
      <alignment horizontal="right"/>
    </xf>
    <xf numFmtId="167" fontId="20" fillId="0" borderId="24" xfId="2" quotePrefix="1" applyNumberFormat="1" applyFont="1" applyBorder="1"/>
    <xf numFmtId="167" fontId="20" fillId="18" borderId="17" xfId="2" quotePrefix="1" applyNumberFormat="1" applyFont="1" applyFill="1" applyBorder="1"/>
    <xf numFmtId="164" fontId="20" fillId="0" borderId="0" xfId="3" applyNumberFormat="1" applyFont="1"/>
    <xf numFmtId="0" fontId="20" fillId="0" borderId="23" xfId="1" quotePrefix="1" applyNumberFormat="1" applyFont="1" applyBorder="1" applyAlignment="1">
      <alignment horizontal="right"/>
    </xf>
    <xf numFmtId="49" fontId="19" fillId="0" borderId="23" xfId="1" quotePrefix="1" applyNumberFormat="1" applyFont="1" applyFill="1" applyBorder="1"/>
    <xf numFmtId="167" fontId="19" fillId="0" borderId="24" xfId="2" quotePrefix="1" applyNumberFormat="1" applyFont="1" applyFill="1" applyBorder="1"/>
    <xf numFmtId="0" fontId="19" fillId="0" borderId="23" xfId="1" applyNumberFormat="1" applyFont="1" applyFill="1" applyBorder="1"/>
    <xf numFmtId="167" fontId="19" fillId="0" borderId="17" xfId="2" quotePrefix="1" applyNumberFormat="1" applyFont="1" applyFill="1" applyBorder="1"/>
    <xf numFmtId="167" fontId="19" fillId="16" borderId="24" xfId="1" applyNumberFormat="1" applyFont="1" applyFill="1" applyBorder="1"/>
    <xf numFmtId="0" fontId="20" fillId="0" borderId="15" xfId="1" applyNumberFormat="1" applyFont="1" applyFill="1" applyBorder="1" applyAlignment="1">
      <alignment horizontal="right"/>
    </xf>
    <xf numFmtId="0" fontId="20" fillId="0" borderId="23" xfId="1" quotePrefix="1" applyNumberFormat="1" applyFont="1" applyFill="1" applyBorder="1" applyAlignment="1">
      <alignment horizontal="right"/>
    </xf>
    <xf numFmtId="167" fontId="20" fillId="0" borderId="24" xfId="2" quotePrefix="1" applyNumberFormat="1" applyFont="1" applyFill="1" applyBorder="1"/>
    <xf numFmtId="167" fontId="20" fillId="0" borderId="17" xfId="2" quotePrefix="1" applyNumberFormat="1" applyFont="1" applyFill="1" applyBorder="1"/>
    <xf numFmtId="164" fontId="20" fillId="0" borderId="0" xfId="3" applyNumberFormat="1" applyFont="1" applyFill="1"/>
    <xf numFmtId="166" fontId="20" fillId="0" borderId="0" xfId="1" applyNumberFormat="1" applyFont="1" applyFill="1"/>
    <xf numFmtId="49" fontId="19" fillId="0" borderId="23" xfId="1" quotePrefix="1" applyNumberFormat="1" applyFont="1" applyFill="1" applyBorder="1" applyAlignment="1">
      <alignment horizontal="right"/>
    </xf>
    <xf numFmtId="49" fontId="20" fillId="0" borderId="23" xfId="1" quotePrefix="1" applyNumberFormat="1" applyFont="1" applyFill="1" applyBorder="1" applyAlignment="1">
      <alignment horizontal="right"/>
    </xf>
    <xf numFmtId="0" fontId="19" fillId="17" borderId="23" xfId="1" applyNumberFormat="1" applyFont="1" applyFill="1" applyBorder="1"/>
    <xf numFmtId="0" fontId="19" fillId="16" borderId="23" xfId="1" applyNumberFormat="1" applyFont="1" applyFill="1" applyBorder="1" applyAlignment="1">
      <alignment horizontal="left"/>
    </xf>
    <xf numFmtId="167" fontId="19" fillId="16" borderId="24" xfId="2" quotePrefix="1" applyNumberFormat="1" applyFont="1" applyFill="1" applyBorder="1"/>
    <xf numFmtId="0" fontId="19" fillId="11" borderId="23" xfId="1" applyNumberFormat="1" applyFont="1" applyFill="1" applyBorder="1"/>
    <xf numFmtId="167" fontId="20" fillId="11" borderId="24" xfId="1" applyNumberFormat="1" applyFont="1" applyFill="1" applyBorder="1"/>
    <xf numFmtId="167" fontId="20" fillId="11" borderId="17" xfId="1" applyNumberFormat="1" applyFont="1" applyFill="1" applyBorder="1"/>
    <xf numFmtId="164" fontId="19" fillId="0" borderId="0" xfId="3" applyNumberFormat="1" applyFont="1" applyFill="1"/>
    <xf numFmtId="0" fontId="20" fillId="0" borderId="23" xfId="1" applyNumberFormat="1" applyFont="1" applyFill="1" applyBorder="1" applyAlignment="1">
      <alignment horizontal="right"/>
    </xf>
    <xf numFmtId="49" fontId="20" fillId="0" borderId="23" xfId="1" applyNumberFormat="1" applyFont="1" applyFill="1" applyBorder="1" applyAlignment="1">
      <alignment horizontal="right"/>
    </xf>
    <xf numFmtId="49" fontId="20" fillId="0" borderId="23" xfId="1" applyNumberFormat="1" applyFont="1" applyBorder="1" applyAlignment="1">
      <alignment horizontal="right"/>
    </xf>
    <xf numFmtId="0" fontId="19" fillId="0" borderId="23" xfId="1" applyNumberFormat="1" applyFont="1" applyFill="1" applyBorder="1" applyAlignment="1">
      <alignment horizontal="left"/>
    </xf>
    <xf numFmtId="0" fontId="20" fillId="0" borderId="23" xfId="1" applyNumberFormat="1" applyFont="1" applyBorder="1"/>
    <xf numFmtId="167" fontId="20" fillId="0" borderId="24" xfId="1" applyNumberFormat="1" applyFont="1" applyBorder="1"/>
    <xf numFmtId="167" fontId="20" fillId="0" borderId="17" xfId="1" applyNumberFormat="1" applyFont="1" applyBorder="1"/>
    <xf numFmtId="0" fontId="19" fillId="5" borderId="15" xfId="1" applyNumberFormat="1" applyFont="1" applyFill="1" applyBorder="1" applyAlignment="1">
      <alignment horizontal="right"/>
    </xf>
    <xf numFmtId="0" fontId="19" fillId="5" borderId="23" xfId="1" applyNumberFormat="1" applyFont="1" applyFill="1" applyBorder="1"/>
    <xf numFmtId="167" fontId="19" fillId="5" borderId="24" xfId="2" applyNumberFormat="1" applyFont="1" applyFill="1" applyBorder="1"/>
    <xf numFmtId="166" fontId="19" fillId="5" borderId="0" xfId="1" applyNumberFormat="1" applyFont="1" applyFill="1"/>
    <xf numFmtId="0" fontId="19" fillId="5" borderId="25" xfId="1" applyNumberFormat="1" applyFont="1" applyFill="1" applyBorder="1"/>
    <xf numFmtId="167" fontId="19" fillId="18" borderId="17" xfId="2" quotePrefix="1" applyNumberFormat="1" applyFont="1" applyFill="1" applyBorder="1"/>
    <xf numFmtId="0" fontId="19" fillId="16" borderId="26" xfId="1" applyNumberFormat="1" applyFont="1" applyFill="1" applyBorder="1" applyAlignment="1">
      <alignment horizontal="left"/>
    </xf>
    <xf numFmtId="167" fontId="19" fillId="16" borderId="27" xfId="2" quotePrefix="1" applyNumberFormat="1" applyFont="1" applyFill="1" applyBorder="1"/>
    <xf numFmtId="0" fontId="19" fillId="0" borderId="23" xfId="1" applyNumberFormat="1" applyFont="1" applyBorder="1"/>
    <xf numFmtId="167" fontId="19" fillId="0" borderId="24" xfId="2" quotePrefix="1" applyNumberFormat="1" applyFont="1" applyBorder="1"/>
    <xf numFmtId="167" fontId="19" fillId="0" borderId="17" xfId="2" quotePrefix="1" applyNumberFormat="1" applyFont="1" applyBorder="1"/>
    <xf numFmtId="0" fontId="19" fillId="2" borderId="23" xfId="1" applyNumberFormat="1" applyFont="1" applyFill="1" applyBorder="1" applyAlignment="1">
      <alignment horizontal="left"/>
    </xf>
    <xf numFmtId="167" fontId="19" fillId="2" borderId="24" xfId="3" quotePrefix="1" applyNumberFormat="1" applyFont="1" applyFill="1" applyBorder="1"/>
    <xf numFmtId="167" fontId="19" fillId="2" borderId="17" xfId="3" quotePrefix="1" applyNumberFormat="1" applyFont="1" applyFill="1" applyBorder="1"/>
    <xf numFmtId="0" fontId="20" fillId="0" borderId="23" xfId="1" applyNumberFormat="1" applyFont="1" applyBorder="1" applyAlignment="1">
      <alignment horizontal="right"/>
    </xf>
    <xf numFmtId="164" fontId="20" fillId="0" borderId="24" xfId="3" quotePrefix="1" applyNumberFormat="1" applyFont="1" applyBorder="1"/>
    <xf numFmtId="164" fontId="20" fillId="0" borderId="17" xfId="3" quotePrefix="1" applyNumberFormat="1" applyFont="1" applyBorder="1"/>
    <xf numFmtId="0" fontId="20" fillId="0" borderId="20" xfId="1" applyNumberFormat="1" applyFont="1" applyBorder="1" applyAlignment="1">
      <alignment horizontal="right"/>
    </xf>
    <xf numFmtId="0" fontId="20" fillId="0" borderId="28" xfId="1" applyNumberFormat="1" applyFont="1" applyBorder="1" applyAlignment="1">
      <alignment horizontal="right"/>
    </xf>
    <xf numFmtId="164" fontId="20" fillId="0" borderId="29" xfId="3" quotePrefix="1" applyNumberFormat="1" applyFont="1" applyBorder="1"/>
    <xf numFmtId="164" fontId="20" fillId="0" borderId="30" xfId="3" quotePrefix="1" applyNumberFormat="1" applyFont="1" applyBorder="1"/>
    <xf numFmtId="166" fontId="20" fillId="0" borderId="0" xfId="1" applyNumberFormat="1" applyFont="1" applyBorder="1"/>
    <xf numFmtId="0" fontId="20" fillId="0" borderId="0" xfId="1" applyNumberFormat="1" applyFont="1"/>
    <xf numFmtId="0" fontId="0" fillId="0" borderId="0" xfId="1" applyNumberFormat="1" applyFont="1" applyAlignment="1">
      <alignment horizontal="right"/>
    </xf>
    <xf numFmtId="0" fontId="0" fillId="0" borderId="0" xfId="1" applyNumberFormat="1" applyFont="1"/>
    <xf numFmtId="0" fontId="18" fillId="0" borderId="0" xfId="1" applyNumberFormat="1" applyFont="1" applyAlignment="1">
      <alignment horizontal="right"/>
    </xf>
    <xf numFmtId="0" fontId="18" fillId="9" borderId="0" xfId="1" applyNumberFormat="1" applyFont="1" applyFill="1"/>
    <xf numFmtId="166" fontId="18" fillId="9" borderId="0" xfId="1" applyNumberFormat="1" applyFont="1" applyFill="1"/>
    <xf numFmtId="166" fontId="18" fillId="0" borderId="0" xfId="1" applyNumberFormat="1" applyFont="1"/>
    <xf numFmtId="0" fontId="18" fillId="0" borderId="0" xfId="1" applyNumberFormat="1" applyFont="1"/>
    <xf numFmtId="0" fontId="19" fillId="0" borderId="14" xfId="1" applyNumberFormat="1" applyFont="1" applyBorder="1"/>
    <xf numFmtId="0" fontId="19" fillId="11" borderId="2" xfId="1" applyNumberFormat="1" applyFont="1" applyFill="1" applyBorder="1"/>
    <xf numFmtId="0" fontId="22" fillId="0" borderId="0" xfId="1" applyNumberFormat="1" applyFont="1" applyBorder="1"/>
    <xf numFmtId="0" fontId="19" fillId="11" borderId="3" xfId="1" applyNumberFormat="1" applyFont="1" applyFill="1" applyBorder="1"/>
    <xf numFmtId="0" fontId="0" fillId="5" borderId="0" xfId="0" applyFont="1" applyFill="1" applyBorder="1" applyAlignment="1">
      <alignment horizontal="left"/>
    </xf>
    <xf numFmtId="0" fontId="0" fillId="5" borderId="4" xfId="0" applyFont="1" applyFill="1" applyBorder="1" applyAlignment="1">
      <alignment horizontal="left" wrapText="1"/>
    </xf>
    <xf numFmtId="165" fontId="0" fillId="5" borderId="4" xfId="3" applyNumberFormat="1" applyFont="1" applyFill="1" applyBorder="1"/>
    <xf numFmtId="0" fontId="10" fillId="5" borderId="0" xfId="5" applyFont="1" applyFill="1" applyAlignment="1">
      <alignment horizontal="center"/>
    </xf>
    <xf numFmtId="0" fontId="19" fillId="0" borderId="0" xfId="5" applyFont="1" applyAlignment="1"/>
    <xf numFmtId="0" fontId="4" fillId="5" borderId="0" xfId="5" applyFill="1" applyAlignment="1">
      <alignment wrapText="1"/>
    </xf>
    <xf numFmtId="0" fontId="4" fillId="0" borderId="0" xfId="5" applyAlignment="1">
      <alignment horizontal="left" wrapText="1"/>
    </xf>
    <xf numFmtId="9" fontId="25" fillId="3" borderId="4" xfId="3" applyFont="1" applyFill="1" applyBorder="1"/>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5" fillId="3" borderId="4" xfId="3" applyNumberFormat="1" applyFont="1" applyFill="1" applyBorder="1"/>
    <xf numFmtId="164" fontId="25" fillId="3" borderId="4" xfId="3" applyNumberFormat="1" applyFont="1" applyFill="1" applyBorder="1"/>
    <xf numFmtId="44" fontId="4" fillId="0" borderId="4" xfId="2" applyFont="1" applyBorder="1"/>
    <xf numFmtId="44" fontId="4" fillId="5" borderId="0" xfId="2" applyFont="1" applyFill="1" applyBorder="1"/>
    <xf numFmtId="0" fontId="4" fillId="11" borderId="31" xfId="5" applyFill="1" applyBorder="1" applyAlignment="1">
      <alignment wrapText="1"/>
    </xf>
    <xf numFmtId="44" fontId="5" fillId="11" borderId="32" xfId="2" applyFont="1" applyFill="1" applyBorder="1" applyAlignment="1">
      <alignment horizontal="center" wrapText="1"/>
    </xf>
    <xf numFmtId="44" fontId="5" fillId="11" borderId="33"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3" xfId="5" applyFont="1" applyFill="1" applyBorder="1" applyAlignment="1">
      <alignment wrapText="1"/>
    </xf>
    <xf numFmtId="44" fontId="4" fillId="11" borderId="36" xfId="2" applyFont="1" applyFill="1" applyBorder="1"/>
    <xf numFmtId="44" fontId="4" fillId="11" borderId="14" xfId="2" applyFont="1" applyFill="1" applyBorder="1"/>
    <xf numFmtId="9" fontId="4" fillId="11" borderId="14" xfId="2" applyNumberFormat="1" applyFont="1" applyFill="1" applyBorder="1"/>
    <xf numFmtId="44" fontId="4" fillId="11" borderId="37" xfId="2" applyFont="1" applyFill="1" applyBorder="1"/>
    <xf numFmtId="0" fontId="5" fillId="11" borderId="28" xfId="5" applyFont="1" applyFill="1" applyBorder="1" applyAlignment="1">
      <alignment horizontal="left" wrapText="1" indent="3"/>
    </xf>
    <xf numFmtId="44" fontId="4" fillId="17" borderId="34" xfId="2" applyFont="1" applyFill="1" applyBorder="1" applyAlignment="1">
      <alignment horizontal="center" wrapText="1"/>
    </xf>
    <xf numFmtId="44" fontId="4" fillId="17" borderId="35" xfId="2" applyFont="1" applyFill="1" applyBorder="1" applyAlignment="1">
      <alignment horizontal="center" wrapText="1"/>
    </xf>
    <xf numFmtId="44" fontId="0" fillId="0" borderId="4" xfId="2" applyFont="1" applyBorder="1" applyAlignment="1">
      <alignment horizontal="center" wrapText="1"/>
    </xf>
    <xf numFmtId="0" fontId="26" fillId="19" borderId="4" xfId="0" applyFont="1" applyFill="1" applyBorder="1" applyAlignment="1">
      <alignment wrapText="1"/>
    </xf>
    <xf numFmtId="9" fontId="26" fillId="19" borderId="4" xfId="3" applyFont="1" applyFill="1" applyBorder="1" applyAlignment="1">
      <alignment horizontal="center"/>
    </xf>
    <xf numFmtId="44" fontId="26" fillId="19" borderId="4" xfId="2" applyFont="1" applyFill="1" applyBorder="1" applyAlignment="1">
      <alignment horizontal="center"/>
    </xf>
    <xf numFmtId="9" fontId="26" fillId="19" borderId="4" xfId="3" applyFont="1" applyFill="1" applyBorder="1" applyAlignment="1">
      <alignment horizontal="center" wrapText="1"/>
    </xf>
    <xf numFmtId="164" fontId="26" fillId="19"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5" fillId="0" borderId="1" xfId="5" applyFont="1" applyBorder="1" applyAlignment="1">
      <alignment horizontal="center" wrapText="1"/>
    </xf>
    <xf numFmtId="0" fontId="0" fillId="9" borderId="0" xfId="0" applyFill="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2" fillId="0" borderId="40" xfId="0" applyFont="1" applyBorder="1" applyAlignment="1">
      <alignment horizontal="left" indent="3"/>
    </xf>
    <xf numFmtId="44" fontId="1" fillId="0" borderId="27" xfId="2" applyFont="1" applyBorder="1"/>
    <xf numFmtId="44" fontId="1" fillId="0" borderId="38" xfId="2" applyFont="1" applyBorder="1"/>
    <xf numFmtId="44" fontId="1" fillId="0" borderId="39" xfId="2" applyFont="1" applyBorder="1"/>
    <xf numFmtId="0" fontId="2" fillId="0" borderId="19" xfId="0" applyFont="1" applyBorder="1" applyAlignment="1">
      <alignment horizontal="center" vertical="center"/>
    </xf>
    <xf numFmtId="0" fontId="2" fillId="0" borderId="18" xfId="0" applyFont="1" applyBorder="1" applyAlignment="1">
      <alignment horizontal="center"/>
    </xf>
    <xf numFmtId="0" fontId="2" fillId="0" borderId="7" xfId="0" applyFont="1" applyBorder="1" applyAlignment="1">
      <alignment horizontal="center"/>
    </xf>
    <xf numFmtId="165" fontId="1" fillId="0" borderId="24" xfId="0" applyNumberFormat="1" applyFont="1" applyBorder="1"/>
    <xf numFmtId="44" fontId="1" fillId="0" borderId="40" xfId="2" applyFont="1" applyBorder="1"/>
    <xf numFmtId="0" fontId="2" fillId="0" borderId="16" xfId="0" applyFont="1" applyBorder="1" applyAlignment="1">
      <alignment horizontal="center" vertical="center"/>
    </xf>
    <xf numFmtId="0" fontId="2" fillId="0" borderId="41" xfId="0" applyFont="1" applyBorder="1" applyAlignment="1">
      <alignment horizontal="center" vertical="center"/>
    </xf>
    <xf numFmtId="166" fontId="0" fillId="2" borderId="4" xfId="1" applyNumberFormat="1" applyFont="1" applyFill="1" applyBorder="1" applyProtection="1"/>
    <xf numFmtId="164" fontId="26" fillId="0" borderId="0" xfId="3" applyNumberFormat="1" applyFont="1" applyBorder="1" applyAlignment="1">
      <alignment horizontal="left"/>
    </xf>
    <xf numFmtId="167" fontId="4" fillId="6" borderId="4" xfId="2" applyNumberFormat="1" applyFont="1" applyFill="1" applyBorder="1"/>
    <xf numFmtId="167" fontId="4" fillId="0" borderId="4" xfId="2" applyNumberFormat="1" applyFont="1" applyBorder="1"/>
    <xf numFmtId="165" fontId="4" fillId="3" borderId="4" xfId="2" applyNumberFormat="1" applyFont="1" applyFill="1" applyBorder="1"/>
    <xf numFmtId="165" fontId="4" fillId="0" borderId="4" xfId="2" applyNumberFormat="1" applyFont="1" applyBorder="1"/>
    <xf numFmtId="166" fontId="4" fillId="0" borderId="0" xfId="1" applyNumberFormat="1" applyFont="1"/>
    <xf numFmtId="166" fontId="4" fillId="0" borderId="0" xfId="5" applyNumberFormat="1"/>
    <xf numFmtId="164" fontId="4" fillId="6" borderId="4" xfId="3" applyNumberFormat="1" applyFont="1" applyFill="1" applyBorder="1"/>
    <xf numFmtId="164" fontId="4" fillId="0" borderId="4" xfId="3" applyNumberFormat="1" applyFont="1" applyBorder="1"/>
    <xf numFmtId="44" fontId="5" fillId="0" borderId="4" xfId="2" applyNumberFormat="1" applyFont="1" applyBorder="1"/>
    <xf numFmtId="44" fontId="4" fillId="0" borderId="0" xfId="5" applyNumberFormat="1"/>
    <xf numFmtId="43" fontId="4" fillId="0" borderId="0" xfId="1" applyFont="1"/>
    <xf numFmtId="0" fontId="8" fillId="0" borderId="13" xfId="5" quotePrefix="1" applyFont="1" applyBorder="1"/>
    <xf numFmtId="43" fontId="8" fillId="0" borderId="12" xfId="1" applyFont="1" applyBorder="1"/>
    <xf numFmtId="44" fontId="0" fillId="0" borderId="0" xfId="0" applyNumberFormat="1"/>
    <xf numFmtId="0" fontId="4" fillId="0" borderId="4" xfId="5" applyFont="1" applyBorder="1"/>
    <xf numFmtId="164" fontId="5" fillId="0" borderId="4" xfId="3" applyNumberFormat="1" applyFont="1" applyBorder="1"/>
    <xf numFmtId="3" fontId="8" fillId="0" borderId="12" xfId="5" applyNumberFormat="1" applyFont="1" applyBorder="1"/>
    <xf numFmtId="0" fontId="0" fillId="0" borderId="15" xfId="0" applyFont="1" applyFill="1" applyBorder="1"/>
    <xf numFmtId="0" fontId="0" fillId="0" borderId="15" xfId="0" quotePrefix="1" applyFont="1" applyFill="1" applyBorder="1" applyAlignment="1">
      <alignment horizontal="left"/>
    </xf>
    <xf numFmtId="0" fontId="0" fillId="0" borderId="20" xfId="0" quotePrefix="1" applyFont="1" applyFill="1" applyBorder="1" applyAlignment="1">
      <alignment horizontal="left"/>
    </xf>
    <xf numFmtId="165" fontId="1" fillId="0" borderId="0" xfId="2" applyNumberFormat="1" applyFont="1" applyBorder="1"/>
    <xf numFmtId="165" fontId="1" fillId="0" borderId="0" xfId="2" applyNumberFormat="1" applyFont="1"/>
    <xf numFmtId="165" fontId="1" fillId="0" borderId="17" xfId="2" applyNumberFormat="1" applyFont="1" applyBorder="1"/>
    <xf numFmtId="165" fontId="0" fillId="0" borderId="0" xfId="2" applyNumberFormat="1" applyFont="1"/>
    <xf numFmtId="165" fontId="1" fillId="0" borderId="14" xfId="2" applyNumberFormat="1" applyFont="1" applyBorder="1"/>
    <xf numFmtId="165" fontId="1" fillId="0" borderId="10" xfId="2" applyNumberFormat="1" applyFont="1" applyBorder="1"/>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24"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0" borderId="4" xfId="5" applyBorder="1" applyAlignment="1">
      <alignment horizontal="left"/>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4"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9" fillId="11" borderId="1" xfId="1" applyNumberFormat="1" applyFont="1" applyFill="1" applyBorder="1" applyAlignment="1">
      <alignment horizontal="center"/>
    </xf>
    <xf numFmtId="0" fontId="19" fillId="11" borderId="2" xfId="1" applyNumberFormat="1" applyFont="1" applyFill="1" applyBorder="1" applyAlignment="1">
      <alignment horizontal="center"/>
    </xf>
    <xf numFmtId="0" fontId="19" fillId="11" borderId="3" xfId="1" applyNumberFormat="1" applyFont="1" applyFill="1" applyBorder="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19" fillId="8" borderId="1" xfId="5" applyFont="1" applyFill="1" applyBorder="1" applyAlignment="1">
      <alignment horizontal="center"/>
    </xf>
    <xf numFmtId="0" fontId="19" fillId="8" borderId="2" xfId="5" applyFont="1" applyFill="1" applyBorder="1" applyAlignment="1">
      <alignment horizontal="center"/>
    </xf>
    <xf numFmtId="0" fontId="19" fillId="8" borderId="3" xfId="5" applyFont="1" applyFill="1" applyBorder="1" applyAlignment="1">
      <alignment horizontal="center"/>
    </xf>
    <xf numFmtId="0" fontId="19" fillId="0" borderId="0" xfId="5" applyFont="1" applyAlignment="1">
      <alignment horizontal="center"/>
    </xf>
    <xf numFmtId="0" fontId="27" fillId="7" borderId="1" xfId="5" applyFont="1" applyFill="1" applyBorder="1" applyAlignment="1">
      <alignment horizontal="center"/>
    </xf>
    <xf numFmtId="0" fontId="27" fillId="7" borderId="2" xfId="5" applyFont="1" applyFill="1" applyBorder="1" applyAlignment="1">
      <alignment horizontal="center"/>
    </xf>
    <xf numFmtId="0" fontId="27" fillId="7" borderId="3" xfId="5"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8" fillId="9" borderId="0" xfId="5" applyFont="1" applyFill="1" applyAlignment="1">
      <alignment horizontal="center"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8">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5"/>
  <sheetViews>
    <sheetView workbookViewId="0">
      <selection sqref="A1:B1"/>
    </sheetView>
  </sheetViews>
  <sheetFormatPr defaultRowHeight="15" x14ac:dyDescent="0.25"/>
  <cols>
    <col min="1" max="1" width="16.28515625" customWidth="1"/>
    <col min="2" max="2" width="66.7109375" style="27" customWidth="1"/>
    <col min="3" max="3" width="17.42578125" customWidth="1"/>
  </cols>
  <sheetData>
    <row r="1" spans="1:3" ht="18.75" x14ac:dyDescent="0.3">
      <c r="A1" s="307" t="s">
        <v>0</v>
      </c>
      <c r="B1" s="307"/>
    </row>
    <row r="2" spans="1:3" x14ac:dyDescent="0.25">
      <c r="A2" s="308" t="s">
        <v>1</v>
      </c>
      <c r="B2" s="308"/>
    </row>
    <row r="3" spans="1:3" ht="166.9" customHeight="1" x14ac:dyDescent="0.25">
      <c r="A3" s="306" t="s">
        <v>217</v>
      </c>
      <c r="B3" s="306"/>
    </row>
    <row r="4" spans="1:3" x14ac:dyDescent="0.25">
      <c r="B4" s="47"/>
    </row>
    <row r="5" spans="1:3" ht="15.75" x14ac:dyDescent="0.25">
      <c r="A5" s="116" t="s">
        <v>2</v>
      </c>
      <c r="B5" s="26" t="s">
        <v>3</v>
      </c>
      <c r="C5" s="46"/>
    </row>
    <row r="6" spans="1:3" ht="15.75" x14ac:dyDescent="0.25">
      <c r="A6" s="116" t="s">
        <v>2</v>
      </c>
      <c r="B6" s="46" t="s">
        <v>4</v>
      </c>
      <c r="C6" s="46"/>
    </row>
    <row r="7" spans="1:3" ht="15.75" x14ac:dyDescent="0.25">
      <c r="A7" s="115" t="s">
        <v>5</v>
      </c>
      <c r="B7" s="46" t="s">
        <v>6</v>
      </c>
      <c r="C7" s="46"/>
    </row>
    <row r="8" spans="1:3" ht="15.75" x14ac:dyDescent="0.25">
      <c r="A8" s="116" t="s">
        <v>2</v>
      </c>
      <c r="B8" s="26" t="s">
        <v>7</v>
      </c>
      <c r="C8" s="46"/>
    </row>
    <row r="9" spans="1:3" ht="15.75" x14ac:dyDescent="0.25">
      <c r="A9" s="116" t="s">
        <v>2</v>
      </c>
      <c r="B9" s="26" t="s">
        <v>8</v>
      </c>
      <c r="C9" s="46"/>
    </row>
    <row r="10" spans="1:3" ht="15.75" x14ac:dyDescent="0.25">
      <c r="A10" s="116" t="s">
        <v>2</v>
      </c>
      <c r="B10" s="26" t="s">
        <v>9</v>
      </c>
      <c r="C10" s="46"/>
    </row>
    <row r="11" spans="1:3" ht="15.75" x14ac:dyDescent="0.25">
      <c r="A11" s="116" t="s">
        <v>2</v>
      </c>
      <c r="B11" s="26" t="s">
        <v>10</v>
      </c>
      <c r="C11" s="46"/>
    </row>
    <row r="12" spans="1:3" ht="15.75" x14ac:dyDescent="0.25">
      <c r="A12" s="116" t="s">
        <v>2</v>
      </c>
      <c r="B12" s="46" t="s">
        <v>11</v>
      </c>
      <c r="C12" s="46"/>
    </row>
    <row r="13" spans="1:3" x14ac:dyDescent="0.25">
      <c r="C13" s="28"/>
    </row>
    <row r="14" spans="1:3" x14ac:dyDescent="0.25">
      <c r="C14" s="28"/>
    </row>
    <row r="15" spans="1:3" x14ac:dyDescent="0.25">
      <c r="C15"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199</v>
      </c>
    </row>
    <row r="3" spans="2:5" x14ac:dyDescent="0.25">
      <c r="B3" t="s">
        <v>200</v>
      </c>
      <c r="C3" t="s">
        <v>201</v>
      </c>
      <c r="D3" t="s">
        <v>169</v>
      </c>
      <c r="E3" t="s">
        <v>168</v>
      </c>
    </row>
    <row r="4" spans="2:5" x14ac:dyDescent="0.25">
      <c r="B4" s="16" t="s">
        <v>202</v>
      </c>
      <c r="C4" s="25">
        <v>180</v>
      </c>
      <c r="D4" s="25">
        <v>100</v>
      </c>
      <c r="E4" s="16" t="s">
        <v>203</v>
      </c>
    </row>
    <row r="5" spans="2:5" x14ac:dyDescent="0.25">
      <c r="B5" s="16" t="s">
        <v>204</v>
      </c>
      <c r="C5" s="25">
        <v>163</v>
      </c>
      <c r="D5" s="25">
        <v>100</v>
      </c>
      <c r="E5" s="25">
        <v>85</v>
      </c>
    </row>
    <row r="6" spans="2:5" x14ac:dyDescent="0.25">
      <c r="B6" s="16" t="s">
        <v>205</v>
      </c>
      <c r="C6" s="25">
        <v>186</v>
      </c>
      <c r="D6" s="25">
        <v>100</v>
      </c>
      <c r="E6" s="25">
        <v>58</v>
      </c>
    </row>
    <row r="7" spans="2:5" x14ac:dyDescent="0.25">
      <c r="B7" s="16" t="s">
        <v>206</v>
      </c>
      <c r="C7" s="25">
        <v>92</v>
      </c>
      <c r="D7" s="25">
        <v>100</v>
      </c>
      <c r="E7" s="25">
        <v>52</v>
      </c>
    </row>
    <row r="8" spans="2:5" x14ac:dyDescent="0.25">
      <c r="B8" s="16" t="s">
        <v>207</v>
      </c>
      <c r="C8" s="25">
        <v>166</v>
      </c>
      <c r="D8" s="25">
        <v>100</v>
      </c>
      <c r="E8" s="25">
        <v>76</v>
      </c>
    </row>
    <row r="9" spans="2:5" x14ac:dyDescent="0.25">
      <c r="B9" s="16" t="s">
        <v>208</v>
      </c>
      <c r="C9" s="25">
        <v>130</v>
      </c>
      <c r="D9" s="25">
        <v>100</v>
      </c>
      <c r="E9" s="25">
        <v>75</v>
      </c>
    </row>
    <row r="10" spans="2:5" x14ac:dyDescent="0.25">
      <c r="B10" s="16" t="s">
        <v>209</v>
      </c>
      <c r="C10" s="25">
        <v>160</v>
      </c>
      <c r="D10" s="25">
        <v>100</v>
      </c>
      <c r="E10" s="25">
        <v>79</v>
      </c>
    </row>
    <row r="11" spans="2:5" x14ac:dyDescent="0.25">
      <c r="B11" s="16" t="s">
        <v>210</v>
      </c>
      <c r="C11" s="25">
        <v>120</v>
      </c>
      <c r="D11" s="25">
        <v>100</v>
      </c>
      <c r="E11" s="25">
        <v>81</v>
      </c>
    </row>
    <row r="12" spans="2:5" x14ac:dyDescent="0.25">
      <c r="B12" s="16" t="s">
        <v>211</v>
      </c>
      <c r="C12" s="25">
        <v>160</v>
      </c>
      <c r="D12" s="25">
        <v>100</v>
      </c>
      <c r="E12" s="25">
        <v>72</v>
      </c>
    </row>
    <row r="13" spans="2:5" x14ac:dyDescent="0.25">
      <c r="B13" s="16" t="s">
        <v>212</v>
      </c>
      <c r="C13" s="25">
        <v>150</v>
      </c>
      <c r="D13" s="25">
        <v>100</v>
      </c>
      <c r="E13" s="16">
        <v>55</v>
      </c>
    </row>
    <row r="14" spans="2:5" x14ac:dyDescent="0.25">
      <c r="B14" s="16" t="s">
        <v>213</v>
      </c>
      <c r="C14" s="25">
        <v>264</v>
      </c>
      <c r="D14" s="25">
        <v>100</v>
      </c>
      <c r="E14" s="25">
        <v>44</v>
      </c>
    </row>
    <row r="15" spans="2:5" x14ac:dyDescent="0.25">
      <c r="B15" s="16" t="s">
        <v>214</v>
      </c>
      <c r="C15" s="25">
        <v>178</v>
      </c>
      <c r="D15" s="25">
        <v>100</v>
      </c>
      <c r="E15" s="25">
        <v>108</v>
      </c>
    </row>
    <row r="16" spans="2:5" x14ac:dyDescent="0.25">
      <c r="B16" s="16" t="s">
        <v>215</v>
      </c>
      <c r="C16" s="25">
        <v>185</v>
      </c>
      <c r="D16" s="25">
        <v>100</v>
      </c>
      <c r="E16" s="25">
        <v>89</v>
      </c>
    </row>
    <row r="17" spans="2:5" x14ac:dyDescent="0.25">
      <c r="B17" s="16" t="s">
        <v>216</v>
      </c>
      <c r="C17" s="25">
        <v>228</v>
      </c>
      <c r="D17" s="25">
        <v>100</v>
      </c>
      <c r="E17" s="25">
        <v>76</v>
      </c>
    </row>
  </sheetData>
  <sortState xmlns:xlrd2="http://schemas.microsoft.com/office/spreadsheetml/2017/richdata2" ref="B4:E17">
    <sortCondition ref="B4:B1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theme="7"/>
  </sheetPr>
  <dimension ref="A2:W114"/>
  <sheetViews>
    <sheetView showGridLines="0" tabSelected="1" zoomScaleNormal="100" zoomScaleSheetLayoutView="80" workbookViewId="0">
      <selection activeCell="D18" sqref="D18:G18"/>
    </sheetView>
  </sheetViews>
  <sheetFormatPr defaultRowHeight="15" x14ac:dyDescent="0.25"/>
  <cols>
    <col min="1" max="1" width="14.42578125" customWidth="1"/>
    <col min="2" max="2" width="58.140625" customWidth="1"/>
    <col min="3" max="5" width="16.42578125" customWidth="1"/>
    <col min="6" max="8" width="18.2851562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310" t="s">
        <v>12</v>
      </c>
      <c r="C2" s="310"/>
      <c r="D2" s="310"/>
      <c r="E2" s="310"/>
      <c r="F2" s="310"/>
      <c r="G2" s="310"/>
      <c r="H2" s="310"/>
      <c r="I2" s="310"/>
      <c r="J2" s="310"/>
      <c r="K2" s="310"/>
      <c r="L2" s="310"/>
      <c r="M2" s="310"/>
      <c r="N2" s="310"/>
      <c r="O2" s="310"/>
    </row>
    <row r="3" spans="1:15" ht="21" x14ac:dyDescent="0.35">
      <c r="B3" s="311" t="s">
        <v>13</v>
      </c>
      <c r="C3" s="312"/>
      <c r="D3" s="312"/>
      <c r="E3" s="312"/>
      <c r="F3" s="312"/>
      <c r="G3" s="312"/>
      <c r="H3" s="312"/>
      <c r="I3" s="312"/>
      <c r="J3" s="312"/>
      <c r="K3" s="312"/>
      <c r="L3" s="312"/>
      <c r="M3" s="312"/>
      <c r="N3" s="312"/>
      <c r="O3" s="313"/>
    </row>
    <row r="4" spans="1:15" ht="21" x14ac:dyDescent="0.35">
      <c r="B4" s="317" t="s">
        <v>14</v>
      </c>
      <c r="C4" s="318"/>
      <c r="D4" s="318"/>
      <c r="E4" s="318"/>
      <c r="F4" s="318"/>
      <c r="G4" s="318"/>
      <c r="H4" s="318"/>
      <c r="I4" s="318"/>
      <c r="J4" s="318"/>
      <c r="K4" s="318"/>
      <c r="L4" s="318"/>
      <c r="M4" s="318"/>
      <c r="N4" s="318"/>
      <c r="O4" s="319"/>
    </row>
    <row r="6" spans="1:15" ht="18.75" x14ac:dyDescent="0.3">
      <c r="B6" s="314" t="s">
        <v>15</v>
      </c>
      <c r="C6" s="315"/>
      <c r="D6" s="315"/>
      <c r="E6" s="315"/>
      <c r="F6" s="315"/>
      <c r="G6" s="315"/>
      <c r="H6" s="315"/>
      <c r="I6" s="315"/>
      <c r="J6" s="315"/>
      <c r="K6" s="315"/>
      <c r="L6" s="315"/>
      <c r="M6" s="315"/>
      <c r="N6" s="315"/>
      <c r="O6" s="316"/>
    </row>
    <row r="7" spans="1:15" s="59" customFormat="1" ht="18.75" x14ac:dyDescent="0.3">
      <c r="B7" s="58"/>
      <c r="C7" s="58"/>
      <c r="D7" s="58"/>
      <c r="E7" s="58"/>
      <c r="F7" s="58"/>
      <c r="G7" s="58"/>
      <c r="H7" s="58"/>
      <c r="I7" s="58"/>
      <c r="J7" s="58"/>
      <c r="K7" s="58"/>
      <c r="L7" s="58"/>
      <c r="M7" s="58"/>
      <c r="N7" s="58"/>
      <c r="O7" s="58"/>
    </row>
    <row r="8" spans="1:15" ht="18.75" x14ac:dyDescent="0.3">
      <c r="B8" s="100" t="s">
        <v>16</v>
      </c>
      <c r="C8" s="4"/>
    </row>
    <row r="9" spans="1:15" ht="22.15" customHeight="1" x14ac:dyDescent="0.3">
      <c r="B9" s="4"/>
      <c r="C9" s="4"/>
      <c r="E9" s="87"/>
      <c r="F9" s="87"/>
      <c r="G9" s="87"/>
      <c r="H9" s="87"/>
      <c r="I9" s="87"/>
      <c r="K9" s="28"/>
    </row>
    <row r="10" spans="1:15" s="107" customFormat="1" ht="30" x14ac:dyDescent="0.25">
      <c r="B10" s="105" t="s">
        <v>17</v>
      </c>
      <c r="C10" s="105" t="s">
        <v>18</v>
      </c>
      <c r="D10" s="105" t="s">
        <v>19</v>
      </c>
      <c r="E10" s="105" t="s">
        <v>20</v>
      </c>
      <c r="F10" s="105" t="s">
        <v>21</v>
      </c>
      <c r="G10" s="105" t="s">
        <v>221</v>
      </c>
      <c r="H10" s="105" t="s">
        <v>242</v>
      </c>
      <c r="I10" s="106"/>
      <c r="J10" s="108"/>
    </row>
    <row r="11" spans="1:15" x14ac:dyDescent="0.25">
      <c r="B11" s="5" t="s">
        <v>22</v>
      </c>
      <c r="C11" s="92">
        <f>SUM(D11:H11)</f>
        <v>76189785.999999985</v>
      </c>
      <c r="D11" s="98">
        <v>29580024.539999988</v>
      </c>
      <c r="E11" s="99">
        <f>4846737.16+4820035</f>
        <v>9666772.1600000001</v>
      </c>
      <c r="F11" s="99">
        <v>34868406.489999995</v>
      </c>
      <c r="G11" s="99">
        <v>1619582.8100000008</v>
      </c>
      <c r="H11" s="99">
        <v>455000</v>
      </c>
      <c r="J11" s="28"/>
    </row>
    <row r="12" spans="1:15" ht="14.45" customHeight="1" x14ac:dyDescent="0.25">
      <c r="A12" s="320"/>
      <c r="B12" s="8" t="s">
        <v>57</v>
      </c>
      <c r="C12" s="92">
        <f>SUM(D12:H12)</f>
        <v>3671396.8114373651</v>
      </c>
      <c r="D12" s="93">
        <v>1643760.7469387033</v>
      </c>
      <c r="E12" s="94"/>
      <c r="F12" s="93">
        <v>1937635.9143671198</v>
      </c>
      <c r="G12" s="93">
        <v>90000.150131541654</v>
      </c>
      <c r="H12" s="95"/>
      <c r="I12" s="293"/>
      <c r="L12" s="22"/>
      <c r="M12" s="23"/>
    </row>
    <row r="13" spans="1:15" x14ac:dyDescent="0.25">
      <c r="A13" s="320"/>
      <c r="B13" s="8" t="s">
        <v>58</v>
      </c>
      <c r="C13" s="92">
        <f>SUM(D13:H13)</f>
        <v>0</v>
      </c>
      <c r="D13" s="93"/>
      <c r="E13" s="94"/>
      <c r="F13" s="95"/>
      <c r="G13" s="95"/>
      <c r="H13" s="95"/>
      <c r="L13" s="22"/>
      <c r="M13" s="23"/>
    </row>
    <row r="14" spans="1:15" x14ac:dyDescent="0.25">
      <c r="A14" s="320"/>
      <c r="B14" s="8" t="s">
        <v>59</v>
      </c>
      <c r="C14" s="92">
        <f>SUM(D14:H14)</f>
        <v>4234792.9335109564</v>
      </c>
      <c r="D14" s="93">
        <v>1653999.2454071587</v>
      </c>
      <c r="E14" s="94">
        <v>540528.07956740586</v>
      </c>
      <c r="F14" s="95">
        <v>1949704.8741464664</v>
      </c>
      <c r="G14" s="95">
        <v>90560.734389925157</v>
      </c>
      <c r="H14" s="95"/>
      <c r="L14" s="22"/>
      <c r="M14" s="23"/>
    </row>
    <row r="15" spans="1:15" x14ac:dyDescent="0.25">
      <c r="A15" s="320"/>
      <c r="B15" s="8" t="s">
        <v>60</v>
      </c>
      <c r="C15" s="92">
        <f t="shared" ref="C15:C19" si="0">SUM(D15:H15)</f>
        <v>156744.20000000019</v>
      </c>
      <c r="D15" s="93"/>
      <c r="E15" s="94">
        <v>156744.20000000019</v>
      </c>
      <c r="F15" s="95"/>
      <c r="G15" s="95"/>
      <c r="H15" s="95"/>
      <c r="L15" s="22"/>
      <c r="M15" s="23"/>
    </row>
    <row r="16" spans="1:15" x14ac:dyDescent="0.25">
      <c r="A16" s="320"/>
      <c r="B16" s="10" t="s">
        <v>25</v>
      </c>
      <c r="C16" s="92">
        <f t="shared" si="0"/>
        <v>314196.99000000005</v>
      </c>
      <c r="D16" s="93">
        <v>121984.26</v>
      </c>
      <c r="E16" s="94">
        <v>41740.9</v>
      </c>
      <c r="F16" s="96">
        <v>143792.88</v>
      </c>
      <c r="G16" s="96">
        <v>6678.95</v>
      </c>
      <c r="H16" s="96"/>
      <c r="L16" s="22"/>
      <c r="M16" s="23"/>
    </row>
    <row r="17" spans="1:23" x14ac:dyDescent="0.25">
      <c r="A17" s="320"/>
      <c r="B17" s="10" t="s">
        <v>26</v>
      </c>
      <c r="C17" s="92">
        <f t="shared" si="0"/>
        <v>0</v>
      </c>
      <c r="D17" s="93"/>
      <c r="E17" s="94"/>
      <c r="F17" s="95"/>
      <c r="G17" s="95"/>
      <c r="H17" s="95"/>
      <c r="L17" s="22"/>
      <c r="M17" s="23"/>
    </row>
    <row r="18" spans="1:23" x14ac:dyDescent="0.25">
      <c r="A18" s="320"/>
      <c r="B18" s="10" t="s">
        <v>27</v>
      </c>
      <c r="C18" s="92">
        <f t="shared" si="0"/>
        <v>3148552.5850516986</v>
      </c>
      <c r="D18" s="93">
        <v>-4336913.2170458511</v>
      </c>
      <c r="E18" s="94">
        <v>289278.14903259464</v>
      </c>
      <c r="F18" s="95">
        <v>5698049.5121864229</v>
      </c>
      <c r="G18" s="95">
        <v>1498138.1408785321</v>
      </c>
      <c r="H18" s="95"/>
      <c r="I18" s="14"/>
      <c r="L18" s="22"/>
      <c r="M18" s="23"/>
    </row>
    <row r="19" spans="1:23" x14ac:dyDescent="0.25">
      <c r="A19" s="320"/>
      <c r="B19" s="10" t="s">
        <v>61</v>
      </c>
      <c r="C19" s="92">
        <f t="shared" si="0"/>
        <v>-1739579.7599999993</v>
      </c>
      <c r="D19" s="93">
        <v>-238070.44530000002</v>
      </c>
      <c r="E19" s="94">
        <v>-48301.7886</v>
      </c>
      <c r="F19" s="95">
        <v>-782721.47069999995</v>
      </c>
      <c r="G19" s="95">
        <v>-670486.05539999949</v>
      </c>
      <c r="H19" s="95"/>
      <c r="I19" s="14"/>
      <c r="L19" s="22"/>
      <c r="M19" s="23"/>
    </row>
    <row r="20" spans="1:23" x14ac:dyDescent="0.25">
      <c r="B20" s="91" t="s">
        <v>263</v>
      </c>
      <c r="C20" s="92">
        <f>SUM(D20:H20)</f>
        <v>414630</v>
      </c>
      <c r="D20" s="93">
        <v>160976.51</v>
      </c>
      <c r="E20" s="94">
        <v>55083.37</v>
      </c>
      <c r="F20" s="96">
        <v>189756.24</v>
      </c>
      <c r="G20" s="96">
        <v>8813.8799999999992</v>
      </c>
      <c r="H20" s="96"/>
      <c r="O20" s="22"/>
      <c r="P20" s="23"/>
    </row>
    <row r="21" spans="1:23" x14ac:dyDescent="0.25">
      <c r="B21" s="91" t="s">
        <v>28</v>
      </c>
      <c r="C21" s="92">
        <f>SUM(D21:H21)</f>
        <v>0</v>
      </c>
      <c r="D21" s="93"/>
      <c r="E21" s="94"/>
      <c r="F21" s="96"/>
      <c r="G21" s="96"/>
      <c r="H21" s="96"/>
      <c r="O21" s="22"/>
      <c r="P21" s="23"/>
    </row>
    <row r="22" spans="1:23" x14ac:dyDescent="0.25">
      <c r="B22" s="91" t="s">
        <v>28</v>
      </c>
      <c r="C22" s="92">
        <f>SUM(D22:H22)</f>
        <v>0</v>
      </c>
      <c r="D22" s="93"/>
      <c r="E22" s="94"/>
      <c r="F22" s="96"/>
      <c r="G22" s="96"/>
      <c r="H22" s="96"/>
      <c r="O22" s="22"/>
      <c r="P22" s="23"/>
    </row>
    <row r="23" spans="1:23" x14ac:dyDescent="0.25">
      <c r="B23" s="11" t="s">
        <v>29</v>
      </c>
      <c r="C23" s="6">
        <f t="shared" ref="C23:H23" si="1">SUM(C11:C22)</f>
        <v>86390519.760000005</v>
      </c>
      <c r="D23" s="55">
        <f t="shared" si="1"/>
        <v>28585761.640000001</v>
      </c>
      <c r="E23" s="55">
        <f t="shared" si="1"/>
        <v>10701845.07</v>
      </c>
      <c r="F23" s="55">
        <f t="shared" si="1"/>
        <v>44004624.440000005</v>
      </c>
      <c r="G23" s="55">
        <f t="shared" si="1"/>
        <v>2643288.61</v>
      </c>
      <c r="H23" s="55">
        <f t="shared" si="1"/>
        <v>455000</v>
      </c>
      <c r="O23" s="22"/>
      <c r="P23" s="23"/>
    </row>
    <row r="24" spans="1:23" x14ac:dyDescent="0.25">
      <c r="C24" s="14"/>
      <c r="D24" s="15"/>
      <c r="O24" s="22"/>
      <c r="P24" s="23"/>
    </row>
    <row r="25" spans="1:23" x14ac:dyDescent="0.25">
      <c r="B25" s="29" t="s">
        <v>30</v>
      </c>
      <c r="C25" s="67">
        <f t="shared" ref="C25:H25" si="2">+C23-C11</f>
        <v>10200733.76000002</v>
      </c>
      <c r="D25" s="19">
        <f t="shared" si="2"/>
        <v>-994262.89999998733</v>
      </c>
      <c r="E25" s="19">
        <f t="shared" si="2"/>
        <v>1035072.9100000001</v>
      </c>
      <c r="F25" s="19">
        <f t="shared" si="2"/>
        <v>9136217.9500000104</v>
      </c>
      <c r="G25" s="19">
        <f t="shared" si="2"/>
        <v>1023705.7999999991</v>
      </c>
      <c r="H25" s="19">
        <f t="shared" si="2"/>
        <v>0</v>
      </c>
      <c r="O25" s="22"/>
      <c r="P25" s="23"/>
    </row>
    <row r="26" spans="1:23" x14ac:dyDescent="0.25">
      <c r="B26" s="56" t="s">
        <v>31</v>
      </c>
      <c r="C26" s="57">
        <f>C25/C11</f>
        <v>0.13388584343838453</v>
      </c>
      <c r="D26" s="57">
        <f t="shared" ref="D26:H26" si="3">D25/D11</f>
        <v>-3.3612646218581795E-2</v>
      </c>
      <c r="E26" s="57">
        <f t="shared" si="3"/>
        <v>0.1070753394067788</v>
      </c>
      <c r="F26" s="57">
        <f t="shared" si="3"/>
        <v>0.26201994497856423</v>
      </c>
      <c r="G26" s="57">
        <f t="shared" si="3"/>
        <v>0.63207993668443463</v>
      </c>
      <c r="H26" s="57">
        <f t="shared" si="3"/>
        <v>0</v>
      </c>
      <c r="O26" s="22"/>
      <c r="P26" s="23"/>
    </row>
    <row r="27" spans="1:23" x14ac:dyDescent="0.25">
      <c r="B27" s="213"/>
      <c r="C27" s="62"/>
      <c r="D27" s="62"/>
      <c r="E27" s="62"/>
      <c r="F27" s="62"/>
      <c r="G27" s="62"/>
      <c r="H27" s="62"/>
      <c r="O27" s="22"/>
      <c r="P27" s="23"/>
    </row>
    <row r="28" spans="1:23" x14ac:dyDescent="0.25">
      <c r="B28" s="29" t="s">
        <v>32</v>
      </c>
      <c r="C28" s="67">
        <f>'5. Vaccine Clinics and Testing'!D23</f>
        <v>0</v>
      </c>
      <c r="D28" s="62"/>
      <c r="E28" s="62"/>
      <c r="F28" s="62"/>
      <c r="G28" s="62"/>
      <c r="H28" s="62"/>
      <c r="O28" s="22"/>
      <c r="P28" s="23"/>
    </row>
    <row r="29" spans="1:23" ht="30" x14ac:dyDescent="0.25">
      <c r="B29" s="214" t="s">
        <v>33</v>
      </c>
      <c r="C29" s="215">
        <f>C23-C28</f>
        <v>86390519.760000005</v>
      </c>
      <c r="D29" s="15"/>
      <c r="E29" s="15"/>
      <c r="K29" s="23"/>
      <c r="L29" s="23"/>
      <c r="M29" s="14"/>
      <c r="N29" s="24"/>
      <c r="V29" s="22"/>
      <c r="W29" s="23"/>
    </row>
    <row r="30" spans="1:23" x14ac:dyDescent="0.25">
      <c r="B30" s="213"/>
      <c r="C30" s="62"/>
      <c r="D30" s="15"/>
      <c r="E30" s="15"/>
      <c r="K30" s="23"/>
      <c r="L30" s="23"/>
      <c r="M30" s="14"/>
      <c r="N30" s="24"/>
      <c r="V30" s="22"/>
      <c r="W30" s="23"/>
    </row>
    <row r="31" spans="1:23" x14ac:dyDescent="0.25">
      <c r="B31" s="29" t="s">
        <v>34</v>
      </c>
      <c r="C31" s="67">
        <f>C29-C11</f>
        <v>10200733.76000002</v>
      </c>
      <c r="D31" s="15"/>
      <c r="E31" s="15"/>
      <c r="O31" s="22"/>
      <c r="P31" s="23"/>
    </row>
    <row r="32" spans="1:23" x14ac:dyDescent="0.25">
      <c r="B32" s="56" t="s">
        <v>35</v>
      </c>
      <c r="C32" s="57">
        <f>C31/C11</f>
        <v>0.13388584343838453</v>
      </c>
      <c r="D32" s="15"/>
      <c r="E32" s="15"/>
      <c r="O32" s="22"/>
      <c r="P32" s="23"/>
    </row>
    <row r="33" spans="2:23" x14ac:dyDescent="0.25">
      <c r="B33" s="213"/>
      <c r="C33" s="62"/>
      <c r="D33" s="62"/>
      <c r="E33" s="62"/>
      <c r="F33" s="62"/>
      <c r="G33" s="62"/>
      <c r="H33" s="62"/>
      <c r="O33" s="22"/>
      <c r="P33" s="23"/>
    </row>
    <row r="34" spans="2:23" ht="28.15" customHeight="1" x14ac:dyDescent="0.3">
      <c r="B34" s="100" t="s">
        <v>36</v>
      </c>
      <c r="C34" s="4"/>
      <c r="D34" s="15"/>
      <c r="E34" s="15"/>
      <c r="V34" s="22"/>
      <c r="W34" s="23"/>
    </row>
    <row r="35" spans="2:23" ht="18.75" x14ac:dyDescent="0.3">
      <c r="B35" s="100"/>
      <c r="C35" s="4"/>
      <c r="D35" s="15"/>
      <c r="E35" s="15"/>
      <c r="V35" s="22"/>
      <c r="W35" s="23"/>
    </row>
    <row r="36" spans="2:23" s="90" customFormat="1" x14ac:dyDescent="0.25">
      <c r="B36" s="102" t="s">
        <v>37</v>
      </c>
      <c r="C36" s="102" t="s">
        <v>38</v>
      </c>
      <c r="D36" s="102" t="s">
        <v>39</v>
      </c>
      <c r="E36" s="53"/>
      <c r="V36" s="103"/>
      <c r="W36" s="104"/>
    </row>
    <row r="37" spans="2:23" x14ac:dyDescent="0.25">
      <c r="B37" s="5" t="s">
        <v>40</v>
      </c>
      <c r="C37" s="92">
        <v>76579874</v>
      </c>
      <c r="D37" s="7"/>
      <c r="E37" s="62"/>
      <c r="V37" s="22"/>
      <c r="W37" s="23"/>
    </row>
    <row r="38" spans="2:23" x14ac:dyDescent="0.25">
      <c r="B38" s="8" t="s">
        <v>41</v>
      </c>
      <c r="C38" s="97">
        <v>2779181.67</v>
      </c>
      <c r="D38" s="9">
        <f>+C38/C$37</f>
        <v>3.6291280265099417E-2</v>
      </c>
      <c r="E38" s="54"/>
      <c r="V38" s="22"/>
    </row>
    <row r="39" spans="2:23" x14ac:dyDescent="0.25">
      <c r="B39" s="10" t="s">
        <v>42</v>
      </c>
      <c r="C39" s="278">
        <f>'4. Inflation'!D16</f>
        <v>2443597.38</v>
      </c>
      <c r="D39" s="9">
        <f t="shared" ref="D39:D51" si="4">+C39/C$37</f>
        <v>3.1909132940072478E-2</v>
      </c>
      <c r="E39" s="279" t="s">
        <v>243</v>
      </c>
      <c r="V39" s="22"/>
    </row>
    <row r="40" spans="2:23" x14ac:dyDescent="0.25">
      <c r="B40" s="10" t="s">
        <v>43</v>
      </c>
      <c r="C40" s="97">
        <v>-123137.65</v>
      </c>
      <c r="D40" s="9">
        <f t="shared" si="4"/>
        <v>-1.6079636015071009E-3</v>
      </c>
      <c r="E40" s="54"/>
      <c r="V40" s="22"/>
    </row>
    <row r="41" spans="2:23" x14ac:dyDescent="0.25">
      <c r="B41" s="10" t="s">
        <v>44</v>
      </c>
      <c r="C41" s="97">
        <v>933147.42</v>
      </c>
      <c r="D41" s="9">
        <f t="shared" si="4"/>
        <v>1.2185282780695096E-2</v>
      </c>
      <c r="E41" s="54"/>
      <c r="V41" s="22"/>
    </row>
    <row r="42" spans="2:23" x14ac:dyDescent="0.25">
      <c r="B42" s="10" t="s">
        <v>45</v>
      </c>
      <c r="C42" s="97">
        <v>0</v>
      </c>
      <c r="D42" s="9">
        <f t="shared" si="4"/>
        <v>0</v>
      </c>
      <c r="E42" s="54"/>
      <c r="V42" s="22"/>
    </row>
    <row r="43" spans="2:23" x14ac:dyDescent="0.25">
      <c r="B43" s="10" t="s">
        <v>46</v>
      </c>
      <c r="C43" s="97">
        <v>0</v>
      </c>
      <c r="D43" s="9">
        <f t="shared" si="4"/>
        <v>0</v>
      </c>
      <c r="E43" s="54"/>
      <c r="V43" s="22"/>
    </row>
    <row r="44" spans="2:23" x14ac:dyDescent="0.25">
      <c r="B44" s="10" t="s">
        <v>47</v>
      </c>
      <c r="C44" s="97">
        <v>628170.99</v>
      </c>
      <c r="D44" s="9">
        <f t="shared" si="4"/>
        <v>8.2028208873783214E-3</v>
      </c>
      <c r="E44" s="54"/>
    </row>
    <row r="45" spans="2:23" x14ac:dyDescent="0.25">
      <c r="B45" s="10" t="s">
        <v>48</v>
      </c>
      <c r="C45" s="97">
        <v>653516.28</v>
      </c>
      <c r="D45" s="9">
        <f t="shared" si="4"/>
        <v>8.5337863052634428E-3</v>
      </c>
      <c r="E45" s="54"/>
    </row>
    <row r="46" spans="2:23" x14ac:dyDescent="0.25">
      <c r="B46" s="10" t="s">
        <v>49</v>
      </c>
      <c r="C46" s="97"/>
      <c r="D46" s="9">
        <f>+C46/C$37</f>
        <v>0</v>
      </c>
      <c r="E46" s="80"/>
    </row>
    <row r="47" spans="2:23" x14ac:dyDescent="0.25">
      <c r="B47" s="91" t="s">
        <v>250</v>
      </c>
      <c r="C47" s="97">
        <v>1106053.5</v>
      </c>
      <c r="D47" s="9">
        <f t="shared" ref="D47:D48" si="5">+C47/C$37</f>
        <v>1.4443135542375011E-2</v>
      </c>
      <c r="E47" s="54"/>
    </row>
    <row r="48" spans="2:23" x14ac:dyDescent="0.25">
      <c r="B48" s="91" t="s">
        <v>251</v>
      </c>
      <c r="C48" s="97">
        <v>998205.12</v>
      </c>
      <c r="D48" s="9">
        <f t="shared" si="5"/>
        <v>1.3034823222613293E-2</v>
      </c>
      <c r="E48" s="54"/>
    </row>
    <row r="49" spans="2:23" x14ac:dyDescent="0.25">
      <c r="B49" s="91" t="s">
        <v>252</v>
      </c>
      <c r="C49" s="97">
        <v>522597.12000000011</v>
      </c>
      <c r="D49" s="9">
        <f>+C49/C$37</f>
        <v>6.8242097133771745E-3</v>
      </c>
      <c r="E49" s="54"/>
    </row>
    <row r="50" spans="2:23" x14ac:dyDescent="0.25">
      <c r="B50" s="91" t="s">
        <v>28</v>
      </c>
      <c r="C50" s="97">
        <v>-142224.10999999999</v>
      </c>
      <c r="D50" s="9">
        <f t="shared" ref="D50" si="6">+C50/C$37</f>
        <v>-1.8571995822296598E-3</v>
      </c>
      <c r="E50" s="54"/>
    </row>
    <row r="51" spans="2:23" x14ac:dyDescent="0.25">
      <c r="B51" s="91" t="s">
        <v>50</v>
      </c>
      <c r="C51" s="97"/>
      <c r="D51" s="9">
        <f t="shared" si="4"/>
        <v>0</v>
      </c>
      <c r="E51" s="54"/>
    </row>
    <row r="52" spans="2:23" x14ac:dyDescent="0.25">
      <c r="B52" s="11" t="s">
        <v>51</v>
      </c>
      <c r="C52" s="12">
        <f>SUM(C37:C51)</f>
        <v>86378981.719999999</v>
      </c>
      <c r="D52" s="13">
        <f>SUM(D38:D51)</f>
        <v>0.1279593084731375</v>
      </c>
      <c r="E52" s="80"/>
    </row>
    <row r="53" spans="2:23" x14ac:dyDescent="0.25">
      <c r="B53" s="88"/>
      <c r="C53" s="89"/>
      <c r="D53" s="80"/>
      <c r="E53" s="80"/>
    </row>
    <row r="54" spans="2:23" x14ac:dyDescent="0.25">
      <c r="B54" s="29" t="s">
        <v>30</v>
      </c>
      <c r="C54" s="67">
        <f>+C52-C37</f>
        <v>9799107.7199999988</v>
      </c>
      <c r="D54" s="80"/>
      <c r="E54" s="80"/>
    </row>
    <row r="55" spans="2:23" x14ac:dyDescent="0.25">
      <c r="B55" s="56" t="s">
        <v>31</v>
      </c>
      <c r="C55" s="57">
        <f>C54/C37</f>
        <v>0.12795930847313747</v>
      </c>
      <c r="D55" s="80"/>
      <c r="E55" s="80"/>
    </row>
    <row r="56" spans="2:23" x14ac:dyDescent="0.25">
      <c r="B56" s="213"/>
      <c r="C56" s="62"/>
      <c r="D56" s="62"/>
      <c r="E56" s="62"/>
      <c r="F56" s="62"/>
      <c r="G56" s="62"/>
      <c r="H56" s="62"/>
      <c r="O56" s="22"/>
      <c r="P56" s="23"/>
    </row>
    <row r="57" spans="2:23" x14ac:dyDescent="0.25">
      <c r="B57" s="29" t="s">
        <v>32</v>
      </c>
      <c r="C57" s="67">
        <f>'5. Vaccine Clinics and Testing'!D36</f>
        <v>0</v>
      </c>
      <c r="D57" s="62"/>
      <c r="E57" s="62"/>
      <c r="F57" s="62"/>
      <c r="G57" s="62"/>
      <c r="H57" s="62"/>
      <c r="O57" s="22"/>
      <c r="P57" s="23"/>
    </row>
    <row r="58" spans="2:23" ht="30" x14ac:dyDescent="0.25">
      <c r="B58" s="214" t="s">
        <v>33</v>
      </c>
      <c r="C58" s="215">
        <f>C52-C57</f>
        <v>86378981.719999999</v>
      </c>
      <c r="D58" s="15"/>
      <c r="E58" s="15"/>
      <c r="K58" s="23"/>
      <c r="L58" s="23"/>
      <c r="M58" s="14"/>
      <c r="N58" s="24"/>
      <c r="V58" s="22"/>
      <c r="W58" s="23"/>
    </row>
    <row r="59" spans="2:23" x14ac:dyDescent="0.25">
      <c r="B59" s="213"/>
      <c r="C59" s="62"/>
      <c r="D59" s="15"/>
      <c r="E59" s="15"/>
      <c r="K59" s="23"/>
      <c r="L59" s="23"/>
      <c r="M59" s="14"/>
      <c r="N59" s="24"/>
      <c r="V59" s="22"/>
      <c r="W59" s="23"/>
    </row>
    <row r="60" spans="2:23" x14ac:dyDescent="0.25">
      <c r="B60" s="29" t="s">
        <v>34</v>
      </c>
      <c r="C60" s="67">
        <f>C58-C37</f>
        <v>9799107.7199999988</v>
      </c>
      <c r="D60" s="15"/>
      <c r="E60" s="15"/>
      <c r="O60" s="22"/>
      <c r="P60" s="23"/>
    </row>
    <row r="61" spans="2:23" x14ac:dyDescent="0.25">
      <c r="B61" s="56" t="s">
        <v>35</v>
      </c>
      <c r="C61" s="57">
        <f>C60/C37</f>
        <v>0.12795930847313747</v>
      </c>
      <c r="D61" s="15"/>
      <c r="E61" s="15"/>
      <c r="O61" s="22"/>
      <c r="P61" s="23"/>
    </row>
    <row r="62" spans="2:23" x14ac:dyDescent="0.25">
      <c r="B62" s="213"/>
      <c r="C62" s="62"/>
      <c r="D62" s="62"/>
      <c r="E62" s="62"/>
      <c r="F62" s="62"/>
      <c r="G62" s="62"/>
      <c r="H62" s="62"/>
      <c r="O62" s="22"/>
      <c r="P62" s="23"/>
    </row>
    <row r="64" spans="2:23" ht="18.75" x14ac:dyDescent="0.3">
      <c r="B64" s="314" t="s">
        <v>52</v>
      </c>
      <c r="C64" s="315"/>
      <c r="D64" s="315"/>
      <c r="E64" s="315"/>
      <c r="F64" s="315"/>
      <c r="G64" s="315"/>
      <c r="H64" s="315"/>
      <c r="I64" s="315"/>
      <c r="J64" s="315"/>
      <c r="K64" s="315"/>
      <c r="L64" s="315"/>
      <c r="M64" s="315"/>
      <c r="N64" s="315"/>
      <c r="O64" s="316"/>
      <c r="V64" s="22"/>
      <c r="W64" s="23"/>
    </row>
    <row r="65" spans="1:13" x14ac:dyDescent="0.25">
      <c r="B65" s="17"/>
    </row>
    <row r="66" spans="1:13" ht="18.75" x14ac:dyDescent="0.3">
      <c r="B66" s="100" t="s">
        <v>53</v>
      </c>
      <c r="C66" s="4"/>
    </row>
    <row r="67" spans="1:13" ht="18.75" x14ac:dyDescent="0.3">
      <c r="B67" s="100"/>
      <c r="C67" s="4"/>
    </row>
    <row r="68" spans="1:13" ht="18.75" x14ac:dyDescent="0.3">
      <c r="B68" s="100" t="s">
        <v>54</v>
      </c>
      <c r="C68" s="239" t="s">
        <v>55</v>
      </c>
    </row>
    <row r="69" spans="1:13" s="90" customFormat="1" ht="30" x14ac:dyDescent="0.25">
      <c r="B69" s="101" t="s">
        <v>17</v>
      </c>
      <c r="C69" s="101" t="s">
        <v>18</v>
      </c>
      <c r="D69" s="101" t="s">
        <v>19</v>
      </c>
      <c r="E69" s="101" t="s">
        <v>20</v>
      </c>
      <c r="F69" s="101" t="s">
        <v>21</v>
      </c>
      <c r="G69" s="101" t="s">
        <v>221</v>
      </c>
      <c r="H69" s="101" t="s">
        <v>242</v>
      </c>
    </row>
    <row r="70" spans="1:13" x14ac:dyDescent="0.25">
      <c r="B70" s="5" t="s">
        <v>56</v>
      </c>
      <c r="C70" s="92">
        <f>SUM(D70:H70)</f>
        <v>80381901.430000007</v>
      </c>
      <c r="D70" s="98">
        <v>22406869.399999999</v>
      </c>
      <c r="E70" s="99">
        <v>10910979.710000001</v>
      </c>
      <c r="F70" s="99">
        <v>43769275.600000001</v>
      </c>
      <c r="G70" s="99">
        <v>2794180.86</v>
      </c>
      <c r="H70" s="99">
        <v>500595.86</v>
      </c>
    </row>
    <row r="71" spans="1:13" ht="14.45" customHeight="1" x14ac:dyDescent="0.25">
      <c r="A71" s="309"/>
      <c r="B71" s="8" t="s">
        <v>57</v>
      </c>
      <c r="C71" s="92">
        <f>SUM(D71:H71)</f>
        <v>3448516.29</v>
      </c>
      <c r="D71" s="93">
        <v>1120343.47</v>
      </c>
      <c r="E71" s="94"/>
      <c r="F71" s="93">
        <v>2188463.7799999998</v>
      </c>
      <c r="G71" s="93">
        <v>139709.04</v>
      </c>
      <c r="H71" s="95"/>
      <c r="L71" s="22"/>
      <c r="M71" s="23"/>
    </row>
    <row r="72" spans="1:13" x14ac:dyDescent="0.25">
      <c r="A72" s="309"/>
      <c r="B72" s="8" t="s">
        <v>58</v>
      </c>
      <c r="C72" s="92">
        <f>SUM(D72:H72)</f>
        <v>-45595.86</v>
      </c>
      <c r="D72" s="93"/>
      <c r="E72" s="94"/>
      <c r="F72" s="95"/>
      <c r="G72" s="95"/>
      <c r="H72" s="95">
        <v>-45595.86</v>
      </c>
      <c r="L72" s="22"/>
      <c r="M72" s="23"/>
    </row>
    <row r="73" spans="1:13" x14ac:dyDescent="0.25">
      <c r="A73" s="309"/>
      <c r="B73" s="8" t="s">
        <v>59</v>
      </c>
      <c r="C73" s="92">
        <f>SUM(D73:H73)</f>
        <v>8137728.4799999986</v>
      </c>
      <c r="D73" s="93">
        <v>3248062.42</v>
      </c>
      <c r="E73" s="94">
        <v>1735662.9499999983</v>
      </c>
      <c r="F73" s="95">
        <v>2721397.62</v>
      </c>
      <c r="G73" s="95">
        <v>432605.49</v>
      </c>
      <c r="H73" s="95"/>
      <c r="L73" s="22"/>
      <c r="M73" s="23"/>
    </row>
    <row r="74" spans="1:13" x14ac:dyDescent="0.25">
      <c r="A74" s="309"/>
      <c r="B74" s="8" t="s">
        <v>60</v>
      </c>
      <c r="C74" s="92">
        <f t="shared" ref="C74:C81" si="7">SUM(D74:H74)</f>
        <v>36545.51</v>
      </c>
      <c r="D74" s="93"/>
      <c r="E74" s="94">
        <v>36545.51</v>
      </c>
      <c r="F74" s="95"/>
      <c r="G74" s="95"/>
      <c r="H74" s="95"/>
      <c r="L74" s="22"/>
      <c r="M74" s="23"/>
    </row>
    <row r="75" spans="1:13" x14ac:dyDescent="0.25">
      <c r="B75" s="10" t="s">
        <v>25</v>
      </c>
      <c r="C75" s="92">
        <f t="shared" si="7"/>
        <v>0</v>
      </c>
      <c r="D75" s="93"/>
      <c r="E75" s="94"/>
      <c r="F75" s="96"/>
      <c r="G75" s="96"/>
      <c r="H75" s="96"/>
      <c r="L75" s="22"/>
      <c r="M75" s="23"/>
    </row>
    <row r="76" spans="1:13" x14ac:dyDescent="0.25">
      <c r="B76" s="10" t="s">
        <v>26</v>
      </c>
      <c r="C76" s="92">
        <f t="shared" si="7"/>
        <v>0</v>
      </c>
      <c r="D76" s="93"/>
      <c r="E76" s="94"/>
      <c r="F76" s="95"/>
      <c r="G76" s="95"/>
      <c r="H76" s="95"/>
      <c r="L76" s="22"/>
      <c r="M76" s="23"/>
    </row>
    <row r="77" spans="1:13" x14ac:dyDescent="0.25">
      <c r="B77" s="10" t="s">
        <v>27</v>
      </c>
      <c r="C77" s="92">
        <f t="shared" si="7"/>
        <v>-4268952.990000003</v>
      </c>
      <c r="D77" s="93">
        <v>-1702752.1400000034</v>
      </c>
      <c r="E77" s="94">
        <v>-920307.27</v>
      </c>
      <c r="F77" s="95">
        <v>-1462149.3599999994</v>
      </c>
      <c r="G77" s="95">
        <v>-183744.22</v>
      </c>
      <c r="H77" s="95"/>
      <c r="L77" s="22"/>
      <c r="M77" s="23"/>
    </row>
    <row r="78" spans="1:13" x14ac:dyDescent="0.25">
      <c r="B78" s="10" t="s">
        <v>61</v>
      </c>
      <c r="C78" s="92">
        <f t="shared" si="7"/>
        <v>-1570159.98</v>
      </c>
      <c r="D78" s="93">
        <v>-279625.82</v>
      </c>
      <c r="E78" s="94">
        <v>-39673.9</v>
      </c>
      <c r="F78" s="95">
        <v>-688834.55</v>
      </c>
      <c r="G78" s="95">
        <v>-562025.71</v>
      </c>
      <c r="H78" s="95"/>
      <c r="L78" s="22"/>
      <c r="M78" s="23"/>
    </row>
    <row r="79" spans="1:13" x14ac:dyDescent="0.25">
      <c r="B79" s="91" t="s">
        <v>263</v>
      </c>
      <c r="C79" s="92">
        <f t="shared" si="7"/>
        <v>113439.01</v>
      </c>
      <c r="D79" s="93">
        <v>31621.71</v>
      </c>
      <c r="E79" s="94">
        <v>16104.599999999999</v>
      </c>
      <c r="F79" s="96">
        <v>61769.41</v>
      </c>
      <c r="G79" s="96">
        <v>3943.29</v>
      </c>
      <c r="H79" s="96"/>
      <c r="L79" s="22"/>
      <c r="M79" s="23"/>
    </row>
    <row r="80" spans="1:13" x14ac:dyDescent="0.25">
      <c r="B80" s="91" t="s">
        <v>264</v>
      </c>
      <c r="C80" s="92">
        <f t="shared" si="7"/>
        <v>157098</v>
      </c>
      <c r="D80" s="93">
        <v>43791.88</v>
      </c>
      <c r="E80" s="94">
        <v>22302.73</v>
      </c>
      <c r="F80" s="96">
        <v>85542.46</v>
      </c>
      <c r="G80" s="96">
        <v>5460.93</v>
      </c>
      <c r="H80" s="96"/>
      <c r="L80" s="22"/>
      <c r="M80" s="23"/>
    </row>
    <row r="81" spans="2:23" x14ac:dyDescent="0.25">
      <c r="B81" s="91" t="s">
        <v>28</v>
      </c>
      <c r="C81" s="92">
        <f t="shared" si="7"/>
        <v>0</v>
      </c>
      <c r="D81" s="93"/>
      <c r="E81" s="94"/>
      <c r="F81" s="96"/>
      <c r="G81" s="96"/>
      <c r="H81" s="96"/>
      <c r="L81" s="22"/>
      <c r="M81" s="23"/>
    </row>
    <row r="82" spans="2:23" x14ac:dyDescent="0.25">
      <c r="B82" s="11" t="s">
        <v>29</v>
      </c>
      <c r="C82" s="6">
        <f t="shared" ref="C82:H82" si="8">SUM(C70:C81)</f>
        <v>86390519.890000015</v>
      </c>
      <c r="D82" s="55">
        <f t="shared" si="8"/>
        <v>24868310.919999994</v>
      </c>
      <c r="E82" s="55">
        <f t="shared" si="8"/>
        <v>11761614.33</v>
      </c>
      <c r="F82" s="55">
        <f t="shared" si="8"/>
        <v>46675464.960000001</v>
      </c>
      <c r="G82" s="55">
        <f t="shared" si="8"/>
        <v>2630129.6799999997</v>
      </c>
      <c r="H82" s="55">
        <f t="shared" si="8"/>
        <v>455000</v>
      </c>
      <c r="L82" s="22"/>
      <c r="M82" s="23"/>
    </row>
    <row r="83" spans="2:23" x14ac:dyDescent="0.25">
      <c r="C83" s="14"/>
      <c r="D83" s="15"/>
      <c r="L83" s="22"/>
      <c r="M83" s="23"/>
    </row>
    <row r="84" spans="2:23" x14ac:dyDescent="0.25">
      <c r="B84" s="29" t="s">
        <v>62</v>
      </c>
      <c r="C84" s="67">
        <f>+C82-C70</f>
        <v>6008618.4600000083</v>
      </c>
      <c r="D84" s="67">
        <f t="shared" ref="D84:E84" si="9">+D82-D70</f>
        <v>2461441.5199999958</v>
      </c>
      <c r="E84" s="67">
        <f t="shared" si="9"/>
        <v>850634.61999999918</v>
      </c>
      <c r="F84" s="19">
        <f>+F82-F70</f>
        <v>2906189.3599999994</v>
      </c>
      <c r="G84" s="19">
        <f>+G82-G70</f>
        <v>-164051.18000000017</v>
      </c>
      <c r="H84" s="19">
        <f>+H82-H70</f>
        <v>-45595.859999999986</v>
      </c>
      <c r="L84" s="22"/>
      <c r="M84" s="23"/>
    </row>
    <row r="85" spans="2:23" x14ac:dyDescent="0.25">
      <c r="B85" s="56" t="s">
        <v>63</v>
      </c>
      <c r="C85" s="57">
        <f>C84/C70</f>
        <v>7.475088736526804E-2</v>
      </c>
      <c r="D85" s="57">
        <f t="shared" ref="D85:H85" si="10">D84/D70</f>
        <v>0.1098520938404718</v>
      </c>
      <c r="E85" s="57">
        <f t="shared" si="10"/>
        <v>7.796134193342745E-2</v>
      </c>
      <c r="F85" s="57">
        <f t="shared" si="10"/>
        <v>6.6397931429324347E-2</v>
      </c>
      <c r="G85" s="57">
        <f t="shared" si="10"/>
        <v>-5.8711725625377083E-2</v>
      </c>
      <c r="H85" s="57">
        <f t="shared" si="10"/>
        <v>-9.1083174359452332E-2</v>
      </c>
      <c r="L85" s="22"/>
      <c r="M85" s="23"/>
    </row>
    <row r="86" spans="2:23" x14ac:dyDescent="0.25">
      <c r="B86" s="213"/>
      <c r="C86" s="62"/>
      <c r="D86" s="15"/>
      <c r="E86" s="15"/>
      <c r="K86" s="23"/>
      <c r="L86" s="23"/>
      <c r="M86" s="14"/>
      <c r="N86" s="24"/>
      <c r="V86" s="22"/>
      <c r="W86" s="23"/>
    </row>
    <row r="87" spans="2:23" x14ac:dyDescent="0.25">
      <c r="B87" s="29" t="s">
        <v>64</v>
      </c>
      <c r="C87" s="67">
        <f>(C82-'5. Vaccine Clinics and Testing'!D23)-('1. Reconciliation'!C70-'5. Vaccine Clinics and Testing'!C23)</f>
        <v>7400050.0200000107</v>
      </c>
      <c r="D87" s="15"/>
      <c r="E87" s="15"/>
      <c r="O87" s="22"/>
      <c r="P87" s="23"/>
    </row>
    <row r="88" spans="2:23" x14ac:dyDescent="0.25">
      <c r="B88" s="56" t="s">
        <v>65</v>
      </c>
      <c r="C88" s="57">
        <f>(C87)/(C70-'5. Vaccine Clinics and Testing'!C23)</f>
        <v>9.3682820626067642E-2</v>
      </c>
      <c r="D88" s="15"/>
      <c r="E88" s="15"/>
      <c r="O88" s="22"/>
      <c r="P88" s="23"/>
    </row>
    <row r="89" spans="2:23" x14ac:dyDescent="0.25">
      <c r="B89" s="213"/>
      <c r="C89" s="62"/>
      <c r="D89" s="62"/>
      <c r="E89" s="62"/>
      <c r="F89" s="62"/>
      <c r="G89" s="62"/>
      <c r="H89" s="62"/>
      <c r="O89" s="22"/>
      <c r="P89" s="23"/>
    </row>
    <row r="90" spans="2:23" ht="19.899999999999999" customHeight="1" x14ac:dyDescent="0.3">
      <c r="B90" s="100" t="s">
        <v>66</v>
      </c>
      <c r="C90" s="4"/>
      <c r="D90" s="15"/>
      <c r="E90" s="15"/>
      <c r="V90" s="22"/>
      <c r="W90" s="23"/>
    </row>
    <row r="91" spans="2:23" ht="18.75" x14ac:dyDescent="0.3">
      <c r="B91" s="100"/>
      <c r="C91" s="4"/>
      <c r="D91" s="15"/>
      <c r="E91" s="15"/>
      <c r="V91" s="22"/>
      <c r="W91" s="23"/>
    </row>
    <row r="92" spans="2:23" x14ac:dyDescent="0.25">
      <c r="B92" s="102" t="s">
        <v>37</v>
      </c>
      <c r="C92" s="102" t="s">
        <v>38</v>
      </c>
      <c r="D92" s="102" t="s">
        <v>39</v>
      </c>
      <c r="E92" s="63"/>
      <c r="V92" s="22"/>
      <c r="W92" s="23"/>
    </row>
    <row r="93" spans="2:23" x14ac:dyDescent="0.25">
      <c r="B93" s="5" t="s">
        <v>56</v>
      </c>
      <c r="C93" s="92">
        <v>81687542</v>
      </c>
      <c r="D93" s="7"/>
      <c r="E93" s="62"/>
      <c r="V93" s="22"/>
      <c r="W93" s="23"/>
    </row>
    <row r="94" spans="2:23" x14ac:dyDescent="0.25">
      <c r="B94" s="8" t="s">
        <v>41</v>
      </c>
      <c r="C94" s="97"/>
      <c r="D94" s="9">
        <f>+C94/C$37</f>
        <v>0</v>
      </c>
      <c r="E94" s="64"/>
      <c r="V94" s="22"/>
    </row>
    <row r="95" spans="2:23" x14ac:dyDescent="0.25">
      <c r="B95" s="10" t="s">
        <v>42</v>
      </c>
      <c r="C95" s="97"/>
      <c r="D95" s="9">
        <f t="shared" ref="D95:D107" si="11">+C95/C$37</f>
        <v>0</v>
      </c>
      <c r="E95" s="64"/>
      <c r="V95" s="22"/>
    </row>
    <row r="96" spans="2:23" x14ac:dyDescent="0.25">
      <c r="B96" s="10" t="s">
        <v>43</v>
      </c>
      <c r="C96" s="97">
        <v>3853653</v>
      </c>
      <c r="D96" s="9">
        <f t="shared" si="11"/>
        <v>5.032200758126084E-2</v>
      </c>
      <c r="E96" s="64"/>
      <c r="V96" s="22"/>
    </row>
    <row r="97" spans="2:22" x14ac:dyDescent="0.25">
      <c r="B97" s="10" t="s">
        <v>44</v>
      </c>
      <c r="C97" s="97">
        <v>1131246</v>
      </c>
      <c r="D97" s="9">
        <f t="shared" si="11"/>
        <v>1.4772105788526108E-2</v>
      </c>
      <c r="E97" s="64"/>
      <c r="V97" s="22"/>
    </row>
    <row r="98" spans="2:22" x14ac:dyDescent="0.25">
      <c r="B98" s="10" t="s">
        <v>45</v>
      </c>
      <c r="C98" s="97"/>
      <c r="D98" s="9">
        <f t="shared" si="11"/>
        <v>0</v>
      </c>
      <c r="E98" s="64"/>
      <c r="V98" s="22"/>
    </row>
    <row r="99" spans="2:22" x14ac:dyDescent="0.25">
      <c r="B99" s="10" t="s">
        <v>46</v>
      </c>
      <c r="C99" s="97"/>
      <c r="D99" s="9">
        <f t="shared" si="11"/>
        <v>0</v>
      </c>
      <c r="E99" s="64"/>
      <c r="V99" s="22"/>
    </row>
    <row r="100" spans="2:22" x14ac:dyDescent="0.25">
      <c r="B100" s="10" t="s">
        <v>47</v>
      </c>
      <c r="C100" s="97">
        <v>349591</v>
      </c>
      <c r="D100" s="9">
        <f t="shared" si="11"/>
        <v>4.5650506032433539E-3</v>
      </c>
      <c r="E100" s="64"/>
    </row>
    <row r="101" spans="2:22" x14ac:dyDescent="0.25">
      <c r="B101" s="10" t="s">
        <v>48</v>
      </c>
      <c r="C101" s="97">
        <v>740899</v>
      </c>
      <c r="D101" s="9">
        <f t="shared" si="11"/>
        <v>9.6748526904079264E-3</v>
      </c>
      <c r="E101" s="64"/>
    </row>
    <row r="102" spans="2:22" x14ac:dyDescent="0.25">
      <c r="B102" s="10" t="s">
        <v>49</v>
      </c>
      <c r="C102" s="97">
        <v>-1383949</v>
      </c>
      <c r="D102" s="9">
        <f t="shared" si="11"/>
        <v>-1.807196757727755E-2</v>
      </c>
      <c r="E102" s="64"/>
    </row>
    <row r="103" spans="2:22" x14ac:dyDescent="0.25">
      <c r="B103" s="91" t="s">
        <v>28</v>
      </c>
      <c r="C103" s="97"/>
      <c r="D103" s="9">
        <f t="shared" ref="D103:D104" si="12">+C103/C$37</f>
        <v>0</v>
      </c>
      <c r="E103" s="64"/>
    </row>
    <row r="104" spans="2:22" x14ac:dyDescent="0.25">
      <c r="B104" s="91" t="s">
        <v>28</v>
      </c>
      <c r="C104" s="97"/>
      <c r="D104" s="9">
        <f t="shared" si="12"/>
        <v>0</v>
      </c>
      <c r="E104" s="64"/>
    </row>
    <row r="105" spans="2:22" x14ac:dyDescent="0.25">
      <c r="B105" s="91" t="s">
        <v>28</v>
      </c>
      <c r="C105" s="97"/>
      <c r="D105" s="9">
        <f t="shared" si="11"/>
        <v>0</v>
      </c>
      <c r="E105" s="64"/>
    </row>
    <row r="106" spans="2:22" x14ac:dyDescent="0.25">
      <c r="B106" s="91" t="s">
        <v>28</v>
      </c>
      <c r="C106" s="97"/>
      <c r="D106" s="9">
        <f t="shared" ref="D106" si="13">+C106/C$37</f>
        <v>0</v>
      </c>
      <c r="E106" s="64"/>
    </row>
    <row r="107" spans="2:22" x14ac:dyDescent="0.25">
      <c r="B107" s="91" t="s">
        <v>50</v>
      </c>
      <c r="C107" s="97"/>
      <c r="D107" s="9">
        <f t="shared" si="11"/>
        <v>0</v>
      </c>
      <c r="E107" s="64"/>
    </row>
    <row r="108" spans="2:22" x14ac:dyDescent="0.25">
      <c r="B108" s="11" t="s">
        <v>29</v>
      </c>
      <c r="C108" s="12">
        <f>SUM(C93:C107)</f>
        <v>86378982</v>
      </c>
      <c r="D108" s="13">
        <f>SUM(D94:D107)</f>
        <v>6.1262049086160675E-2</v>
      </c>
      <c r="E108" s="64"/>
    </row>
    <row r="109" spans="2:22" x14ac:dyDescent="0.25">
      <c r="E109" s="59"/>
    </row>
    <row r="110" spans="2:22" x14ac:dyDescent="0.25">
      <c r="B110" s="29" t="s">
        <v>62</v>
      </c>
      <c r="C110" s="67">
        <f>+C108-C93</f>
        <v>4691440</v>
      </c>
      <c r="E110" s="59"/>
    </row>
    <row r="111" spans="2:22" x14ac:dyDescent="0.25">
      <c r="B111" s="56" t="s">
        <v>63</v>
      </c>
      <c r="C111" s="57">
        <f>C110/C93</f>
        <v>5.743152364653107E-2</v>
      </c>
      <c r="E111" s="59"/>
    </row>
    <row r="112" spans="2:22" x14ac:dyDescent="0.25">
      <c r="B112" s="213"/>
      <c r="C112" s="62"/>
      <c r="D112" s="62"/>
      <c r="E112" s="62"/>
      <c r="F112" s="62"/>
      <c r="G112" s="62"/>
      <c r="H112" s="62"/>
      <c r="O112" s="22"/>
      <c r="P112" s="23"/>
    </row>
    <row r="113" spans="2:23" x14ac:dyDescent="0.25">
      <c r="B113" s="29" t="s">
        <v>64</v>
      </c>
      <c r="C113" s="67">
        <f>(C108-'5. Vaccine Clinics and Testing'!D42)-('1. Reconciliation'!C93-'1. Reconciliation'!C41)</f>
        <v>5624587.4200000018</v>
      </c>
      <c r="D113" s="62"/>
      <c r="E113" s="62"/>
      <c r="F113" s="62"/>
      <c r="G113" s="62"/>
      <c r="H113" s="62"/>
      <c r="O113" s="22"/>
      <c r="P113" s="23"/>
    </row>
    <row r="114" spans="2:23" x14ac:dyDescent="0.25">
      <c r="B114" s="56" t="s">
        <v>65</v>
      </c>
      <c r="C114" s="57">
        <f>(C113)/(C93-'5. Vaccine Clinics and Testing'!C42)</f>
        <v>6.8883030251690375E-2</v>
      </c>
      <c r="D114" s="15"/>
      <c r="E114" s="15"/>
      <c r="K114" s="23"/>
      <c r="L114" s="23"/>
      <c r="M114" s="14"/>
      <c r="N114" s="24"/>
      <c r="V114" s="22"/>
      <c r="W114" s="23"/>
    </row>
  </sheetData>
  <mergeCells count="7">
    <mergeCell ref="A71:A74"/>
    <mergeCell ref="B2:O2"/>
    <mergeCell ref="B3:O3"/>
    <mergeCell ref="B6:O6"/>
    <mergeCell ref="B4:O4"/>
    <mergeCell ref="B64:O64"/>
    <mergeCell ref="A12:A19"/>
  </mergeCells>
  <pageMargins left="0.7" right="0.7" top="0.5" bottom="0.5" header="0.3" footer="0.3"/>
  <pageSetup scale="48" fitToHeight="4" orientation="landscape" r:id="rId1"/>
  <headerFooter>
    <oddFooter>&amp;L&amp;D&amp;R&amp;F,&amp;A</oddFooter>
  </headerFooter>
  <rowBreaks count="1" manualBreakCount="1">
    <brk id="63"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theme="7"/>
    <pageSetUpPr fitToPage="1"/>
  </sheetPr>
  <dimension ref="B2:L67"/>
  <sheetViews>
    <sheetView showGridLines="0" zoomScaleNormal="100" workbookViewId="0"/>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5" customWidth="1"/>
    <col min="9" max="11" width="17.7109375" style="1" customWidth="1"/>
    <col min="12" max="12" width="12.5703125" style="1" bestFit="1" customWidth="1"/>
    <col min="13" max="16384" width="8.85546875" style="1"/>
  </cols>
  <sheetData>
    <row r="2" spans="2:9" x14ac:dyDescent="0.25">
      <c r="B2" s="310" t="s">
        <v>67</v>
      </c>
      <c r="C2" s="310"/>
      <c r="D2" s="310"/>
      <c r="E2" s="310"/>
      <c r="F2" s="310"/>
      <c r="G2" s="310"/>
      <c r="H2" s="310"/>
      <c r="I2" s="310"/>
    </row>
    <row r="3" spans="2:9" ht="18.75" x14ac:dyDescent="0.3">
      <c r="B3" s="322" t="s">
        <v>13</v>
      </c>
      <c r="C3" s="323"/>
      <c r="D3" s="323"/>
      <c r="E3" s="323"/>
      <c r="F3" s="323"/>
      <c r="G3" s="323"/>
      <c r="H3" s="323"/>
      <c r="I3" s="324"/>
    </row>
    <row r="4" spans="2:9" ht="18.75" x14ac:dyDescent="0.3">
      <c r="B4" s="325" t="s">
        <v>68</v>
      </c>
      <c r="C4" s="326"/>
      <c r="D4" s="326"/>
      <c r="E4" s="326"/>
      <c r="F4" s="326"/>
      <c r="G4" s="326"/>
      <c r="H4" s="326"/>
      <c r="I4" s="327"/>
    </row>
    <row r="5" spans="2:9" ht="34.9" customHeight="1" x14ac:dyDescent="0.25">
      <c r="B5" s="321" t="s">
        <v>69</v>
      </c>
      <c r="C5" s="321"/>
      <c r="D5" s="321"/>
      <c r="E5" s="321"/>
      <c r="F5" s="321"/>
      <c r="G5" s="321"/>
      <c r="H5" s="218"/>
    </row>
    <row r="6" spans="2:9" x14ac:dyDescent="0.25">
      <c r="B6" s="219"/>
      <c r="C6" s="219"/>
      <c r="D6" s="219"/>
      <c r="E6" s="219"/>
      <c r="F6" s="219"/>
      <c r="G6" s="219"/>
      <c r="H6" s="218"/>
    </row>
    <row r="7" spans="2:9" ht="29.45" customHeight="1" x14ac:dyDescent="0.25">
      <c r="B7" s="329" t="s">
        <v>70</v>
      </c>
      <c r="C7" s="330"/>
      <c r="D7" s="331"/>
      <c r="H7" s="1"/>
    </row>
    <row r="8" spans="2:9" ht="15" customHeight="1" x14ac:dyDescent="0.25">
      <c r="B8" s="332" t="s">
        <v>71</v>
      </c>
      <c r="C8" s="333"/>
      <c r="D8" s="334"/>
      <c r="H8" s="1"/>
    </row>
    <row r="9" spans="2:9" ht="42.75" customHeight="1" x14ac:dyDescent="0.25">
      <c r="B9" s="3" t="s">
        <v>72</v>
      </c>
      <c r="C9" s="49" t="s">
        <v>73</v>
      </c>
      <c r="D9" s="49" t="s">
        <v>74</v>
      </c>
      <c r="H9" s="1"/>
    </row>
    <row r="10" spans="2:9" x14ac:dyDescent="0.25">
      <c r="B10" s="3"/>
      <c r="C10" s="3"/>
      <c r="D10" s="49"/>
      <c r="H10" s="1"/>
    </row>
    <row r="11" spans="2:9" x14ac:dyDescent="0.25">
      <c r="B11" s="3" t="s">
        <v>75</v>
      </c>
      <c r="C11" s="288">
        <v>1923823.2000000002</v>
      </c>
      <c r="D11" s="50">
        <v>0.05</v>
      </c>
      <c r="H11" s="1"/>
    </row>
    <row r="12" spans="2:9" x14ac:dyDescent="0.25">
      <c r="B12" s="3" t="s">
        <v>76</v>
      </c>
      <c r="C12" s="288">
        <v>3612113.6</v>
      </c>
      <c r="D12" s="50">
        <v>0.05</v>
      </c>
      <c r="H12" s="1"/>
    </row>
    <row r="13" spans="2:9" x14ac:dyDescent="0.25">
      <c r="B13" s="3" t="s">
        <v>77</v>
      </c>
      <c r="C13" s="288">
        <v>1430208.55</v>
      </c>
      <c r="D13" s="50">
        <v>0.05</v>
      </c>
      <c r="H13" s="1"/>
    </row>
    <row r="14" spans="2:9" x14ac:dyDescent="0.25">
      <c r="B14" s="3" t="s">
        <v>28</v>
      </c>
      <c r="C14" s="240">
        <v>0</v>
      </c>
      <c r="D14" s="50"/>
      <c r="H14" s="1"/>
    </row>
    <row r="15" spans="2:9" ht="30" x14ac:dyDescent="0.25">
      <c r="B15" s="61" t="s">
        <v>78</v>
      </c>
      <c r="C15" s="241">
        <f>SUM(C11:C14)</f>
        <v>6966145.3500000006</v>
      </c>
      <c r="D15" s="220">
        <v>0.05</v>
      </c>
      <c r="H15" s="1"/>
    </row>
    <row r="16" spans="2:9" s="65" customFormat="1" x14ac:dyDescent="0.25">
      <c r="B16" s="221"/>
      <c r="C16" s="66"/>
      <c r="D16" s="66"/>
      <c r="E16" s="66"/>
      <c r="F16" s="66"/>
      <c r="G16" s="66"/>
      <c r="H16" s="66"/>
    </row>
    <row r="17" spans="2:12" ht="45" customHeight="1" x14ac:dyDescent="0.25">
      <c r="B17" s="329" t="s">
        <v>249</v>
      </c>
      <c r="C17" s="330"/>
      <c r="D17" s="330"/>
      <c r="E17" s="330"/>
      <c r="F17" s="330"/>
      <c r="G17" s="330"/>
      <c r="H17" s="330"/>
      <c r="I17" s="330"/>
      <c r="J17" s="331"/>
    </row>
    <row r="18" spans="2:12" ht="15" customHeight="1" x14ac:dyDescent="0.25">
      <c r="B18" s="332" t="s">
        <v>230</v>
      </c>
      <c r="C18" s="333"/>
      <c r="D18" s="333"/>
      <c r="E18" s="333"/>
      <c r="F18" s="333"/>
      <c r="G18" s="333"/>
      <c r="H18" s="333"/>
      <c r="I18" s="333"/>
      <c r="J18" s="334"/>
    </row>
    <row r="19" spans="2:12" ht="42.75" customHeight="1" x14ac:dyDescent="0.25">
      <c r="B19" s="3" t="s">
        <v>72</v>
      </c>
      <c r="C19" s="49" t="s">
        <v>224</v>
      </c>
      <c r="D19" s="49" t="s">
        <v>79</v>
      </c>
      <c r="E19" s="49" t="s">
        <v>225</v>
      </c>
      <c r="F19" s="340" t="s">
        <v>226</v>
      </c>
      <c r="G19" s="341"/>
      <c r="H19" s="222" t="s">
        <v>227</v>
      </c>
      <c r="I19" s="222" t="s">
        <v>228</v>
      </c>
      <c r="J19" s="222" t="s">
        <v>229</v>
      </c>
    </row>
    <row r="20" spans="2:12" x14ac:dyDescent="0.25">
      <c r="B20" s="3"/>
      <c r="C20" s="49"/>
      <c r="D20" s="223"/>
      <c r="E20" s="49"/>
      <c r="F20" s="49" t="s">
        <v>80</v>
      </c>
      <c r="G20" s="49" t="s">
        <v>81</v>
      </c>
      <c r="H20" s="49"/>
      <c r="I20" s="49"/>
      <c r="J20" s="49"/>
    </row>
    <row r="21" spans="2:12" x14ac:dyDescent="0.25">
      <c r="B21" s="3" t="s">
        <v>75</v>
      </c>
      <c r="C21" s="224">
        <v>38476464</v>
      </c>
      <c r="D21" s="225">
        <f>(E21/C21)-1</f>
        <v>-3.9866502359924727E-2</v>
      </c>
      <c r="E21" s="85">
        <f>SUM(F21:J21)</f>
        <v>36942541.957142442</v>
      </c>
      <c r="F21" s="85">
        <v>14329232.789999999</v>
      </c>
      <c r="G21" s="85">
        <v>0</v>
      </c>
      <c r="H21" s="85">
        <v>495313.6700000001</v>
      </c>
      <c r="I21" s="85">
        <v>2840618.8400000008</v>
      </c>
      <c r="J21" s="85">
        <v>19277376.657142442</v>
      </c>
      <c r="K21" s="284"/>
    </row>
    <row r="22" spans="2:12" x14ac:dyDescent="0.25">
      <c r="B22" s="3" t="s">
        <v>76</v>
      </c>
      <c r="C22" s="224">
        <v>72242272</v>
      </c>
      <c r="D22" s="225">
        <f t="shared" ref="D22:D25" si="0">(E22/C22)-1</f>
        <v>0.18892067399809775</v>
      </c>
      <c r="E22" s="85">
        <f t="shared" ref="E22:E24" si="1">SUM(F22:J22)</f>
        <v>85890330.717393905</v>
      </c>
      <c r="F22" s="85">
        <v>37686272.729999997</v>
      </c>
      <c r="G22" s="85">
        <v>0</v>
      </c>
      <c r="H22" s="85">
        <v>5104238.93</v>
      </c>
      <c r="I22" s="85">
        <v>14625261.009999998</v>
      </c>
      <c r="J22" s="85">
        <v>28474558.047393903</v>
      </c>
      <c r="K22" s="284"/>
    </row>
    <row r="23" spans="2:12" x14ac:dyDescent="0.25">
      <c r="B23" s="3" t="s">
        <v>77</v>
      </c>
      <c r="C23" s="224">
        <v>28604171</v>
      </c>
      <c r="D23" s="225">
        <f t="shared" si="0"/>
        <v>0.10621560786456063</v>
      </c>
      <c r="E23" s="85">
        <f t="shared" si="1"/>
        <v>31642380.410226837</v>
      </c>
      <c r="F23" s="85">
        <v>13422074.560000002</v>
      </c>
      <c r="G23" s="85">
        <v>0</v>
      </c>
      <c r="H23" s="85">
        <v>1356470.0799999996</v>
      </c>
      <c r="I23" s="85">
        <v>4608352.79</v>
      </c>
      <c r="J23" s="85">
        <v>12255482.980226832</v>
      </c>
      <c r="K23" s="284"/>
    </row>
    <row r="24" spans="2:12" x14ac:dyDescent="0.25">
      <c r="B24" s="3" t="s">
        <v>28</v>
      </c>
      <c r="C24" s="224">
        <v>0</v>
      </c>
      <c r="D24" s="225"/>
      <c r="E24" s="85">
        <f t="shared" si="1"/>
        <v>0</v>
      </c>
      <c r="F24" s="85"/>
      <c r="G24" s="85"/>
      <c r="H24" s="85"/>
      <c r="I24" s="85"/>
      <c r="J24" s="85"/>
    </row>
    <row r="25" spans="2:12" ht="30" x14ac:dyDescent="0.25">
      <c r="B25" s="61" t="s">
        <v>239</v>
      </c>
      <c r="C25" s="226">
        <f>SUM(C21:C24)</f>
        <v>139322907</v>
      </c>
      <c r="D25" s="227">
        <f t="shared" si="0"/>
        <v>0.1087570336496293</v>
      </c>
      <c r="E25" s="226">
        <f t="shared" ref="E25:J25" si="2">SUM(E21:E24)</f>
        <v>154475253.08476317</v>
      </c>
      <c r="F25" s="86">
        <f t="shared" si="2"/>
        <v>65437580.079999998</v>
      </c>
      <c r="G25" s="86">
        <f t="shared" si="2"/>
        <v>0</v>
      </c>
      <c r="H25" s="86">
        <f t="shared" si="2"/>
        <v>6956022.6799999997</v>
      </c>
      <c r="I25" s="86">
        <f t="shared" si="2"/>
        <v>22074232.639999997</v>
      </c>
      <c r="J25" s="86">
        <f t="shared" si="2"/>
        <v>60007417.684763178</v>
      </c>
      <c r="K25" s="285"/>
    </row>
    <row r="26" spans="2:12" s="65" customFormat="1" x14ac:dyDescent="0.25">
      <c r="B26" s="221"/>
      <c r="C26" s="66" t="s">
        <v>246</v>
      </c>
      <c r="D26" s="66"/>
      <c r="E26" s="66" t="s">
        <v>246</v>
      </c>
      <c r="F26" s="66"/>
      <c r="G26" s="66"/>
      <c r="H26" s="66"/>
    </row>
    <row r="27" spans="2:12" s="65" customFormat="1" x14ac:dyDescent="0.25">
      <c r="B27" s="221"/>
      <c r="C27" s="66"/>
      <c r="D27" s="66"/>
      <c r="E27" s="66"/>
      <c r="F27" s="66"/>
      <c r="G27" s="66"/>
      <c r="H27" s="66"/>
    </row>
    <row r="28" spans="2:12" s="65" customFormat="1" ht="23.45" customHeight="1" x14ac:dyDescent="0.25">
      <c r="B28" s="329" t="s">
        <v>82</v>
      </c>
      <c r="C28" s="330"/>
      <c r="D28" s="330"/>
      <c r="E28" s="330"/>
      <c r="F28" s="330"/>
      <c r="G28" s="330"/>
      <c r="H28" s="330"/>
      <c r="I28" s="330"/>
      <c r="J28" s="331"/>
    </row>
    <row r="29" spans="2:12" x14ac:dyDescent="0.25">
      <c r="B29" s="332" t="s">
        <v>222</v>
      </c>
      <c r="C29" s="333"/>
      <c r="D29" s="333"/>
      <c r="E29" s="333"/>
      <c r="F29" s="333"/>
      <c r="G29" s="333"/>
      <c r="H29" s="333"/>
      <c r="I29" s="333"/>
      <c r="J29" s="334"/>
    </row>
    <row r="30" spans="2:12" ht="42.75" customHeight="1" x14ac:dyDescent="0.25">
      <c r="B30" s="3" t="s">
        <v>83</v>
      </c>
      <c r="C30" s="3" t="s">
        <v>84</v>
      </c>
      <c r="D30" s="49" t="s">
        <v>85</v>
      </c>
      <c r="E30" s="49" t="s">
        <v>86</v>
      </c>
      <c r="F30" s="335" t="s">
        <v>231</v>
      </c>
      <c r="G30" s="336"/>
      <c r="H30" s="49" t="s">
        <v>232</v>
      </c>
      <c r="I30" s="49" t="s">
        <v>233</v>
      </c>
      <c r="J30" s="49" t="s">
        <v>234</v>
      </c>
    </row>
    <row r="31" spans="2:12" ht="15.75" customHeight="1" x14ac:dyDescent="0.25">
      <c r="B31" s="3"/>
      <c r="C31" s="3"/>
      <c r="D31" s="3"/>
      <c r="E31" s="49"/>
      <c r="F31" s="49" t="s">
        <v>80</v>
      </c>
      <c r="G31" s="49" t="s">
        <v>81</v>
      </c>
      <c r="H31" s="49"/>
      <c r="I31" s="49"/>
      <c r="J31" s="49"/>
    </row>
    <row r="32" spans="2:12" x14ac:dyDescent="0.25">
      <c r="B32" s="3" t="s">
        <v>75</v>
      </c>
      <c r="C32" s="224">
        <v>19364660</v>
      </c>
      <c r="D32" s="224">
        <f>E32-C32</f>
        <v>2597490.7599999979</v>
      </c>
      <c r="E32" s="85">
        <f t="shared" ref="E32:E35" si="3">SUM(F32:J32)</f>
        <v>21962150.759999998</v>
      </c>
      <c r="F32" s="283">
        <v>9917880.4800000004</v>
      </c>
      <c r="G32" s="283">
        <v>0</v>
      </c>
      <c r="H32" s="283">
        <v>188219.19</v>
      </c>
      <c r="I32" s="283">
        <v>392890.89</v>
      </c>
      <c r="J32" s="283">
        <v>11463160.199999999</v>
      </c>
      <c r="K32" s="285"/>
      <c r="L32" s="289"/>
    </row>
    <row r="33" spans="2:12" x14ac:dyDescent="0.25">
      <c r="B33" s="3" t="s">
        <v>76</v>
      </c>
      <c r="C33" s="224">
        <v>36813514</v>
      </c>
      <c r="D33" s="224">
        <f t="shared" ref="D33:D35" si="4">E33-C33</f>
        <v>11681875.25</v>
      </c>
      <c r="E33" s="85">
        <f t="shared" si="3"/>
        <v>48495389.25</v>
      </c>
      <c r="F33" s="283">
        <v>28420706.969999999</v>
      </c>
      <c r="G33" s="283">
        <v>0</v>
      </c>
      <c r="H33" s="283">
        <v>1939610.79</v>
      </c>
      <c r="I33" s="283">
        <v>3765580.49</v>
      </c>
      <c r="J33" s="283">
        <v>14369491</v>
      </c>
      <c r="K33" s="285"/>
      <c r="L33" s="289"/>
    </row>
    <row r="34" spans="2:12" x14ac:dyDescent="0.25">
      <c r="B34" s="3" t="s">
        <v>77</v>
      </c>
      <c r="C34" s="224">
        <v>15191577</v>
      </c>
      <c r="D34" s="224">
        <f t="shared" si="4"/>
        <v>-4235376.25</v>
      </c>
      <c r="E34" s="85">
        <f t="shared" si="3"/>
        <v>10956200.75</v>
      </c>
      <c r="F34" s="283">
        <v>5666036.9900000002</v>
      </c>
      <c r="G34" s="283">
        <v>0</v>
      </c>
      <c r="H34" s="283">
        <v>515458.63</v>
      </c>
      <c r="I34" s="283">
        <v>2021594.69</v>
      </c>
      <c r="J34" s="283">
        <v>2753110.44</v>
      </c>
      <c r="K34" s="285"/>
      <c r="L34" s="289"/>
    </row>
    <row r="35" spans="2:12" x14ac:dyDescent="0.25">
      <c r="B35" s="3" t="s">
        <v>28</v>
      </c>
      <c r="C35" s="224">
        <v>0</v>
      </c>
      <c r="D35" s="224">
        <f t="shared" si="4"/>
        <v>0</v>
      </c>
      <c r="E35" s="85">
        <f t="shared" si="3"/>
        <v>0</v>
      </c>
      <c r="F35" s="283">
        <v>0</v>
      </c>
      <c r="G35" s="283">
        <v>0</v>
      </c>
      <c r="H35" s="283">
        <v>0</v>
      </c>
      <c r="I35" s="283">
        <v>0</v>
      </c>
      <c r="J35" s="283">
        <v>0</v>
      </c>
      <c r="K35" s="285"/>
    </row>
    <row r="36" spans="2:12" x14ac:dyDescent="0.25">
      <c r="B36" s="3"/>
      <c r="C36" s="3"/>
      <c r="D36" s="3"/>
      <c r="E36" s="228"/>
      <c r="F36" s="283"/>
      <c r="G36" s="283"/>
      <c r="H36" s="283"/>
      <c r="I36" s="283"/>
      <c r="J36" s="283"/>
      <c r="K36" s="285"/>
    </row>
    <row r="37" spans="2:12" x14ac:dyDescent="0.25">
      <c r="B37" s="3"/>
      <c r="C37" s="3"/>
      <c r="D37" s="3"/>
      <c r="E37" s="228"/>
      <c r="F37" s="283"/>
      <c r="G37" s="283"/>
      <c r="H37" s="283"/>
      <c r="I37" s="283"/>
      <c r="J37" s="283"/>
      <c r="K37" s="285"/>
    </row>
    <row r="38" spans="2:12" x14ac:dyDescent="0.25">
      <c r="B38" s="3"/>
      <c r="C38" s="3"/>
      <c r="D38" s="3"/>
      <c r="E38" s="228"/>
      <c r="F38" s="283"/>
      <c r="G38" s="283"/>
      <c r="H38" s="283"/>
      <c r="I38" s="283"/>
      <c r="J38" s="283"/>
      <c r="K38" s="285"/>
    </row>
    <row r="39" spans="2:12" x14ac:dyDescent="0.25">
      <c r="B39" s="61" t="s">
        <v>238</v>
      </c>
      <c r="C39" s="282">
        <f>SUM(C32:C38)</f>
        <v>71369751</v>
      </c>
      <c r="D39" s="282">
        <f>SUM(D32:D38)</f>
        <v>10043989.759999998</v>
      </c>
      <c r="E39" s="282">
        <f t="shared" ref="E39:J39" si="5">SUM(E32:E38)</f>
        <v>81413740.75999999</v>
      </c>
      <c r="F39" s="282">
        <f t="shared" si="5"/>
        <v>44004624.440000005</v>
      </c>
      <c r="G39" s="282">
        <f t="shared" si="5"/>
        <v>0</v>
      </c>
      <c r="H39" s="282">
        <f t="shared" si="5"/>
        <v>2643288.61</v>
      </c>
      <c r="I39" s="282">
        <f t="shared" si="5"/>
        <v>6180066.0700000003</v>
      </c>
      <c r="J39" s="282">
        <f t="shared" si="5"/>
        <v>28585761.640000001</v>
      </c>
      <c r="K39" s="285"/>
    </row>
    <row r="40" spans="2:12" s="65" customFormat="1" x14ac:dyDescent="0.25">
      <c r="C40" s="66"/>
      <c r="D40" s="66"/>
      <c r="E40" s="66"/>
      <c r="F40" s="229"/>
      <c r="G40" s="229"/>
      <c r="H40" s="229"/>
      <c r="K40" s="285"/>
    </row>
    <row r="41" spans="2:12" s="65" customFormat="1" x14ac:dyDescent="0.25">
      <c r="C41" s="66"/>
      <c r="D41" s="66"/>
      <c r="E41" s="66"/>
      <c r="F41" s="229"/>
      <c r="G41" s="229"/>
      <c r="H41" s="229"/>
    </row>
    <row r="42" spans="2:12" s="65" customFormat="1" x14ac:dyDescent="0.25">
      <c r="B42" s="332" t="s">
        <v>223</v>
      </c>
      <c r="C42" s="333"/>
      <c r="D42" s="333"/>
      <c r="E42" s="333"/>
      <c r="F42" s="333"/>
      <c r="G42" s="333"/>
      <c r="H42" s="334"/>
    </row>
    <row r="43" spans="2:12" s="65" customFormat="1" ht="42.6" customHeight="1" x14ac:dyDescent="0.25">
      <c r="B43" s="3" t="s">
        <v>83</v>
      </c>
      <c r="C43" s="3" t="s">
        <v>87</v>
      </c>
      <c r="D43" s="49" t="s">
        <v>85</v>
      </c>
      <c r="E43" s="49" t="s">
        <v>88</v>
      </c>
      <c r="F43" s="259" t="s">
        <v>244</v>
      </c>
      <c r="G43" s="49" t="s">
        <v>235</v>
      </c>
      <c r="H43" s="49" t="s">
        <v>236</v>
      </c>
    </row>
    <row r="44" spans="2:12" s="65" customFormat="1" x14ac:dyDescent="0.25">
      <c r="B44" s="3" t="s">
        <v>75</v>
      </c>
      <c r="C44" s="224">
        <v>1331137</v>
      </c>
      <c r="D44" s="224">
        <f t="shared" ref="D44:D48" si="6">E44-C44</f>
        <v>-690701.04825149267</v>
      </c>
      <c r="E44" s="283">
        <f>SUM(F44:H44)</f>
        <v>640435.95174850733</v>
      </c>
      <c r="F44" s="283">
        <v>0</v>
      </c>
      <c r="G44" s="283">
        <v>640435.95174850733</v>
      </c>
      <c r="H44" s="283">
        <v>0</v>
      </c>
    </row>
    <row r="45" spans="2:12" s="65" customFormat="1" x14ac:dyDescent="0.25">
      <c r="B45" s="3" t="s">
        <v>76</v>
      </c>
      <c r="C45" s="224">
        <v>2499304</v>
      </c>
      <c r="D45" s="224">
        <f t="shared" si="6"/>
        <v>798056.00571962772</v>
      </c>
      <c r="E45" s="283">
        <f t="shared" ref="E45:E48" si="7">SUM(F45:H45)</f>
        <v>3297360.0057196277</v>
      </c>
      <c r="F45" s="283">
        <v>0</v>
      </c>
      <c r="G45" s="283">
        <v>3297360.0057196277</v>
      </c>
      <c r="H45" s="283">
        <v>0</v>
      </c>
    </row>
    <row r="46" spans="2:12" s="65" customFormat="1" x14ac:dyDescent="0.25">
      <c r="B46" s="3" t="s">
        <v>77</v>
      </c>
      <c r="C46" s="224">
        <v>989594</v>
      </c>
      <c r="D46" s="224">
        <f t="shared" si="6"/>
        <v>49389.042531865533</v>
      </c>
      <c r="E46" s="283">
        <f t="shared" si="7"/>
        <v>1038983.0425318655</v>
      </c>
      <c r="F46" s="283">
        <v>0</v>
      </c>
      <c r="G46" s="283">
        <v>1038983.0425318655</v>
      </c>
      <c r="H46" s="283">
        <v>0</v>
      </c>
    </row>
    <row r="47" spans="2:12" s="65" customFormat="1" x14ac:dyDescent="0.25">
      <c r="B47" s="3" t="s">
        <v>89</v>
      </c>
      <c r="C47" s="224">
        <v>0</v>
      </c>
      <c r="D47" s="224">
        <f t="shared" si="6"/>
        <v>0</v>
      </c>
      <c r="E47" s="283">
        <f t="shared" si="7"/>
        <v>0</v>
      </c>
      <c r="F47" s="283">
        <v>0</v>
      </c>
      <c r="G47" s="283">
        <v>0</v>
      </c>
      <c r="H47" s="283">
        <v>0</v>
      </c>
    </row>
    <row r="48" spans="2:12" s="65" customFormat="1" x14ac:dyDescent="0.25">
      <c r="B48" s="3" t="s">
        <v>90</v>
      </c>
      <c r="C48" s="224">
        <v>0</v>
      </c>
      <c r="D48" s="224">
        <f t="shared" si="6"/>
        <v>0</v>
      </c>
      <c r="E48" s="283">
        <f t="shared" si="7"/>
        <v>0</v>
      </c>
      <c r="F48" s="283">
        <v>0</v>
      </c>
      <c r="G48" s="283">
        <v>0</v>
      </c>
      <c r="H48" s="283">
        <v>0</v>
      </c>
    </row>
    <row r="49" spans="2:10" s="65" customFormat="1" x14ac:dyDescent="0.25">
      <c r="B49" s="61" t="s">
        <v>237</v>
      </c>
      <c r="C49" s="282">
        <f>SUM(C44:C48)</f>
        <v>4820035</v>
      </c>
      <c r="D49" s="282">
        <f>SUM(D44:D48)</f>
        <v>156744.00000000058</v>
      </c>
      <c r="E49" s="282">
        <f>SUM(E44:E48)</f>
        <v>4976779.0000000009</v>
      </c>
      <c r="F49" s="282">
        <f t="shared" ref="F49:H49" si="8">SUM(F44:F48)</f>
        <v>0</v>
      </c>
      <c r="G49" s="282">
        <f t="shared" si="8"/>
        <v>4976779.0000000009</v>
      </c>
      <c r="H49" s="282">
        <f t="shared" si="8"/>
        <v>0</v>
      </c>
    </row>
    <row r="50" spans="2:10" s="65" customFormat="1" x14ac:dyDescent="0.25">
      <c r="C50" s="66"/>
      <c r="D50" s="66"/>
      <c r="E50" s="66"/>
      <c r="F50" s="65" t="s">
        <v>245</v>
      </c>
      <c r="G50" s="229"/>
      <c r="H50" s="229"/>
    </row>
    <row r="51" spans="2:10" s="65" customFormat="1" ht="15.75" thickBot="1" x14ac:dyDescent="0.3">
      <c r="B51" s="218"/>
      <c r="C51" s="229"/>
      <c r="D51" s="229"/>
      <c r="E51" s="229"/>
      <c r="F51" s="229"/>
      <c r="G51" s="229"/>
      <c r="H51" s="229"/>
    </row>
    <row r="52" spans="2:10" s="65" customFormat="1" ht="30" x14ac:dyDescent="0.25">
      <c r="B52" s="230"/>
      <c r="C52" s="231" t="s">
        <v>91</v>
      </c>
      <c r="D52" s="231" t="s">
        <v>85</v>
      </c>
      <c r="E52" s="231" t="s">
        <v>79</v>
      </c>
      <c r="F52" s="232" t="s">
        <v>92</v>
      </c>
      <c r="G52" s="229"/>
      <c r="H52" s="229"/>
      <c r="I52" s="229"/>
    </row>
    <row r="53" spans="2:10" s="65" customFormat="1" x14ac:dyDescent="0.25">
      <c r="B53" s="243" t="s">
        <v>93</v>
      </c>
      <c r="C53" s="242">
        <f>C39+C49</f>
        <v>76189786</v>
      </c>
      <c r="D53" s="242">
        <f>D39+D49</f>
        <v>10200733.759999998</v>
      </c>
      <c r="E53" s="242">
        <f>D53/C53</f>
        <v>0.13388584343838422</v>
      </c>
      <c r="F53" s="244">
        <f>E39+E49</f>
        <v>86390519.75999999</v>
      </c>
      <c r="G53" s="229"/>
      <c r="H53" s="229"/>
      <c r="I53" s="229"/>
    </row>
    <row r="54" spans="2:10" s="65" customFormat="1" x14ac:dyDescent="0.25">
      <c r="B54" s="243" t="s">
        <v>94</v>
      </c>
      <c r="C54" s="245">
        <f>'1. Reconciliation'!C11</f>
        <v>76189785.999999985</v>
      </c>
      <c r="D54" s="245">
        <f>'1. Reconciliation'!C25</f>
        <v>10200733.76000002</v>
      </c>
      <c r="E54" s="246">
        <f>'1. Reconciliation'!C26</f>
        <v>0.13388584343838453</v>
      </c>
      <c r="F54" s="247">
        <f>'1. Reconciliation'!C23</f>
        <v>86390519.760000005</v>
      </c>
      <c r="G54" s="229"/>
      <c r="H54" s="229"/>
      <c r="I54" s="229"/>
    </row>
    <row r="55" spans="2:10" s="65" customFormat="1" ht="18" customHeight="1" thickBot="1" x14ac:dyDescent="0.3">
      <c r="B55" s="248" t="s">
        <v>95</v>
      </c>
      <c r="C55" s="249">
        <f>C53-C54</f>
        <v>0</v>
      </c>
      <c r="D55" s="249">
        <f t="shared" ref="D55:F55" si="9">D53-D54</f>
        <v>-2.2351741790771484E-8</v>
      </c>
      <c r="E55" s="249">
        <f t="shared" si="9"/>
        <v>-3.0531133177191805E-16</v>
      </c>
      <c r="F55" s="250">
        <f t="shared" si="9"/>
        <v>0</v>
      </c>
      <c r="G55" s="229"/>
      <c r="H55" s="229"/>
      <c r="I55" s="229"/>
    </row>
    <row r="56" spans="2:10" s="65" customFormat="1" x14ac:dyDescent="0.25">
      <c r="G56" s="229"/>
      <c r="H56" s="229"/>
      <c r="I56" s="229"/>
      <c r="J56" s="1"/>
    </row>
    <row r="57" spans="2:10" x14ac:dyDescent="0.25">
      <c r="B57" s="233"/>
      <c r="C57" s="234"/>
      <c r="D57" s="235"/>
      <c r="E57" s="236"/>
      <c r="F57" s="236"/>
      <c r="G57" s="236"/>
      <c r="H57" s="237"/>
    </row>
    <row r="58" spans="2:10" x14ac:dyDescent="0.25">
      <c r="B58" s="337" t="s">
        <v>96</v>
      </c>
      <c r="C58" s="338"/>
      <c r="D58" s="338"/>
      <c r="E58" s="338"/>
      <c r="F58" s="338"/>
      <c r="G58" s="339"/>
      <c r="H58" s="237"/>
    </row>
    <row r="59" spans="2:10" x14ac:dyDescent="0.25">
      <c r="B59" s="332" t="s">
        <v>97</v>
      </c>
      <c r="C59" s="333"/>
      <c r="D59" s="333"/>
      <c r="E59" s="333"/>
      <c r="F59" s="333"/>
      <c r="G59" s="334"/>
      <c r="H59" s="238"/>
    </row>
    <row r="60" spans="2:10" x14ac:dyDescent="0.25">
      <c r="B60" s="328" t="s">
        <v>265</v>
      </c>
      <c r="C60" s="328"/>
      <c r="D60" s="328"/>
      <c r="E60" s="328"/>
      <c r="F60" s="328"/>
      <c r="G60" s="328"/>
    </row>
    <row r="61" spans="2:10" x14ac:dyDescent="0.25">
      <c r="B61" s="328"/>
      <c r="C61" s="328"/>
      <c r="D61" s="328"/>
      <c r="E61" s="328"/>
      <c r="F61" s="328"/>
      <c r="G61" s="328"/>
    </row>
    <row r="62" spans="2:10" x14ac:dyDescent="0.25">
      <c r="B62" s="328"/>
      <c r="C62" s="328"/>
      <c r="D62" s="328"/>
      <c r="E62" s="328"/>
      <c r="F62" s="328"/>
      <c r="G62" s="328"/>
    </row>
    <row r="63" spans="2:10" x14ac:dyDescent="0.25">
      <c r="B63" s="328"/>
      <c r="C63" s="328"/>
      <c r="D63" s="328"/>
      <c r="E63" s="328"/>
      <c r="F63" s="328"/>
      <c r="G63" s="328"/>
    </row>
    <row r="64" spans="2:10" x14ac:dyDescent="0.25">
      <c r="B64" s="328"/>
      <c r="C64" s="328"/>
      <c r="D64" s="328"/>
      <c r="E64" s="328"/>
      <c r="F64" s="328"/>
      <c r="G64" s="328"/>
    </row>
    <row r="67" spans="3:3" x14ac:dyDescent="0.25">
      <c r="C67" s="20"/>
    </row>
  </sheetData>
  <mergeCells count="16">
    <mergeCell ref="B5:G5"/>
    <mergeCell ref="B2:I2"/>
    <mergeCell ref="B3:I3"/>
    <mergeCell ref="B4:I4"/>
    <mergeCell ref="B60:G64"/>
    <mergeCell ref="B7:D7"/>
    <mergeCell ref="B29:J29"/>
    <mergeCell ref="F30:G30"/>
    <mergeCell ref="B42:H42"/>
    <mergeCell ref="B58:G58"/>
    <mergeCell ref="B59:G59"/>
    <mergeCell ref="B17:J17"/>
    <mergeCell ref="F19:G19"/>
    <mergeCell ref="B28:J28"/>
    <mergeCell ref="B18:J18"/>
    <mergeCell ref="B8:D8"/>
  </mergeCells>
  <pageMargins left="0.7" right="0.7" top="0.75" bottom="0.75" header="0.3" footer="0.3"/>
  <pageSetup scale="66" orientation="landscape" r:id="rId1"/>
  <headerFooter>
    <oddFooter>&amp;L&amp;D&amp;R&amp;F,&amp;A,</oddFooter>
  </headerFooter>
  <ignoredErrors>
    <ignoredError sqref="E53:E55"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theme="4"/>
    <pageSetUpPr fitToPage="1"/>
  </sheetPr>
  <dimension ref="B1:D19"/>
  <sheetViews>
    <sheetView showGridLines="0" zoomScale="90" zoomScaleNormal="90" workbookViewId="0"/>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16384" width="8.85546875" style="1"/>
  </cols>
  <sheetData>
    <row r="1" spans="2:4" x14ac:dyDescent="0.25">
      <c r="B1" s="342" t="s">
        <v>98</v>
      </c>
      <c r="C1" s="342"/>
      <c r="D1" s="342"/>
    </row>
    <row r="2" spans="2:4" ht="21" x14ac:dyDescent="0.35">
      <c r="B2" s="343" t="s">
        <v>5</v>
      </c>
      <c r="C2" s="344"/>
      <c r="D2" s="345"/>
    </row>
    <row r="3" spans="2:4" ht="18.75" x14ac:dyDescent="0.3">
      <c r="B3" s="347" t="s">
        <v>99</v>
      </c>
      <c r="C3" s="348"/>
      <c r="D3" s="349"/>
    </row>
    <row r="4" spans="2:4" ht="90" customHeight="1" x14ac:dyDescent="0.25">
      <c r="B4" s="346" t="s">
        <v>240</v>
      </c>
      <c r="C4" s="346"/>
      <c r="D4" s="346"/>
    </row>
    <row r="5" spans="2:4" x14ac:dyDescent="0.25">
      <c r="B5" s="21"/>
      <c r="C5" s="2"/>
      <c r="D5" s="2"/>
    </row>
    <row r="6" spans="2:4" x14ac:dyDescent="0.25">
      <c r="B6" s="351" t="s">
        <v>100</v>
      </c>
      <c r="C6" s="350" t="s">
        <v>101</v>
      </c>
      <c r="D6" s="350" t="s">
        <v>102</v>
      </c>
    </row>
    <row r="7" spans="2:4" x14ac:dyDescent="0.25">
      <c r="B7" s="351"/>
      <c r="C7" s="350"/>
      <c r="D7" s="350"/>
    </row>
    <row r="8" spans="2:4" x14ac:dyDescent="0.25">
      <c r="B8" s="83" t="s">
        <v>22</v>
      </c>
      <c r="C8" s="286"/>
      <c r="D8" s="280">
        <v>139322907</v>
      </c>
    </row>
    <row r="9" spans="2:4" x14ac:dyDescent="0.25">
      <c r="B9" s="117" t="s">
        <v>75</v>
      </c>
      <c r="C9" s="287">
        <f>D9/$D$8</f>
        <v>-2.7779310260874799E-2</v>
      </c>
      <c r="D9" s="281">
        <v>-3870294.2600000054</v>
      </c>
    </row>
    <row r="10" spans="2:4" x14ac:dyDescent="0.25">
      <c r="B10" s="294" t="s">
        <v>76</v>
      </c>
      <c r="C10" s="287">
        <f t="shared" ref="C10:C11" si="0">D10/$D$8</f>
        <v>7.0590098582999056E-2</v>
      </c>
      <c r="D10" s="281">
        <v>9834817.7400000095</v>
      </c>
    </row>
    <row r="11" spans="2:4" x14ac:dyDescent="0.25">
      <c r="B11" s="294" t="s">
        <v>77</v>
      </c>
      <c r="C11" s="287">
        <f t="shared" si="0"/>
        <v>1.488380729810641E-2</v>
      </c>
      <c r="D11" s="281">
        <v>2073655.3000000007</v>
      </c>
    </row>
    <row r="12" spans="2:4" x14ac:dyDescent="0.25">
      <c r="B12" s="3"/>
      <c r="C12" s="287"/>
      <c r="D12" s="281"/>
    </row>
    <row r="13" spans="2:4" x14ac:dyDescent="0.25">
      <c r="B13" s="3"/>
      <c r="C13" s="287"/>
      <c r="D13" s="281"/>
    </row>
    <row r="14" spans="2:4" x14ac:dyDescent="0.25">
      <c r="B14" s="3"/>
      <c r="C14" s="287"/>
      <c r="D14" s="281"/>
    </row>
    <row r="15" spans="2:4" x14ac:dyDescent="0.25">
      <c r="B15" s="83" t="s">
        <v>29</v>
      </c>
      <c r="C15" s="286">
        <f>SUM(C8:C14)</f>
        <v>5.7694595620230674E-2</v>
      </c>
      <c r="D15" s="280">
        <f t="shared" ref="D15" si="1">SUM(D8:D14)</f>
        <v>147361085.78000003</v>
      </c>
    </row>
    <row r="16" spans="2:4" x14ac:dyDescent="0.25">
      <c r="B16" s="79"/>
      <c r="C16" s="45"/>
      <c r="D16" s="45"/>
    </row>
    <row r="17" spans="2:4" x14ac:dyDescent="0.25">
      <c r="B17" s="29" t="s">
        <v>103</v>
      </c>
      <c r="C17" s="109"/>
      <c r="D17" s="84">
        <f>SUM(D9:D14)</f>
        <v>8038178.7800000049</v>
      </c>
    </row>
    <row r="18" spans="2:4" x14ac:dyDescent="0.25">
      <c r="B18" s="29" t="s">
        <v>104</v>
      </c>
      <c r="C18" s="295">
        <f>D15/D8-1</f>
        <v>5.7694595620230826E-2</v>
      </c>
      <c r="D18" s="110"/>
    </row>
    <row r="19" spans="2:4" x14ac:dyDescent="0.25">
      <c r="B19" s="79" t="s">
        <v>105</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sheetPr>
  <dimension ref="B1:G19"/>
  <sheetViews>
    <sheetView showGridLines="0" zoomScale="77" zoomScaleNormal="110" workbookViewId="0"/>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s>
  <sheetData>
    <row r="1" spans="2:7" x14ac:dyDescent="0.25">
      <c r="B1" s="310" t="s">
        <v>106</v>
      </c>
      <c r="C1" s="310"/>
      <c r="D1" s="310"/>
      <c r="E1" s="310"/>
      <c r="F1" s="310"/>
      <c r="G1" s="310"/>
    </row>
    <row r="2" spans="2:7" ht="18.75" x14ac:dyDescent="0.3">
      <c r="B2" s="353" t="s">
        <v>13</v>
      </c>
      <c r="C2" s="354"/>
      <c r="D2" s="354"/>
      <c r="E2" s="354"/>
      <c r="F2" s="354"/>
      <c r="G2" s="355"/>
    </row>
    <row r="3" spans="2:7" ht="18.75" x14ac:dyDescent="0.3">
      <c r="B3" s="347" t="s">
        <v>107</v>
      </c>
      <c r="C3" s="348"/>
      <c r="D3" s="348"/>
      <c r="E3" s="348"/>
      <c r="F3" s="348"/>
      <c r="G3" s="349"/>
    </row>
    <row r="4" spans="2:7" ht="63" customHeight="1" x14ac:dyDescent="0.25">
      <c r="B4" s="356" t="s">
        <v>218</v>
      </c>
      <c r="C4" s="356"/>
      <c r="D4" s="356"/>
      <c r="E4" s="356"/>
      <c r="F4" s="356"/>
      <c r="G4" s="356"/>
    </row>
    <row r="5" spans="2:7" ht="17.45" customHeight="1" x14ac:dyDescent="0.25">
      <c r="B5" s="48" t="s">
        <v>108</v>
      </c>
      <c r="C5" s="357" t="s">
        <v>109</v>
      </c>
      <c r="D5" s="358"/>
      <c r="E5" s="358"/>
      <c r="F5" s="359"/>
      <c r="G5" s="60" t="s">
        <v>110</v>
      </c>
    </row>
    <row r="6" spans="2:7" ht="31.5" customHeight="1" x14ac:dyDescent="0.25">
      <c r="B6" s="16"/>
      <c r="C6" s="51" t="s">
        <v>111</v>
      </c>
      <c r="D6" s="52" t="s">
        <v>112</v>
      </c>
      <c r="E6" s="251" t="s">
        <v>113</v>
      </c>
      <c r="F6" s="251" t="s">
        <v>247</v>
      </c>
      <c r="G6" s="16"/>
    </row>
    <row r="7" spans="2:7" ht="31.5" customHeight="1" x14ac:dyDescent="0.25">
      <c r="B7" s="252" t="s">
        <v>114</v>
      </c>
      <c r="C7" s="253">
        <v>0.02</v>
      </c>
      <c r="D7" s="254">
        <v>500000</v>
      </c>
      <c r="E7" s="255">
        <v>0.6</v>
      </c>
      <c r="F7" s="256">
        <f>C7*E7</f>
        <v>1.2E-2</v>
      </c>
      <c r="G7" s="252" t="s">
        <v>115</v>
      </c>
    </row>
    <row r="8" spans="2:7" ht="27" customHeight="1" x14ac:dyDescent="0.25">
      <c r="B8" s="16" t="s">
        <v>116</v>
      </c>
      <c r="C8" s="51">
        <v>0.04</v>
      </c>
      <c r="D8" s="52">
        <v>347393</v>
      </c>
      <c r="E8" s="51">
        <v>0.11127443498136655</v>
      </c>
      <c r="F8" s="9">
        <f>C8*E8</f>
        <v>4.4509773992546624E-3</v>
      </c>
      <c r="G8" s="16"/>
    </row>
    <row r="9" spans="2:7" ht="27" customHeight="1" x14ac:dyDescent="0.25">
      <c r="B9" s="16" t="s">
        <v>117</v>
      </c>
      <c r="C9" s="51">
        <v>0.04</v>
      </c>
      <c r="D9" s="52">
        <v>1110082.6000000001</v>
      </c>
      <c r="E9" s="51">
        <v>0.34392845688720569</v>
      </c>
      <c r="F9" s="9">
        <f t="shared" ref="F9:F15" si="0">C9*E9</f>
        <v>1.3757138275488228E-2</v>
      </c>
      <c r="G9" s="16"/>
    </row>
    <row r="10" spans="2:7" ht="27" customHeight="1" x14ac:dyDescent="0.25">
      <c r="B10" s="16" t="s">
        <v>47</v>
      </c>
      <c r="C10" s="51">
        <v>0.03</v>
      </c>
      <c r="D10" s="52">
        <v>123245.01</v>
      </c>
      <c r="E10" s="51">
        <v>2.2003744046846335E-2</v>
      </c>
      <c r="F10" s="9">
        <f t="shared" si="0"/>
        <v>6.6011232140538996E-4</v>
      </c>
      <c r="G10" s="16"/>
    </row>
    <row r="11" spans="2:7" ht="27" customHeight="1" x14ac:dyDescent="0.25">
      <c r="B11" s="16" t="s">
        <v>118</v>
      </c>
      <c r="C11" s="51">
        <v>0.03</v>
      </c>
      <c r="D11" s="52">
        <v>257140.5</v>
      </c>
      <c r="E11" s="51">
        <v>2.2351328603620275E-2</v>
      </c>
      <c r="F11" s="9">
        <f t="shared" si="0"/>
        <v>6.705398581086082E-4</v>
      </c>
      <c r="G11" s="16"/>
    </row>
    <row r="12" spans="2:7" ht="27" customHeight="1" x14ac:dyDescent="0.25">
      <c r="B12" s="16" t="s">
        <v>119</v>
      </c>
      <c r="C12" s="51">
        <v>0.03</v>
      </c>
      <c r="D12" s="52">
        <v>73448.009999999995</v>
      </c>
      <c r="E12" s="51">
        <v>5.9071083164769214E-3</v>
      </c>
      <c r="F12" s="9">
        <f t="shared" si="0"/>
        <v>1.7721324949430763E-4</v>
      </c>
      <c r="G12" s="16"/>
    </row>
    <row r="13" spans="2:7" ht="27" customHeight="1" x14ac:dyDescent="0.25">
      <c r="B13" s="30" t="s">
        <v>254</v>
      </c>
      <c r="C13" s="51">
        <v>0.03</v>
      </c>
      <c r="D13" s="52">
        <v>532288.26</v>
      </c>
      <c r="E13" s="51">
        <v>0.49453492716448422</v>
      </c>
      <c r="F13" s="9">
        <f t="shared" si="0"/>
        <v>1.4836047814934526E-2</v>
      </c>
      <c r="G13" s="16"/>
    </row>
    <row r="14" spans="2:7" ht="27" customHeight="1" x14ac:dyDescent="0.25">
      <c r="B14" s="30" t="s">
        <v>120</v>
      </c>
      <c r="C14" s="51"/>
      <c r="D14" s="52"/>
      <c r="E14" s="51"/>
      <c r="F14" s="9">
        <f t="shared" si="0"/>
        <v>0</v>
      </c>
      <c r="G14" s="16"/>
    </row>
    <row r="15" spans="2:7" ht="27" customHeight="1" x14ac:dyDescent="0.25">
      <c r="B15" s="30" t="s">
        <v>120</v>
      </c>
      <c r="C15" s="51"/>
      <c r="D15" s="52"/>
      <c r="E15" s="51"/>
      <c r="F15" s="9">
        <f t="shared" si="0"/>
        <v>0</v>
      </c>
      <c r="G15" s="16"/>
    </row>
    <row r="16" spans="2:7" x14ac:dyDescent="0.25">
      <c r="B16" s="11" t="s">
        <v>18</v>
      </c>
      <c r="C16" s="81" t="s">
        <v>121</v>
      </c>
      <c r="D16" s="82">
        <f>SUM(D8:D15)</f>
        <v>2443597.38</v>
      </c>
      <c r="E16" s="81">
        <f>SUM(E8:E15)</f>
        <v>1</v>
      </c>
      <c r="F16" s="82" t="s">
        <v>121</v>
      </c>
      <c r="G16" s="11"/>
    </row>
    <row r="17" spans="2:6" x14ac:dyDescent="0.25">
      <c r="B17" s="18"/>
      <c r="E17" t="s">
        <v>122</v>
      </c>
    </row>
    <row r="19" spans="2:6" x14ac:dyDescent="0.25">
      <c r="B19" s="352" t="s">
        <v>123</v>
      </c>
      <c r="C19" s="352"/>
      <c r="D19" s="352"/>
      <c r="E19" s="352"/>
      <c r="F19" s="260"/>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7DD81-7C75-4881-A377-7DA128E786DE}">
  <sheetPr>
    <tabColor rgb="FFFFC000"/>
    <pageSetUpPr fitToPage="1"/>
  </sheetPr>
  <dimension ref="A1:F80"/>
  <sheetViews>
    <sheetView showGridLines="0" zoomScale="50" zoomScaleNormal="50" zoomScaleSheetLayoutView="30" workbookViewId="0"/>
  </sheetViews>
  <sheetFormatPr defaultColWidth="9.140625" defaultRowHeight="15" outlineLevelRow="1" x14ac:dyDescent="0.25"/>
  <cols>
    <col min="1" max="1" width="1.5703125" style="202" customWidth="1"/>
    <col min="2" max="2" width="113.5703125" style="203" customWidth="1"/>
    <col min="3" max="3" width="59.85546875" style="203" customWidth="1"/>
    <col min="4" max="4" width="59.85546875" style="22" customWidth="1"/>
    <col min="5" max="16384" width="9.140625" style="22"/>
  </cols>
  <sheetData>
    <row r="1" spans="1:6" s="119" customFormat="1" x14ac:dyDescent="0.25">
      <c r="A1" s="118"/>
    </row>
    <row r="2" spans="1:6" s="1" customFormat="1" ht="31.5" x14ac:dyDescent="0.5">
      <c r="B2" s="368" t="s">
        <v>124</v>
      </c>
      <c r="C2" s="368"/>
      <c r="D2" s="368"/>
      <c r="E2" s="217"/>
      <c r="F2" s="217"/>
    </row>
    <row r="3" spans="1:6" s="1" customFormat="1" ht="31.5" x14ac:dyDescent="0.5">
      <c r="B3" s="365" t="s">
        <v>2</v>
      </c>
      <c r="C3" s="366"/>
      <c r="D3" s="367"/>
      <c r="E3" s="121"/>
      <c r="F3" s="121"/>
    </row>
    <row r="4" spans="1:6" s="1" customFormat="1" ht="31.5" x14ac:dyDescent="0.5">
      <c r="B4" s="369" t="s">
        <v>125</v>
      </c>
      <c r="C4" s="370"/>
      <c r="D4" s="371"/>
    </row>
    <row r="5" spans="1:6" s="65" customFormat="1" ht="18.75" x14ac:dyDescent="0.3">
      <c r="B5" s="216"/>
      <c r="C5" s="216"/>
      <c r="D5" s="216"/>
      <c r="E5" s="216"/>
      <c r="F5" s="216"/>
    </row>
    <row r="6" spans="1:6" s="65" customFormat="1" ht="18.75" x14ac:dyDescent="0.3">
      <c r="B6" s="216"/>
      <c r="C6" s="216"/>
      <c r="D6" s="216"/>
      <c r="E6" s="216"/>
      <c r="F6" s="216"/>
    </row>
    <row r="7" spans="1:6" s="121" customFormat="1" ht="31.5" x14ac:dyDescent="0.5">
      <c r="A7" s="120"/>
      <c r="B7" s="360" t="s">
        <v>126</v>
      </c>
      <c r="C7" s="361"/>
      <c r="D7" s="362"/>
    </row>
    <row r="8" spans="1:6" s="125" customFormat="1" ht="31.5" x14ac:dyDescent="0.5">
      <c r="A8" s="122"/>
      <c r="B8" s="123"/>
      <c r="C8" s="209"/>
      <c r="D8" s="124"/>
    </row>
    <row r="9" spans="1:6" s="121" customFormat="1" ht="48" customHeight="1" x14ac:dyDescent="0.5">
      <c r="A9" s="120"/>
      <c r="B9" s="126" t="s">
        <v>127</v>
      </c>
      <c r="C9" s="210"/>
      <c r="D9" s="212"/>
    </row>
    <row r="10" spans="1:6" s="128" customFormat="1" ht="15.75" customHeight="1" x14ac:dyDescent="0.4">
      <c r="A10" s="127"/>
      <c r="B10" s="363"/>
      <c r="C10" s="364"/>
      <c r="D10" s="364"/>
    </row>
    <row r="11" spans="1:6" s="128" customFormat="1" ht="24.75" customHeight="1" x14ac:dyDescent="0.4">
      <c r="A11" s="127"/>
      <c r="B11" s="261"/>
      <c r="C11" s="262"/>
      <c r="D11" s="262"/>
    </row>
    <row r="12" spans="1:6" s="132" customFormat="1" ht="11.25" customHeight="1" x14ac:dyDescent="0.4">
      <c r="A12" s="129"/>
      <c r="B12" s="130"/>
      <c r="C12" s="211"/>
      <c r="D12" s="131"/>
    </row>
    <row r="13" spans="1:6" s="137" customFormat="1" ht="104.25" customHeight="1" x14ac:dyDescent="0.25">
      <c r="A13" s="133"/>
      <c r="B13" s="134" t="s">
        <v>128</v>
      </c>
      <c r="C13" s="135" t="s">
        <v>129</v>
      </c>
      <c r="D13" s="135" t="s">
        <v>130</v>
      </c>
      <c r="E13" s="136"/>
    </row>
    <row r="14" spans="1:6" s="125" customFormat="1" ht="31.5" x14ac:dyDescent="0.5">
      <c r="A14" s="138"/>
      <c r="B14" s="139" t="s">
        <v>131</v>
      </c>
      <c r="C14" s="140"/>
      <c r="D14" s="141"/>
    </row>
    <row r="15" spans="1:6" s="121" customFormat="1" ht="30" hidden="1" customHeight="1" x14ac:dyDescent="0.5">
      <c r="A15" s="142"/>
      <c r="B15" s="143" t="s">
        <v>132</v>
      </c>
      <c r="C15" s="144"/>
      <c r="D15" s="145"/>
      <c r="E15" s="146"/>
    </row>
    <row r="16" spans="1:6" s="125" customFormat="1" ht="30" hidden="1" customHeight="1" x14ac:dyDescent="0.5">
      <c r="A16" s="138"/>
      <c r="B16" s="147" t="s">
        <v>133</v>
      </c>
      <c r="C16" s="148"/>
      <c r="D16" s="149"/>
      <c r="E16" s="150"/>
    </row>
    <row r="17" spans="1:5" s="125" customFormat="1" ht="30" hidden="1" customHeight="1" x14ac:dyDescent="0.5">
      <c r="A17" s="138"/>
      <c r="B17" s="151" t="s">
        <v>134</v>
      </c>
      <c r="C17" s="148"/>
      <c r="D17" s="149"/>
      <c r="E17" s="150"/>
    </row>
    <row r="18" spans="1:5" s="125" customFormat="1" ht="30" hidden="1" customHeight="1" x14ac:dyDescent="0.5">
      <c r="A18" s="138"/>
      <c r="B18" s="147" t="s">
        <v>135</v>
      </c>
      <c r="C18" s="148"/>
      <c r="D18" s="149"/>
      <c r="E18" s="150"/>
    </row>
    <row r="19" spans="1:5" s="125" customFormat="1" ht="30" hidden="1" customHeight="1" x14ac:dyDescent="0.5">
      <c r="A19" s="138"/>
      <c r="B19" s="147" t="s">
        <v>136</v>
      </c>
      <c r="C19" s="148"/>
      <c r="D19" s="149"/>
      <c r="E19" s="150"/>
    </row>
    <row r="20" spans="1:5" s="125" customFormat="1" ht="30" hidden="1" customHeight="1" x14ac:dyDescent="0.5">
      <c r="A20" s="138"/>
      <c r="B20" s="147" t="s">
        <v>137</v>
      </c>
      <c r="C20" s="148"/>
      <c r="D20" s="149"/>
      <c r="E20" s="150"/>
    </row>
    <row r="21" spans="1:5" s="121" customFormat="1" ht="30" customHeight="1" x14ac:dyDescent="0.5">
      <c r="A21" s="142"/>
      <c r="B21" s="152" t="s">
        <v>138</v>
      </c>
      <c r="C21" s="153">
        <v>1391431.5599999998</v>
      </c>
      <c r="D21" s="153"/>
      <c r="E21" s="146"/>
    </row>
    <row r="22" spans="1:5" s="125" customFormat="1" ht="30" customHeight="1" x14ac:dyDescent="0.5">
      <c r="A22" s="138"/>
      <c r="B22" s="154" t="s">
        <v>139</v>
      </c>
      <c r="C22" s="153">
        <v>0</v>
      </c>
      <c r="D22" s="155"/>
      <c r="E22" s="146"/>
    </row>
    <row r="23" spans="1:5" s="121" customFormat="1" ht="30" customHeight="1" x14ac:dyDescent="0.5">
      <c r="A23" s="142"/>
      <c r="B23" s="139" t="s">
        <v>140</v>
      </c>
      <c r="C23" s="156">
        <f>SUM(C21:C22)</f>
        <v>1391431.5599999998</v>
      </c>
      <c r="D23" s="156">
        <f>SUM(D21:D22)</f>
        <v>0</v>
      </c>
      <c r="E23" s="146"/>
    </row>
    <row r="24" spans="1:5" s="162" customFormat="1" ht="15" customHeight="1" x14ac:dyDescent="0.5">
      <c r="A24" s="157"/>
      <c r="B24" s="158"/>
      <c r="C24" s="159"/>
      <c r="D24" s="160"/>
      <c r="E24" s="161"/>
    </row>
    <row r="25" spans="1:5" s="162" customFormat="1" ht="30" customHeight="1" x14ac:dyDescent="0.5">
      <c r="A25" s="157"/>
      <c r="B25" s="163" t="s">
        <v>141</v>
      </c>
      <c r="C25" s="159">
        <v>308692</v>
      </c>
      <c r="D25" s="160"/>
      <c r="E25" s="161"/>
    </row>
    <row r="26" spans="1:5" s="162" customFormat="1" ht="30" customHeight="1" x14ac:dyDescent="0.5">
      <c r="A26" s="157"/>
      <c r="B26" s="164" t="s">
        <v>81</v>
      </c>
      <c r="C26" s="159"/>
      <c r="D26" s="160"/>
      <c r="E26" s="161"/>
    </row>
    <row r="27" spans="1:5" s="121" customFormat="1" ht="30" customHeight="1" x14ac:dyDescent="0.5">
      <c r="A27" s="142"/>
      <c r="B27" s="165" t="s">
        <v>142</v>
      </c>
      <c r="C27" s="144">
        <f>SUM(C24:C26)</f>
        <v>308692</v>
      </c>
      <c r="D27" s="144">
        <f>SUM(D24:D26)</f>
        <v>0</v>
      </c>
      <c r="E27" s="146"/>
    </row>
    <row r="28" spans="1:5" s="125" customFormat="1" ht="30" customHeight="1" x14ac:dyDescent="0.5">
      <c r="A28" s="138"/>
      <c r="B28" s="166" t="s">
        <v>143</v>
      </c>
      <c r="C28" s="167">
        <f>C23+C27</f>
        <v>1700123.5599999998</v>
      </c>
      <c r="D28" s="167">
        <f>D23+D27</f>
        <v>0</v>
      </c>
      <c r="E28" s="146"/>
    </row>
    <row r="29" spans="1:5" s="162" customFormat="1" ht="27" hidden="1" customHeight="1" x14ac:dyDescent="0.5">
      <c r="A29" s="157"/>
      <c r="B29" s="168" t="s">
        <v>37</v>
      </c>
      <c r="C29" s="169"/>
      <c r="D29" s="170"/>
      <c r="E29" s="171"/>
    </row>
    <row r="30" spans="1:5" s="125" customFormat="1" ht="30" hidden="1" customHeight="1" x14ac:dyDescent="0.5">
      <c r="A30" s="138"/>
      <c r="B30" s="172" t="s">
        <v>144</v>
      </c>
      <c r="C30" s="159"/>
      <c r="D30" s="149"/>
    </row>
    <row r="31" spans="1:5" s="125" customFormat="1" ht="30" hidden="1" customHeight="1" x14ac:dyDescent="0.5">
      <c r="A31" s="138"/>
      <c r="B31" s="173" t="s">
        <v>145</v>
      </c>
      <c r="C31" s="159"/>
      <c r="D31" s="149"/>
    </row>
    <row r="32" spans="1:5" s="125" customFormat="1" ht="30" hidden="1" customHeight="1" x14ac:dyDescent="0.5">
      <c r="A32" s="138"/>
      <c r="B32" s="173" t="s">
        <v>48</v>
      </c>
      <c r="C32" s="159"/>
      <c r="D32" s="149"/>
    </row>
    <row r="33" spans="1:5" s="125" customFormat="1" ht="30" hidden="1" customHeight="1" x14ac:dyDescent="0.5">
      <c r="A33" s="138"/>
      <c r="B33" s="173" t="s">
        <v>146</v>
      </c>
      <c r="C33" s="159"/>
      <c r="D33" s="149"/>
    </row>
    <row r="34" spans="1:5" s="125" customFormat="1" ht="30" hidden="1" customHeight="1" x14ac:dyDescent="0.5">
      <c r="A34" s="138"/>
      <c r="B34" s="173" t="s">
        <v>147</v>
      </c>
      <c r="C34" s="159"/>
      <c r="D34" s="149"/>
    </row>
    <row r="35" spans="1:5" s="125" customFormat="1" ht="30" hidden="1" customHeight="1" x14ac:dyDescent="0.5">
      <c r="A35" s="138"/>
      <c r="B35" s="174" t="s">
        <v>148</v>
      </c>
      <c r="C35" s="159"/>
      <c r="D35" s="149"/>
    </row>
    <row r="36" spans="1:5" s="125" customFormat="1" ht="30" customHeight="1" x14ac:dyDescent="0.5">
      <c r="A36" s="138"/>
      <c r="B36" s="175" t="s">
        <v>149</v>
      </c>
      <c r="C36" s="153">
        <v>1666762.5599999998</v>
      </c>
      <c r="D36" s="153"/>
      <c r="E36" s="146"/>
    </row>
    <row r="37" spans="1:5" s="125" customFormat="1" ht="7.9" customHeight="1" x14ac:dyDescent="0.5">
      <c r="A37" s="138"/>
      <c r="B37" s="176"/>
      <c r="C37" s="177"/>
      <c r="D37" s="178"/>
    </row>
    <row r="38" spans="1:5" s="125" customFormat="1" ht="30" customHeight="1" x14ac:dyDescent="0.5">
      <c r="A38" s="138"/>
      <c r="B38" s="166" t="s">
        <v>150</v>
      </c>
      <c r="C38" s="167">
        <f>C28-C36</f>
        <v>33361</v>
      </c>
      <c r="D38" s="167">
        <f>D28-D36</f>
        <v>0</v>
      </c>
      <c r="E38" s="146"/>
    </row>
    <row r="39" spans="1:5" s="182" customFormat="1" ht="30" customHeight="1" x14ac:dyDescent="0.5">
      <c r="A39" s="179"/>
      <c r="B39" s="180"/>
      <c r="C39" s="181"/>
      <c r="D39" s="178"/>
      <c r="E39" s="146"/>
    </row>
    <row r="40" spans="1:5" s="121" customFormat="1" ht="30" customHeight="1" x14ac:dyDescent="0.5">
      <c r="A40" s="142"/>
      <c r="B40" s="183" t="s">
        <v>151</v>
      </c>
      <c r="C40" s="184"/>
      <c r="D40" s="149"/>
      <c r="E40" s="146"/>
    </row>
    <row r="41" spans="1:5" s="182" customFormat="1" ht="30" customHeight="1" x14ac:dyDescent="0.5">
      <c r="A41" s="179"/>
      <c r="B41" s="180"/>
      <c r="C41" s="181"/>
      <c r="D41" s="178"/>
      <c r="E41" s="146"/>
    </row>
    <row r="42" spans="1:5" s="125" customFormat="1" ht="30" customHeight="1" thickBot="1" x14ac:dyDescent="0.55000000000000004">
      <c r="A42" s="138"/>
      <c r="B42" s="185" t="s">
        <v>152</v>
      </c>
      <c r="C42" s="186">
        <f>C38+C40</f>
        <v>33361</v>
      </c>
      <c r="D42" s="186">
        <f>D38+D40</f>
        <v>0</v>
      </c>
      <c r="E42" s="146"/>
    </row>
    <row r="43" spans="1:5" s="125" customFormat="1" ht="30" customHeight="1" thickTop="1" x14ac:dyDescent="0.5">
      <c r="A43" s="138"/>
      <c r="B43" s="187"/>
      <c r="C43" s="188"/>
      <c r="D43" s="189"/>
      <c r="E43" s="146"/>
    </row>
    <row r="44" spans="1:5" s="125" customFormat="1" ht="30" customHeight="1" outlineLevel="1" x14ac:dyDescent="0.5">
      <c r="A44" s="138"/>
      <c r="B44" s="190" t="s">
        <v>153</v>
      </c>
      <c r="C44" s="191"/>
      <c r="D44" s="192"/>
      <c r="E44" s="146"/>
    </row>
    <row r="45" spans="1:5" s="121" customFormat="1" ht="30" customHeight="1" outlineLevel="1" x14ac:dyDescent="0.5">
      <c r="A45" s="142"/>
      <c r="B45" s="193" t="s">
        <v>154</v>
      </c>
      <c r="C45" s="194">
        <f t="shared" ref="C45" si="0">C38/C28</f>
        <v>1.9622691423675113E-2</v>
      </c>
      <c r="D45" s="195" t="e">
        <f t="shared" ref="D45" si="1">D38/D28</f>
        <v>#DIV/0!</v>
      </c>
      <c r="E45" s="146"/>
    </row>
    <row r="46" spans="1:5" s="200" customFormat="1" ht="30" customHeight="1" outlineLevel="1" thickBot="1" x14ac:dyDescent="0.55000000000000004">
      <c r="A46" s="196"/>
      <c r="B46" s="197" t="s">
        <v>155</v>
      </c>
      <c r="C46" s="198">
        <f t="shared" ref="C46" si="2">C42/(C28+C40)</f>
        <v>1.9622691423675113E-2</v>
      </c>
      <c r="D46" s="199" t="e">
        <f t="shared" ref="D46" si="3">D42/(D28+D40)</f>
        <v>#DIV/0!</v>
      </c>
    </row>
    <row r="47" spans="1:5" s="125" customFormat="1" ht="30" customHeight="1" x14ac:dyDescent="0.5">
      <c r="A47" s="122"/>
      <c r="B47" s="201"/>
      <c r="C47" s="201"/>
    </row>
    <row r="48" spans="1:5" s="125" customFormat="1" ht="30" customHeight="1" x14ac:dyDescent="0.5">
      <c r="A48" s="122"/>
      <c r="B48" s="201"/>
      <c r="C48" s="201"/>
    </row>
    <row r="49" spans="2:5" ht="30" customHeight="1" x14ac:dyDescent="0.25"/>
    <row r="50" spans="2:5" ht="30" customHeight="1" x14ac:dyDescent="0.25"/>
    <row r="51" spans="2:5" ht="30" customHeight="1" x14ac:dyDescent="0.25"/>
    <row r="52" spans="2:5" ht="30" customHeight="1" x14ac:dyDescent="0.25"/>
    <row r="53" spans="2:5" ht="30" customHeight="1" x14ac:dyDescent="0.25"/>
    <row r="54" spans="2:5" s="202" customFormat="1" ht="30" customHeight="1" x14ac:dyDescent="0.25">
      <c r="B54" s="203"/>
      <c r="C54" s="203"/>
      <c r="D54" s="22"/>
      <c r="E54" s="22"/>
    </row>
    <row r="55" spans="2:5" s="202" customFormat="1" ht="30" customHeight="1" x14ac:dyDescent="0.25">
      <c r="B55" s="203"/>
      <c r="C55" s="203"/>
      <c r="D55" s="22"/>
      <c r="E55" s="22"/>
    </row>
    <row r="56" spans="2:5" s="202" customFormat="1" ht="30" customHeight="1" x14ac:dyDescent="0.25">
      <c r="B56" s="203"/>
      <c r="C56" s="203"/>
      <c r="D56" s="22"/>
      <c r="E56" s="22"/>
    </row>
    <row r="57" spans="2:5" s="202" customFormat="1" ht="30" customHeight="1" x14ac:dyDescent="0.25">
      <c r="B57" s="203"/>
      <c r="C57" s="203"/>
      <c r="D57" s="22"/>
      <c r="E57" s="22"/>
    </row>
    <row r="58" spans="2:5" s="202" customFormat="1" ht="30" customHeight="1" x14ac:dyDescent="0.25">
      <c r="B58" s="203"/>
      <c r="C58" s="203"/>
      <c r="D58" s="22"/>
      <c r="E58" s="22"/>
    </row>
    <row r="59" spans="2:5" s="202" customFormat="1" ht="30" customHeight="1" x14ac:dyDescent="0.25">
      <c r="B59" s="203"/>
      <c r="C59" s="203"/>
      <c r="D59" s="22"/>
      <c r="E59" s="22"/>
    </row>
    <row r="60" spans="2:5" s="202" customFormat="1" ht="30" customHeight="1" x14ac:dyDescent="0.25">
      <c r="B60" s="203"/>
      <c r="C60" s="203"/>
      <c r="D60" s="22"/>
      <c r="E60" s="22"/>
    </row>
    <row r="61" spans="2:5" s="202" customFormat="1" ht="30" customHeight="1" x14ac:dyDescent="0.25">
      <c r="B61" s="203"/>
      <c r="C61" s="203"/>
      <c r="D61" s="22"/>
      <c r="E61" s="22"/>
    </row>
    <row r="62" spans="2:5" s="202" customFormat="1" ht="30" customHeight="1" x14ac:dyDescent="0.25">
      <c r="B62" s="203"/>
      <c r="C62" s="203"/>
      <c r="D62" s="22"/>
      <c r="E62" s="22"/>
    </row>
    <row r="63" spans="2:5" s="202" customFormat="1" ht="30" customHeight="1" x14ac:dyDescent="0.25">
      <c r="B63" s="203"/>
      <c r="C63" s="203"/>
      <c r="D63" s="22"/>
      <c r="E63" s="22"/>
    </row>
    <row r="64" spans="2:5" s="202" customFormat="1" ht="30" customHeight="1" x14ac:dyDescent="0.25">
      <c r="B64" s="203"/>
      <c r="C64" s="203"/>
      <c r="D64" s="22"/>
      <c r="E64" s="22"/>
    </row>
    <row r="65" spans="1:5" s="202" customFormat="1" ht="30" customHeight="1" x14ac:dyDescent="0.25">
      <c r="B65" s="203"/>
      <c r="C65" s="203"/>
      <c r="D65" s="22"/>
      <c r="E65" s="22"/>
    </row>
    <row r="66" spans="1:5" s="202" customFormat="1" ht="30" customHeight="1" x14ac:dyDescent="0.25">
      <c r="B66" s="203"/>
      <c r="C66" s="203"/>
      <c r="D66" s="22"/>
      <c r="E66" s="22"/>
    </row>
    <row r="67" spans="1:5" s="202" customFormat="1" ht="30" customHeight="1" x14ac:dyDescent="0.25">
      <c r="B67" s="203"/>
      <c r="C67" s="203"/>
      <c r="D67" s="22"/>
      <c r="E67" s="22"/>
    </row>
    <row r="68" spans="1:5" s="202" customFormat="1" ht="30" customHeight="1" x14ac:dyDescent="0.25">
      <c r="B68" s="203"/>
      <c r="C68" s="203"/>
      <c r="D68" s="22"/>
      <c r="E68" s="22"/>
    </row>
    <row r="69" spans="1:5" s="202" customFormat="1" ht="30" customHeight="1" x14ac:dyDescent="0.25">
      <c r="B69" s="203"/>
      <c r="C69" s="203"/>
      <c r="D69" s="22"/>
      <c r="E69" s="22"/>
    </row>
    <row r="70" spans="1:5" ht="30" customHeight="1" x14ac:dyDescent="0.25"/>
    <row r="71" spans="1:5" ht="30" customHeight="1" x14ac:dyDescent="0.25"/>
    <row r="72" spans="1:5" ht="30" customHeight="1" x14ac:dyDescent="0.25"/>
    <row r="73" spans="1:5" ht="30" customHeight="1" x14ac:dyDescent="0.25"/>
    <row r="79" spans="1:5" s="207" customFormat="1" x14ac:dyDescent="0.25">
      <c r="A79" s="204"/>
      <c r="B79" s="205" t="s">
        <v>156</v>
      </c>
      <c r="C79" s="205"/>
      <c r="D79" s="206"/>
    </row>
    <row r="80" spans="1:5" x14ac:dyDescent="0.25">
      <c r="B80" s="208"/>
      <c r="C80" s="208"/>
      <c r="D80" s="207"/>
    </row>
  </sheetData>
  <mergeCells count="5">
    <mergeCell ref="B7:D7"/>
    <mergeCell ref="B10:D10"/>
    <mergeCell ref="B3:D3"/>
    <mergeCell ref="B2:D2"/>
    <mergeCell ref="B4:D4"/>
  </mergeCells>
  <pageMargins left="0.45" right="0.45" top="0.25" bottom="0.5" header="0.3" footer="0.3"/>
  <pageSetup scale="59" orientation="landscape" r:id="rId1"/>
  <headerFooter>
    <oddFooter>&amp;L&amp;16&amp;D, Page &amp;P&amp;C&amp;16Green Mountain Care Board&amp;R&amp;16&amp;F,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theme="7"/>
  </sheetPr>
  <dimension ref="B1:P16"/>
  <sheetViews>
    <sheetView showGridLines="0" workbookViewId="0"/>
  </sheetViews>
  <sheetFormatPr defaultColWidth="8.85546875" defaultRowHeight="15" x14ac:dyDescent="0.25"/>
  <cols>
    <col min="1" max="1" width="8.85546875" style="1"/>
    <col min="2" max="2" width="32.28515625" style="42" customWidth="1"/>
    <col min="3" max="4" width="22.28515625" style="42" customWidth="1"/>
    <col min="5" max="5" width="17.5703125" style="42" customWidth="1"/>
    <col min="6" max="6" width="19.5703125" style="42" customWidth="1"/>
    <col min="7" max="7" width="12.28515625" style="1" bestFit="1" customWidth="1"/>
    <col min="8" max="8" width="11.28515625" style="1" bestFit="1" customWidth="1"/>
    <col min="9" max="10" width="12.28515625" style="1" bestFit="1" customWidth="1"/>
    <col min="11" max="11" width="8.85546875" style="1"/>
    <col min="12" max="12" width="11.5703125" style="1" bestFit="1" customWidth="1"/>
    <col min="13" max="13" width="10.5703125" style="1" bestFit="1" customWidth="1"/>
    <col min="14" max="15" width="11.5703125" style="1" bestFit="1" customWidth="1"/>
    <col min="16" max="16384" width="8.85546875" style="1"/>
  </cols>
  <sheetData>
    <row r="1" spans="2:16" s="113" customFormat="1" x14ac:dyDescent="0.25">
      <c r="B1" s="114"/>
      <c r="C1" s="114"/>
      <c r="D1" s="114"/>
      <c r="E1" s="114"/>
      <c r="F1" s="114"/>
    </row>
    <row r="2" spans="2:16" ht="15.75" x14ac:dyDescent="0.25">
      <c r="B2" s="373" t="s">
        <v>157</v>
      </c>
      <c r="C2" s="373"/>
      <c r="D2" s="373"/>
      <c r="E2" s="373"/>
      <c r="F2" s="373"/>
    </row>
    <row r="3" spans="2:16" ht="18.75" x14ac:dyDescent="0.3">
      <c r="B3" s="374" t="s">
        <v>2</v>
      </c>
      <c r="C3" s="375"/>
      <c r="D3" s="375"/>
      <c r="E3" s="375"/>
      <c r="F3" s="376"/>
    </row>
    <row r="4" spans="2:16" ht="18.75" x14ac:dyDescent="0.3">
      <c r="B4" s="347" t="s">
        <v>158</v>
      </c>
      <c r="C4" s="348"/>
      <c r="D4" s="348"/>
      <c r="E4" s="348"/>
      <c r="F4" s="349"/>
    </row>
    <row r="5" spans="2:16" ht="15.75" x14ac:dyDescent="0.25">
      <c r="B5" s="31"/>
      <c r="C5" s="31"/>
      <c r="D5" s="31"/>
      <c r="E5" s="31"/>
      <c r="F5" s="31"/>
    </row>
    <row r="6" spans="2:16" ht="28.5" customHeight="1" x14ac:dyDescent="0.25">
      <c r="B6" s="372" t="s">
        <v>159</v>
      </c>
      <c r="C6" s="372"/>
      <c r="D6" s="372"/>
      <c r="E6" s="372"/>
      <c r="F6" s="372"/>
    </row>
    <row r="7" spans="2:16" ht="15.75" x14ac:dyDescent="0.25">
      <c r="B7" s="31"/>
      <c r="C7" s="31"/>
      <c r="D7" s="31"/>
      <c r="E7" s="31"/>
      <c r="F7" s="31"/>
    </row>
    <row r="8" spans="2:16" ht="48" customHeight="1" x14ac:dyDescent="0.25">
      <c r="B8" s="32" t="s">
        <v>160</v>
      </c>
      <c r="C8" s="33" t="s">
        <v>161</v>
      </c>
      <c r="D8" s="33" t="s">
        <v>162</v>
      </c>
      <c r="E8" s="33" t="s">
        <v>163</v>
      </c>
      <c r="F8" s="34" t="s">
        <v>164</v>
      </c>
    </row>
    <row r="9" spans="2:16" ht="25.5" customHeight="1" x14ac:dyDescent="0.25">
      <c r="B9" s="35"/>
      <c r="C9" s="36" t="s">
        <v>165</v>
      </c>
      <c r="D9" s="36" t="s">
        <v>166</v>
      </c>
      <c r="E9" s="36" t="s">
        <v>166</v>
      </c>
      <c r="F9" s="37" t="s">
        <v>167</v>
      </c>
    </row>
    <row r="10" spans="2:16" ht="24" customHeight="1" x14ac:dyDescent="0.25">
      <c r="B10" s="38" t="s">
        <v>168</v>
      </c>
      <c r="C10" s="39" t="s">
        <v>257</v>
      </c>
      <c r="D10" s="296">
        <v>5105</v>
      </c>
      <c r="E10" s="292">
        <f>4976779.2/12</f>
        <v>414731.60000000003</v>
      </c>
      <c r="F10" s="291" t="s">
        <v>255</v>
      </c>
      <c r="G10" s="290"/>
      <c r="H10" s="290"/>
      <c r="I10" s="290"/>
      <c r="J10" s="290"/>
      <c r="K10" s="290"/>
      <c r="L10" s="290"/>
      <c r="M10" s="290"/>
      <c r="N10" s="290"/>
      <c r="O10" s="290"/>
      <c r="P10" s="290"/>
    </row>
    <row r="11" spans="2:16" ht="15.75" x14ac:dyDescent="0.25">
      <c r="B11" s="38" t="s">
        <v>169</v>
      </c>
      <c r="C11" s="39" t="s">
        <v>253</v>
      </c>
      <c r="D11" s="39"/>
      <c r="E11" s="39"/>
      <c r="F11" s="40"/>
      <c r="G11" s="290"/>
      <c r="H11" s="290"/>
      <c r="I11" s="290"/>
      <c r="J11" s="290"/>
      <c r="K11" s="290"/>
      <c r="L11" s="290"/>
      <c r="M11" s="290"/>
      <c r="N11" s="290"/>
      <c r="O11" s="290"/>
      <c r="P11" s="290"/>
    </row>
    <row r="12" spans="2:16" ht="15.75" x14ac:dyDescent="0.25">
      <c r="B12" s="38" t="s">
        <v>241</v>
      </c>
      <c r="C12" s="39" t="s">
        <v>257</v>
      </c>
      <c r="D12" s="296">
        <v>3407</v>
      </c>
      <c r="E12" s="39"/>
      <c r="F12" s="40" t="s">
        <v>256</v>
      </c>
      <c r="G12" s="290"/>
      <c r="H12" s="290"/>
      <c r="I12" s="290"/>
      <c r="J12" s="290"/>
      <c r="K12" s="290"/>
      <c r="L12" s="290"/>
      <c r="M12" s="290"/>
      <c r="N12" s="290"/>
      <c r="O12" s="290"/>
      <c r="P12" s="290"/>
    </row>
    <row r="13" spans="2:16" ht="15.75" x14ac:dyDescent="0.25">
      <c r="B13" s="38" t="s">
        <v>170</v>
      </c>
      <c r="C13" s="39" t="s">
        <v>253</v>
      </c>
      <c r="D13" s="39"/>
      <c r="E13" s="39"/>
      <c r="F13" s="40"/>
      <c r="G13" s="290"/>
      <c r="H13" s="290"/>
      <c r="I13" s="290"/>
      <c r="J13" s="290"/>
      <c r="K13" s="290"/>
      <c r="L13" s="290"/>
      <c r="M13" s="290"/>
      <c r="N13" s="290"/>
      <c r="O13" s="290"/>
      <c r="P13" s="290"/>
    </row>
    <row r="14" spans="2:16" ht="15.75" x14ac:dyDescent="0.25">
      <c r="B14" s="38" t="s">
        <v>171</v>
      </c>
      <c r="C14" s="41"/>
      <c r="D14" s="39"/>
      <c r="E14" s="39"/>
      <c r="F14" s="40"/>
      <c r="G14" s="290"/>
      <c r="H14" s="290"/>
      <c r="I14" s="290"/>
      <c r="J14" s="290"/>
      <c r="K14" s="290"/>
      <c r="L14" s="290"/>
      <c r="M14" s="290"/>
      <c r="N14" s="290"/>
      <c r="O14" s="290"/>
      <c r="P14" s="290"/>
    </row>
    <row r="15" spans="2:16" ht="15.75" x14ac:dyDescent="0.25">
      <c r="B15" s="31"/>
    </row>
    <row r="16" spans="2:16" ht="15.75" x14ac:dyDescent="0.25">
      <c r="B16" s="43"/>
      <c r="E16" s="44"/>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F5A-5A4C-4FE5-8562-109CA7C69874}">
  <sheetPr>
    <tabColor theme="7"/>
    <pageSetUpPr fitToPage="1"/>
  </sheetPr>
  <dimension ref="B2:K27"/>
  <sheetViews>
    <sheetView showGridLines="0" zoomScale="94" zoomScaleNormal="100" zoomScaleSheetLayoutView="55" workbookViewId="0"/>
  </sheetViews>
  <sheetFormatPr defaultColWidth="9.140625" defaultRowHeight="15" customHeight="1" x14ac:dyDescent="0.25"/>
  <cols>
    <col min="1" max="1" width="3.5703125" style="111" customWidth="1"/>
    <col min="2" max="2" width="39.7109375" style="111" customWidth="1"/>
    <col min="3" max="3" width="24" style="111" customWidth="1"/>
    <col min="4" max="11" width="22.7109375" style="111" customWidth="1"/>
    <col min="12" max="16384" width="9.140625" style="111"/>
  </cols>
  <sheetData>
    <row r="2" spans="2:11" s="1" customFormat="1" ht="15.75" x14ac:dyDescent="0.25">
      <c r="B2" s="373" t="s">
        <v>172</v>
      </c>
      <c r="C2" s="373"/>
      <c r="D2" s="373"/>
      <c r="E2" s="373"/>
      <c r="F2" s="373"/>
      <c r="G2" s="373"/>
      <c r="H2" s="373"/>
      <c r="I2" s="373"/>
      <c r="J2" s="373"/>
      <c r="K2" s="373"/>
    </row>
    <row r="3" spans="2:11" s="1" customFormat="1" ht="18.75" x14ac:dyDescent="0.3">
      <c r="B3" s="374" t="s">
        <v>173</v>
      </c>
      <c r="C3" s="375"/>
      <c r="D3" s="375"/>
      <c r="E3" s="375"/>
      <c r="F3" s="375"/>
      <c r="G3" s="375"/>
      <c r="H3" s="375"/>
      <c r="I3" s="375"/>
      <c r="J3" s="375"/>
      <c r="K3" s="376"/>
    </row>
    <row r="4" spans="2:11" s="1" customFormat="1" ht="18.75" x14ac:dyDescent="0.3">
      <c r="B4" s="347" t="s">
        <v>174</v>
      </c>
      <c r="C4" s="348"/>
      <c r="D4" s="348"/>
      <c r="E4" s="348"/>
      <c r="F4" s="348"/>
      <c r="G4" s="348"/>
      <c r="H4" s="348"/>
      <c r="I4" s="348"/>
      <c r="J4" s="348"/>
      <c r="K4" s="349"/>
    </row>
    <row r="5" spans="2:11" s="113" customFormat="1" ht="18.75" x14ac:dyDescent="0.3">
      <c r="B5" s="258"/>
      <c r="C5" s="258"/>
      <c r="D5" s="258"/>
      <c r="E5" s="258"/>
      <c r="F5" s="258"/>
      <c r="G5" s="258"/>
      <c r="H5" s="258"/>
      <c r="I5" s="258"/>
      <c r="J5" s="258"/>
      <c r="K5" s="258"/>
    </row>
    <row r="6" spans="2:11" s="113" customFormat="1" ht="18.75" customHeight="1" x14ac:dyDescent="0.25">
      <c r="B6" s="379" t="s">
        <v>248</v>
      </c>
      <c r="C6" s="379"/>
      <c r="D6" s="379"/>
      <c r="E6" s="379"/>
      <c r="F6" s="379"/>
      <c r="G6" s="379"/>
      <c r="H6" s="379"/>
      <c r="I6" s="379"/>
      <c r="J6" s="379"/>
      <c r="K6" s="379"/>
    </row>
    <row r="7" spans="2:11" s="113" customFormat="1" ht="18.75" customHeight="1" x14ac:dyDescent="0.25">
      <c r="B7" s="379"/>
      <c r="C7" s="379"/>
      <c r="D7" s="379"/>
      <c r="E7" s="379"/>
      <c r="F7" s="379"/>
      <c r="G7" s="379"/>
      <c r="H7" s="379"/>
      <c r="I7" s="379"/>
      <c r="J7" s="379"/>
      <c r="K7" s="379"/>
    </row>
    <row r="8" spans="2:11" s="113" customFormat="1" ht="18.75" x14ac:dyDescent="0.3">
      <c r="B8" s="112"/>
      <c r="C8" s="112"/>
      <c r="D8" s="112"/>
      <c r="E8" s="112"/>
      <c r="F8" s="112"/>
      <c r="G8" s="112"/>
      <c r="H8" s="112"/>
    </row>
    <row r="9" spans="2:11" s="263" customFormat="1" x14ac:dyDescent="0.25">
      <c r="B9" s="264"/>
      <c r="D9" s="264"/>
      <c r="E9" s="264"/>
      <c r="F9" s="264"/>
      <c r="G9" s="264"/>
      <c r="H9" s="264"/>
      <c r="I9" s="265"/>
      <c r="J9" s="265"/>
      <c r="K9" s="265"/>
    </row>
    <row r="10" spans="2:11" s="257" customFormat="1" ht="15" customHeight="1" x14ac:dyDescent="0.25">
      <c r="B10" s="377" t="s">
        <v>175</v>
      </c>
      <c r="C10" s="277" t="s">
        <v>176</v>
      </c>
      <c r="D10" s="271" t="s">
        <v>176</v>
      </c>
      <c r="E10" s="272" t="s">
        <v>177</v>
      </c>
      <c r="F10" s="273" t="s">
        <v>178</v>
      </c>
      <c r="G10" s="271" t="s">
        <v>176</v>
      </c>
      <c r="H10" s="272" t="s">
        <v>177</v>
      </c>
      <c r="I10" s="273" t="s">
        <v>178</v>
      </c>
      <c r="J10" s="272" t="s">
        <v>177</v>
      </c>
      <c r="K10" s="273" t="s">
        <v>178</v>
      </c>
    </row>
    <row r="11" spans="2:11" s="257" customFormat="1" ht="15" customHeight="1" x14ac:dyDescent="0.25">
      <c r="B11" s="378"/>
      <c r="C11" s="276" t="s">
        <v>219</v>
      </c>
      <c r="D11" s="380" t="s">
        <v>179</v>
      </c>
      <c r="E11" s="381"/>
      <c r="F11" s="382"/>
      <c r="G11" s="380" t="s">
        <v>180</v>
      </c>
      <c r="H11" s="381"/>
      <c r="I11" s="382"/>
      <c r="J11" s="381" t="s">
        <v>181</v>
      </c>
      <c r="K11" s="382"/>
    </row>
    <row r="12" spans="2:11" ht="15" customHeight="1" x14ac:dyDescent="0.25">
      <c r="B12" s="266" t="s">
        <v>182</v>
      </c>
      <c r="C12" s="274">
        <f>+D12+G12</f>
        <v>5837948</v>
      </c>
      <c r="D12" s="300">
        <v>5837948</v>
      </c>
      <c r="E12" s="301">
        <v>0</v>
      </c>
      <c r="F12" s="302">
        <v>5837948</v>
      </c>
      <c r="G12" s="300">
        <v>0</v>
      </c>
      <c r="H12" s="301">
        <v>0</v>
      </c>
      <c r="I12" s="302">
        <v>5837948</v>
      </c>
      <c r="J12" s="301">
        <v>5837948</v>
      </c>
      <c r="K12" s="302">
        <v>0</v>
      </c>
    </row>
    <row r="13" spans="2:11" ht="15" customHeight="1" x14ac:dyDescent="0.25">
      <c r="B13" s="266" t="s">
        <v>183</v>
      </c>
      <c r="C13" s="274">
        <f t="shared" ref="C13:C25" si="0">+D13+G13</f>
        <v>11277227</v>
      </c>
      <c r="D13" s="300">
        <v>11277227</v>
      </c>
      <c r="E13" s="301">
        <v>0</v>
      </c>
      <c r="F13" s="302">
        <v>11277227</v>
      </c>
      <c r="G13" s="300">
        <v>0</v>
      </c>
      <c r="H13" s="301">
        <v>0</v>
      </c>
      <c r="I13" s="302">
        <v>8877227</v>
      </c>
      <c r="J13" s="301">
        <v>0</v>
      </c>
      <c r="K13" s="302">
        <v>0</v>
      </c>
    </row>
    <row r="14" spans="2:11" ht="15" customHeight="1" x14ac:dyDescent="0.25">
      <c r="B14" s="266" t="s">
        <v>184</v>
      </c>
      <c r="C14" s="274">
        <f t="shared" si="0"/>
        <v>2309951</v>
      </c>
      <c r="D14" s="300">
        <v>2309951</v>
      </c>
      <c r="E14" s="301">
        <v>0</v>
      </c>
      <c r="F14" s="302">
        <v>2309951</v>
      </c>
      <c r="G14" s="300">
        <v>0</v>
      </c>
      <c r="H14" s="301">
        <v>0</v>
      </c>
      <c r="I14" s="302">
        <v>0</v>
      </c>
      <c r="J14" s="301">
        <v>0</v>
      </c>
      <c r="K14" s="302">
        <v>0</v>
      </c>
    </row>
    <row r="15" spans="2:11" ht="15" customHeight="1" x14ac:dyDescent="0.25">
      <c r="B15" s="266" t="s">
        <v>185</v>
      </c>
      <c r="C15" s="274">
        <f t="shared" si="0"/>
        <v>0</v>
      </c>
      <c r="D15" s="300">
        <v>0</v>
      </c>
      <c r="E15" s="301">
        <v>0</v>
      </c>
      <c r="F15" s="302">
        <v>0</v>
      </c>
      <c r="G15" s="300">
        <v>0</v>
      </c>
      <c r="H15" s="301">
        <v>0</v>
      </c>
      <c r="I15" s="302">
        <v>0</v>
      </c>
      <c r="J15" s="303">
        <v>0</v>
      </c>
      <c r="K15" s="302">
        <v>0</v>
      </c>
    </row>
    <row r="16" spans="2:11" ht="15" customHeight="1" x14ac:dyDescent="0.25">
      <c r="B16" s="266" t="s">
        <v>186</v>
      </c>
      <c r="C16" s="274">
        <f t="shared" si="0"/>
        <v>911083</v>
      </c>
      <c r="D16" s="300">
        <v>911083</v>
      </c>
      <c r="E16" s="301">
        <v>819974.70000000007</v>
      </c>
      <c r="F16" s="302">
        <v>91108.29999999993</v>
      </c>
      <c r="G16" s="300">
        <v>0</v>
      </c>
      <c r="H16" s="301">
        <v>0</v>
      </c>
      <c r="I16" s="302">
        <v>91108.29999999993</v>
      </c>
      <c r="J16" s="303">
        <v>0</v>
      </c>
      <c r="K16" s="302">
        <v>91108.29999999993</v>
      </c>
    </row>
    <row r="17" spans="2:11" ht="15" customHeight="1" x14ac:dyDescent="0.25">
      <c r="B17" s="266" t="s">
        <v>187</v>
      </c>
      <c r="C17" s="274">
        <f t="shared" si="0"/>
        <v>247600</v>
      </c>
      <c r="D17" s="300">
        <v>213600</v>
      </c>
      <c r="E17" s="301">
        <v>0</v>
      </c>
      <c r="F17" s="302">
        <v>213600</v>
      </c>
      <c r="G17" s="300">
        <v>34000</v>
      </c>
      <c r="H17" s="301">
        <v>0</v>
      </c>
      <c r="I17" s="302">
        <v>0</v>
      </c>
      <c r="J17" s="303">
        <v>0</v>
      </c>
      <c r="K17" s="302">
        <v>0</v>
      </c>
    </row>
    <row r="18" spans="2:11" ht="15" customHeight="1" x14ac:dyDescent="0.25">
      <c r="B18" s="266" t="s">
        <v>188</v>
      </c>
      <c r="C18" s="274">
        <f t="shared" si="0"/>
        <v>0</v>
      </c>
      <c r="D18" s="300"/>
      <c r="E18" s="301"/>
      <c r="F18" s="302"/>
      <c r="G18" s="300"/>
      <c r="H18" s="301"/>
      <c r="I18" s="302"/>
      <c r="J18" s="303"/>
      <c r="K18" s="302"/>
    </row>
    <row r="19" spans="2:11" ht="15" customHeight="1" x14ac:dyDescent="0.25">
      <c r="B19" s="266" t="s">
        <v>189</v>
      </c>
      <c r="C19" s="274">
        <f t="shared" si="0"/>
        <v>0</v>
      </c>
      <c r="D19" s="300"/>
      <c r="E19" s="301"/>
      <c r="F19" s="302"/>
      <c r="G19" s="300"/>
      <c r="H19" s="301"/>
      <c r="I19" s="302"/>
      <c r="J19" s="303"/>
      <c r="K19" s="302"/>
    </row>
    <row r="20" spans="2:11" ht="15" customHeight="1" x14ac:dyDescent="0.25">
      <c r="B20" s="266" t="s">
        <v>220</v>
      </c>
      <c r="C20" s="274">
        <f t="shared" si="0"/>
        <v>5037900</v>
      </c>
      <c r="D20" s="300">
        <v>5037900</v>
      </c>
      <c r="E20" s="301">
        <v>0</v>
      </c>
      <c r="F20" s="302">
        <v>5037900</v>
      </c>
      <c r="G20" s="300">
        <v>0</v>
      </c>
      <c r="H20" s="301">
        <v>0</v>
      </c>
      <c r="I20" s="302">
        <v>5037900</v>
      </c>
      <c r="J20" s="303">
        <v>5037900</v>
      </c>
      <c r="K20" s="302">
        <v>0</v>
      </c>
    </row>
    <row r="21" spans="2:11" ht="15" customHeight="1" x14ac:dyDescent="0.25">
      <c r="B21" s="297" t="s">
        <v>258</v>
      </c>
      <c r="C21" s="274">
        <f t="shared" si="0"/>
        <v>308962</v>
      </c>
      <c r="D21" s="300">
        <v>0</v>
      </c>
      <c r="E21" s="301">
        <v>0</v>
      </c>
      <c r="F21" s="302">
        <v>0</v>
      </c>
      <c r="G21" s="300">
        <v>308962</v>
      </c>
      <c r="H21" s="301">
        <v>308962</v>
      </c>
      <c r="I21" s="302">
        <v>0</v>
      </c>
      <c r="J21" s="303">
        <v>0</v>
      </c>
      <c r="K21" s="302">
        <v>0</v>
      </c>
    </row>
    <row r="22" spans="2:11" ht="15" customHeight="1" x14ac:dyDescent="0.25">
      <c r="B22" s="297" t="s">
        <v>259</v>
      </c>
      <c r="C22" s="274">
        <f t="shared" ref="C22:C24" si="1">+D22+G22</f>
        <v>88678.1</v>
      </c>
      <c r="D22" s="300">
        <v>0</v>
      </c>
      <c r="E22" s="301">
        <v>0</v>
      </c>
      <c r="F22" s="302">
        <v>0</v>
      </c>
      <c r="G22" s="300">
        <v>88678.1</v>
      </c>
      <c r="H22" s="301">
        <v>88678.1</v>
      </c>
      <c r="I22" s="302">
        <v>0</v>
      </c>
      <c r="J22" s="303">
        <v>0</v>
      </c>
      <c r="K22" s="302">
        <v>0</v>
      </c>
    </row>
    <row r="23" spans="2:11" ht="15" customHeight="1" x14ac:dyDescent="0.25">
      <c r="B23" s="298" t="s">
        <v>260</v>
      </c>
      <c r="C23" s="274">
        <f t="shared" si="1"/>
        <v>99317</v>
      </c>
      <c r="D23" s="300">
        <v>99317</v>
      </c>
      <c r="E23" s="301">
        <v>99317</v>
      </c>
      <c r="F23" s="302">
        <v>0</v>
      </c>
      <c r="G23" s="300">
        <v>0</v>
      </c>
      <c r="H23" s="301">
        <v>0</v>
      </c>
      <c r="I23" s="302">
        <v>0</v>
      </c>
      <c r="J23" s="303">
        <v>0</v>
      </c>
      <c r="K23" s="302">
        <v>0</v>
      </c>
    </row>
    <row r="24" spans="2:11" ht="15" customHeight="1" x14ac:dyDescent="0.25">
      <c r="B24" s="298" t="s">
        <v>261</v>
      </c>
      <c r="C24" s="274">
        <f t="shared" si="1"/>
        <v>13636</v>
      </c>
      <c r="D24" s="300">
        <v>13636</v>
      </c>
      <c r="E24" s="301">
        <v>13636</v>
      </c>
      <c r="F24" s="302">
        <v>0</v>
      </c>
      <c r="G24" s="300">
        <v>0</v>
      </c>
      <c r="H24" s="301">
        <v>0</v>
      </c>
      <c r="I24" s="302">
        <v>0</v>
      </c>
      <c r="J24" s="303">
        <v>0</v>
      </c>
      <c r="K24" s="302">
        <v>0</v>
      </c>
    </row>
    <row r="25" spans="2:11" ht="15" customHeight="1" x14ac:dyDescent="0.25">
      <c r="B25" s="299" t="s">
        <v>262</v>
      </c>
      <c r="C25" s="274">
        <f t="shared" si="0"/>
        <v>66989</v>
      </c>
      <c r="D25" s="304">
        <v>18442</v>
      </c>
      <c r="E25" s="304">
        <v>18442</v>
      </c>
      <c r="F25" s="305">
        <v>0</v>
      </c>
      <c r="G25" s="304">
        <v>48547</v>
      </c>
      <c r="H25" s="304">
        <v>48547</v>
      </c>
      <c r="I25" s="305">
        <v>0</v>
      </c>
      <c r="J25" s="304">
        <v>0</v>
      </c>
      <c r="K25" s="305">
        <v>0</v>
      </c>
    </row>
    <row r="26" spans="2:11" ht="15" customHeight="1" thickBot="1" x14ac:dyDescent="0.3">
      <c r="B26" s="267" t="s">
        <v>190</v>
      </c>
      <c r="C26" s="268">
        <f>SUM(C12:C25)</f>
        <v>26199291.100000001</v>
      </c>
      <c r="D26" s="275">
        <f t="shared" ref="D26:F26" si="2">SUM(D12:D25)</f>
        <v>25719104</v>
      </c>
      <c r="E26" s="269">
        <f t="shared" si="2"/>
        <v>951369.70000000007</v>
      </c>
      <c r="F26" s="270">
        <f t="shared" si="2"/>
        <v>24767734.300000001</v>
      </c>
      <c r="G26" s="275">
        <f t="shared" ref="G26" si="3">SUM(G12:G25)</f>
        <v>480187.1</v>
      </c>
      <c r="H26" s="269">
        <f t="shared" ref="H26" si="4">SUM(H12:H25)</f>
        <v>446187.1</v>
      </c>
      <c r="I26" s="270">
        <f t="shared" ref="I26" si="5">SUM(I12:I25)</f>
        <v>19844183.300000001</v>
      </c>
      <c r="J26" s="269">
        <f t="shared" ref="J26" si="6">SUM(J12:J25)</f>
        <v>10875848</v>
      </c>
      <c r="K26" s="270">
        <f t="shared" ref="K26" si="7">SUM(K12:K25)</f>
        <v>91108.29999999993</v>
      </c>
    </row>
    <row r="27" spans="2:11" ht="15" customHeight="1" thickTop="1" x14ac:dyDescent="0.25"/>
  </sheetData>
  <mergeCells count="8">
    <mergeCell ref="B4:K4"/>
    <mergeCell ref="B3:K3"/>
    <mergeCell ref="B2:K2"/>
    <mergeCell ref="B10:B11"/>
    <mergeCell ref="B6:K7"/>
    <mergeCell ref="D11:F11"/>
    <mergeCell ref="G11:I11"/>
    <mergeCell ref="J11:K11"/>
  </mergeCells>
  <pageMargins left="0.7" right="0.7" top="0.75" bottom="0.75" header="0.3" footer="0.3"/>
  <pageSetup scale="4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zoomScale="110" zoomScaleNormal="110" workbookViewId="0"/>
  </sheetViews>
  <sheetFormatPr defaultRowHeight="15" x14ac:dyDescent="0.25"/>
  <cols>
    <col min="1" max="1" width="42.7109375" style="68" customWidth="1"/>
    <col min="2" max="2" width="13.85546875" style="68" customWidth="1"/>
  </cols>
  <sheetData>
    <row r="2" spans="1:2" x14ac:dyDescent="0.25">
      <c r="A2" s="383" t="s">
        <v>191</v>
      </c>
      <c r="B2" s="383"/>
    </row>
    <row r="3" spans="1:2" ht="15.75" x14ac:dyDescent="0.25">
      <c r="A3" s="384" t="s">
        <v>192</v>
      </c>
      <c r="B3" s="384"/>
    </row>
    <row r="4" spans="1:2" ht="24.6" customHeight="1" x14ac:dyDescent="0.25">
      <c r="A4" s="385" t="s">
        <v>193</v>
      </c>
      <c r="B4" s="385"/>
    </row>
    <row r="5" spans="1:2" x14ac:dyDescent="0.25">
      <c r="A5" s="69" t="s">
        <v>194</v>
      </c>
      <c r="B5" s="70">
        <f>'1. Reconciliation'!C23</f>
        <v>86390519.760000005</v>
      </c>
    </row>
    <row r="6" spans="1:2" x14ac:dyDescent="0.25">
      <c r="A6" s="69" t="s">
        <v>195</v>
      </c>
      <c r="B6" s="71">
        <f>'1. Reconciliation'!C26</f>
        <v>0.13388584343838453</v>
      </c>
    </row>
    <row r="7" spans="1:2" x14ac:dyDescent="0.25">
      <c r="A7" s="69" t="s">
        <v>196</v>
      </c>
      <c r="B7" s="71">
        <f>'1. Reconciliation'!C85</f>
        <v>7.475088736526804E-2</v>
      </c>
    </row>
    <row r="8" spans="1:2" x14ac:dyDescent="0.25">
      <c r="A8" s="72"/>
      <c r="B8" s="73"/>
    </row>
    <row r="9" spans="1:2" x14ac:dyDescent="0.25">
      <c r="A9" s="74" t="s">
        <v>197</v>
      </c>
      <c r="B9" s="75"/>
    </row>
    <row r="10" spans="1:2" ht="39.6" customHeight="1" x14ac:dyDescent="0.25">
      <c r="A10" s="69" t="s">
        <v>23</v>
      </c>
      <c r="B10" s="76" t="e">
        <f>'1. Reconciliation'!#REF!</f>
        <v>#REF!</v>
      </c>
    </row>
    <row r="11" spans="1:2" x14ac:dyDescent="0.25">
      <c r="A11" s="69" t="s">
        <v>24</v>
      </c>
      <c r="B11" s="76" t="e">
        <f>'1. Reconciliation'!#REF!</f>
        <v>#REF!</v>
      </c>
    </row>
    <row r="12" spans="1:2" x14ac:dyDescent="0.25">
      <c r="A12" s="69" t="s">
        <v>25</v>
      </c>
      <c r="B12" s="76" t="e">
        <f>'1. Reconciliation'!#REF!</f>
        <v>#REF!</v>
      </c>
    </row>
    <row r="13" spans="1:2" x14ac:dyDescent="0.25">
      <c r="A13" s="69" t="s">
        <v>26</v>
      </c>
      <c r="B13" s="76" t="e">
        <f>'1. Reconciliation'!#REF!</f>
        <v>#REF!</v>
      </c>
    </row>
    <row r="14" spans="1:2" ht="44.45" customHeight="1" x14ac:dyDescent="0.25">
      <c r="A14" s="69" t="s">
        <v>27</v>
      </c>
      <c r="B14" s="76" t="e">
        <f>'1. Reconciliation'!#REF!</f>
        <v>#REF!</v>
      </c>
    </row>
    <row r="15" spans="1:2" x14ac:dyDescent="0.25">
      <c r="A15" s="77" t="s">
        <v>198</v>
      </c>
      <c r="B15" s="78" t="e">
        <f>SUM(B10:B14)</f>
        <v>#REF!</v>
      </c>
    </row>
  </sheetData>
  <mergeCells count="3">
    <mergeCell ref="A2:B2"/>
    <mergeCell ref="A3:B3"/>
    <mergeCell ref="A4:B4"/>
  </mergeCells>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0" ma:contentTypeDescription="Create a new document." ma:contentTypeScope="" ma:versionID="1278417fdb9f8493a22335f0e63ebd5c">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495da0a1964501ca35e461a3d0667575"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D8BEBE-0F29-4D55-84E7-679A65C3B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35E319-B666-43F5-B785-F40D79B22305}">
  <ds:schemaRefs>
    <ds:schemaRef ds:uri="http://schemas.microsoft.com/sharepoint/v3/contenttype/forms"/>
  </ds:schemaRefs>
</ds:datastoreItem>
</file>

<file path=customXml/itemProps3.xml><?xml version="1.0" encoding="utf-8"?>
<ds:datastoreItem xmlns:ds="http://schemas.openxmlformats.org/officeDocument/2006/customXml" ds:itemID="{80FDD72E-62BB-4083-B4E4-70A11D42288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18dbc17e-cec9-4211-a89f-0bf74a616302"/>
    <ds:schemaRef ds:uri="2819d22d-c924-42b3-954a-d3b43813cc67"/>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Overview</vt:lpstr>
      <vt:lpstr>1. Reconciliation</vt:lpstr>
      <vt:lpstr>2. Charge and NPR Detail</vt:lpstr>
      <vt:lpstr>3. Utilization</vt:lpstr>
      <vt:lpstr>4. Inflation</vt:lpstr>
      <vt:lpstr>5. Vaccine Clinics and Testing</vt:lpstr>
      <vt:lpstr>6. Value Based Care Participati</vt:lpstr>
      <vt:lpstr>7.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Vaccine Clinics and Testing'!Print_Area</vt:lpstr>
      <vt:lpstr>'6.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Perry, Lori</cp:lastModifiedBy>
  <cp:revision/>
  <cp:lastPrinted>2021-03-15T17:17:47Z</cp:lastPrinted>
  <dcterms:created xsi:type="dcterms:W3CDTF">2020-01-09T18:52:12Z</dcterms:created>
  <dcterms:modified xsi:type="dcterms:W3CDTF">2021-08-24T19:43:58Z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