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vermontgov-my.sharepoint.com/personal/abigail_connolly_vermont_gov/Documents/Posting/"/>
    </mc:Choice>
  </mc:AlternateContent>
  <xr:revisionPtr revIDLastSave="0" documentId="8_{78563C57-4D69-43C2-922C-A46788358ED1}" xr6:coauthVersionLast="47" xr6:coauthVersionMax="47" xr10:uidLastSave="{00000000-0000-0000-0000-000000000000}"/>
  <bookViews>
    <workbookView xWindow="28680" yWindow="-120" windowWidth="29040" windowHeight="15840" tabRatio="820" activeTab="1" xr2:uid="{D493A373-40B5-4583-9EFC-0926157E0508}"/>
  </bookViews>
  <sheets>
    <sheet name="TABLE OF CONTENTS" sheetId="1" r:id="rId1"/>
    <sheet name="1 NPR RECON" sheetId="2" r:id="rId2"/>
    <sheet name="2 NPR BY PAYOR" sheetId="7" r:id="rId3"/>
    <sheet name="3 UTILIZATION INCREASE" sheetId="15" r:id="rId4"/>
    <sheet name="4 10% NPR INCREASE" sheetId="17" r:id="rId5"/>
    <sheet name="5 YoY NPR INCREASES FY21-22" sheetId="14" r:id="rId6"/>
    <sheet name="6 NPR RATE &amp; UTILIZATION" sheetId="9" r:id="rId7"/>
    <sheet name="7 BAD DEBT &amp; FREE CARE" sheetId="18" r:id="rId8"/>
    <sheet name="8 PSYCH &amp; ADULT DAY" sheetId="19" r:id="rId9"/>
    <sheet name="9 OTHER UTILIZATION INCREASES" sheetId="20" r:id="rId10"/>
    <sheet name="10 FQHC " sheetId="21" r:id="rId11"/>
    <sheet name=" 11 IP PSYCH - COVID &amp; NOW" sheetId="22" r:id="rId12"/>
    <sheet name="SUPPORTING WORKPAPERS =&gt;" sheetId="16" r:id="rId13"/>
    <sheet name="INCOME STATMENT 0% INCR" sheetId="10" r:id="rId14"/>
    <sheet name="INCOME STATMENT 8% INCR" sheetId="11" r:id="rId15"/>
    <sheet name="REVIEW BY GL ACCOUNT" sheetId="6" r:id="rId16"/>
    <sheet name="CONTRACTUALS 0% INCR" sheetId="5"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6" i="9" l="1"/>
  <c r="G30" i="9"/>
  <c r="N28" i="2"/>
  <c r="N27" i="2"/>
  <c r="N26" i="2"/>
  <c r="N25" i="2"/>
  <c r="O20" i="2"/>
  <c r="N20" i="2"/>
  <c r="N17" i="2"/>
  <c r="O17" i="2"/>
  <c r="O16" i="2"/>
  <c r="N16" i="2"/>
  <c r="P16" i="2"/>
  <c r="M28" i="2"/>
  <c r="M27" i="2"/>
  <c r="M26" i="2"/>
  <c r="M25" i="2"/>
  <c r="P17" i="2"/>
  <c r="P20" i="2"/>
  <c r="O28" i="2"/>
  <c r="L54" i="7" l="1"/>
  <c r="L58" i="7" s="1"/>
  <c r="L55" i="7" l="1"/>
  <c r="L56" i="7" l="1"/>
  <c r="E24" i="22" l="1"/>
  <c r="F24" i="22"/>
  <c r="G24" i="22"/>
  <c r="D24" i="22"/>
  <c r="G22" i="22"/>
  <c r="E22" i="22"/>
  <c r="F22" i="22"/>
  <c r="D22" i="22"/>
  <c r="D17" i="22"/>
  <c r="E17" i="22"/>
  <c r="F17" i="22"/>
  <c r="G17" i="22"/>
  <c r="E48" i="15"/>
  <c r="K20" i="2"/>
  <c r="G3" i="6"/>
  <c r="J19" i="15" l="1"/>
  <c r="J18" i="15"/>
  <c r="G77" i="7"/>
  <c r="E79" i="7"/>
  <c r="G79" i="7" s="1"/>
  <c r="P11" i="14"/>
  <c r="R11" i="14"/>
  <c r="S11" i="14" s="1"/>
  <c r="S24" i="14" s="1"/>
  <c r="P12" i="14"/>
  <c r="Q12" i="14" s="1"/>
  <c r="R12" i="14"/>
  <c r="S12" i="14" s="1"/>
  <c r="J14" i="14"/>
  <c r="P14" i="14" s="1"/>
  <c r="R14" i="14"/>
  <c r="P15" i="14"/>
  <c r="R15" i="14"/>
  <c r="P19" i="14"/>
  <c r="Q19" i="14" s="1"/>
  <c r="R19" i="14"/>
  <c r="S19" i="14" s="1"/>
  <c r="P20" i="14"/>
  <c r="Q20" i="14" s="1"/>
  <c r="R20" i="14"/>
  <c r="R25" i="14" s="1"/>
  <c r="D24" i="14"/>
  <c r="E24" i="14"/>
  <c r="F24" i="14"/>
  <c r="G24" i="14"/>
  <c r="H24" i="14"/>
  <c r="I24" i="14"/>
  <c r="J24" i="14"/>
  <c r="K24" i="14"/>
  <c r="L24" i="14"/>
  <c r="M24" i="14"/>
  <c r="D25" i="14"/>
  <c r="E25" i="14"/>
  <c r="F25" i="14"/>
  <c r="G25" i="14"/>
  <c r="H25" i="14"/>
  <c r="I25" i="14"/>
  <c r="J25" i="14"/>
  <c r="K25" i="14"/>
  <c r="L25" i="14"/>
  <c r="M25" i="14"/>
  <c r="R24" i="14" l="1"/>
  <c r="S20" i="14"/>
  <c r="S25" i="14" s="1"/>
  <c r="P25" i="14"/>
  <c r="Q25" i="14"/>
  <c r="P24" i="14"/>
  <c r="Q11" i="14"/>
  <c r="Q24" i="14" s="1"/>
  <c r="E17" i="17" l="1"/>
  <c r="E16" i="17" s="1"/>
  <c r="E46" i="15"/>
  <c r="K20" i="15"/>
  <c r="K19" i="15"/>
  <c r="K18" i="15"/>
  <c r="J20" i="15"/>
  <c r="J22" i="15" l="1"/>
  <c r="K22" i="15"/>
  <c r="F46" i="15" s="1"/>
  <c r="E29" i="9" l="1"/>
  <c r="E17" i="2"/>
  <c r="K17" i="2" s="1"/>
  <c r="E16" i="2"/>
  <c r="K16" i="2" s="1"/>
  <c r="E30" i="9" l="1"/>
  <c r="F20" i="2" l="1"/>
  <c r="F17" i="2"/>
  <c r="D49" i="15"/>
  <c r="D41" i="15"/>
  <c r="D39" i="15"/>
  <c r="D38" i="15"/>
  <c r="D37" i="15"/>
  <c r="D36" i="15"/>
  <c r="D33" i="15"/>
  <c r="D32" i="15"/>
  <c r="D31" i="15"/>
  <c r="D30" i="15"/>
  <c r="D29" i="15"/>
  <c r="D28" i="15"/>
  <c r="D27" i="15"/>
  <c r="D26" i="15"/>
  <c r="D25" i="15"/>
  <c r="D24" i="15"/>
  <c r="D23" i="15"/>
  <c r="L22" i="15"/>
  <c r="L20" i="15"/>
  <c r="D20" i="15"/>
  <c r="L19" i="15"/>
  <c r="D19" i="15"/>
  <c r="L18" i="15"/>
  <c r="D18" i="15"/>
  <c r="E97" i="7" l="1"/>
  <c r="E96" i="7"/>
  <c r="F91" i="7"/>
  <c r="F92" i="7"/>
  <c r="F93" i="7" l="1"/>
  <c r="G52" i="7" l="1"/>
  <c r="E50" i="7" l="1"/>
  <c r="E51" i="7"/>
  <c r="E52" i="7" l="1"/>
  <c r="J55" i="7" l="1"/>
  <c r="J18" i="2"/>
  <c r="P18" i="2" s="1"/>
  <c r="P22" i="2" s="1"/>
  <c r="G18" i="2"/>
  <c r="E18" i="2"/>
  <c r="H17" i="2"/>
  <c r="H16" i="2"/>
  <c r="F16" i="2"/>
  <c r="J34" i="7"/>
  <c r="H34" i="7"/>
  <c r="L38" i="7"/>
  <c r="L32" i="7"/>
  <c r="L41" i="7" s="1"/>
  <c r="L44" i="7" s="1"/>
  <c r="F34" i="7"/>
  <c r="I16" i="2" l="1"/>
  <c r="N18" i="2"/>
  <c r="N22" i="2" s="1"/>
  <c r="I17" i="2"/>
  <c r="M17" i="2"/>
  <c r="K18" i="2"/>
  <c r="E20" i="7"/>
  <c r="N20" i="7" s="1"/>
  <c r="F18" i="2"/>
  <c r="E25" i="9" s="1"/>
  <c r="H18" i="2"/>
  <c r="I18" i="2" s="1"/>
  <c r="F16" i="9"/>
  <c r="G16" i="9"/>
  <c r="H16" i="9"/>
  <c r="I16" i="9"/>
  <c r="J16" i="9"/>
  <c r="K16" i="9"/>
  <c r="E16" i="9"/>
  <c r="F15" i="9"/>
  <c r="G15" i="9"/>
  <c r="H15" i="9"/>
  <c r="I15" i="9"/>
  <c r="J15" i="9"/>
  <c r="K15" i="9"/>
  <c r="E15" i="9"/>
  <c r="E24" i="9"/>
  <c r="K55" i="7"/>
  <c r="I55" i="7"/>
  <c r="H55" i="7"/>
  <c r="G55" i="7"/>
  <c r="F55" i="7"/>
  <c r="K34" i="7"/>
  <c r="I34" i="7"/>
  <c r="G34" i="7"/>
  <c r="K37" i="7"/>
  <c r="E37" i="7" s="1"/>
  <c r="K36" i="7"/>
  <c r="E36" i="7" s="1"/>
  <c r="J33" i="7"/>
  <c r="I33" i="7"/>
  <c r="H33" i="7"/>
  <c r="G33" i="7"/>
  <c r="F33" i="7"/>
  <c r="K27" i="7"/>
  <c r="J27" i="7"/>
  <c r="I27" i="7"/>
  <c r="H27" i="7"/>
  <c r="G27" i="7"/>
  <c r="F27" i="7"/>
  <c r="K30" i="7"/>
  <c r="E30" i="7" s="1"/>
  <c r="K29" i="7"/>
  <c r="E29" i="7" s="1"/>
  <c r="J26" i="7"/>
  <c r="I26" i="7"/>
  <c r="H26" i="7"/>
  <c r="G26" i="7"/>
  <c r="F26" i="7"/>
  <c r="F58" i="5"/>
  <c r="G58" i="5"/>
  <c r="E58" i="5"/>
  <c r="J25" i="2"/>
  <c r="J26" i="2"/>
  <c r="P26" i="2" s="1"/>
  <c r="J28" i="2"/>
  <c r="P28" i="2" s="1"/>
  <c r="J27" i="2"/>
  <c r="P27" i="2" s="1"/>
  <c r="E28" i="2"/>
  <c r="F28" i="2" s="1"/>
  <c r="E27" i="2"/>
  <c r="E26" i="2"/>
  <c r="F26" i="2" s="1"/>
  <c r="E25" i="2"/>
  <c r="F25" i="2" s="1"/>
  <c r="F147" i="6"/>
  <c r="E147" i="6"/>
  <c r="H51" i="6"/>
  <c r="G110" i="6"/>
  <c r="H110" i="6" s="1"/>
  <c r="G143" i="6"/>
  <c r="H143" i="6" s="1"/>
  <c r="F71" i="6"/>
  <c r="E71" i="6"/>
  <c r="F53" i="6"/>
  <c r="F73" i="6" s="1"/>
  <c r="F149" i="6" s="1"/>
  <c r="E53" i="6"/>
  <c r="K36" i="2"/>
  <c r="O18" i="2" l="1"/>
  <c r="H20" i="7"/>
  <c r="H19" i="9" s="1"/>
  <c r="E55" i="7"/>
  <c r="E26" i="9"/>
  <c r="E27" i="9" s="1"/>
  <c r="K28" i="2"/>
  <c r="K26" i="2"/>
  <c r="G20" i="7"/>
  <c r="G28" i="7" s="1"/>
  <c r="G32" i="7" s="1"/>
  <c r="I20" i="7"/>
  <c r="I19" i="9" s="1"/>
  <c r="K25" i="2"/>
  <c r="K27" i="2"/>
  <c r="K20" i="7"/>
  <c r="J20" i="7"/>
  <c r="J19" i="9" s="1"/>
  <c r="E19" i="9"/>
  <c r="E34" i="7"/>
  <c r="E33" i="7"/>
  <c r="J24" i="9"/>
  <c r="E27" i="7"/>
  <c r="H25" i="9"/>
  <c r="E26" i="7"/>
  <c r="F27" i="2"/>
  <c r="E39" i="9"/>
  <c r="J39" i="9" s="1"/>
  <c r="G24" i="9"/>
  <c r="I24" i="9"/>
  <c r="G25" i="9"/>
  <c r="H24" i="9"/>
  <c r="F25" i="9"/>
  <c r="K25" i="9"/>
  <c r="J25" i="9"/>
  <c r="K24" i="9"/>
  <c r="I25" i="9"/>
  <c r="F24" i="9"/>
  <c r="E29" i="2"/>
  <c r="E22" i="2"/>
  <c r="E31" i="2" s="1"/>
  <c r="G34" i="6"/>
  <c r="H34" i="6" s="1"/>
  <c r="G18" i="6"/>
  <c r="G68" i="6"/>
  <c r="H68" i="6" s="1"/>
  <c r="G94" i="6"/>
  <c r="G46" i="6"/>
  <c r="H46" i="6" s="1"/>
  <c r="G26" i="6"/>
  <c r="G102" i="6"/>
  <c r="G10" i="6"/>
  <c r="H10" i="6" s="1"/>
  <c r="G118" i="6"/>
  <c r="G60" i="6"/>
  <c r="G126" i="6"/>
  <c r="G78" i="6"/>
  <c r="H78" i="6" s="1"/>
  <c r="G136" i="6"/>
  <c r="E73" i="6"/>
  <c r="E149" i="6" s="1"/>
  <c r="G42" i="6"/>
  <c r="G86" i="6"/>
  <c r="H144" i="6"/>
  <c r="G41" i="6"/>
  <c r="H41" i="6" s="1"/>
  <c r="G33" i="6"/>
  <c r="G25" i="6"/>
  <c r="G17" i="6"/>
  <c r="G9" i="6"/>
  <c r="H9" i="6" s="1"/>
  <c r="G61" i="6"/>
  <c r="H61" i="6" s="1"/>
  <c r="G69" i="6"/>
  <c r="H69" i="6" s="1"/>
  <c r="G79" i="6"/>
  <c r="H79" i="6" s="1"/>
  <c r="G87" i="6"/>
  <c r="H87" i="6" s="1"/>
  <c r="G95" i="6"/>
  <c r="G103" i="6"/>
  <c r="G111" i="6"/>
  <c r="H111" i="6" s="1"/>
  <c r="G119" i="6"/>
  <c r="G127" i="6"/>
  <c r="G47" i="6"/>
  <c r="G137" i="6"/>
  <c r="G40" i="6"/>
  <c r="G32" i="6"/>
  <c r="G24" i="6"/>
  <c r="G16" i="6"/>
  <c r="G8" i="6"/>
  <c r="G62" i="6"/>
  <c r="G80" i="6"/>
  <c r="H80" i="6" s="1"/>
  <c r="G88" i="6"/>
  <c r="H88" i="6" s="1"/>
  <c r="G96" i="6"/>
  <c r="G104" i="6"/>
  <c r="H104" i="6" s="1"/>
  <c r="G112" i="6"/>
  <c r="G120" i="6"/>
  <c r="G128" i="6"/>
  <c r="H128" i="6" s="1"/>
  <c r="G48" i="6"/>
  <c r="G138" i="6"/>
  <c r="G39" i="6"/>
  <c r="H39" i="6" s="1"/>
  <c r="G31" i="6"/>
  <c r="H31" i="6" s="1"/>
  <c r="G23" i="6"/>
  <c r="G15" i="6"/>
  <c r="G55" i="6"/>
  <c r="G63" i="6"/>
  <c r="G81" i="6"/>
  <c r="G89" i="6"/>
  <c r="G97" i="6"/>
  <c r="G105" i="6"/>
  <c r="G113" i="6"/>
  <c r="H113" i="6" s="1"/>
  <c r="G121" i="6"/>
  <c r="G129" i="6"/>
  <c r="G49" i="6"/>
  <c r="G139" i="6"/>
  <c r="H139" i="6" s="1"/>
  <c r="G38" i="6"/>
  <c r="G30" i="6"/>
  <c r="H30" i="6" s="1"/>
  <c r="G22" i="6"/>
  <c r="G14" i="6"/>
  <c r="G56" i="6"/>
  <c r="G64" i="6"/>
  <c r="H64" i="6" s="1"/>
  <c r="G82" i="6"/>
  <c r="H82" i="6" s="1"/>
  <c r="G90" i="6"/>
  <c r="G98" i="6"/>
  <c r="G106" i="6"/>
  <c r="H106" i="6" s="1"/>
  <c r="G114" i="6"/>
  <c r="H114" i="6" s="1"/>
  <c r="G122" i="6"/>
  <c r="G130" i="6"/>
  <c r="H130" i="6" s="1"/>
  <c r="G50" i="6"/>
  <c r="G140" i="6"/>
  <c r="G7" i="6"/>
  <c r="H7" i="6" s="1"/>
  <c r="G37" i="6"/>
  <c r="H37" i="6" s="1"/>
  <c r="G29" i="6"/>
  <c r="G21" i="6"/>
  <c r="G13" i="6"/>
  <c r="H13" i="6" s="1"/>
  <c r="G57" i="6"/>
  <c r="H57" i="6" s="1"/>
  <c r="G65" i="6"/>
  <c r="H65" i="6" s="1"/>
  <c r="G83" i="6"/>
  <c r="G91" i="6"/>
  <c r="G99" i="6"/>
  <c r="G107" i="6"/>
  <c r="G115" i="6"/>
  <c r="G123" i="6"/>
  <c r="G131" i="6"/>
  <c r="H131" i="6" s="1"/>
  <c r="G133" i="6"/>
  <c r="G141" i="6"/>
  <c r="G44" i="6"/>
  <c r="G36" i="6"/>
  <c r="G28" i="6"/>
  <c r="H28" i="6" s="1"/>
  <c r="G20" i="6"/>
  <c r="G12" i="6"/>
  <c r="G58" i="6"/>
  <c r="H58" i="6" s="1"/>
  <c r="G66" i="6"/>
  <c r="H66" i="6" s="1"/>
  <c r="G76" i="6"/>
  <c r="G84" i="6"/>
  <c r="G92" i="6"/>
  <c r="G100" i="6"/>
  <c r="G108" i="6"/>
  <c r="H108" i="6" s="1"/>
  <c r="G116" i="6"/>
  <c r="G124" i="6"/>
  <c r="G132" i="6"/>
  <c r="H132" i="6" s="1"/>
  <c r="G134" i="6"/>
  <c r="G142" i="6"/>
  <c r="H142" i="6" s="1"/>
  <c r="G43" i="6"/>
  <c r="G35" i="6"/>
  <c r="H35" i="6" s="1"/>
  <c r="G27" i="6"/>
  <c r="G19" i="6"/>
  <c r="G11" i="6"/>
  <c r="G59" i="6"/>
  <c r="H59" i="6" s="1"/>
  <c r="G67" i="6"/>
  <c r="H67" i="6" s="1"/>
  <c r="G77" i="6"/>
  <c r="G85" i="6"/>
  <c r="G93" i="6"/>
  <c r="G101" i="6"/>
  <c r="G109" i="6"/>
  <c r="H109" i="6" s="1"/>
  <c r="G117" i="6"/>
  <c r="G125" i="6"/>
  <c r="G45" i="6"/>
  <c r="H45" i="6" s="1"/>
  <c r="G135" i="6"/>
  <c r="N29" i="2" l="1"/>
  <c r="N32" i="2" s="1"/>
  <c r="H28" i="7"/>
  <c r="H32" i="7" s="1"/>
  <c r="H69" i="7"/>
  <c r="G19" i="9"/>
  <c r="G69" i="7"/>
  <c r="I28" i="7"/>
  <c r="I32" i="7" s="1"/>
  <c r="I28" i="9" s="1"/>
  <c r="I33" i="9" s="1"/>
  <c r="I69" i="7"/>
  <c r="F20" i="7"/>
  <c r="F28" i="7" s="1"/>
  <c r="F32" i="7" s="1"/>
  <c r="F28" i="9" s="1"/>
  <c r="J69" i="7"/>
  <c r="K19" i="9"/>
  <c r="K26" i="9" s="1"/>
  <c r="K27" i="9" s="1"/>
  <c r="K69" i="7"/>
  <c r="K28" i="7"/>
  <c r="K32" i="7" s="1"/>
  <c r="K41" i="7" s="1"/>
  <c r="J28" i="7"/>
  <c r="J32" i="7" s="1"/>
  <c r="J28" i="9" s="1"/>
  <c r="J33" i="9" s="1"/>
  <c r="E28" i="7"/>
  <c r="K39" i="9"/>
  <c r="H39" i="9"/>
  <c r="F39" i="9"/>
  <c r="G39" i="9"/>
  <c r="I39" i="9"/>
  <c r="H41" i="7"/>
  <c r="H28" i="9"/>
  <c r="H33" i="9" s="1"/>
  <c r="G26" i="9"/>
  <c r="G27" i="9" s="1"/>
  <c r="I26" i="9"/>
  <c r="I27" i="9" s="1"/>
  <c r="J26" i="9"/>
  <c r="J27" i="9" s="1"/>
  <c r="H26" i="9"/>
  <c r="H27" i="9" s="1"/>
  <c r="E32" i="2"/>
  <c r="E33" i="2" s="1"/>
  <c r="E30" i="2"/>
  <c r="G147" i="6"/>
  <c r="I41" i="7" l="1"/>
  <c r="I35" i="9" s="1"/>
  <c r="K28" i="9"/>
  <c r="K33" i="9" s="1"/>
  <c r="K34" i="9" s="1"/>
  <c r="K53" i="9" s="1"/>
  <c r="F69" i="7"/>
  <c r="F19" i="9"/>
  <c r="F26" i="9" s="1"/>
  <c r="F27" i="9" s="1"/>
  <c r="J41" i="7"/>
  <c r="J35" i="9" s="1"/>
  <c r="K35" i="9"/>
  <c r="H35" i="9"/>
  <c r="F41" i="7"/>
  <c r="H34" i="9"/>
  <c r="H53" i="9" s="1"/>
  <c r="J34" i="9"/>
  <c r="I34" i="9"/>
  <c r="I53" i="9" s="1"/>
  <c r="J36" i="9" l="1"/>
  <c r="J53" i="9"/>
  <c r="I36" i="9"/>
  <c r="H36" i="9"/>
  <c r="K36" i="9"/>
  <c r="K38" i="2"/>
  <c r="J35" i="2"/>
  <c r="J37" i="2" s="1"/>
  <c r="E35" i="2"/>
  <c r="E37" i="2" s="1"/>
  <c r="E39" i="2" l="1"/>
  <c r="K37" i="2"/>
  <c r="J39" i="2"/>
  <c r="K35" i="2"/>
  <c r="K39" i="2" l="1"/>
  <c r="H27" i="2"/>
  <c r="H26" i="2"/>
  <c r="O26" i="2" s="1"/>
  <c r="I27" i="2" l="1"/>
  <c r="O27" i="2"/>
  <c r="F29" i="2"/>
  <c r="H25" i="2" l="1"/>
  <c r="G29" i="2"/>
  <c r="H29" i="2" l="1"/>
  <c r="I29" i="2" s="1"/>
  <c r="I25" i="2"/>
  <c r="A8" i="1"/>
  <c r="A9" i="1" s="1"/>
  <c r="A10" i="1" s="1"/>
  <c r="A11" i="1" s="1"/>
  <c r="A12" i="1" s="1"/>
  <c r="A13" i="1" s="1"/>
  <c r="A14" i="1" s="1"/>
  <c r="A15" i="1" s="1"/>
  <c r="A16" i="1" s="1"/>
  <c r="A17" i="1" s="1"/>
  <c r="H17" i="6" l="1"/>
  <c r="H20" i="6"/>
  <c r="H29" i="6"/>
  <c r="H12" i="6"/>
  <c r="H42" i="6"/>
  <c r="H32" i="6"/>
  <c r="H14" i="6"/>
  <c r="H33" i="6"/>
  <c r="H38" i="6"/>
  <c r="H11" i="6"/>
  <c r="H19" i="6"/>
  <c r="H27" i="6"/>
  <c r="H18" i="6"/>
  <c r="H26" i="6"/>
  <c r="H16" i="6"/>
  <c r="H25" i="6"/>
  <c r="H43" i="6"/>
  <c r="H21" i="6"/>
  <c r="H22" i="6"/>
  <c r="G53" i="6"/>
  <c r="H40" i="6"/>
  <c r="H44" i="6"/>
  <c r="H8" i="6"/>
  <c r="H36" i="6"/>
  <c r="H24" i="6"/>
  <c r="H15" i="6"/>
  <c r="H23" i="6"/>
  <c r="H56" i="6"/>
  <c r="G71" i="6"/>
  <c r="H60" i="6"/>
  <c r="H63" i="6"/>
  <c r="H55" i="6"/>
  <c r="H62" i="6"/>
  <c r="H125" i="6"/>
  <c r="H102" i="6"/>
  <c r="H92" i="6"/>
  <c r="H121" i="6"/>
  <c r="H124" i="6"/>
  <c r="H100" i="6"/>
  <c r="H94" i="6"/>
  <c r="H127" i="6"/>
  <c r="H107" i="6"/>
  <c r="H90" i="6"/>
  <c r="H77" i="6"/>
  <c r="H97" i="6"/>
  <c r="H85" i="6"/>
  <c r="H126" i="6"/>
  <c r="H99" i="6"/>
  <c r="H129" i="6"/>
  <c r="H89" i="6"/>
  <c r="H116" i="6"/>
  <c r="H115" i="6"/>
  <c r="H120" i="6"/>
  <c r="H118" i="6"/>
  <c r="H101" i="6"/>
  <c r="H76" i="6"/>
  <c r="H98" i="6"/>
  <c r="H81" i="6"/>
  <c r="H95" i="6"/>
  <c r="H119" i="6"/>
  <c r="H86" i="6"/>
  <c r="H96" i="6"/>
  <c r="H103" i="6"/>
  <c r="H84" i="6"/>
  <c r="H91" i="6"/>
  <c r="H117" i="6"/>
  <c r="H112" i="6"/>
  <c r="H122" i="6"/>
  <c r="H123" i="6"/>
  <c r="H83" i="6"/>
  <c r="H93" i="6"/>
  <c r="H105" i="6"/>
  <c r="H47" i="6"/>
  <c r="H48" i="6"/>
  <c r="H133" i="6"/>
  <c r="H135" i="6"/>
  <c r="H49" i="6"/>
  <c r="H136" i="6"/>
  <c r="H140" i="6"/>
  <c r="H138" i="6"/>
  <c r="H50" i="6"/>
  <c r="H134" i="6"/>
  <c r="H137" i="6"/>
  <c r="G73" i="6" l="1"/>
  <c r="G149" i="6" s="1"/>
  <c r="H147" i="6"/>
  <c r="H71" i="6"/>
  <c r="H53" i="6"/>
  <c r="H73" i="6" s="1"/>
  <c r="J29" i="2"/>
  <c r="K29" i="2" s="1"/>
  <c r="H149" i="6" l="1"/>
  <c r="J22" i="2" l="1"/>
  <c r="K22" i="2" s="1"/>
  <c r="E21" i="7"/>
  <c r="O21" i="7" s="1"/>
  <c r="J32" i="2" l="1"/>
  <c r="K32" i="2" s="1"/>
  <c r="E35" i="7"/>
  <c r="G21" i="7"/>
  <c r="J30" i="2"/>
  <c r="K30" i="2" s="1"/>
  <c r="I21" i="7"/>
  <c r="J21" i="7"/>
  <c r="J35" i="7" s="1"/>
  <c r="E23" i="7"/>
  <c r="E74" i="7" s="1"/>
  <c r="G74" i="7" s="1"/>
  <c r="H21" i="7"/>
  <c r="H35" i="7" s="1"/>
  <c r="E20" i="9"/>
  <c r="E21" i="9" s="1"/>
  <c r="K21" i="7"/>
  <c r="K35" i="7" s="1"/>
  <c r="J33" i="2" l="1"/>
  <c r="K33" i="2" s="1"/>
  <c r="J38" i="7"/>
  <c r="J43" i="9" s="1"/>
  <c r="J47" i="9" s="1"/>
  <c r="H38" i="7"/>
  <c r="H43" i="9" s="1"/>
  <c r="H47" i="9" s="1"/>
  <c r="K38" i="7"/>
  <c r="E38" i="7"/>
  <c r="I35" i="7"/>
  <c r="G35" i="7"/>
  <c r="G38" i="7" s="1"/>
  <c r="G43" i="9" s="1"/>
  <c r="I23" i="7"/>
  <c r="G20" i="9"/>
  <c r="G21" i="9" s="1"/>
  <c r="I20" i="9"/>
  <c r="I70" i="7"/>
  <c r="G70" i="7"/>
  <c r="G23" i="7"/>
  <c r="K20" i="9"/>
  <c r="K70" i="7"/>
  <c r="K23" i="7"/>
  <c r="J20" i="9"/>
  <c r="J23" i="7"/>
  <c r="J70" i="7"/>
  <c r="F21" i="7"/>
  <c r="H23" i="7"/>
  <c r="H20" i="9"/>
  <c r="H70" i="7"/>
  <c r="J42" i="7" l="1"/>
  <c r="J44" i="7" s="1"/>
  <c r="E42" i="7"/>
  <c r="O38" i="7"/>
  <c r="O42" i="7" s="1"/>
  <c r="H42" i="7"/>
  <c r="H49" i="9" s="1"/>
  <c r="K42" i="7"/>
  <c r="K49" i="9" s="1"/>
  <c r="K43" i="9"/>
  <c r="K47" i="9" s="1"/>
  <c r="I38" i="7"/>
  <c r="G42" i="7"/>
  <c r="F70" i="7"/>
  <c r="F35" i="7"/>
  <c r="F38" i="7" s="1"/>
  <c r="F43" i="9" s="1"/>
  <c r="I21" i="9"/>
  <c r="F23" i="7"/>
  <c r="F95" i="7" s="1"/>
  <c r="F20" i="9"/>
  <c r="J21" i="9"/>
  <c r="K21" i="9"/>
  <c r="H21" i="9"/>
  <c r="J49" i="9" l="1"/>
  <c r="K44" i="7"/>
  <c r="K45" i="7" s="1"/>
  <c r="H44" i="7"/>
  <c r="H48" i="7" s="1"/>
  <c r="I42" i="7"/>
  <c r="I44" i="7" s="1"/>
  <c r="I43" i="9"/>
  <c r="I47" i="9" s="1"/>
  <c r="F42" i="7"/>
  <c r="F97" i="7"/>
  <c r="F96" i="7"/>
  <c r="F21" i="9"/>
  <c r="J45" i="7"/>
  <c r="J48" i="7"/>
  <c r="K48" i="7" l="1"/>
  <c r="H45" i="7"/>
  <c r="I49" i="9"/>
  <c r="F44" i="7"/>
  <c r="E43" i="9"/>
  <c r="F99" i="7"/>
  <c r="F101" i="7" s="1"/>
  <c r="F53" i="7" s="1"/>
  <c r="I48" i="7"/>
  <c r="I54" i="7" s="1"/>
  <c r="I45" i="7"/>
  <c r="K54" i="7"/>
  <c r="J54" i="7"/>
  <c r="K58" i="7" s="1"/>
  <c r="H54" i="7"/>
  <c r="E53" i="7" l="1"/>
  <c r="O25" i="2"/>
  <c r="I58" i="7"/>
  <c r="F75" i="7"/>
  <c r="F76" i="7" s="1"/>
  <c r="F78" i="7" s="1"/>
  <c r="F80" i="7" s="1"/>
  <c r="O29" i="2"/>
  <c r="P25" i="2"/>
  <c r="F32" i="9"/>
  <c r="F35" i="9" s="1"/>
  <c r="J56" i="7"/>
  <c r="J57" i="9"/>
  <c r="H56" i="7"/>
  <c r="H57" i="9"/>
  <c r="I56" i="7"/>
  <c r="I57" i="9"/>
  <c r="K56" i="7"/>
  <c r="K57" i="9"/>
  <c r="F45" i="7"/>
  <c r="F48" i="7"/>
  <c r="F54" i="7" s="1"/>
  <c r="F58" i="7" s="1"/>
  <c r="F46" i="9"/>
  <c r="E46" i="9" s="1"/>
  <c r="E31" i="7"/>
  <c r="E32" i="7" s="1"/>
  <c r="G41" i="7"/>
  <c r="M29" i="2" l="1"/>
  <c r="P29" i="2"/>
  <c r="P32" i="2" s="1"/>
  <c r="G44" i="7"/>
  <c r="G45" i="9" s="1"/>
  <c r="F56" i="7"/>
  <c r="F57" i="9"/>
  <c r="F49" i="9"/>
  <c r="F47" i="9"/>
  <c r="E75" i="7"/>
  <c r="G75" i="7" s="1"/>
  <c r="G76" i="7" s="1"/>
  <c r="G78" i="7" s="1"/>
  <c r="G80" i="7" s="1"/>
  <c r="N32" i="7"/>
  <c r="F33" i="9"/>
  <c r="F34" i="9" s="1"/>
  <c r="E32" i="9"/>
  <c r="E41" i="7"/>
  <c r="G28" i="9"/>
  <c r="E28" i="9" s="1"/>
  <c r="E76" i="7" l="1"/>
  <c r="E78" i="7" s="1"/>
  <c r="E80" i="7" s="1"/>
  <c r="G31" i="9"/>
  <c r="G33" i="9" s="1"/>
  <c r="G34" i="9" s="1"/>
  <c r="G53" i="9" s="1"/>
  <c r="N41" i="7"/>
  <c r="E44" i="7"/>
  <c r="E45" i="7" s="1"/>
  <c r="F36" i="9"/>
  <c r="F53" i="9"/>
  <c r="E45" i="9"/>
  <c r="G47" i="9"/>
  <c r="G49" i="9"/>
  <c r="G45" i="7"/>
  <c r="G48" i="7"/>
  <c r="E31" i="9" l="1"/>
  <c r="G35" i="9"/>
  <c r="G36" i="9" s="1"/>
  <c r="E49" i="9"/>
  <c r="E47" i="9"/>
  <c r="G54" i="7"/>
  <c r="G58" i="7" s="1"/>
  <c r="E48" i="7"/>
  <c r="G56" i="7" l="1"/>
  <c r="G57" i="9"/>
  <c r="E33" i="9"/>
  <c r="E34" i="9" s="1"/>
  <c r="E53" i="9" s="1"/>
  <c r="E35" i="9"/>
  <c r="E54" i="7"/>
  <c r="E57" i="9" l="1"/>
  <c r="E18" i="17"/>
  <c r="E19" i="17" s="1"/>
  <c r="E36" i="9"/>
  <c r="E56" i="7"/>
  <c r="E58" i="7"/>
  <c r="E59" i="7" s="1"/>
  <c r="E61" i="7" s="1"/>
  <c r="F22" i="2" l="1"/>
  <c r="F30" i="2" s="1"/>
  <c r="E40" i="9"/>
  <c r="I40" i="9" s="1"/>
  <c r="G20" i="2"/>
  <c r="H20" i="2" s="1"/>
  <c r="I20" i="2" l="1"/>
  <c r="E41" i="9"/>
  <c r="E42" i="9" s="1"/>
  <c r="H22" i="2"/>
  <c r="I41" i="9"/>
  <c r="I42" i="9" s="1"/>
  <c r="F40" i="9"/>
  <c r="H40" i="9"/>
  <c r="F32" i="2"/>
  <c r="F33" i="2" s="1"/>
  <c r="J40" i="9"/>
  <c r="K40" i="9"/>
  <c r="G40" i="9"/>
  <c r="G22" i="2"/>
  <c r="M20" i="2" l="1"/>
  <c r="O22" i="2"/>
  <c r="I22" i="2"/>
  <c r="I48" i="9"/>
  <c r="E48" i="9"/>
  <c r="H41" i="9"/>
  <c r="H42" i="9" s="1"/>
  <c r="F41" i="9"/>
  <c r="F42" i="9" s="1"/>
  <c r="K41" i="9"/>
  <c r="K42" i="9" s="1"/>
  <c r="H32" i="2"/>
  <c r="H30" i="2"/>
  <c r="G32" i="2"/>
  <c r="G33" i="2" s="1"/>
  <c r="G30" i="2"/>
  <c r="G31" i="2"/>
  <c r="G41" i="9"/>
  <c r="G42" i="9" s="1"/>
  <c r="J41" i="9"/>
  <c r="J42" i="9" s="1"/>
  <c r="M22" i="2" l="1"/>
  <c r="M32" i="2" s="1"/>
  <c r="O32" i="2"/>
  <c r="I32" i="2"/>
  <c r="I50" i="9"/>
  <c r="I54" i="9"/>
  <c r="I56" i="9" s="1"/>
  <c r="I58" i="9" s="1"/>
  <c r="E50" i="9"/>
  <c r="E54" i="9"/>
  <c r="E58" i="9" s="1"/>
  <c r="H48" i="9"/>
  <c r="K48" i="9"/>
  <c r="G48" i="9"/>
  <c r="J48" i="9"/>
  <c r="F48" i="9"/>
  <c r="H33" i="2"/>
  <c r="J50" i="9" l="1"/>
  <c r="J54" i="9"/>
  <c r="J56" i="9" s="1"/>
  <c r="J58" i="9" s="1"/>
  <c r="G50" i="9"/>
  <c r="G54" i="9"/>
  <c r="G56" i="9" s="1"/>
  <c r="G58" i="9" s="1"/>
  <c r="K50" i="9"/>
  <c r="K54" i="9"/>
  <c r="K56" i="9" s="1"/>
  <c r="K58" i="9" s="1"/>
  <c r="H50" i="9"/>
  <c r="H54" i="9"/>
  <c r="H56" i="9" s="1"/>
  <c r="H58" i="9" s="1"/>
  <c r="F50" i="9"/>
  <c r="F54" i="9"/>
  <c r="F56" i="9" l="1"/>
  <c r="F58" i="9" s="1"/>
  <c r="M16" i="2" l="1"/>
  <c r="M1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Kayda Wescott</author>
  </authors>
  <commentList>
    <comment ref="E39" authorId="0" shapeId="0" xr:uid="{E4345987-FF75-4398-9BF3-D74CB02D61CE}">
      <text>
        <r>
          <rPr>
            <b/>
            <sz val="9"/>
            <color indexed="81"/>
            <rFont val="Tahoma"/>
            <family val="2"/>
          </rPr>
          <t>generated in ip psych</t>
        </r>
        <r>
          <rPr>
            <sz val="9"/>
            <color indexed="81"/>
            <rFont val="Tahoma"/>
            <family val="2"/>
          </rPr>
          <t xml:space="preserve">
</t>
        </r>
      </text>
    </comment>
  </commentList>
</comments>
</file>

<file path=xl/sharedStrings.xml><?xml version="1.0" encoding="utf-8"?>
<sst xmlns="http://schemas.openxmlformats.org/spreadsheetml/2006/main" count="1582" uniqueCount="661">
  <si>
    <t>Item</t>
  </si>
  <si>
    <t>Follow-up</t>
  </si>
  <si>
    <t>Priority</t>
  </si>
  <si>
    <t>Long Term</t>
  </si>
  <si>
    <t>Near Term</t>
  </si>
  <si>
    <t>Short Term - For FY22 Budget decision</t>
  </si>
  <si>
    <t>KEY:</t>
  </si>
  <si>
    <t>Bob Adcock/Kayda Wescott</t>
  </si>
  <si>
    <t>NPR reconciliation from forecast to budget</t>
  </si>
  <si>
    <t>Rate increase by payer from NPR showing % change. (Can't see how the math will work regarding the $6.1 million)</t>
  </si>
  <si>
    <t>Need support for utilization increase from forecast</t>
  </si>
  <si>
    <t>Need more support for bad debt/free care regarding stated improvement this year partially due to delayed care yet care will resume in FY2022 but bad debt and free care are staying at FY21 levels</t>
  </si>
  <si>
    <t>YoY NPR increase by month for current year</t>
  </si>
  <si>
    <t>Due Date</t>
  </si>
  <si>
    <t>NPR growth forecast FY21 to FY22 by payer bridging rate changes and utilization would be helpful</t>
  </si>
  <si>
    <t>One pager on master services agreement with FQHC</t>
  </si>
  <si>
    <t>Net operating difference from operating a psych facility as a COVID unit compared to its normalized operations</t>
  </si>
  <si>
    <t>Assuming a total increase from forecast of 10% what adjustments would they do make to expenses to generate necessary cash flow.</t>
  </si>
  <si>
    <t>Show dollars with part of your revenues increase related to I/P psych and adult day programs and how those fit into the whole</t>
  </si>
  <si>
    <t>Show other utilization increases apart from I/P psych and adult daycare programs that justify FY22 budgeted revenues</t>
  </si>
  <si>
    <t>FY21 ANNUALIZED</t>
  </si>
  <si>
    <t>Inpatient Revenue</t>
  </si>
  <si>
    <t>Outpatient Revenue</t>
  </si>
  <si>
    <t>Professional Services</t>
  </si>
  <si>
    <t>Deductions from Revenue:</t>
  </si>
  <si>
    <t>Contractual Allowances</t>
  </si>
  <si>
    <t>Charity Care &amp; Other Allowances</t>
  </si>
  <si>
    <t>Provision for Bad Debts</t>
  </si>
  <si>
    <t>Disproportionate Share</t>
  </si>
  <si>
    <t>Other Operating Revenue</t>
  </si>
  <si>
    <t>Provider Tax</t>
  </si>
  <si>
    <t>UNRECOGNIZED PENSION EXPENSE</t>
  </si>
  <si>
    <t>Inpatient Acute Patient Days</t>
  </si>
  <si>
    <t>Psych Patient Days</t>
  </si>
  <si>
    <t>Swingbed Patient Days</t>
  </si>
  <si>
    <t>FY22 BUDGET</t>
  </si>
  <si>
    <t>Total Patient Days</t>
  </si>
  <si>
    <t>FY22 BUD SOURCE</t>
  </si>
  <si>
    <t>PATIENT SERVICE CHARGES</t>
  </si>
  <si>
    <t>Inpatient Care Unit</t>
  </si>
  <si>
    <t>I/P REV DAILY PAT SER M &amp; S</t>
  </si>
  <si>
    <t>CVOSM</t>
  </si>
  <si>
    <t>I/P REVENUE</t>
  </si>
  <si>
    <t>Operating Room - Surgical Services</t>
  </si>
  <si>
    <t>I/P REVENUE - SURGICAL SERVICE</t>
  </si>
  <si>
    <t>Recovery Room</t>
  </si>
  <si>
    <t>I/P REVENUE - RECOVERY ROOM</t>
  </si>
  <si>
    <t>Urology</t>
  </si>
  <si>
    <t>I/P REVENUE UROLGOY</t>
  </si>
  <si>
    <t>Endoscopy</t>
  </si>
  <si>
    <t>I/P REVENUE-ENDOSCOPY PROC.</t>
  </si>
  <si>
    <t>MRI</t>
  </si>
  <si>
    <t>I/P REV - MRI DEPARTMENT</t>
  </si>
  <si>
    <t>General Surgery</t>
  </si>
  <si>
    <t>I/P PROF SVCS</t>
  </si>
  <si>
    <t>Ultrasound</t>
  </si>
  <si>
    <t>I/P REV - ULTRASOUND</t>
  </si>
  <si>
    <t>Laboratory</t>
  </si>
  <si>
    <t>I/P REV - LAB CLINICAL</t>
  </si>
  <si>
    <t>Blood Bank</t>
  </si>
  <si>
    <t>I/P REVENUE - BLOOD BANK</t>
  </si>
  <si>
    <t>Electrocardiology</t>
  </si>
  <si>
    <t>I/P REVENUE-ELECTROCARDIOLOGY</t>
  </si>
  <si>
    <t>X-Ray</t>
  </si>
  <si>
    <t>I/P REV -RADIOLOGY-DIAGNOSTIC</t>
  </si>
  <si>
    <t>Cat Scan</t>
  </si>
  <si>
    <t>I/P REVENUE - CAT SCAN</t>
  </si>
  <si>
    <t>Nuclear Med</t>
  </si>
  <si>
    <t>I/P REVENUE - NUCLEAR MEDICINE</t>
  </si>
  <si>
    <t>Pharmacy</t>
  </si>
  <si>
    <t>I/P REVENUE-PHARMACY</t>
  </si>
  <si>
    <t>Anesthesia</t>
  </si>
  <si>
    <t>I/P REVENUE-ANESTHESIOLOGY</t>
  </si>
  <si>
    <t>Rehabilitation - Springfield</t>
  </si>
  <si>
    <t>I/P REVENUE - PHYSICAL THERAPY</t>
  </si>
  <si>
    <t>Cardiopulmonary</t>
  </si>
  <si>
    <t>I/P REVENUE - RESPIRATORY THER</t>
  </si>
  <si>
    <t>Occupational Therapy</t>
  </si>
  <si>
    <t>I/P REV - OCCUPATIONAL THERAPY</t>
  </si>
  <si>
    <t>Springfield Gynecology</t>
  </si>
  <si>
    <t>I/P REV GYN</t>
  </si>
  <si>
    <t>Hospitalist</t>
  </si>
  <si>
    <t>I/P REVENUE-HOSPITALIST</t>
  </si>
  <si>
    <t>Windham Center</t>
  </si>
  <si>
    <t>I/P REV PSYCHIATRY ROCKINGHAM</t>
  </si>
  <si>
    <t>I/P REV M&amp;S SUPPLIES-SURGERY</t>
  </si>
  <si>
    <t>O/P REVENUE CARDIO</t>
  </si>
  <si>
    <t>I/P REV - RADIOLOGY ROCKINGHAM</t>
  </si>
  <si>
    <t>I/P REV LAB CLINICAL ROCKINGHA</t>
  </si>
  <si>
    <t>I/P REV PHARMACY ROCKINGHAM</t>
  </si>
  <si>
    <t>I/P REV:M&amp;S SUPPLIES- MED/SURG</t>
  </si>
  <si>
    <t>Mammography</t>
  </si>
  <si>
    <t>I/P REV:M&amp;S SUPPLIES - MAMMO</t>
  </si>
  <si>
    <t>I/P REV:M &amp; S SUPPLIES-SURGERY</t>
  </si>
  <si>
    <t>I/P REV:M &amp; S SUPPLIES-RECOVER</t>
  </si>
  <si>
    <t>One Day Surgery</t>
  </si>
  <si>
    <t>I/P REV:M&amp;S SUPPLIES-ONE DAY S</t>
  </si>
  <si>
    <t>I/P REV:M&amp;S SUPPLIES-SPC PRCDR</t>
  </si>
  <si>
    <t>I/P REV:M&amp;S SUPPLIES-MRI</t>
  </si>
  <si>
    <t>I/P REV:SUPPLIES-RADIOLOGY-DIA</t>
  </si>
  <si>
    <t>I/P REV:SUPPLIES- PHARMACY</t>
  </si>
  <si>
    <t>I/P REV:SUPPLIES-ANESTHESIOLOG</t>
  </si>
  <si>
    <t>I/P REV:SUPPLIES-RESP THERAPY</t>
  </si>
  <si>
    <t>O/P REVENUE-MED-SURG</t>
  </si>
  <si>
    <t>ENT Practice</t>
  </si>
  <si>
    <t>O/P REVENUE-ENT</t>
  </si>
  <si>
    <t>O/P REVENUE-RAY ABNEY, MD</t>
  </si>
  <si>
    <t>O/P REVENUE</t>
  </si>
  <si>
    <t>O/P REVENUE PHYS ORTHO SURGERY</t>
  </si>
  <si>
    <t>O/P REVENUE - MAMMOGRAPHY</t>
  </si>
  <si>
    <t>O/P REVENUE - SURGICAL SERVICE</t>
  </si>
  <si>
    <t>O/P REVENUE - RECOVERY ROOM</t>
  </si>
  <si>
    <t>Emergency Room</t>
  </si>
  <si>
    <t>O/P REVENUE - EMERGENCY ROOM</t>
  </si>
  <si>
    <t>O/P REVENUE- UROLOGY</t>
  </si>
  <si>
    <t>ER Physicians</t>
  </si>
  <si>
    <t>O/P ER SERV PROF FEE</t>
  </si>
  <si>
    <t>O/P REVENUE-ENDOSCOPY PROC.</t>
  </si>
  <si>
    <t>Specialty Clinic</t>
  </si>
  <si>
    <t>O/P REVENUE-SPECIAL SERVICES</t>
  </si>
  <si>
    <t>O/P REV - MRI</t>
  </si>
  <si>
    <t>O/P REV - ULTRASOUND</t>
  </si>
  <si>
    <t>O/P REV-LAB CLINICAL</t>
  </si>
  <si>
    <t>O/P REVENUE-BLOOD BANK</t>
  </si>
  <si>
    <t>O/P REV - ELECTROCARDIOLOGY</t>
  </si>
  <si>
    <t>O/P REV - RADIOLOGY-DIAG:IN-HS</t>
  </si>
  <si>
    <t>O/P REVENUE - CAT SCAN</t>
  </si>
  <si>
    <t>O/P REVENUE- NUCLEAR MEDICINE</t>
  </si>
  <si>
    <t>O/P REVENUE - PHARMACY</t>
  </si>
  <si>
    <t>O/P REVENUE - ANESTHESIOLOGY</t>
  </si>
  <si>
    <t>O/P REVENUE - PHYSICAL THERAPY</t>
  </si>
  <si>
    <t>O/P REVENUE-RESP THERAPY</t>
  </si>
  <si>
    <t>O/P REV - OCCUPATIONAL THERAPY</t>
  </si>
  <si>
    <t>Anesthesia Physicians</t>
  </si>
  <si>
    <t>O/P REVENUE - ANES. PHYSICIANS</t>
  </si>
  <si>
    <t>O/P REV</t>
  </si>
  <si>
    <t>Physical Therapy - BF</t>
  </si>
  <si>
    <t>O/P REVENUE PT BF</t>
  </si>
  <si>
    <t>Mountain View PT</t>
  </si>
  <si>
    <t>O/P REV MTN VIEW PT</t>
  </si>
  <si>
    <t>O/P REV - HOSPITALIST</t>
  </si>
  <si>
    <t>O/P OTHER PROF SVC</t>
  </si>
  <si>
    <t>I/P REVENUE - ANES PHYSICIANS</t>
  </si>
  <si>
    <t>O/P REV LAB CLINICAL ROCKINGHA</t>
  </si>
  <si>
    <t>O/P REV:M&amp;S SUPPLIES-MED/SURG</t>
  </si>
  <si>
    <t>O/P REV: OUTSIDE CONSULTING</t>
  </si>
  <si>
    <t>O/P REV: M&amp;S SUPPLIES - MAMMO</t>
  </si>
  <si>
    <t>O/P REV:M &amp; S SUPPLIES-SURGERY</t>
  </si>
  <si>
    <t>O/P REV:M &amp; S SUPPLIES-RECOVER</t>
  </si>
  <si>
    <t>O/P REV:M&amp;S SUPPLIES-EMERGENCY</t>
  </si>
  <si>
    <t>O/P REV:M&amp;S SUPPLIES-ONE DAY S</t>
  </si>
  <si>
    <t>O/P REV:M&amp;S SUPPLIES-SPC PRCDR</t>
  </si>
  <si>
    <t>O/P REV:M&amp;S SUPPLIES-SPC SRVOP</t>
  </si>
  <si>
    <t>O/P REV:M&amp;S SUPPLIES-MRI</t>
  </si>
  <si>
    <t>O/P REV:SUPPLIES-ELECTROCARDIO</t>
  </si>
  <si>
    <t>O/P REV:SUPPLIES-RADIOLOGY-DIA</t>
  </si>
  <si>
    <t>O/P REV:SUPPLIES-CAT SCAN</t>
  </si>
  <si>
    <t>O/P REV:SUPPLIES- PHARMACY</t>
  </si>
  <si>
    <t>O/P REV:SUPPLIES-ANESTHESIOLOG</t>
  </si>
  <si>
    <t>O/P REV:SUPPLIES-PHYS THERAPY</t>
  </si>
  <si>
    <t>O/P REV:SUPPLIES-RESP THERAPY</t>
  </si>
  <si>
    <t>GROSS REV</t>
  </si>
  <si>
    <t>I/P REVENUE - EMERGENCY ROOM</t>
  </si>
  <si>
    <t>I/P REV PSYCHE XRAY</t>
  </si>
  <si>
    <t>I/P REVNUE PSYCHE PHARM</t>
  </si>
  <si>
    <t>I/P REV:M&amp;S SUPPLIES-SPC SRVOP</t>
  </si>
  <si>
    <t>I/P REV:SUPPLIES-ELCTROCARDIOL</t>
  </si>
  <si>
    <t>I/P REV:SUPPLIES-CAT SCAN</t>
  </si>
  <si>
    <t>I/P REV SUPPLIES PSYCH ROCKING</t>
  </si>
  <si>
    <t>I/P PSYCHE REVENUE</t>
  </si>
  <si>
    <t>REV SUPPLIES RESP TH.</t>
  </si>
  <si>
    <t>Pulmonary Rehab</t>
  </si>
  <si>
    <t>O/P REV - PULMONARY REHAB</t>
  </si>
  <si>
    <t>O/P REV:M&amp;S SUPPLIES-PULM REHA</t>
  </si>
  <si>
    <t>O/P REV UROLOGY</t>
  </si>
  <si>
    <t>O/P REV:SUPPLIES-OCCUPATNL THR</t>
  </si>
  <si>
    <t>GMCB BUDGET ADJ-GROSS REV</t>
  </si>
  <si>
    <t>I/P REV ER SERV PROF FEE</t>
  </si>
  <si>
    <t>OUTPATIENT REV-COVID VACCINES</t>
  </si>
  <si>
    <t>I/P REV DAILY PAT SERV</t>
  </si>
  <si>
    <t>O/P REVENUE - ONE DAY SURGERY</t>
  </si>
  <si>
    <t>GROSS PATIENT SERVICE REVENUE</t>
  </si>
  <si>
    <t>CHARITY UNCOMP.CARE - I/P</t>
  </si>
  <si>
    <t>Deductions from Revenue</t>
  </si>
  <si>
    <t>DEDUCTIONS FROM REVENUE</t>
  </si>
  <si>
    <t>CHARITY UNCOMP.CARE - O/P</t>
  </si>
  <si>
    <t>CONTRACTUAL ADJ - BC I/P</t>
  </si>
  <si>
    <t>CONTRCTL ADJ-RMH-B/C-I/P</t>
  </si>
  <si>
    <t>CONTRACTUAL ADJ - MCARE - I/P</t>
  </si>
  <si>
    <t>CONTRCTL ADJ-RMH-MCARE-I/P</t>
  </si>
  <si>
    <t>CONTRACTUAL ADJ - MCAID I/P</t>
  </si>
  <si>
    <t>CONTRCTL ADJ-RMH-MCAID-I/P</t>
  </si>
  <si>
    <t>CONTRACTUAL ADJ CHP INS  I/P</t>
  </si>
  <si>
    <t>CONTRACTUAL ADJ - COMM I/P</t>
  </si>
  <si>
    <t>CONTRACTUAL ADJ -BF COMM I/P</t>
  </si>
  <si>
    <t>CONTRACT ADJ. W/C  I/P</t>
  </si>
  <si>
    <t>CONTRACT ADJ.-LOST CHGS INPT</t>
  </si>
  <si>
    <t>CONTRACTUAL ADJ BC OUTPATIENTS</t>
  </si>
  <si>
    <t>CONTRACTUAL ADJ-MEDICARE O/P</t>
  </si>
  <si>
    <t>CONTRACT ADJ-MEDICARE - ENT</t>
  </si>
  <si>
    <t>CONTRACT ADJ</t>
  </si>
  <si>
    <t>CONTRACTUAL ADJ - UROLOGY</t>
  </si>
  <si>
    <t>CONTRACTUAL ADJ</t>
  </si>
  <si>
    <t>C/A MEDICARE - ANES PHYS</t>
  </si>
  <si>
    <t>CONTRACTUAL ADJ - HOSPITALIST</t>
  </si>
  <si>
    <t>CONTRACTUAL ADJ - MEDICAID O/P</t>
  </si>
  <si>
    <t>CONTRACTUAL ADJ-CBA OUTPATIENT</t>
  </si>
  <si>
    <t>CONTRACTUAL ADJ - COMM O/P</t>
  </si>
  <si>
    <t>CONTRACT ADJ. - LOST CHGS O/P</t>
  </si>
  <si>
    <t>CONTR ADJUSTMENT-CHAMPUS OP</t>
  </si>
  <si>
    <t>PROF POLICY DISC.I/P</t>
  </si>
  <si>
    <t>PROF POLICY DISC. O/P</t>
  </si>
  <si>
    <t>WRITE OFF DUE TO AUDT</t>
  </si>
  <si>
    <t>WRITE OFF IMMATERIAL BAL. I/P</t>
  </si>
  <si>
    <t>WRITE OFF IMMATERIAL BAL. O/P</t>
  </si>
  <si>
    <t>WRITE-OFF IMMATRL BAL-RMH-O/P</t>
  </si>
  <si>
    <t>PROV FOR DOUBT ACCTS - O/P</t>
  </si>
  <si>
    <t>BAD DEBT EXPENSE - ENT</t>
  </si>
  <si>
    <t>BAD DEBT EXP</t>
  </si>
  <si>
    <t>BAD DEBT UROLOGY</t>
  </si>
  <si>
    <t>BAD DEBT EXP - ANES PHYS</t>
  </si>
  <si>
    <t>BAD DEBT EXP- GYNECOLOGY</t>
  </si>
  <si>
    <t>BAD DEBT - HOSPITALIST</t>
  </si>
  <si>
    <t>NET BAD DEBT RECOVERY SELF PAY</t>
  </si>
  <si>
    <t>NET BAD DBT RECOVERY-RMH-SLFPY</t>
  </si>
  <si>
    <t>DISPROPORTIONATE SHARE PMTS</t>
  </si>
  <si>
    <t>CHARITY CARE - HOSPITALIST</t>
  </si>
  <si>
    <t>CHARITY SERVICES-O/P</t>
  </si>
  <si>
    <t>Exclude</t>
  </si>
  <si>
    <t>CHARITY SERVICES-ANES PHYS</t>
  </si>
  <si>
    <t>CHARITY CARE</t>
  </si>
  <si>
    <t>CHARITY CARE UROLOGY</t>
  </si>
  <si>
    <t>CHARITY SERVICES-O/P/ENT</t>
  </si>
  <si>
    <t>CHARITY UNCOMP CARE-RMH-I/P</t>
  </si>
  <si>
    <t>WRITE-OFF IMMAT BAL-B.F.-I/P</t>
  </si>
  <si>
    <t>CONTRACT ADJ. W/C  O/P</t>
  </si>
  <si>
    <t>CONTRACTUAL ADJ  CBA I/P</t>
  </si>
  <si>
    <t>I/P REV DAILY PAT SERV OBST</t>
  </si>
  <si>
    <t>I/P REV PSYCHE LAB</t>
  </si>
  <si>
    <t>I/P REV LABOR AND DELIVERY</t>
  </si>
  <si>
    <t>I/P REV:M&amp;S SUPPLIES-OBSTETRIC</t>
  </si>
  <si>
    <t>I/P REV:M&amp;S SUPPLIES-EMERGENCY</t>
  </si>
  <si>
    <t>IP REVENUE PSYCHE PHARMACY</t>
  </si>
  <si>
    <t>O/P REV OB/GYN</t>
  </si>
  <si>
    <t>O/P REVENUE-PHYS THERAPY RMH</t>
  </si>
  <si>
    <t>O/P REV PHARMACY ROCKINGHAM</t>
  </si>
  <si>
    <t>O/P REV LABOR AND DELIVERY</t>
  </si>
  <si>
    <t>O/P REV:M&amp;S SUPPLIES-OBSTETRIC</t>
  </si>
  <si>
    <t>O/P SUPPLIES - BF PT</t>
  </si>
  <si>
    <t>O/P REV SUPP MTN VIEW PT</t>
  </si>
  <si>
    <t>MAPPING</t>
  </si>
  <si>
    <t>TYPE</t>
  </si>
  <si>
    <t>GLM_DESC</t>
  </si>
  <si>
    <t>DEPT NAME</t>
  </si>
  <si>
    <t>DEPT NO</t>
  </si>
  <si>
    <t>TRIM</t>
  </si>
  <si>
    <t>FY22 BUDGET ZERO INCREASE</t>
  </si>
  <si>
    <t>FY22 BUDGET INCREASE</t>
  </si>
  <si>
    <t>Acute</t>
  </si>
  <si>
    <t>Psych</t>
  </si>
  <si>
    <t>Total Inpatient Acute Days</t>
  </si>
  <si>
    <t xml:space="preserve"> </t>
  </si>
  <si>
    <t>ADJUSTMENT</t>
  </si>
  <si>
    <t>Col. 1 + 2</t>
  </si>
  <si>
    <t>Col.4 / Col.3</t>
  </si>
  <si>
    <t>TOTALS</t>
  </si>
  <si>
    <t>NPR / GPR</t>
  </si>
  <si>
    <t>Net Patient Service Revenue</t>
  </si>
  <si>
    <t>Total Deductions from Revenue</t>
  </si>
  <si>
    <t>Deductions / GPR</t>
  </si>
  <si>
    <t>Springfield Hospital</t>
  </si>
  <si>
    <t>FY2022 Budget</t>
  </si>
  <si>
    <t>MEDICARE</t>
  </si>
  <si>
    <t>MEDICAID</t>
  </si>
  <si>
    <t>BLUE CROSS</t>
  </si>
  <si>
    <t>COMMERCIAL</t>
  </si>
  <si>
    <t>OTHER</t>
  </si>
  <si>
    <t>SELF PAY</t>
  </si>
  <si>
    <t>TOTAL INPATIENT</t>
  </si>
  <si>
    <t>INPATIENT</t>
  </si>
  <si>
    <t>OUTPATIENT</t>
  </si>
  <si>
    <t>TOTAL GROSS PATIENT SERVICE REVENUE</t>
  </si>
  <si>
    <t xml:space="preserve">INPATIENT </t>
  </si>
  <si>
    <t>DEDUCTIONS FROM REVENUES</t>
  </si>
  <si>
    <t>A</t>
  </si>
  <si>
    <t>B</t>
  </si>
  <si>
    <t>OTHER ADJUSTMENTS</t>
  </si>
  <si>
    <t>DISPROPORTIONATE CARE</t>
  </si>
  <si>
    <t>INPATIENT CONTRACTUAL ADJUSTMENTS</t>
  </si>
  <si>
    <t>INPATIENT BAD DEBTS</t>
  </si>
  <si>
    <t>OUTPATIENT BAD DEBTS</t>
  </si>
  <si>
    <t>OUTPATIENT CONTRACTUAL ADJUSTMENTS</t>
  </si>
  <si>
    <t>INPATIENT CHARITY CARE</t>
  </si>
  <si>
    <t>OUTPATIENT CHARITY CARE</t>
  </si>
  <si>
    <t>TOTAL INPATIENT DEDUCTIONS FROM REVENUE</t>
  </si>
  <si>
    <t>TOTAL OUTPATIENT DEDUCTIONS FROM REVENUE</t>
  </si>
  <si>
    <t>C</t>
  </si>
  <si>
    <t>NET PATIENT SERVICE REVENUE</t>
  </si>
  <si>
    <t>TOTAL NET PATIENT SERVICE REVENUE</t>
  </si>
  <si>
    <t>NPSR / GPSR</t>
  </si>
  <si>
    <t>Cost report settlements are estimated quarterly.</t>
  </si>
  <si>
    <t>Medicaid &amp; BC ACO Settlements are booked at final settlement.</t>
  </si>
  <si>
    <t>These may have an impact on the contractual adjustment percentages from year to year.</t>
  </si>
  <si>
    <t>TOTAL PSYCH UNIT</t>
  </si>
  <si>
    <t>TOTAL OUTPATIENT</t>
  </si>
  <si>
    <t>TOTAL HOSPITAL</t>
  </si>
  <si>
    <t>UTILIZATION</t>
  </si>
  <si>
    <t>RATE INCREASE</t>
  </si>
  <si>
    <t>FY21 ANNUALIZED INPATIENT</t>
  </si>
  <si>
    <t>INPATIENT PAYOR MIX</t>
  </si>
  <si>
    <t>FY22 BUDGET INPATIENT GPSR</t>
  </si>
  <si>
    <t>FY22 BUDGET INPATIENT NPSR</t>
  </si>
  <si>
    <t>FY21 ANNUALIZED OUTPATIENT</t>
  </si>
  <si>
    <t>INPATIENT DEDUCTIONS FROM REVENUE</t>
  </si>
  <si>
    <t>TOTALS PER '2 NPR BY PAYOR' TAB</t>
  </si>
  <si>
    <t>VARIANCE</t>
  </si>
  <si>
    <t>INPATIENT RECONCILIATION:</t>
  </si>
  <si>
    <t>OUTPATIENT RECONCILIATION:</t>
  </si>
  <si>
    <t>OUTPATIENT PAYOR MIX</t>
  </si>
  <si>
    <t>D</t>
  </si>
  <si>
    <t>E</t>
  </si>
  <si>
    <t>F</t>
  </si>
  <si>
    <t>DIFFERENCE - FY22 BUDGET AND FY21 APPROVED</t>
  </si>
  <si>
    <t>OUTPATIENT DEDUCTIONS FROM REVENUE</t>
  </si>
  <si>
    <t>FY22 BUDGET OUTPATIENT NPSR</t>
  </si>
  <si>
    <t>Total Gross Patient Service Revenue</t>
  </si>
  <si>
    <t>DSH</t>
  </si>
  <si>
    <t>Bad Debt/Charity Care %</t>
  </si>
  <si>
    <t xml:space="preserve">This schedule reconciles to Appendix 1, Table 3. </t>
  </si>
  <si>
    <t>FY19 ACTUAL</t>
  </si>
  <si>
    <t>YTD APR21</t>
  </si>
  <si>
    <t>FY20 ACTUAL</t>
  </si>
  <si>
    <t>FY21 BUDGET</t>
  </si>
  <si>
    <t xml:space="preserve">FY22 BUDGET </t>
  </si>
  <si>
    <t xml:space="preserve">Diff From FY21 ANNUALIZED ($) </t>
  </si>
  <si>
    <t xml:space="preserve">Diff From FY21 BUDGET ($) </t>
  </si>
  <si>
    <t>Diff From FY21 ANNUALIZED (%)</t>
  </si>
  <si>
    <t>Diff From FY21 BUDGET (%)</t>
  </si>
  <si>
    <t>Notes</t>
  </si>
  <si>
    <t>GROSS PATIENT SERVICE REVENUE:</t>
  </si>
  <si>
    <t>NO INCREASE</t>
  </si>
  <si>
    <t>FY19 did not include urology/GYN</t>
  </si>
  <si>
    <t xml:space="preserve">   Total Gross Patient Service Revenue</t>
  </si>
  <si>
    <t>Decrease in bad debt from prior years?</t>
  </si>
  <si>
    <t xml:space="preserve">   Total Deductions from Revenue</t>
  </si>
  <si>
    <t xml:space="preserve">        Net Patient Service Revenue</t>
  </si>
  <si>
    <t>NPSR Increase</t>
  </si>
  <si>
    <t>MSSA Revenue not bud in FY21, 2)Windham Center/Adult Day/Vaccine Clinic grant revenue FY21 incl (none budgeted in FY22)</t>
  </si>
  <si>
    <t xml:space="preserve">  TOTAL OPERATING REVENUE</t>
  </si>
  <si>
    <t>NPSR %</t>
  </si>
  <si>
    <t>OPERATING EXPENSES:</t>
  </si>
  <si>
    <t>Salaries &amp; Wages</t>
  </si>
  <si>
    <t>needs review, includes 2% COLA Dec 2021 ($300K), plus CEO/CFO previously contracted</t>
  </si>
  <si>
    <t>Employee Benefits &amp; Payroll Taxes</t>
  </si>
  <si>
    <t>1)includes 401k match as of Jan 2022 $168K , 2)health insurance incr exp by ________, 3)incr payroll taxes due to increase in wages</t>
  </si>
  <si>
    <t>Medical Supplies</t>
  </si>
  <si>
    <t>Drugs</t>
  </si>
  <si>
    <t>Drugs low in FY21 (COVID) but anticipated to increase with volume</t>
  </si>
  <si>
    <t>Management &amp; Contract Services</t>
  </si>
  <si>
    <t>Hospitalist bud in FY21 in phys fees but in FY22 bud...looks ok</t>
  </si>
  <si>
    <t>Other Purchased Services</t>
  </si>
  <si>
    <t>Physician Fees</t>
  </si>
  <si>
    <t>budgeted new surgeon last 1/2 of FY22, decreased locum exp, do we want to be conserative and assume no surgeon all year?</t>
  </si>
  <si>
    <t>Travelers</t>
  </si>
  <si>
    <t>Depreciation</t>
  </si>
  <si>
    <t>Interest</t>
  </si>
  <si>
    <t>Insurance</t>
  </si>
  <si>
    <t>Other Expenses</t>
  </si>
  <si>
    <t>check - make sure decrease in Maintenance &amp; Repairs due to Engineering bud in diff exp category</t>
  </si>
  <si>
    <t xml:space="preserve">  TOTAL OPERATING EXPENSES</t>
  </si>
  <si>
    <t xml:space="preserve">           OPERATING INCOME (LOSS)</t>
  </si>
  <si>
    <t>NON-OPERATING REVENUE (NET)</t>
  </si>
  <si>
    <t>1)FY21 includes Chapter 11 Gain, 2) FY22 budgeted $750K for unrecognized pension plan expense (for frozen DB plan)</t>
  </si>
  <si>
    <t>NET TRANSFERS IN/(OUT)</t>
  </si>
  <si>
    <t>INCR. (DECR.) IN UNRESTRICTED NET ASSETS</t>
  </si>
  <si>
    <t>EBITDA Calculation:</t>
  </si>
  <si>
    <t>Add Depr &amp; Interest</t>
  </si>
  <si>
    <t>Debt Payments</t>
  </si>
  <si>
    <t>Pension Expenses Funding</t>
  </si>
  <si>
    <t>Capital Purchases</t>
  </si>
  <si>
    <t xml:space="preserve">EBITDA </t>
  </si>
  <si>
    <t>CHECK TO YTD TB TAB</t>
  </si>
  <si>
    <t>Assumption Notes</t>
  </si>
  <si>
    <t>vs. FY21 annualized</t>
  </si>
  <si>
    <t>Vs. Bud FY21</t>
  </si>
  <si>
    <t>Questions</t>
  </si>
  <si>
    <t>Includes CEO/CFO previously in Mgmt &amp; Contracted Services</t>
  </si>
  <si>
    <t>1.  Need to look at increase in Salaries and Wages plus travelers</t>
  </si>
  <si>
    <t>Added 2% COLA 12/1/21 staff only, excl providers</t>
  </si>
  <si>
    <t>COVID Expenses</t>
  </si>
  <si>
    <t xml:space="preserve">COVID Lab Tests processing ($20K avg mo), supplies </t>
  </si>
  <si>
    <t xml:space="preserve">primarily COVID lab tests sent out </t>
  </si>
  <si>
    <t>COVID Revenue</t>
  </si>
  <si>
    <t>Estimate only</t>
  </si>
  <si>
    <t>Employee Benefits</t>
  </si>
  <si>
    <t>Add'l $22K payroll taxes related to 2% COLA</t>
  </si>
  <si>
    <t>Added 401K match January 2022 - est. $168000 9 mos.</t>
  </si>
  <si>
    <t>Dept 32 - Increasing by $50K - primarily General Insurance - policy amounts for Coverys Excess and Gen'l don't appear to have been decreased (assuming SMCS is excl) and would have expected to bwe</t>
  </si>
  <si>
    <t>MSSA Revenue</t>
  </si>
  <si>
    <t>Assumes shared staff same as current - do we want to adjust for any areas (CFO, Accounting, Quality, etc)</t>
  </si>
  <si>
    <t>Assumes last 1/2 yr second surgeon, OR DO WE WANT TO BE CONSERVATIVE AND NOT BUDGET THIS</t>
  </si>
  <si>
    <t>Provider Taxes</t>
  </si>
  <si>
    <t>Payments increased @4800/mo, expense increased $58K</t>
  </si>
  <si>
    <t>Volume:</t>
  </si>
  <si>
    <t>2/1/2020 YTD-Pre COVID</t>
  </si>
  <si>
    <t>FY21 May</t>
  </si>
  <si>
    <t>ER</t>
  </si>
  <si>
    <t>Increase to visits/day</t>
  </si>
  <si>
    <t>IPCU</t>
  </si>
  <si>
    <t>Increase to pts/day</t>
  </si>
  <si>
    <t>OR</t>
  </si>
  <si>
    <t>Surgery</t>
  </si>
  <si>
    <t>ADC</t>
  </si>
  <si>
    <t>Should this be decreased to prior historical ADC?</t>
  </si>
  <si>
    <t>Financially solvent, just came out of bankruptcy</t>
  </si>
  <si>
    <t>Budgeted EBITDA Above</t>
  </si>
  <si>
    <t>High priority capital requests</t>
  </si>
  <si>
    <t>EBITDA</t>
  </si>
  <si>
    <t>NPR</t>
  </si>
  <si>
    <t>NPR to Break Even</t>
  </si>
  <si>
    <t>Increase to Break Even From Budget</t>
  </si>
  <si>
    <t>Approved GMCB 2021 Budget</t>
  </si>
  <si>
    <t>Confirmed</t>
  </si>
  <si>
    <t>Budget Increase to GMCB 2021 Approved Budget</t>
  </si>
  <si>
    <t>Increase Needed to GMCB 2021 Approved Budget</t>
  </si>
  <si>
    <t>Requested Rate Increase</t>
  </si>
  <si>
    <t>Increase Allowed</t>
  </si>
  <si>
    <t>Increase Allowed to GMCB 2021 Approved Budget</t>
  </si>
  <si>
    <t>Increase Needed</t>
  </si>
  <si>
    <t>Shortfall at 3.5%</t>
  </si>
  <si>
    <t>Adjusted EBITDA with Requested Rate Increase</t>
  </si>
  <si>
    <t>Breakeven</t>
  </si>
  <si>
    <t>Inc (Dec) in Assets</t>
  </si>
  <si>
    <t>For Oper Exp Trending Slide</t>
  </si>
  <si>
    <t>Total</t>
  </si>
  <si>
    <t>PAYOR MIX</t>
  </si>
  <si>
    <t>RATE EFFECT</t>
  </si>
  <si>
    <t xml:space="preserve">PROPOSED ADJUSTMENTS - </t>
  </si>
  <si>
    <t>DSH INCLUDED IN ERROR</t>
  </si>
  <si>
    <t>Estimated FY22 Medicaid ACO settlement based on last final settlement (2019) dated 10/9/2020.</t>
  </si>
  <si>
    <t>(1)</t>
  </si>
  <si>
    <t>(2)</t>
  </si>
  <si>
    <t>Notes:</t>
  </si>
  <si>
    <t>ADJ. #1</t>
  </si>
  <si>
    <t>ADJ. #2</t>
  </si>
  <si>
    <t>ADJ.#3</t>
  </si>
  <si>
    <t>Medicare CAHs cost reimbursement estimate:</t>
  </si>
  <si>
    <t>FY2021 Annualized Expenses</t>
  </si>
  <si>
    <t>FY2022 Budgeted Expenses</t>
  </si>
  <si>
    <t>Increase %</t>
  </si>
  <si>
    <t>FY2022 Total Medicare Charges</t>
  </si>
  <si>
    <t>Increase Cost % Multiplied by FY22 Medicare Charges</t>
  </si>
  <si>
    <t>Estimate Cost-Based related charges</t>
  </si>
  <si>
    <t>Less: Psych charges</t>
  </si>
  <si>
    <t>Less: Physician charges</t>
  </si>
  <si>
    <t>[*]</t>
  </si>
  <si>
    <t>C/A &amp; Other Adj. to GPSR %</t>
  </si>
  <si>
    <t>LIMIT MEDICARE TO 2.7% COST INCREASE  - Please see (2) below</t>
  </si>
  <si>
    <t>LIMIT MEDICAID INCREASE TO EST. ACO SHARED SAVINGS  - Please see (1) below</t>
  </si>
  <si>
    <t>CONTRACTUAL &amp; OTHER ADJUSTMENT PERCENTAGES</t>
  </si>
  <si>
    <t>FY21</t>
  </si>
  <si>
    <t>OCT</t>
  </si>
  <si>
    <t>NOV</t>
  </si>
  <si>
    <t>DEC</t>
  </si>
  <si>
    <t>JAN</t>
  </si>
  <si>
    <t>FEB</t>
  </si>
  <si>
    <t>MAR</t>
  </si>
  <si>
    <t>APR</t>
  </si>
  <si>
    <t>MAY</t>
  </si>
  <si>
    <t>JUN</t>
  </si>
  <si>
    <t>JUL</t>
  </si>
  <si>
    <t>AUG</t>
  </si>
  <si>
    <t>SEP</t>
  </si>
  <si>
    <t>YTD</t>
  </si>
  <si>
    <t>Gross Revenue</t>
  </si>
  <si>
    <t>NPSR</t>
  </si>
  <si>
    <t>Cost Report Adjustment incl in NPR above-FY21</t>
  </si>
  <si>
    <t>Cost Report Adjustment incl in NPR above-FY20</t>
  </si>
  <si>
    <t>FY20</t>
  </si>
  <si>
    <t>GPR Change FY21 vs. FY22</t>
  </si>
  <si>
    <t>NPR Change FY21 vs. FY22</t>
  </si>
  <si>
    <t>MAR-JUL</t>
  </si>
  <si>
    <t>FY2021 compared to FY2020</t>
  </si>
  <si>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</si>
  <si>
    <t>Category of Service</t>
  </si>
  <si>
    <t>Total increase in Gross Revenues (%)</t>
  </si>
  <si>
    <t>Total increase in Gross Revenues ($)</t>
  </si>
  <si>
    <t xml:space="preserve">Source of changes:   FY22 Expense (Non-Wages) Budget Input/YTD TB </t>
  </si>
  <si>
    <t>FY 2021 Projected (as submitted)</t>
  </si>
  <si>
    <t>Fy21 Projected</t>
  </si>
  <si>
    <t>based on April YTD projected</t>
  </si>
  <si>
    <t>FY21 Projected</t>
  </si>
  <si>
    <t>IP Psych incl ancillary</t>
  </si>
  <si>
    <t>Psych operated as COVID unit through March, no GPR, just grant $</t>
  </si>
  <si>
    <t>IP Acute Care</t>
  </si>
  <si>
    <t>IP Lab</t>
  </si>
  <si>
    <t>OP Emergency Room</t>
  </si>
  <si>
    <t>OP Pharmacy</t>
  </si>
  <si>
    <t>OP Lab</t>
  </si>
  <si>
    <t>OP Xray</t>
  </si>
  <si>
    <t>OP Operating Room</t>
  </si>
  <si>
    <t>OP Ultrasound</t>
  </si>
  <si>
    <t>OP COVID Vaccines - did not budget for</t>
  </si>
  <si>
    <t>OP Anesthesia</t>
  </si>
  <si>
    <t>OP Physical Therapy</t>
  </si>
  <si>
    <t>OP Cat Scan</t>
  </si>
  <si>
    <t>OP Other</t>
  </si>
  <si>
    <t>Professional Fees:</t>
  </si>
  <si>
    <t>Prof Fee Other</t>
  </si>
  <si>
    <t>$ Change from FY 2021 Approved budget</t>
  </si>
  <si>
    <t>% Change from FY 2021 Approved budget</t>
  </si>
  <si>
    <t>Does not need to tie to P&amp;L</t>
  </si>
  <si>
    <t>Modify</t>
  </si>
  <si>
    <t>Utilization</t>
  </si>
  <si>
    <t>Based on April</t>
  </si>
  <si>
    <t>Difference</t>
  </si>
  <si>
    <t>From Forecast FY21 to FY22 Budget</t>
  </si>
  <si>
    <t xml:space="preserve">LIMIT MEDICAID INCREASE TO EST. ACO SHARED SAVINGS </t>
  </si>
  <si>
    <t>LIMIT MEDICARE TO 2.7% COST INCREASE</t>
  </si>
  <si>
    <t>REVISED INPATIENT DEDUCTIONS FROM REVENUE</t>
  </si>
  <si>
    <t>REVISED OUTPATIENT DEDUCTIONS FROM REVENUE</t>
  </si>
  <si>
    <t>#8</t>
  </si>
  <si>
    <t>I/P PSYCH &amp; ADULT DAY PROGRAMS</t>
  </si>
  <si>
    <t xml:space="preserve">#4 - 10% NPR INCREASE </t>
  </si>
  <si>
    <t>#9</t>
  </si>
  <si>
    <t>UTILIZATION INCREASES APART FROM I/P PSYCH AND ADULT DAY CARE</t>
  </si>
  <si>
    <t>#11</t>
  </si>
  <si>
    <t>INPATIENT PSYCH</t>
  </si>
  <si>
    <t>FY19 Actual</t>
  </si>
  <si>
    <t>FY20 Actual</t>
  </si>
  <si>
    <t>FY21 Annualized</t>
  </si>
  <si>
    <t>I/P PSYCH - DURING COVID &amp; NOW</t>
  </si>
  <si>
    <t>TABLE OF CONTENTS</t>
  </si>
  <si>
    <t>FY22 Proposed Budget</t>
  </si>
  <si>
    <t>Total Inpatient Revenue</t>
  </si>
  <si>
    <t>TOTALS *</t>
  </si>
  <si>
    <t>*</t>
  </si>
  <si>
    <t>This column represents the FY22 Budget with zero price increase.</t>
  </si>
  <si>
    <t>REVISED NPR FY22 BUDGET TO FY21 BUDGET APPROVED</t>
  </si>
  <si>
    <t>FY 2022 Proposed Budget (Zero Price Increase)</t>
  </si>
  <si>
    <t>Inpatient Revenue (includes Swing Bed)</t>
  </si>
  <si>
    <t>FY22 Budget (Zero Price Increase)</t>
  </si>
  <si>
    <t>NPR Requested</t>
  </si>
  <si>
    <t>10-MONTH AVE.</t>
  </si>
  <si>
    <t>TOTAL NPR PER '2 NPR BY PAYOR' TAB</t>
  </si>
  <si>
    <t>Human Resources &amp; Payroll</t>
  </si>
  <si>
    <t>Compliance &amp; Risk</t>
  </si>
  <si>
    <t>Infection Control</t>
  </si>
  <si>
    <t>Medical Staff Coordinator/Credentials</t>
  </si>
  <si>
    <t xml:space="preserve"> from Forecast to Budget</t>
  </si>
  <si>
    <t>#1</t>
  </si>
  <si>
    <t>NPR RECONCILIATION</t>
  </si>
  <si>
    <t>FY21 APPROVED BUDGET</t>
  </si>
  <si>
    <t>ORIGINAL FY22 BUDGET INCREASE %</t>
  </si>
  <si>
    <t>% INCREASE DIFFERENCE DUE TO PROPOSED ADJUSTMENTS</t>
  </si>
  <si>
    <t>Expenses</t>
  </si>
  <si>
    <t>GPR</t>
  </si>
  <si>
    <t>DEDUCTIONS</t>
  </si>
  <si>
    <t>OTHER OPERATING REVENUE</t>
  </si>
  <si>
    <t>TOTAL NPR &amp; OOR</t>
  </si>
  <si>
    <t>EXPENSES</t>
  </si>
  <si>
    <t>INITIAL SUBMISSION</t>
  </si>
  <si>
    <t>ADJUSTMENTS</t>
  </si>
  <si>
    <t>REVISED SUBMISSION</t>
  </si>
  <si>
    <t>CHANGE IN OPERATING INCOME</t>
  </si>
  <si>
    <t>OPERATING INCOME</t>
  </si>
  <si>
    <t xml:space="preserve"> NPR BY PAYOR ANALYSIS</t>
  </si>
  <si>
    <t xml:space="preserve">#2 </t>
  </si>
  <si>
    <t>UTILIZATION INCREASE</t>
  </si>
  <si>
    <t>#3</t>
  </si>
  <si>
    <t>Utilization amounts do not include any price increase for FY22</t>
  </si>
  <si>
    <t>Orthopedics</t>
  </si>
  <si>
    <t xml:space="preserve">Successful in significantly reducing total operating costs over the last 2 years (2019-2021 Projected) by 8% or $4.9m.
</t>
  </si>
  <si>
    <t>MAR-JUL AVE.</t>
  </si>
  <si>
    <t xml:space="preserve"> YoY NPR INCREASES BY MONTH</t>
  </si>
  <si>
    <t>#5</t>
  </si>
  <si>
    <t>Selected Months for Comparison</t>
  </si>
  <si>
    <t>GROSS PATIENT SERVICE REVENUE (GPSR)</t>
  </si>
  <si>
    <t>TOTAL NPR</t>
  </si>
  <si>
    <t>TOTAL NPR:</t>
  </si>
  <si>
    <t>G</t>
  </si>
  <si>
    <t>FY22 BUDGET NPR WITH RATE INCREASE</t>
  </si>
  <si>
    <t>ADJUSTED FY22 BUDGET NPR WITH RATE INCREASE</t>
  </si>
  <si>
    <t>FY22 BUDGET NPR BEFORE RATE INCREASE</t>
  </si>
  <si>
    <t>DIFFERENCE</t>
  </si>
  <si>
    <t>NPR BY PAYOR ANALYSIS</t>
  </si>
  <si>
    <t>#6</t>
  </si>
  <si>
    <t>#7</t>
  </si>
  <si>
    <t>BAD DEBT / FREE CARE</t>
  </si>
  <si>
    <t>The $4.9M two year decrease includes approximately $700K in unbudgeted COVID related costs for supplies and a $1.2m increase in unbudgeted expense for travelers and locums (thru July YTD).</t>
  </si>
  <si>
    <t xml:space="preserve">The FY22 Budget includes an additional $354k in Bad Debt reserves due to price increase. </t>
  </si>
  <si>
    <t xml:space="preserve"> Included in  Tab #3 </t>
  </si>
  <si>
    <t>SPH &amp; FQHC - Master Services Agreement</t>
  </si>
  <si>
    <t>Insurance Managed Care Credentials</t>
  </si>
  <si>
    <t>Accounting &amp; Finance</t>
  </si>
  <si>
    <t>Engineering</t>
  </si>
  <si>
    <t>Health Information Management/Coding</t>
  </si>
  <si>
    <t>Materials Management/Central Supply</t>
  </si>
  <si>
    <t>Clinical Applications</t>
  </si>
  <si>
    <t>#10</t>
  </si>
  <si>
    <t>Gross Patient Service Revenue</t>
  </si>
  <si>
    <t xml:space="preserve">FY22 Budget </t>
  </si>
  <si>
    <t xml:space="preserve">During the Pandemic Health Emergency, Vermont assisted in providing a grant to operate the unit for Vermont Covid residents, regardless of insurance. The State's effort was to keep the unit open during Covid and to provide SPH with funds to keep it open. The grant was intended to assist SPH in covering its costs. </t>
  </si>
  <si>
    <t>With Increase</t>
  </si>
  <si>
    <t>No increase</t>
  </si>
  <si>
    <t>Percent increase</t>
  </si>
  <si>
    <t>FY22 Budget anticipates full operation of the  I/P Psych Unit.</t>
  </si>
  <si>
    <t>EXECUTIVE SUMMARY</t>
  </si>
  <si>
    <t>Identifies component changes from FY21 Forecast to FY22 Budget identifying utilization and price impacts</t>
  </si>
  <si>
    <t>PRICE INCREASE CHANGE</t>
  </si>
  <si>
    <t>Col.5 / Col.1</t>
  </si>
  <si>
    <t>FY22 VOLUME INCREASE</t>
  </si>
  <si>
    <t>PRICE             INCREASE</t>
  </si>
  <si>
    <t xml:space="preserve"> TOTAL             % CHANGE</t>
  </si>
  <si>
    <t>Overall, GPR is expected to increase 19% and NPR 21%.</t>
  </si>
  <si>
    <t xml:space="preserve">11% price increase expected to increase GPR by $11.8m and NPR by $6.1m. </t>
  </si>
  <si>
    <t>Ties to submitted data (see Tab 2 NPR by Payor)</t>
  </si>
  <si>
    <t>(Revisions in red font)</t>
  </si>
  <si>
    <t>Corrected error in initial submission by removing DSH</t>
  </si>
  <si>
    <t>Eliminated Medicaid price increase except for ACO estimated settlement.</t>
  </si>
  <si>
    <t>Proposed adjustments total ($1,804,000), reducing requested NPR to $52,767,000</t>
  </si>
  <si>
    <t>SPH is a constantly improving yet lean organization. With that said, Springfield Hospital will continue with detailed and disciplined process to constantly re-evaluate all costs and to make adjustments as opportunities are identified.</t>
  </si>
  <si>
    <t xml:space="preserve">Our analysis and action will take into consideration cost reductions that have a direct impact on our reimbursement from Medicare. As a Critical Access Hospital reduction in Medicare allowable costs also reduces reimbursement. </t>
  </si>
  <si>
    <t>March through July SPH has experienced a significant increase in GPR and NPR indicating volume growth YoY.</t>
  </si>
  <si>
    <r>
      <t>Includes proposed adjustments to NPR (</t>
    </r>
    <r>
      <rPr>
        <i/>
        <sz val="11"/>
        <color theme="1"/>
        <rFont val="Arial"/>
        <family val="2"/>
      </rPr>
      <t>red font</t>
    </r>
    <r>
      <rPr>
        <sz val="11"/>
        <color theme="1"/>
        <rFont val="Arial"/>
        <family val="2"/>
      </rPr>
      <t>) to remove DSH, limit Medicaid increase to estimated shared savings, and limit Medicare to cost increase share.</t>
    </r>
  </si>
  <si>
    <t>Ties to tab 2 NPR by Payor</t>
  </si>
  <si>
    <t>Exhibit provides GPR increases in utilization and price changes by payor</t>
  </si>
  <si>
    <t>FY21 ANNUALIZED   FORECAST</t>
  </si>
  <si>
    <t>Reduced the Medicare price increase, limiting increase to the 2.7% expense increase YoY</t>
  </si>
  <si>
    <t>Budget built on across the board price increases. Actual charge increases may be apportioned differently.</t>
  </si>
  <si>
    <t>Proposed adjustments reduce requested NPR increase from 7.8% to 4.3%, a difference of 3.5%. This does not impact the 11% price increase request.</t>
  </si>
  <si>
    <t>Proposed changes reduce Operating Income from $1.9m to $117K, also reducing cash flow by $1.8m (resulting in negative cash flow). Hospital has continuously been reducing expenses over the past two years and will continue to work towards improving sustainability.</t>
  </si>
  <si>
    <t>Increased utilization is projected to add a 7.52% increase in GPR for FY22</t>
  </si>
  <si>
    <t>Aligns GPR for services and the corresponding increase in utilization for FY22</t>
  </si>
  <si>
    <t xml:space="preserve">Utilization expected to increase GPR by $7.5m (see Tab 3) and NPR by $3.2m. </t>
  </si>
  <si>
    <t xml:space="preserve">In FY22, SPH intends to maintain the controlled reduction of $4.9m in expenses and accelerate our cost control efforts with continued operational improvements targeted at $1.8m. Like many hospitals, our largest and ongoing opportunity for cost control exists in staffing productivity. </t>
  </si>
  <si>
    <t>FY21 NPR Projected</t>
  </si>
  <si>
    <t>10% Increase</t>
  </si>
  <si>
    <t>FY21 Adjusted NPR</t>
  </si>
  <si>
    <t xml:space="preserve">In contrast, Springfield Hospital is Budgeting to increase total operating costs by $1.4m which includes $470k associated with investments in staff salaries through cost of living adjustments and reinstated retirement matches.  With this revised budget, Springfield will now need to identify funding to make $1.4m in critically necessary capital and physical plant investments. </t>
  </si>
  <si>
    <t xml:space="preserve">Hospital GPR began to increase in March 21 in part related to Covid volume decline and increase to inpatient psych bed utilization. </t>
  </si>
  <si>
    <t>FY21 annualized revenue amounts are on target. SPH may exceed the projections if August and September reach the yearly monthly average as identified in column Q.</t>
  </si>
  <si>
    <t>Recovered $93k more in bad debts in FY21 compared to FY20.</t>
  </si>
  <si>
    <t>SPH bad debt and free care reserve percentages are at appropriate levels as validated by annual audits.</t>
  </si>
  <si>
    <t>Per VHC, because of Covid, Medicaid continued to insure its beneficiaries in 2020 and 2021. For this reason, patients insured did not lose coverage.</t>
  </si>
  <si>
    <t>SPH works with Valley Health Connections (VHC) assisting families with obtaining health insurance. From 10/1/19 to 9/30/20, VHC assisted 1,262 households. From 10/1/20 to 9/1/21, VHC assisted 1,235 households. The process is consistent and it is helping families obtain health insurance. With increased insurance coverage in our primary serve area, indigent care has been reduced. With VHC and PBS, we continue to work within our community to assist families with health care insurance and charity care.</t>
  </si>
  <si>
    <t>IP Psych - Increase included in Tab #3</t>
  </si>
  <si>
    <t xml:space="preserve">Adult Day was closed through June 21 and projected to be fully operational for FY22
</t>
  </si>
  <si>
    <t xml:space="preserve">Adult Day revenue is included in Other Operating Revenue (not NPR) with revenue projected to increase from $380k in FY21 to $1,200,000 in FY22
</t>
  </si>
  <si>
    <t>Information Technology</t>
  </si>
  <si>
    <t>Staffing Provided to Springfield Hospital from SMCS ($200,000 Expense)</t>
  </si>
  <si>
    <t>Staffing Provided to SMCS from Springfield Hospital ($840,000 Expense Offset)</t>
  </si>
  <si>
    <t>Margin Before Grant Income</t>
  </si>
  <si>
    <t>Covid Grant Income</t>
  </si>
  <si>
    <t>Margin After Grant Income</t>
  </si>
  <si>
    <t>Expenses do not include hospital overhead</t>
  </si>
  <si>
    <t>SPH will have higher utilizations and a higher margin operating as a full-service unit vs. a Covid unit based on FY21.</t>
  </si>
  <si>
    <t>VOLUME</t>
  </si>
  <si>
    <t>PRICE</t>
  </si>
  <si>
    <t>FY21 PROJECTED</t>
  </si>
  <si>
    <t>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</si>
</sst>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0.0%"/>
    <numFmt numFmtId="165" formatCode="0.0"/>
    <numFmt numFmtId="166" formatCode="&quot;$&quot;#,###,##0;\(&quot;$&quot;#,###,##0\)"/>
    <numFmt numFmtId="167" formatCode="_(* #,##0_);_(* \(#,##0\);_(* &quot;-&quot;??_);_(@_)"/>
    <numFmt numFmtId="168" formatCode="0.0000000%"/>
    <numFmt numFmtId="169" formatCode="_(* #,##0.000_);_(* \(#,##0.000\);_(* &quot;-&quot;??_);_(@_)"/>
    <numFmt numFmtId="170" formatCode="_(&quot;$&quot;* #,##0_);_(&quot;$&quot;* \(#,##0\);_(&quot;$&quot;* &quot;-&quot;??_);_(@_)"/>
    <numFmt numFmtId="171" formatCode="_(&quot;$&quot;* #,##0.0000_);_(&quot;$&quot;* \(#,##0.0000\);_(&quot;$&quot;* &quot;-&quot;??_);_(@_)"/>
    <numFmt numFmtId="172" formatCode="_(* #,##0.0_);_(* \(#,##0.0\);_(* &quot;-&quot;??_);_(@_)"/>
    <numFmt numFmtId="173" formatCode="&quot;$&quot;#,##0"/>
    <numFmt numFmtId="174" formatCode="&quot;$&quot;#,##0.00"/>
  </numFmts>
  <fonts count="55" x14ac:knownFonts="1">
    <font>
      <sz val="11"/>
      <color theme="1"/>
      <name val="Calibri"/>
      <family val="2"/>
      <scheme val="minor"/>
    </font>
    <font>
      <b/>
      <sz val="11"/>
      <color theme="1"/>
      <name val="Calibri"/>
      <family val="2"/>
      <scheme val="minor"/>
    </font>
    <font>
      <b/>
      <sz val="11"/>
      <color theme="9"/>
      <name val="Calibri"/>
      <family val="2"/>
      <scheme val="minor"/>
    </font>
    <font>
      <b/>
      <sz val="11"/>
      <color rgb="FFFF0000"/>
      <name val="Calibri"/>
      <family val="2"/>
      <scheme val="minor"/>
    </font>
    <font>
      <b/>
      <sz val="11"/>
      <color theme="7"/>
      <name val="Calibri"/>
      <family val="2"/>
      <scheme val="minor"/>
    </font>
    <font>
      <sz val="11"/>
      <color theme="1"/>
      <name val="Calibri"/>
      <family val="2"/>
      <scheme val="minor"/>
    </font>
    <font>
      <sz val="10"/>
      <color indexed="8"/>
      <name val="Century Gothic"/>
      <family val="2"/>
    </font>
    <font>
      <b/>
      <sz val="10"/>
      <name val="Century Gothic"/>
      <family val="2"/>
    </font>
    <font>
      <b/>
      <sz val="10"/>
      <color theme="1"/>
      <name val="Century Gothic"/>
      <family val="2"/>
    </font>
    <font>
      <sz val="10"/>
      <color theme="1"/>
      <name val="Century Gothic"/>
      <family val="2"/>
    </font>
    <font>
      <sz val="10"/>
      <color rgb="FFFF0000"/>
      <name val="Century Gothic"/>
      <family val="2"/>
    </font>
    <font>
      <sz val="11"/>
      <color theme="1"/>
      <name val="Arial"/>
      <family val="2"/>
    </font>
    <font>
      <b/>
      <sz val="10"/>
      <color indexed="8"/>
      <name val="Arial"/>
      <family val="2"/>
    </font>
    <font>
      <b/>
      <sz val="11"/>
      <color theme="1"/>
      <name val="Arial"/>
      <family val="2"/>
    </font>
    <font>
      <b/>
      <sz val="11"/>
      <color rgb="FFFF0000"/>
      <name val="Arial"/>
      <family val="2"/>
    </font>
    <font>
      <sz val="10"/>
      <color indexed="8"/>
      <name val="Arial"/>
      <family val="2"/>
    </font>
    <font>
      <sz val="11"/>
      <color rgb="FFFF0000"/>
      <name val="Arial"/>
      <family val="2"/>
    </font>
    <font>
      <b/>
      <sz val="11"/>
      <color indexed="8"/>
      <name val="Arial"/>
      <family val="2"/>
    </font>
    <font>
      <sz val="11"/>
      <color indexed="8"/>
      <name val="Arial"/>
      <family val="2"/>
    </font>
    <font>
      <b/>
      <sz val="14"/>
      <color theme="1"/>
      <name val="Calibri"/>
      <family val="2"/>
      <scheme val="minor"/>
    </font>
    <font>
      <b/>
      <sz val="10"/>
      <color theme="1"/>
      <name val="Arial"/>
      <family val="2"/>
    </font>
    <font>
      <b/>
      <sz val="11"/>
      <name val="Arial"/>
      <family val="2"/>
    </font>
    <font>
      <b/>
      <sz val="12"/>
      <color theme="1"/>
      <name val="Calibri"/>
      <family val="2"/>
    </font>
    <font>
      <b/>
      <sz val="11"/>
      <color theme="0"/>
      <name val="Calibri"/>
      <family val="2"/>
      <scheme val="minor"/>
    </font>
    <font>
      <sz val="11"/>
      <color rgb="FFFF0000"/>
      <name val="Calibri"/>
      <family val="2"/>
      <scheme val="minor"/>
    </font>
    <font>
      <b/>
      <sz val="12"/>
      <color theme="1"/>
      <name val="Calibri"/>
      <family val="2"/>
      <scheme val="minor"/>
    </font>
    <font>
      <b/>
      <sz val="10"/>
      <color indexed="8"/>
      <name val="Century Gothic"/>
      <family val="2"/>
    </font>
    <font>
      <sz val="10"/>
      <name val="Century Gothic"/>
      <family val="2"/>
    </font>
    <font>
      <sz val="12"/>
      <color theme="1"/>
      <name val="Calibri"/>
      <family val="2"/>
      <scheme val="minor"/>
    </font>
    <font>
      <b/>
      <sz val="11"/>
      <name val="Calibri"/>
      <family val="2"/>
      <scheme val="minor"/>
    </font>
    <font>
      <sz val="11"/>
      <name val="Arial"/>
      <family val="2"/>
    </font>
    <font>
      <sz val="12"/>
      <color theme="1"/>
      <name val="Calibri"/>
      <family val="2"/>
    </font>
    <font>
      <sz val="11"/>
      <color theme="1"/>
      <name val="Calibri"/>
      <family val="2"/>
    </font>
    <font>
      <b/>
      <sz val="9"/>
      <color indexed="81"/>
      <name val="Tahoma"/>
      <family val="2"/>
    </font>
    <font>
      <sz val="9"/>
      <color indexed="81"/>
      <name val="Tahoma"/>
      <family val="2"/>
    </font>
    <font>
      <b/>
      <sz val="14"/>
      <color theme="1"/>
      <name val="Calibri"/>
      <family val="2"/>
    </font>
    <font>
      <sz val="12"/>
      <color theme="1"/>
      <name val="Arial"/>
      <family val="2"/>
    </font>
    <font>
      <b/>
      <sz val="14"/>
      <color theme="1"/>
      <name val="Arial"/>
      <family val="2"/>
    </font>
    <font>
      <b/>
      <sz val="8"/>
      <name val="Arial"/>
      <family val="2"/>
    </font>
    <font>
      <b/>
      <sz val="12"/>
      <color theme="1"/>
      <name val="Arial"/>
      <family val="2"/>
    </font>
    <font>
      <sz val="13.5"/>
      <color theme="1"/>
      <name val="Verdana"/>
      <family val="2"/>
    </font>
    <font>
      <b/>
      <sz val="13.5"/>
      <color theme="1"/>
      <name val="Verdana"/>
      <family val="2"/>
    </font>
    <font>
      <sz val="10"/>
      <color theme="1"/>
      <name val="Verdana"/>
      <family val="2"/>
    </font>
    <font>
      <sz val="14"/>
      <color theme="1"/>
      <name val="Arial"/>
      <family val="2"/>
    </font>
    <font>
      <i/>
      <sz val="11"/>
      <color theme="1"/>
      <name val="Arial"/>
      <family val="2"/>
    </font>
    <font>
      <b/>
      <sz val="14"/>
      <color theme="4" tint="-0.249977111117893"/>
      <name val="Arial"/>
      <family val="2"/>
    </font>
    <font>
      <sz val="11"/>
      <color theme="4" tint="-0.249977111117893"/>
      <name val="Arial"/>
      <family val="2"/>
    </font>
    <font>
      <b/>
      <sz val="16"/>
      <color theme="1"/>
      <name val="Arial"/>
      <family val="2"/>
    </font>
    <font>
      <b/>
      <sz val="11"/>
      <color theme="4" tint="-0.249977111117893"/>
      <name val="Arial"/>
      <family val="2"/>
    </font>
    <font>
      <b/>
      <sz val="12"/>
      <name val="Arial"/>
      <family val="2"/>
    </font>
    <font>
      <b/>
      <sz val="12"/>
      <color rgb="FFFF0000"/>
      <name val="Arial"/>
      <family val="2"/>
    </font>
    <font>
      <b/>
      <sz val="11"/>
      <color rgb="FF000000"/>
      <name val="Arial"/>
      <family val="2"/>
    </font>
    <font>
      <sz val="11"/>
      <color rgb="FF000000"/>
      <name val="Arial"/>
      <family val="2"/>
    </font>
    <font>
      <i/>
      <sz val="11"/>
      <color rgb="FFFF0000"/>
      <name val="Arial"/>
      <family val="2"/>
    </font>
    <font>
      <b/>
      <sz val="10"/>
      <color rgb="FFFF0000"/>
      <name val="Arial"/>
      <family val="2"/>
    </font>
  </fonts>
  <fills count="2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lightUp"/>
    </fill>
    <fill>
      <patternFill patternType="solid">
        <fgColor theme="0" tint="-0.249977111117893"/>
        <bgColor indexed="64"/>
      </patternFill>
    </fill>
    <fill>
      <patternFill patternType="solid">
        <fgColor theme="0" tint="-4.9989318521683403E-2"/>
        <bgColor indexed="64"/>
      </patternFill>
    </fill>
    <fill>
      <patternFill patternType="solid">
        <fgColor rgb="FFFC96E9"/>
        <bgColor indexed="64"/>
      </patternFill>
    </fill>
    <fill>
      <patternFill patternType="solid">
        <fgColor rgb="FFFF0000"/>
        <bgColor indexed="64"/>
      </patternFill>
    </fill>
    <fill>
      <patternFill patternType="solid">
        <fgColor rgb="FFFFFF99"/>
        <bgColor indexed="64"/>
      </patternFill>
    </fill>
    <fill>
      <patternFill patternType="solid">
        <fgColor theme="1"/>
        <bgColor indexed="64"/>
      </patternFill>
    </fill>
    <fill>
      <patternFill patternType="solid">
        <fgColor rgb="FF92D05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4"/>
        <bgColor indexed="64"/>
      </patternFill>
    </fill>
    <fill>
      <patternFill patternType="solid">
        <fgColor theme="2"/>
        <bgColor indexed="64"/>
      </patternFill>
    </fill>
  </fills>
  <borders count="68">
    <border>
      <left/>
      <right/>
      <top/>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medium">
        <color auto="1"/>
      </left>
      <right style="thin">
        <color auto="1"/>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double">
        <color auto="1"/>
      </right>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bottom/>
      <diagonal/>
    </border>
    <border>
      <left/>
      <right/>
      <top style="thin">
        <color indexed="64"/>
      </top>
      <bottom style="medium">
        <color auto="1"/>
      </bottom>
      <diagonal/>
    </border>
    <border>
      <left style="medium">
        <color indexed="64"/>
      </left>
      <right/>
      <top style="medium">
        <color indexed="64"/>
      </top>
      <bottom style="medium">
        <color indexed="64"/>
      </bottom>
      <diagonal/>
    </border>
    <border>
      <left/>
      <right style="medium">
        <color auto="1"/>
      </right>
      <top style="thin">
        <color auto="1"/>
      </top>
      <bottom/>
      <diagonal/>
    </border>
    <border>
      <left/>
      <right style="thin">
        <color auto="1"/>
      </right>
      <top/>
      <bottom style="medium">
        <color auto="1"/>
      </bottom>
      <diagonal/>
    </border>
    <border>
      <left/>
      <right style="thin">
        <color auto="1"/>
      </right>
      <top style="medium">
        <color auto="1"/>
      </top>
      <bottom/>
      <diagonal/>
    </border>
    <border>
      <left/>
      <right style="thin">
        <color auto="1"/>
      </right>
      <top/>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32" fillId="0" borderId="0"/>
  </cellStyleXfs>
  <cellXfs count="588">
    <xf numFmtId="0" fontId="0" fillId="0" borderId="0" xfId="0"/>
    <xf numFmtId="0" fontId="1" fillId="0" borderId="0" xfId="0" applyFont="1" applyAlignment="1">
      <alignment horizontal="center"/>
    </xf>
    <xf numFmtId="0" fontId="1" fillId="0" borderId="0" xfId="0" applyFont="1" applyFill="1"/>
    <xf numFmtId="0" fontId="0" fillId="0" borderId="0" xfId="0" applyFill="1" applyAlignment="1">
      <alignment horizontal="center"/>
    </xf>
    <xf numFmtId="164" fontId="0" fillId="0" borderId="0" xfId="1" applyNumberFormat="1" applyFont="1"/>
    <xf numFmtId="0" fontId="0" fillId="3" borderId="0" xfId="0" applyFill="1"/>
    <xf numFmtId="167" fontId="0" fillId="0" borderId="0" xfId="2" applyNumberFormat="1" applyFont="1"/>
    <xf numFmtId="0" fontId="1" fillId="0" borderId="0" xfId="0" applyFont="1"/>
    <xf numFmtId="167" fontId="0" fillId="0" borderId="0" xfId="0" applyNumberFormat="1"/>
    <xf numFmtId="0" fontId="9" fillId="5" borderId="0" xfId="0" applyFont="1" applyFill="1"/>
    <xf numFmtId="167" fontId="9" fillId="6" borderId="0" xfId="2" applyNumberFormat="1" applyFont="1" applyFill="1"/>
    <xf numFmtId="167" fontId="9" fillId="2" borderId="0" xfId="2" applyNumberFormat="1" applyFont="1" applyFill="1"/>
    <xf numFmtId="0" fontId="9" fillId="0" borderId="0" xfId="0" applyFont="1"/>
    <xf numFmtId="167" fontId="9" fillId="2" borderId="0" xfId="2" applyNumberFormat="1" applyFont="1" applyFill="1" applyBorder="1"/>
    <xf numFmtId="0" fontId="8" fillId="0" borderId="0" xfId="0" applyFont="1" applyFill="1" applyBorder="1" applyAlignment="1">
      <alignment vertical="center"/>
    </xf>
    <xf numFmtId="2" fontId="8" fillId="0" borderId="0" xfId="0" applyNumberFormat="1" applyFont="1" applyFill="1" applyBorder="1" applyAlignment="1">
      <alignment vertical="center"/>
    </xf>
    <xf numFmtId="167" fontId="8" fillId="0" borderId="0" xfId="2" applyNumberFormat="1" applyFont="1" applyFill="1" applyBorder="1" applyAlignment="1">
      <alignment horizontal="center" vertical="center" wrapText="1"/>
    </xf>
    <xf numFmtId="0" fontId="9" fillId="0" borderId="0" xfId="0" applyFont="1" applyFill="1" applyBorder="1"/>
    <xf numFmtId="167" fontId="9" fillId="0" borderId="0" xfId="2" applyNumberFormat="1" applyFont="1" applyFill="1" applyBorder="1"/>
    <xf numFmtId="2" fontId="9" fillId="0" borderId="0" xfId="0" applyNumberFormat="1" applyFont="1" applyFill="1" applyBorder="1"/>
    <xf numFmtId="0" fontId="0" fillId="0" borderId="0" xfId="0" applyFill="1" applyBorder="1"/>
    <xf numFmtId="0" fontId="9" fillId="0" borderId="0" xfId="0" applyFont="1" applyFill="1" applyBorder="1" applyAlignment="1">
      <alignment horizontal="left"/>
    </xf>
    <xf numFmtId="0" fontId="8" fillId="0" borderId="0" xfId="0" applyFont="1" applyFill="1" applyBorder="1" applyAlignment="1">
      <alignment horizontal="left" vertical="center"/>
    </xf>
    <xf numFmtId="2" fontId="9" fillId="0" borderId="0" xfId="0" applyNumberFormat="1" applyFont="1" applyFill="1" applyBorder="1" applyAlignment="1">
      <alignment horizontal="left"/>
    </xf>
    <xf numFmtId="0" fontId="9" fillId="0" borderId="0" xfId="0" applyNumberFormat="1" applyFont="1" applyFill="1" applyBorder="1"/>
    <xf numFmtId="0" fontId="0" fillId="0" borderId="0" xfId="0" quotePrefix="1"/>
    <xf numFmtId="167" fontId="9" fillId="0" borderId="0" xfId="2" applyNumberFormat="1" applyFont="1"/>
    <xf numFmtId="0" fontId="10" fillId="2" borderId="0" xfId="0" applyFont="1" applyFill="1" applyBorder="1"/>
    <xf numFmtId="167" fontId="9" fillId="0" borderId="0" xfId="2" applyNumberFormat="1" applyFont="1" applyFill="1" applyBorder="1" applyAlignment="1">
      <alignment horizontal="center" vertical="center" wrapText="1"/>
    </xf>
    <xf numFmtId="0" fontId="9" fillId="2" borderId="0" xfId="0" applyFont="1" applyFill="1" applyBorder="1" applyAlignment="1">
      <alignment horizontal="left"/>
    </xf>
    <xf numFmtId="0" fontId="0" fillId="0" borderId="2" xfId="0" applyBorder="1"/>
    <xf numFmtId="0" fontId="11" fillId="0" borderId="6" xfId="0" applyFont="1" applyBorder="1"/>
    <xf numFmtId="0" fontId="11" fillId="0" borderId="2" xfId="0" applyFont="1" applyBorder="1"/>
    <xf numFmtId="167" fontId="13" fillId="0" borderId="2" xfId="2" applyNumberFormat="1" applyFont="1" applyBorder="1"/>
    <xf numFmtId="167" fontId="13" fillId="0" borderId="2" xfId="1" applyNumberFormat="1" applyFont="1" applyBorder="1"/>
    <xf numFmtId="0" fontId="13" fillId="0" borderId="2" xfId="0" applyFont="1" applyBorder="1"/>
    <xf numFmtId="10" fontId="13" fillId="0" borderId="7" xfId="1" applyNumberFormat="1" applyFont="1" applyBorder="1"/>
    <xf numFmtId="167" fontId="13" fillId="0" borderId="2" xfId="0" applyNumberFormat="1" applyFont="1" applyBorder="1"/>
    <xf numFmtId="10" fontId="13" fillId="0" borderId="2" xfId="1" applyNumberFormat="1" applyFont="1" applyBorder="1"/>
    <xf numFmtId="10" fontId="11" fillId="0" borderId="2" xfId="1" applyNumberFormat="1" applyFont="1" applyBorder="1"/>
    <xf numFmtId="10" fontId="11" fillId="0" borderId="7" xfId="1" applyNumberFormat="1" applyFont="1" applyBorder="1"/>
    <xf numFmtId="167" fontId="15" fillId="0" borderId="2" xfId="2" applyNumberFormat="1" applyFont="1" applyFill="1" applyBorder="1"/>
    <xf numFmtId="0" fontId="11" fillId="0" borderId="7" xfId="0" applyFont="1" applyBorder="1"/>
    <xf numFmtId="0" fontId="13" fillId="0" borderId="6" xfId="0" applyFont="1" applyBorder="1"/>
    <xf numFmtId="10" fontId="13" fillId="7" borderId="2" xfId="1" applyNumberFormat="1" applyFont="1" applyFill="1" applyBorder="1"/>
    <xf numFmtId="0" fontId="13" fillId="7" borderId="2" xfId="0" applyFont="1" applyFill="1" applyBorder="1"/>
    <xf numFmtId="0" fontId="11" fillId="2" borderId="2" xfId="0" applyFont="1" applyFill="1" applyBorder="1"/>
    <xf numFmtId="0" fontId="11" fillId="0" borderId="9" xfId="0" applyFont="1" applyBorder="1"/>
    <xf numFmtId="0" fontId="11" fillId="0" borderId="10" xfId="0" applyFont="1" applyBorder="1"/>
    <xf numFmtId="0" fontId="17" fillId="0" borderId="2" xfId="0" applyFont="1" applyBorder="1" applyAlignment="1">
      <alignment horizontal="left"/>
    </xf>
    <xf numFmtId="167" fontId="17" fillId="0" borderId="2" xfId="2" applyNumberFormat="1" applyFont="1" applyFill="1" applyBorder="1"/>
    <xf numFmtId="0" fontId="18" fillId="0" borderId="2" xfId="0" applyFont="1" applyBorder="1" applyAlignment="1">
      <alignment horizontal="left"/>
    </xf>
    <xf numFmtId="167" fontId="13" fillId="0" borderId="2" xfId="0" applyNumberFormat="1" applyFont="1" applyFill="1" applyBorder="1"/>
    <xf numFmtId="9" fontId="17" fillId="0" borderId="2" xfId="1" applyFont="1" applyFill="1" applyBorder="1"/>
    <xf numFmtId="10" fontId="17" fillId="0" borderId="2" xfId="1" applyNumberFormat="1" applyFont="1" applyFill="1" applyBorder="1"/>
    <xf numFmtId="0" fontId="19" fillId="0" borderId="0" xfId="0" applyFont="1" applyAlignment="1">
      <alignment horizontal="center"/>
    </xf>
    <xf numFmtId="167" fontId="13" fillId="0" borderId="2" xfId="2" applyNumberFormat="1" applyFont="1" applyFill="1" applyBorder="1"/>
    <xf numFmtId="10" fontId="13" fillId="0" borderId="2" xfId="0" applyNumberFormat="1" applyFont="1" applyFill="1" applyBorder="1"/>
    <xf numFmtId="10" fontId="13" fillId="0" borderId="2" xfId="1" applyNumberFormat="1" applyFont="1" applyFill="1" applyBorder="1"/>
    <xf numFmtId="0" fontId="11" fillId="4" borderId="11" xfId="0" applyFont="1" applyFill="1" applyBorder="1"/>
    <xf numFmtId="0" fontId="11" fillId="4" borderId="12" xfId="0" applyFont="1" applyFill="1" applyBorder="1"/>
    <xf numFmtId="0" fontId="13" fillId="4" borderId="12" xfId="0" applyFont="1" applyFill="1" applyBorder="1" applyAlignment="1">
      <alignment horizontal="center"/>
    </xf>
    <xf numFmtId="0" fontId="13" fillId="4" borderId="13" xfId="0" applyFont="1" applyFill="1" applyBorder="1" applyAlignment="1">
      <alignment horizontal="center"/>
    </xf>
    <xf numFmtId="0" fontId="11" fillId="4" borderId="14" xfId="0" applyFont="1" applyFill="1" applyBorder="1"/>
    <xf numFmtId="0" fontId="11" fillId="4" borderId="15" xfId="0" applyFont="1" applyFill="1" applyBorder="1"/>
    <xf numFmtId="166" fontId="12" fillId="4" borderId="15" xfId="0" applyNumberFormat="1" applyFont="1" applyFill="1" applyBorder="1" applyAlignment="1">
      <alignment horizontal="center" wrapText="1"/>
    </xf>
    <xf numFmtId="166" fontId="12" fillId="4" borderId="16" xfId="0" applyNumberFormat="1" applyFont="1" applyFill="1" applyBorder="1" applyAlignment="1">
      <alignment horizontal="center" wrapText="1"/>
    </xf>
    <xf numFmtId="0" fontId="11" fillId="4" borderId="17" xfId="0" applyFont="1" applyFill="1" applyBorder="1"/>
    <xf numFmtId="0" fontId="12" fillId="4" borderId="18" xfId="0" applyFont="1" applyFill="1" applyBorder="1"/>
    <xf numFmtId="0" fontId="11" fillId="4" borderId="18" xfId="0" applyFont="1" applyFill="1" applyBorder="1"/>
    <xf numFmtId="0" fontId="13" fillId="4" borderId="18" xfId="0" applyFont="1" applyFill="1" applyBorder="1"/>
    <xf numFmtId="166" fontId="12" fillId="4" borderId="18" xfId="0" applyNumberFormat="1" applyFont="1" applyFill="1" applyBorder="1" applyAlignment="1">
      <alignment horizontal="center" wrapText="1"/>
    </xf>
    <xf numFmtId="166" fontId="12" fillId="4" borderId="19" xfId="0" applyNumberFormat="1" applyFont="1" applyFill="1" applyBorder="1" applyAlignment="1">
      <alignment horizontal="center" wrapText="1"/>
    </xf>
    <xf numFmtId="0" fontId="20" fillId="4" borderId="18" xfId="0" applyFont="1" applyFill="1" applyBorder="1" applyAlignment="1">
      <alignment horizontal="center"/>
    </xf>
    <xf numFmtId="0" fontId="13" fillId="0" borderId="6" xfId="0" applyFont="1" applyBorder="1" applyAlignment="1">
      <alignment horizontal="center"/>
    </xf>
    <xf numFmtId="0" fontId="13" fillId="0" borderId="8" xfId="0" applyFont="1" applyBorder="1" applyAlignment="1">
      <alignment horizontal="center"/>
    </xf>
    <xf numFmtId="0" fontId="13" fillId="0" borderId="2" xfId="0" applyFont="1" applyFill="1" applyBorder="1"/>
    <xf numFmtId="9" fontId="17" fillId="0" borderId="7" xfId="1" applyFont="1" applyFill="1" applyBorder="1"/>
    <xf numFmtId="0" fontId="11" fillId="0" borderId="3" xfId="0" applyFont="1" applyBorder="1"/>
    <xf numFmtId="0" fontId="15" fillId="0" borderId="4" xfId="0" applyFont="1" applyBorder="1" applyAlignment="1">
      <alignment horizontal="left"/>
    </xf>
    <xf numFmtId="0" fontId="11" fillId="0" borderId="4" xfId="0" applyFont="1" applyBorder="1"/>
    <xf numFmtId="167" fontId="15" fillId="0" borderId="4" xfId="2" applyNumberFormat="1" applyFont="1" applyFill="1" applyBorder="1"/>
    <xf numFmtId="10" fontId="11" fillId="0" borderId="4" xfId="1" applyNumberFormat="1" applyFont="1" applyBorder="1"/>
    <xf numFmtId="10" fontId="11" fillId="0" borderId="5" xfId="1" applyNumberFormat="1" applyFont="1" applyBorder="1"/>
    <xf numFmtId="167" fontId="21" fillId="0" borderId="2" xfId="2" applyNumberFormat="1" applyFont="1" applyFill="1" applyBorder="1"/>
    <xf numFmtId="167" fontId="17" fillId="0" borderId="7" xfId="2" applyNumberFormat="1" applyFont="1" applyFill="1" applyBorder="1"/>
    <xf numFmtId="167" fontId="9" fillId="5" borderId="0" xfId="2" applyNumberFormat="1" applyFont="1" applyFill="1"/>
    <xf numFmtId="167" fontId="8" fillId="2" borderId="0" xfId="2" applyNumberFormat="1" applyFont="1" applyFill="1"/>
    <xf numFmtId="167" fontId="7" fillId="2" borderId="0" xfId="2" applyNumberFormat="1" applyFont="1" applyFill="1"/>
    <xf numFmtId="167" fontId="10" fillId="2" borderId="0" xfId="2" applyNumberFormat="1" applyFont="1" applyFill="1"/>
    <xf numFmtId="167" fontId="22" fillId="0" borderId="0" xfId="0" applyNumberFormat="1" applyFont="1"/>
    <xf numFmtId="0" fontId="13" fillId="8" borderId="2" xfId="0" applyFont="1" applyFill="1" applyBorder="1"/>
    <xf numFmtId="10" fontId="13" fillId="0" borderId="7" xfId="0" applyNumberFormat="1" applyFont="1" applyBorder="1"/>
    <xf numFmtId="167" fontId="13" fillId="0" borderId="7" xfId="2" applyNumberFormat="1" applyFont="1" applyBorder="1"/>
    <xf numFmtId="0" fontId="13" fillId="0" borderId="6" xfId="0" applyFont="1" applyBorder="1" applyAlignment="1">
      <alignment horizontal="left"/>
    </xf>
    <xf numFmtId="0" fontId="0" fillId="0" borderId="22" xfId="0" applyBorder="1"/>
    <xf numFmtId="0" fontId="9" fillId="0" borderId="0" xfId="0" applyFont="1" applyFill="1" applyBorder="1" applyAlignment="1">
      <alignment horizontal="left" vertical="center"/>
    </xf>
    <xf numFmtId="0" fontId="0" fillId="0" borderId="20" xfId="0" applyBorder="1"/>
    <xf numFmtId="0" fontId="17" fillId="0" borderId="2" xfId="0" applyFont="1" applyFill="1" applyBorder="1" applyAlignment="1">
      <alignment horizontal="left"/>
    </xf>
    <xf numFmtId="167" fontId="17" fillId="2" borderId="2" xfId="2" applyNumberFormat="1" applyFont="1" applyFill="1" applyBorder="1"/>
    <xf numFmtId="0" fontId="13" fillId="4" borderId="26" xfId="0" applyFont="1" applyFill="1" applyBorder="1" applyAlignment="1">
      <alignment horizontal="center"/>
    </xf>
    <xf numFmtId="166" fontId="12" fillId="4" borderId="27" xfId="0" applyNumberFormat="1" applyFont="1" applyFill="1" applyBorder="1" applyAlignment="1">
      <alignment horizontal="center" wrapText="1"/>
    </xf>
    <xf numFmtId="166" fontId="12" fillId="4" borderId="28" xfId="0" applyNumberFormat="1" applyFont="1" applyFill="1" applyBorder="1" applyAlignment="1">
      <alignment horizontal="center" wrapText="1"/>
    </xf>
    <xf numFmtId="10" fontId="11" fillId="0" borderId="29" xfId="1" applyNumberFormat="1" applyFont="1" applyBorder="1"/>
    <xf numFmtId="10" fontId="11" fillId="0" borderId="30" xfId="1" applyNumberFormat="1" applyFont="1" applyBorder="1"/>
    <xf numFmtId="167" fontId="13" fillId="0" borderId="30" xfId="0" applyNumberFormat="1" applyFont="1" applyFill="1" applyBorder="1"/>
    <xf numFmtId="167" fontId="21" fillId="0" borderId="30" xfId="2" applyNumberFormat="1" applyFont="1" applyFill="1" applyBorder="1"/>
    <xf numFmtId="0" fontId="13" fillId="0" borderId="30" xfId="0" applyFont="1" applyFill="1" applyBorder="1"/>
    <xf numFmtId="167" fontId="17" fillId="0" borderId="30" xfId="2" applyNumberFormat="1" applyFont="1" applyFill="1" applyBorder="1"/>
    <xf numFmtId="0" fontId="11" fillId="0" borderId="30" xfId="0" applyFont="1" applyBorder="1"/>
    <xf numFmtId="167" fontId="13" fillId="0" borderId="30" xfId="2" applyNumberFormat="1" applyFont="1" applyBorder="1"/>
    <xf numFmtId="9" fontId="17" fillId="0" borderId="30" xfId="1" applyFont="1" applyFill="1" applyBorder="1"/>
    <xf numFmtId="0" fontId="11" fillId="0" borderId="31" xfId="0" applyFont="1" applyBorder="1"/>
    <xf numFmtId="167" fontId="13" fillId="0" borderId="7" xfId="0" applyNumberFormat="1" applyFont="1" applyBorder="1"/>
    <xf numFmtId="0" fontId="11" fillId="0" borderId="0" xfId="0" applyFont="1" applyAlignment="1">
      <alignment horizontal="left" vertical="center" wrapText="1"/>
    </xf>
    <xf numFmtId="43" fontId="0" fillId="0" borderId="0" xfId="0" applyNumberFormat="1"/>
    <xf numFmtId="167" fontId="21" fillId="0" borderId="2" xfId="0" applyNumberFormat="1" applyFont="1" applyFill="1" applyBorder="1"/>
    <xf numFmtId="0" fontId="0" fillId="0" borderId="0" xfId="0" applyAlignment="1">
      <alignment wrapText="1"/>
    </xf>
    <xf numFmtId="0" fontId="25" fillId="0" borderId="0" xfId="0" applyFont="1"/>
    <xf numFmtId="166" fontId="26" fillId="4" borderId="0" xfId="0" applyNumberFormat="1" applyFont="1" applyFill="1" applyAlignment="1">
      <alignment horizontal="center" wrapText="1"/>
    </xf>
    <xf numFmtId="0" fontId="1" fillId="0" borderId="0" xfId="0" applyFont="1" applyAlignment="1">
      <alignment wrapText="1"/>
    </xf>
    <xf numFmtId="0" fontId="26" fillId="0" borderId="0" xfId="0" applyFont="1"/>
    <xf numFmtId="0" fontId="24" fillId="0" borderId="0" xfId="0" applyFont="1" applyAlignment="1">
      <alignment horizontal="center" wrapText="1"/>
    </xf>
    <xf numFmtId="0" fontId="6" fillId="0" borderId="0" xfId="0" applyFont="1"/>
    <xf numFmtId="0" fontId="6" fillId="0" borderId="0" xfId="0" applyFont="1" applyAlignment="1">
      <alignment horizontal="left"/>
    </xf>
    <xf numFmtId="170" fontId="6" fillId="0" borderId="0" xfId="3" applyNumberFormat="1" applyFont="1" applyFill="1"/>
    <xf numFmtId="170" fontId="6" fillId="9" borderId="0" xfId="3" applyNumberFormat="1" applyFont="1" applyFill="1"/>
    <xf numFmtId="164" fontId="6" fillId="9" borderId="0" xfId="1" applyNumberFormat="1" applyFont="1" applyFill="1"/>
    <xf numFmtId="167" fontId="0" fillId="2" borderId="0" xfId="2" applyNumberFormat="1" applyFont="1" applyFill="1"/>
    <xf numFmtId="167" fontId="6" fillId="0" borderId="0" xfId="0" applyNumberFormat="1" applyFont="1"/>
    <xf numFmtId="167" fontId="27" fillId="0" borderId="0" xfId="0" applyNumberFormat="1" applyFont="1"/>
    <xf numFmtId="0" fontId="27" fillId="0" borderId="0" xfId="0" applyFont="1" applyAlignment="1">
      <alignment horizontal="left"/>
    </xf>
    <xf numFmtId="0" fontId="26" fillId="0" borderId="0" xfId="0" applyFont="1" applyAlignment="1">
      <alignment horizontal="left"/>
    </xf>
    <xf numFmtId="167" fontId="26" fillId="0" borderId="32" xfId="2" applyNumberFormat="1" applyFont="1" applyFill="1" applyBorder="1"/>
    <xf numFmtId="167" fontId="26" fillId="9" borderId="32" xfId="2" applyNumberFormat="1" applyFont="1" applyFill="1" applyBorder="1"/>
    <xf numFmtId="164" fontId="26" fillId="9" borderId="32" xfId="1" applyNumberFormat="1" applyFont="1" applyFill="1" applyBorder="1"/>
    <xf numFmtId="167" fontId="6" fillId="0" borderId="0" xfId="2" applyNumberFormat="1" applyFont="1" applyFill="1" applyBorder="1"/>
    <xf numFmtId="167" fontId="6" fillId="9" borderId="0" xfId="2" applyNumberFormat="1" applyFont="1" applyFill="1" applyBorder="1"/>
    <xf numFmtId="164" fontId="6" fillId="9" borderId="0" xfId="1" applyNumberFormat="1" applyFont="1" applyFill="1" applyBorder="1"/>
    <xf numFmtId="170" fontId="6" fillId="2" borderId="0" xfId="3" applyNumberFormat="1" applyFont="1" applyFill="1"/>
    <xf numFmtId="0" fontId="0" fillId="10" borderId="0" xfId="0" applyFill="1" applyAlignment="1">
      <alignment wrapText="1"/>
    </xf>
    <xf numFmtId="167" fontId="6" fillId="0" borderId="33" xfId="2" applyNumberFormat="1" applyFont="1" applyFill="1" applyBorder="1"/>
    <xf numFmtId="167" fontId="6" fillId="9" borderId="33" xfId="2" applyNumberFormat="1" applyFont="1" applyFill="1" applyBorder="1"/>
    <xf numFmtId="164" fontId="6" fillId="9" borderId="33" xfId="1" applyNumberFormat="1" applyFont="1" applyFill="1" applyBorder="1"/>
    <xf numFmtId="167" fontId="26" fillId="0" borderId="33" xfId="2" applyNumberFormat="1" applyFont="1" applyFill="1" applyBorder="1"/>
    <xf numFmtId="167" fontId="26" fillId="11" borderId="33" xfId="2" applyNumberFormat="1" applyFont="1" applyFill="1" applyBorder="1"/>
    <xf numFmtId="167" fontId="26" fillId="9" borderId="33" xfId="2" applyNumberFormat="1" applyFont="1" applyFill="1" applyBorder="1"/>
    <xf numFmtId="164" fontId="26" fillId="9" borderId="33" xfId="1" applyNumberFormat="1" applyFont="1" applyFill="1" applyBorder="1"/>
    <xf numFmtId="0" fontId="0" fillId="3" borderId="34" xfId="0" applyFill="1" applyBorder="1"/>
    <xf numFmtId="0" fontId="0" fillId="3" borderId="35" xfId="0" applyFill="1" applyBorder="1"/>
    <xf numFmtId="167" fontId="7" fillId="0" borderId="33" xfId="2" applyNumberFormat="1" applyFont="1" applyFill="1" applyBorder="1"/>
    <xf numFmtId="167" fontId="7" fillId="9" borderId="33" xfId="2" applyNumberFormat="1" applyFont="1" applyFill="1" applyBorder="1"/>
    <xf numFmtId="164" fontId="7" fillId="9" borderId="33" xfId="1" applyNumberFormat="1" applyFont="1" applyFill="1" applyBorder="1"/>
    <xf numFmtId="0" fontId="6" fillId="0" borderId="0" xfId="0" applyFont="1" applyAlignment="1">
      <alignment horizontal="center"/>
    </xf>
    <xf numFmtId="164" fontId="6" fillId="0" borderId="0" xfId="1" applyNumberFormat="1" applyFont="1" applyFill="1"/>
    <xf numFmtId="167" fontId="6" fillId="0" borderId="0" xfId="2" applyNumberFormat="1" applyFont="1" applyFill="1"/>
    <xf numFmtId="0" fontId="6" fillId="0" borderId="0" xfId="0" applyFont="1" applyAlignment="1">
      <alignment wrapText="1"/>
    </xf>
    <xf numFmtId="0" fontId="1" fillId="11" borderId="0" xfId="0" applyFont="1" applyFill="1" applyAlignment="1">
      <alignment wrapText="1"/>
    </xf>
    <xf numFmtId="171" fontId="0" fillId="11" borderId="0" xfId="0" applyNumberFormat="1" applyFill="1" applyAlignment="1">
      <alignment wrapText="1"/>
    </xf>
    <xf numFmtId="171" fontId="0" fillId="0" borderId="0" xfId="0" applyNumberFormat="1"/>
    <xf numFmtId="170" fontId="0" fillId="0" borderId="0" xfId="0" applyNumberFormat="1"/>
    <xf numFmtId="0" fontId="0" fillId="11" borderId="0" xfId="0" applyFill="1" applyAlignment="1">
      <alignment wrapText="1"/>
    </xf>
    <xf numFmtId="0" fontId="27" fillId="0" borderId="0" xfId="0" applyFont="1"/>
    <xf numFmtId="164" fontId="0" fillId="0" borderId="0" xfId="1" applyNumberFormat="1" applyFont="1" applyFill="1" applyAlignment="1">
      <alignment wrapText="1"/>
    </xf>
    <xf numFmtId="164" fontId="0" fillId="0" borderId="0" xfId="1" applyNumberFormat="1" applyFont="1" applyFill="1"/>
    <xf numFmtId="0" fontId="26" fillId="0" borderId="0" xfId="0" applyFont="1" applyAlignment="1">
      <alignment vertical="top"/>
    </xf>
    <xf numFmtId="167" fontId="26" fillId="0" borderId="0" xfId="2" applyNumberFormat="1" applyFont="1" applyFill="1" applyAlignment="1">
      <alignment vertical="top"/>
    </xf>
    <xf numFmtId="167" fontId="26" fillId="9" borderId="0" xfId="2" applyNumberFormat="1" applyFont="1" applyFill="1" applyAlignment="1">
      <alignment vertical="top"/>
    </xf>
    <xf numFmtId="164" fontId="26" fillId="9" borderId="0" xfId="1" applyNumberFormat="1" applyFont="1" applyFill="1" applyAlignment="1">
      <alignment vertical="top"/>
    </xf>
    <xf numFmtId="0" fontId="0" fillId="0" borderId="0" xfId="0" applyAlignment="1">
      <alignment vertical="top" wrapText="1"/>
    </xf>
    <xf numFmtId="167" fontId="26" fillId="0" borderId="0" xfId="2" applyNumberFormat="1" applyFont="1" applyFill="1"/>
    <xf numFmtId="167" fontId="26" fillId="9" borderId="0" xfId="2" applyNumberFormat="1" applyFont="1" applyFill="1"/>
    <xf numFmtId="164" fontId="26" fillId="9" borderId="0" xfId="1" applyNumberFormat="1" applyFont="1" applyFill="1"/>
    <xf numFmtId="0" fontId="26" fillId="0" borderId="0" xfId="0" applyFont="1" applyAlignment="1">
      <alignment wrapText="1"/>
    </xf>
    <xf numFmtId="167" fontId="26" fillId="0" borderId="1" xfId="2" applyNumberFormat="1" applyFont="1" applyFill="1" applyBorder="1"/>
    <xf numFmtId="167" fontId="26" fillId="9" borderId="1" xfId="2" applyNumberFormat="1" applyFont="1" applyFill="1" applyBorder="1"/>
    <xf numFmtId="9" fontId="26" fillId="9" borderId="1" xfId="1" applyFont="1" applyFill="1" applyBorder="1"/>
    <xf numFmtId="0" fontId="6" fillId="12" borderId="0" xfId="0" applyFont="1" applyFill="1"/>
    <xf numFmtId="167" fontId="0" fillId="12" borderId="0" xfId="0" applyNumberFormat="1" applyFill="1"/>
    <xf numFmtId="0" fontId="0" fillId="12" borderId="0" xfId="0" applyFill="1"/>
    <xf numFmtId="164" fontId="0" fillId="12" borderId="0" xfId="1" applyNumberFormat="1" applyFont="1" applyFill="1"/>
    <xf numFmtId="0" fontId="0" fillId="12" borderId="0" xfId="0" applyFill="1" applyAlignment="1">
      <alignment wrapText="1"/>
    </xf>
    <xf numFmtId="167" fontId="0" fillId="12" borderId="0" xfId="2" applyNumberFormat="1" applyFont="1" applyFill="1"/>
    <xf numFmtId="0" fontId="23" fillId="13" borderId="0" xfId="0" applyFont="1" applyFill="1"/>
    <xf numFmtId="0" fontId="0" fillId="14" borderId="0" xfId="0" applyFill="1"/>
    <xf numFmtId="164" fontId="0" fillId="14" borderId="0" xfId="1" applyNumberFormat="1" applyFont="1" applyFill="1"/>
    <xf numFmtId="0" fontId="0" fillId="14" borderId="0" xfId="0" applyFill="1" applyAlignment="1">
      <alignment wrapText="1"/>
    </xf>
    <xf numFmtId="0" fontId="28" fillId="0" borderId="0" xfId="0" applyFont="1"/>
    <xf numFmtId="170" fontId="28" fillId="0" borderId="0" xfId="0" applyNumberFormat="1" applyFont="1"/>
    <xf numFmtId="164" fontId="28" fillId="0" borderId="0" xfId="1" applyNumberFormat="1" applyFont="1"/>
    <xf numFmtId="0" fontId="28" fillId="0" borderId="0" xfId="0" applyFont="1" applyAlignment="1">
      <alignment wrapText="1"/>
    </xf>
    <xf numFmtId="43" fontId="28" fillId="3" borderId="0" xfId="0" applyNumberFormat="1" applyFont="1" applyFill="1"/>
    <xf numFmtId="0" fontId="28" fillId="11" borderId="0" xfId="0" applyFont="1" applyFill="1"/>
    <xf numFmtId="43" fontId="28" fillId="11" borderId="0" xfId="0" applyNumberFormat="1" applyFont="1" applyFill="1"/>
    <xf numFmtId="164" fontId="28" fillId="11" borderId="0" xfId="1" applyNumberFormat="1" applyFont="1" applyFill="1"/>
    <xf numFmtId="43" fontId="28" fillId="0" borderId="0" xfId="0" applyNumberFormat="1" applyFont="1"/>
    <xf numFmtId="0" fontId="28" fillId="0" borderId="0" xfId="0" applyFont="1" applyAlignment="1">
      <alignment horizontal="center" wrapText="1"/>
    </xf>
    <xf numFmtId="0" fontId="1" fillId="0" borderId="36" xfId="0" applyFont="1" applyBorder="1"/>
    <xf numFmtId="17" fontId="0" fillId="0" borderId="37" xfId="0" applyNumberFormat="1" applyBorder="1" applyAlignment="1">
      <alignment wrapText="1"/>
    </xf>
    <xf numFmtId="14" fontId="0" fillId="0" borderId="37" xfId="0" applyNumberFormat="1" applyBorder="1"/>
    <xf numFmtId="0" fontId="0" fillId="0" borderId="37" xfId="0" applyBorder="1"/>
    <xf numFmtId="164" fontId="0" fillId="0" borderId="0" xfId="1" applyNumberFormat="1" applyFont="1" applyBorder="1"/>
    <xf numFmtId="172" fontId="0" fillId="0" borderId="0" xfId="2" applyNumberFormat="1" applyFont="1"/>
    <xf numFmtId="0" fontId="0" fillId="11" borderId="0" xfId="0" applyFill="1"/>
    <xf numFmtId="164" fontId="0" fillId="11" borderId="0" xfId="1" applyNumberFormat="1" applyFont="1" applyFill="1"/>
    <xf numFmtId="14" fontId="0" fillId="0" borderId="0" xfId="0" applyNumberFormat="1"/>
    <xf numFmtId="165" fontId="0" fillId="11" borderId="0" xfId="0" applyNumberFormat="1" applyFill="1"/>
    <xf numFmtId="165" fontId="0" fillId="0" borderId="0" xfId="0" applyNumberFormat="1"/>
    <xf numFmtId="0" fontId="19" fillId="11" borderId="0" xfId="0" applyFont="1" applyFill="1"/>
    <xf numFmtId="167" fontId="0" fillId="0" borderId="36" xfId="2" applyNumberFormat="1" applyFont="1" applyBorder="1"/>
    <xf numFmtId="43" fontId="1" fillId="0" borderId="0" xfId="2" applyFont="1"/>
    <xf numFmtId="167" fontId="29" fillId="0" borderId="0" xfId="2" applyNumberFormat="1" applyFont="1"/>
    <xf numFmtId="167" fontId="0" fillId="11" borderId="0" xfId="2" applyNumberFormat="1" applyFont="1" applyFill="1"/>
    <xf numFmtId="169" fontId="1" fillId="2" borderId="0" xfId="2" applyNumberFormat="1" applyFont="1" applyFill="1"/>
    <xf numFmtId="0" fontId="21" fillId="0" borderId="2" xfId="0" applyFont="1" applyFill="1" applyBorder="1"/>
    <xf numFmtId="0" fontId="30" fillId="0" borderId="2" xfId="0" applyFont="1" applyFill="1" applyBorder="1"/>
    <xf numFmtId="0" fontId="17" fillId="2" borderId="2" xfId="0" applyFont="1" applyFill="1" applyBorder="1" applyAlignment="1">
      <alignment horizontal="left"/>
    </xf>
    <xf numFmtId="167" fontId="14" fillId="0" borderId="2" xfId="2" applyNumberFormat="1" applyFont="1" applyFill="1" applyBorder="1"/>
    <xf numFmtId="0" fontId="31" fillId="0" borderId="0" xfId="0" applyFont="1"/>
    <xf numFmtId="167" fontId="31" fillId="0" borderId="0" xfId="2" applyNumberFormat="1" applyFont="1" applyFill="1"/>
    <xf numFmtId="167" fontId="22" fillId="0" borderId="0" xfId="2" applyNumberFormat="1" applyFont="1" applyFill="1"/>
    <xf numFmtId="0" fontId="22" fillId="0" borderId="0" xfId="0" applyFont="1"/>
    <xf numFmtId="0" fontId="32" fillId="0" borderId="0" xfId="4"/>
    <xf numFmtId="0" fontId="36" fillId="0" borderId="0" xfId="0" applyFont="1" applyAlignment="1">
      <alignment vertical="center" wrapText="1"/>
    </xf>
    <xf numFmtId="167" fontId="17" fillId="2" borderId="7" xfId="2" applyNumberFormat="1" applyFont="1" applyFill="1" applyBorder="1"/>
    <xf numFmtId="0" fontId="19" fillId="0" borderId="0" xfId="0" applyFont="1" applyAlignment="1">
      <alignment horizontal="left"/>
    </xf>
    <xf numFmtId="167" fontId="0" fillId="0" borderId="0" xfId="2" applyNumberFormat="1" applyFont="1" applyFill="1"/>
    <xf numFmtId="0" fontId="35" fillId="0" borderId="0" xfId="0" applyFont="1" applyAlignment="1">
      <alignment horizontal="center"/>
    </xf>
    <xf numFmtId="0" fontId="14" fillId="0" borderId="2" xfId="0" applyFont="1" applyFill="1" applyBorder="1"/>
    <xf numFmtId="167" fontId="14" fillId="0" borderId="7" xfId="2" applyNumberFormat="1" applyFont="1" applyFill="1" applyBorder="1"/>
    <xf numFmtId="0" fontId="14" fillId="0" borderId="2" xfId="0" applyFont="1" applyFill="1" applyBorder="1" applyAlignment="1">
      <alignment wrapText="1"/>
    </xf>
    <xf numFmtId="0" fontId="1" fillId="0" borderId="53" xfId="0" applyFont="1" applyBorder="1"/>
    <xf numFmtId="0" fontId="0" fillId="0" borderId="54" xfId="0" applyBorder="1"/>
    <xf numFmtId="0" fontId="1" fillId="0" borderId="23" xfId="0" applyFont="1" applyBorder="1"/>
    <xf numFmtId="0" fontId="1" fillId="0" borderId="2" xfId="0" applyFont="1" applyBorder="1" applyAlignment="1">
      <alignment horizontal="center"/>
    </xf>
    <xf numFmtId="0" fontId="3" fillId="0" borderId="2" xfId="0" applyFont="1" applyFill="1" applyBorder="1" applyAlignment="1">
      <alignment horizontal="center"/>
    </xf>
    <xf numFmtId="0" fontId="0" fillId="0" borderId="2" xfId="0" applyFill="1" applyBorder="1"/>
    <xf numFmtId="0" fontId="0" fillId="0" borderId="2" xfId="0" applyFill="1" applyBorder="1" applyAlignment="1">
      <alignment wrapText="1"/>
    </xf>
    <xf numFmtId="0" fontId="0" fillId="0" borderId="51" xfId="0" applyBorder="1"/>
    <xf numFmtId="0" fontId="3" fillId="0" borderId="2" xfId="0" applyFont="1" applyBorder="1" applyAlignment="1">
      <alignment horizontal="center"/>
    </xf>
    <xf numFmtId="0" fontId="4" fillId="0" borderId="2" xfId="0" applyFont="1" applyBorder="1" applyAlignment="1">
      <alignment horizontal="center"/>
    </xf>
    <xf numFmtId="0" fontId="2" fillId="0" borderId="2" xfId="0" applyFont="1" applyBorder="1" applyAlignment="1">
      <alignment horizontal="center"/>
    </xf>
    <xf numFmtId="0" fontId="1" fillId="0" borderId="24" xfId="0" applyFont="1" applyBorder="1"/>
    <xf numFmtId="0" fontId="0" fillId="0" borderId="52" xfId="0" applyBorder="1"/>
    <xf numFmtId="0" fontId="1" fillId="0" borderId="51" xfId="0" applyFont="1" applyFill="1" applyBorder="1" applyAlignment="1">
      <alignment horizontal="center"/>
    </xf>
    <xf numFmtId="14" fontId="0" fillId="0" borderId="51" xfId="0" applyNumberFormat="1" applyFill="1" applyBorder="1" applyAlignment="1">
      <alignment horizontal="center"/>
    </xf>
    <xf numFmtId="0" fontId="0" fillId="0" borderId="0" xfId="0" applyAlignment="1">
      <alignment horizontal="right"/>
    </xf>
    <xf numFmtId="0" fontId="37" fillId="0" borderId="0" xfId="0" applyFont="1" applyAlignment="1">
      <alignment horizontal="center"/>
    </xf>
    <xf numFmtId="0" fontId="11" fillId="4" borderId="2" xfId="0" applyFont="1" applyFill="1" applyBorder="1"/>
    <xf numFmtId="10" fontId="38" fillId="4" borderId="2" xfId="1" applyNumberFormat="1" applyFont="1" applyFill="1" applyBorder="1"/>
    <xf numFmtId="0" fontId="38" fillId="4" borderId="2" xfId="0" applyFont="1" applyFill="1" applyBorder="1" applyAlignment="1">
      <alignment horizontal="left"/>
    </xf>
    <xf numFmtId="0" fontId="16" fillId="0" borderId="2" xfId="0" applyFont="1" applyFill="1" applyBorder="1"/>
    <xf numFmtId="167" fontId="14" fillId="0" borderId="2" xfId="0" applyNumberFormat="1" applyFont="1" applyFill="1" applyBorder="1"/>
    <xf numFmtId="0" fontId="11" fillId="0" borderId="2" xfId="0" applyFont="1" applyFill="1" applyBorder="1"/>
    <xf numFmtId="0" fontId="39" fillId="0" borderId="0" xfId="0" applyFont="1" applyAlignment="1">
      <alignment vertical="center" wrapText="1"/>
    </xf>
    <xf numFmtId="0" fontId="11" fillId="0" borderId="0" xfId="0" applyFont="1"/>
    <xf numFmtId="167" fontId="11" fillId="0" borderId="0" xfId="2" applyNumberFormat="1" applyFont="1"/>
    <xf numFmtId="9" fontId="13" fillId="0" borderId="0" xfId="0" applyNumberFormat="1" applyFont="1"/>
    <xf numFmtId="0" fontId="13" fillId="0" borderId="0" xfId="0" applyFont="1"/>
    <xf numFmtId="167" fontId="13" fillId="0" borderId="0" xfId="2" applyNumberFormat="1" applyFont="1"/>
    <xf numFmtId="0" fontId="39" fillId="0" borderId="0" xfId="0" applyFont="1"/>
    <xf numFmtId="0" fontId="17" fillId="0" borderId="56" xfId="0" applyFont="1" applyFill="1" applyBorder="1" applyAlignment="1">
      <alignment horizontal="left"/>
    </xf>
    <xf numFmtId="0" fontId="40" fillId="0" borderId="0" xfId="0" applyFont="1" applyAlignment="1">
      <alignment vertical="center"/>
    </xf>
    <xf numFmtId="0" fontId="41" fillId="0" borderId="0" xfId="0" applyFont="1"/>
    <xf numFmtId="0" fontId="40" fillId="0" borderId="0" xfId="0" applyFont="1" applyAlignment="1">
      <alignment vertical="center" wrapText="1"/>
    </xf>
    <xf numFmtId="0" fontId="42" fillId="0" borderId="0" xfId="0" applyFont="1" applyAlignment="1">
      <alignment vertical="center" wrapText="1"/>
    </xf>
    <xf numFmtId="0" fontId="0" fillId="0" borderId="0" xfId="0" applyAlignment="1">
      <alignment vertical="center" wrapText="1"/>
    </xf>
    <xf numFmtId="0" fontId="41" fillId="0" borderId="0" xfId="0" applyFont="1" applyAlignment="1">
      <alignment vertical="center" wrapText="1"/>
    </xf>
    <xf numFmtId="167" fontId="11" fillId="0" borderId="0" xfId="0" applyNumberFormat="1" applyFont="1"/>
    <xf numFmtId="167" fontId="13" fillId="0" borderId="0" xfId="0" applyNumberFormat="1" applyFont="1"/>
    <xf numFmtId="0" fontId="13" fillId="0" borderId="0" xfId="0" applyFont="1" applyAlignment="1">
      <alignment horizontal="center"/>
    </xf>
    <xf numFmtId="0" fontId="37" fillId="0" borderId="0" xfId="0" applyFont="1" applyAlignment="1">
      <alignment horizontal="left"/>
    </xf>
    <xf numFmtId="164" fontId="13" fillId="0" borderId="2" xfId="1" applyNumberFormat="1" applyFont="1" applyBorder="1"/>
    <xf numFmtId="10" fontId="13" fillId="0" borderId="2" xfId="1" applyNumberFormat="1" applyFont="1" applyBorder="1" applyAlignment="1">
      <alignment horizontal="right" wrapText="1"/>
    </xf>
    <xf numFmtId="167" fontId="13" fillId="0" borderId="2" xfId="0" applyNumberFormat="1" applyFont="1" applyBorder="1" applyAlignment="1">
      <alignment horizontal="right" wrapText="1"/>
    </xf>
    <xf numFmtId="0" fontId="13" fillId="0" borderId="56" xfId="0" applyFont="1" applyBorder="1"/>
    <xf numFmtId="0" fontId="11" fillId="0" borderId="56" xfId="0" applyFont="1" applyBorder="1"/>
    <xf numFmtId="167" fontId="13" fillId="0" borderId="56" xfId="0" applyNumberFormat="1" applyFont="1" applyBorder="1"/>
    <xf numFmtId="0" fontId="13" fillId="0" borderId="9" xfId="0" applyFont="1" applyBorder="1"/>
    <xf numFmtId="164" fontId="14" fillId="2" borderId="9" xfId="1" applyNumberFormat="1" applyFont="1" applyFill="1" applyBorder="1"/>
    <xf numFmtId="167" fontId="13" fillId="0" borderId="9" xfId="0" applyNumberFormat="1" applyFont="1" applyBorder="1"/>
    <xf numFmtId="167" fontId="13" fillId="0" borderId="10" xfId="0" applyNumberFormat="1" applyFont="1" applyBorder="1"/>
    <xf numFmtId="170" fontId="11" fillId="0" borderId="1" xfId="3" applyNumberFormat="1" applyFont="1" applyBorder="1"/>
    <xf numFmtId="10" fontId="11" fillId="0" borderId="1" xfId="1" applyNumberFormat="1" applyFont="1" applyBorder="1"/>
    <xf numFmtId="170" fontId="11" fillId="0" borderId="33" xfId="3" applyNumberFormat="1" applyFont="1" applyBorder="1"/>
    <xf numFmtId="0" fontId="11" fillId="0" borderId="21" xfId="0" applyFont="1" applyBorder="1"/>
    <xf numFmtId="0" fontId="11" fillId="0" borderId="0" xfId="0" applyFont="1" applyBorder="1"/>
    <xf numFmtId="0" fontId="11" fillId="0" borderId="27" xfId="0" applyFont="1" applyBorder="1"/>
    <xf numFmtId="0" fontId="13" fillId="0" borderId="59" xfId="0" applyFont="1" applyBorder="1"/>
    <xf numFmtId="0" fontId="11" fillId="0" borderId="0" xfId="0" applyFont="1" applyBorder="1" applyAlignment="1">
      <alignment wrapText="1"/>
    </xf>
    <xf numFmtId="170" fontId="11" fillId="0" borderId="0" xfId="3" applyNumberFormat="1" applyFont="1" applyBorder="1"/>
    <xf numFmtId="167" fontId="11" fillId="0" borderId="0" xfId="2" applyNumberFormat="1" applyFont="1" applyBorder="1"/>
    <xf numFmtId="10" fontId="11" fillId="0" borderId="0" xfId="1" applyNumberFormat="1" applyFont="1" applyBorder="1"/>
    <xf numFmtId="167" fontId="11" fillId="0" borderId="0" xfId="0" applyNumberFormat="1" applyFont="1" applyBorder="1"/>
    <xf numFmtId="0" fontId="11" fillId="0" borderId="37" xfId="0" applyFont="1" applyBorder="1"/>
    <xf numFmtId="170" fontId="11" fillId="0" borderId="60" xfId="3" applyNumberFormat="1" applyFont="1" applyBorder="1"/>
    <xf numFmtId="0" fontId="11" fillId="0" borderId="28" xfId="0" applyFont="1" applyBorder="1"/>
    <xf numFmtId="0" fontId="30" fillId="0" borderId="49" xfId="0" applyFont="1" applyBorder="1"/>
    <xf numFmtId="0" fontId="11" fillId="0" borderId="49" xfId="0" applyFont="1" applyBorder="1"/>
    <xf numFmtId="167" fontId="11" fillId="0" borderId="49" xfId="0" applyNumberFormat="1" applyFont="1" applyBorder="1"/>
    <xf numFmtId="0" fontId="11" fillId="0" borderId="26" xfId="0" applyFont="1" applyBorder="1"/>
    <xf numFmtId="0" fontId="30" fillId="0" borderId="0" xfId="0" applyFont="1" applyBorder="1"/>
    <xf numFmtId="0" fontId="37" fillId="0" borderId="0" xfId="0" applyFont="1" applyAlignment="1">
      <alignment horizontal="right"/>
    </xf>
    <xf numFmtId="0" fontId="13" fillId="0" borderId="0" xfId="0" applyFont="1" applyFill="1" applyAlignment="1">
      <alignment horizontal="center"/>
    </xf>
    <xf numFmtId="0" fontId="11" fillId="0" borderId="0" xfId="4" applyFont="1"/>
    <xf numFmtId="0" fontId="13" fillId="16" borderId="2" xfId="4" applyFont="1" applyFill="1" applyBorder="1"/>
    <xf numFmtId="9" fontId="11" fillId="16" borderId="2" xfId="1" applyFont="1" applyFill="1" applyBorder="1"/>
    <xf numFmtId="173" fontId="11" fillId="16" borderId="2" xfId="3" applyNumberFormat="1" applyFont="1" applyFill="1" applyBorder="1"/>
    <xf numFmtId="173" fontId="11" fillId="16" borderId="0" xfId="3" applyNumberFormat="1" applyFont="1" applyFill="1" applyBorder="1"/>
    <xf numFmtId="173" fontId="11" fillId="0" borderId="0" xfId="3" applyNumberFormat="1" applyFont="1" applyFill="1" applyBorder="1"/>
    <xf numFmtId="0" fontId="11" fillId="0" borderId="40" xfId="0" applyFont="1" applyBorder="1"/>
    <xf numFmtId="167" fontId="13" fillId="0" borderId="41" xfId="2" applyNumberFormat="1" applyFont="1" applyBorder="1"/>
    <xf numFmtId="0" fontId="11" fillId="0" borderId="42" xfId="4" applyFont="1" applyBorder="1"/>
    <xf numFmtId="0" fontId="13" fillId="15" borderId="0" xfId="4" applyFont="1" applyFill="1" applyAlignment="1">
      <alignment horizontal="center" wrapText="1"/>
    </xf>
    <xf numFmtId="0" fontId="13" fillId="0" borderId="0" xfId="4" applyFont="1" applyAlignment="1">
      <alignment horizontal="center" wrapText="1"/>
    </xf>
    <xf numFmtId="0" fontId="11" fillId="0" borderId="45" xfId="4" applyFont="1" applyBorder="1"/>
    <xf numFmtId="167" fontId="13" fillId="0" borderId="46" xfId="2" applyNumberFormat="1" applyFont="1" applyBorder="1" applyAlignment="1">
      <alignment horizontal="right"/>
    </xf>
    <xf numFmtId="167" fontId="13" fillId="0" borderId="46" xfId="2" applyNumberFormat="1" applyFont="1" applyBorder="1" applyAlignment="1">
      <alignment horizontal="right" wrapText="1"/>
    </xf>
    <xf numFmtId="0" fontId="13" fillId="0" borderId="47" xfId="4" applyFont="1" applyBorder="1" applyAlignment="1">
      <alignment horizontal="right"/>
    </xf>
    <xf numFmtId="0" fontId="11" fillId="0" borderId="43" xfId="4" applyFont="1" applyBorder="1"/>
    <xf numFmtId="0" fontId="11" fillId="0" borderId="15" xfId="0" applyFont="1" applyBorder="1"/>
    <xf numFmtId="0" fontId="11" fillId="0" borderId="44" xfId="4" applyFont="1" applyBorder="1"/>
    <xf numFmtId="0" fontId="11" fillId="0" borderId="2" xfId="4" applyFont="1" applyFill="1" applyBorder="1"/>
    <xf numFmtId="9" fontId="11" fillId="0" borderId="2" xfId="1" applyFont="1" applyFill="1" applyBorder="1"/>
    <xf numFmtId="173" fontId="11" fillId="0" borderId="2" xfId="3" applyNumberFormat="1" applyFont="1" applyFill="1" applyBorder="1"/>
    <xf numFmtId="173" fontId="11" fillId="2" borderId="0" xfId="3" applyNumberFormat="1" applyFont="1" applyFill="1" applyBorder="1"/>
    <xf numFmtId="173" fontId="11" fillId="0" borderId="0" xfId="3" applyNumberFormat="1" applyFont="1" applyFill="1" applyBorder="1" applyAlignment="1">
      <alignment wrapText="1"/>
    </xf>
    <xf numFmtId="167" fontId="11" fillId="0" borderId="15" xfId="2" applyNumberFormat="1" applyFont="1" applyBorder="1"/>
    <xf numFmtId="167" fontId="11" fillId="0" borderId="44" xfId="4" applyNumberFormat="1" applyFont="1" applyBorder="1"/>
    <xf numFmtId="167" fontId="11" fillId="0" borderId="15" xfId="2" applyNumberFormat="1" applyFont="1" applyFill="1" applyBorder="1"/>
    <xf numFmtId="0" fontId="11" fillId="0" borderId="43" xfId="0" applyFont="1" applyBorder="1"/>
    <xf numFmtId="0" fontId="11" fillId="0" borderId="44" xfId="0" applyFont="1" applyBorder="1"/>
    <xf numFmtId="0" fontId="13" fillId="0" borderId="45" xfId="4" applyFont="1" applyBorder="1"/>
    <xf numFmtId="167" fontId="13" fillId="0" borderId="46" xfId="2" applyNumberFormat="1" applyFont="1" applyFill="1" applyBorder="1"/>
    <xf numFmtId="167" fontId="13" fillId="0" borderId="46" xfId="2" applyNumberFormat="1" applyFont="1" applyBorder="1"/>
    <xf numFmtId="167" fontId="13" fillId="0" borderId="47" xfId="4" applyNumberFormat="1" applyFont="1" applyBorder="1"/>
    <xf numFmtId="0" fontId="13" fillId="0" borderId="2" xfId="4" applyFont="1" applyBorder="1"/>
    <xf numFmtId="9" fontId="11" fillId="0" borderId="2" xfId="1" applyFont="1" applyBorder="1"/>
    <xf numFmtId="173" fontId="11" fillId="0" borderId="2" xfId="3" applyNumberFormat="1" applyFont="1" applyBorder="1"/>
    <xf numFmtId="167" fontId="11" fillId="0" borderId="0" xfId="2" applyNumberFormat="1" applyFont="1" applyFill="1"/>
    <xf numFmtId="0" fontId="11" fillId="0" borderId="0" xfId="4" applyFont="1" applyAlignment="1">
      <alignment wrapText="1"/>
    </xf>
    <xf numFmtId="174" fontId="11" fillId="17" borderId="0" xfId="4" applyNumberFormat="1" applyFont="1" applyFill="1"/>
    <xf numFmtId="0" fontId="11" fillId="0" borderId="2" xfId="0" applyFont="1" applyBorder="1" applyAlignment="1">
      <alignment horizontal="left"/>
    </xf>
    <xf numFmtId="173" fontId="13" fillId="18" borderId="2" xfId="4" applyNumberFormat="1" applyFont="1" applyFill="1" applyBorder="1"/>
    <xf numFmtId="173" fontId="13" fillId="0" borderId="2" xfId="4" applyNumberFormat="1" applyFont="1" applyBorder="1"/>
    <xf numFmtId="9" fontId="13" fillId="18" borderId="2" xfId="1" applyFont="1" applyFill="1" applyBorder="1"/>
    <xf numFmtId="173" fontId="11" fillId="0" borderId="0" xfId="4" applyNumberFormat="1" applyFont="1"/>
    <xf numFmtId="0" fontId="48" fillId="0" borderId="0" xfId="0" applyFont="1" applyAlignment="1">
      <alignment horizontal="right" vertical="top"/>
    </xf>
    <xf numFmtId="167" fontId="13" fillId="0" borderId="0" xfId="2" applyNumberFormat="1" applyFont="1" applyFill="1"/>
    <xf numFmtId="0" fontId="13" fillId="0" borderId="27" xfId="0" applyFont="1" applyBorder="1"/>
    <xf numFmtId="0" fontId="21" fillId="4" borderId="0" xfId="0" applyFont="1" applyFill="1"/>
    <xf numFmtId="167" fontId="17" fillId="4" borderId="36" xfId="2" applyNumberFormat="1" applyFont="1" applyFill="1" applyBorder="1" applyAlignment="1">
      <alignment horizontal="center"/>
    </xf>
    <xf numFmtId="0" fontId="13" fillId="4" borderId="0" xfId="0" applyFont="1" applyFill="1" applyAlignment="1">
      <alignment horizontal="right"/>
    </xf>
    <xf numFmtId="0" fontId="13" fillId="4" borderId="59" xfId="0" applyFont="1" applyFill="1" applyBorder="1" applyAlignment="1">
      <alignment horizontal="right"/>
    </xf>
    <xf numFmtId="0" fontId="13" fillId="4" borderId="27" xfId="0" applyFont="1" applyFill="1" applyBorder="1" applyAlignment="1">
      <alignment horizontal="right"/>
    </xf>
    <xf numFmtId="0" fontId="30" fillId="0" borderId="0" xfId="0" applyFont="1"/>
    <xf numFmtId="167" fontId="18" fillId="0" borderId="32" xfId="2" applyNumberFormat="1" applyFont="1" applyFill="1" applyBorder="1"/>
    <xf numFmtId="167" fontId="18" fillId="2" borderId="32" xfId="2" applyNumberFormat="1" applyFont="1" applyFill="1" applyBorder="1"/>
    <xf numFmtId="167" fontId="13" fillId="2" borderId="0" xfId="2" applyNumberFormat="1" applyFont="1" applyFill="1"/>
    <xf numFmtId="167" fontId="13" fillId="2" borderId="59" xfId="0" applyNumberFormat="1" applyFont="1" applyFill="1" applyBorder="1"/>
    <xf numFmtId="167" fontId="13" fillId="0" borderId="27" xfId="2" applyNumberFormat="1" applyFont="1" applyBorder="1"/>
    <xf numFmtId="167" fontId="11" fillId="2" borderId="0" xfId="2" applyNumberFormat="1" applyFont="1" applyFill="1"/>
    <xf numFmtId="0" fontId="30" fillId="5" borderId="0" xfId="0" applyFont="1" applyFill="1"/>
    <xf numFmtId="167" fontId="11" fillId="5" borderId="0" xfId="2" applyNumberFormat="1" applyFont="1" applyFill="1"/>
    <xf numFmtId="167" fontId="13" fillId="5" borderId="0" xfId="2" applyNumberFormat="1" applyFont="1" applyFill="1"/>
    <xf numFmtId="0" fontId="11" fillId="5" borderId="0" xfId="0" applyFont="1" applyFill="1"/>
    <xf numFmtId="167" fontId="13" fillId="5" borderId="59" xfId="0" applyNumberFormat="1" applyFont="1" applyFill="1" applyBorder="1"/>
    <xf numFmtId="0" fontId="13" fillId="5" borderId="27" xfId="0" applyFont="1" applyFill="1" applyBorder="1"/>
    <xf numFmtId="167" fontId="13" fillId="5" borderId="59" xfId="2" applyNumberFormat="1" applyFont="1" applyFill="1" applyBorder="1"/>
    <xf numFmtId="167" fontId="13" fillId="5" borderId="27" xfId="2" applyNumberFormat="1" applyFont="1" applyFill="1" applyBorder="1"/>
    <xf numFmtId="167" fontId="13" fillId="0" borderId="59" xfId="2" applyNumberFormat="1" applyFont="1" applyFill="1" applyBorder="1"/>
    <xf numFmtId="167" fontId="13" fillId="0" borderId="27" xfId="0" applyNumberFormat="1" applyFont="1" applyBorder="1"/>
    <xf numFmtId="167" fontId="13" fillId="0" borderId="50" xfId="2" applyNumberFormat="1" applyFont="1" applyFill="1" applyBorder="1"/>
    <xf numFmtId="167" fontId="13" fillId="0" borderId="28" xfId="0" applyNumberFormat="1" applyFont="1" applyBorder="1"/>
    <xf numFmtId="9" fontId="11" fillId="0" borderId="0" xfId="1" applyFont="1" applyFill="1"/>
    <xf numFmtId="0" fontId="13" fillId="6" borderId="6" xfId="0" applyFont="1" applyFill="1" applyBorder="1" applyAlignment="1">
      <alignment horizontal="center"/>
    </xf>
    <xf numFmtId="0" fontId="17" fillId="6" borderId="2" xfId="0" applyFont="1" applyFill="1" applyBorder="1" applyAlignment="1">
      <alignment horizontal="left"/>
    </xf>
    <xf numFmtId="0" fontId="11" fillId="6" borderId="2" xfId="0" applyFont="1" applyFill="1" applyBorder="1"/>
    <xf numFmtId="167" fontId="17" fillId="6" borderId="2" xfId="2" applyNumberFormat="1" applyFont="1" applyFill="1" applyBorder="1"/>
    <xf numFmtId="167" fontId="17" fillId="6" borderId="7" xfId="2" applyNumberFormat="1" applyFont="1" applyFill="1" applyBorder="1"/>
    <xf numFmtId="0" fontId="13" fillId="6" borderId="2" xfId="0" applyFont="1" applyFill="1" applyBorder="1"/>
    <xf numFmtId="9" fontId="17" fillId="6" borderId="2" xfId="1" applyFont="1" applyFill="1" applyBorder="1"/>
    <xf numFmtId="9" fontId="17" fillId="6" borderId="7" xfId="1" applyFont="1" applyFill="1" applyBorder="1"/>
    <xf numFmtId="0" fontId="13" fillId="6" borderId="6" xfId="0" applyFont="1" applyFill="1" applyBorder="1" applyAlignment="1">
      <alignment horizontal="left"/>
    </xf>
    <xf numFmtId="0" fontId="17" fillId="6" borderId="56" xfId="0" applyFont="1" applyFill="1" applyBorder="1" applyAlignment="1">
      <alignment horizontal="left"/>
    </xf>
    <xf numFmtId="0" fontId="11" fillId="6" borderId="30" xfId="0" applyFont="1" applyFill="1" applyBorder="1"/>
    <xf numFmtId="0" fontId="13" fillId="6" borderId="56" xfId="0" applyFont="1" applyFill="1" applyBorder="1"/>
    <xf numFmtId="0" fontId="11" fillId="6" borderId="56" xfId="0" applyFont="1" applyFill="1" applyBorder="1"/>
    <xf numFmtId="164" fontId="14" fillId="6" borderId="56" xfId="1" applyNumberFormat="1" applyFont="1" applyFill="1" applyBorder="1"/>
    <xf numFmtId="167" fontId="13" fillId="6" borderId="56" xfId="0" applyNumberFormat="1" applyFont="1" applyFill="1" applyBorder="1"/>
    <xf numFmtId="167" fontId="13" fillId="6" borderId="62" xfId="0" applyNumberFormat="1" applyFont="1" applyFill="1" applyBorder="1"/>
    <xf numFmtId="0" fontId="11" fillId="6" borderId="7" xfId="0" applyFont="1" applyFill="1" applyBorder="1"/>
    <xf numFmtId="0" fontId="13" fillId="0" borderId="9" xfId="0" applyFont="1" applyBorder="1" applyAlignment="1">
      <alignment horizontal="center"/>
    </xf>
    <xf numFmtId="0" fontId="13" fillId="0" borderId="56" xfId="0" applyFont="1" applyFill="1" applyBorder="1"/>
    <xf numFmtId="0" fontId="13" fillId="8" borderId="56" xfId="0" applyFont="1" applyFill="1" applyBorder="1"/>
    <xf numFmtId="10" fontId="13" fillId="0" borderId="56" xfId="1" applyNumberFormat="1" applyFont="1" applyFill="1" applyBorder="1"/>
    <xf numFmtId="10" fontId="13" fillId="0" borderId="57" xfId="1" applyNumberFormat="1" applyFont="1" applyBorder="1"/>
    <xf numFmtId="167" fontId="13" fillId="0" borderId="57" xfId="2" applyNumberFormat="1" applyFont="1" applyBorder="1"/>
    <xf numFmtId="0" fontId="13" fillId="0" borderId="31" xfId="0" applyFont="1" applyFill="1" applyBorder="1"/>
    <xf numFmtId="0" fontId="11" fillId="0" borderId="58" xfId="0" applyFont="1" applyBorder="1"/>
    <xf numFmtId="0" fontId="17" fillId="0" borderId="9" xfId="0" applyFont="1" applyFill="1" applyBorder="1" applyAlignment="1">
      <alignment horizontal="left"/>
    </xf>
    <xf numFmtId="167" fontId="17" fillId="0" borderId="9" xfId="2" applyNumberFormat="1" applyFont="1" applyFill="1" applyBorder="1"/>
    <xf numFmtId="167" fontId="17" fillId="0" borderId="10" xfId="2" applyNumberFormat="1" applyFont="1" applyFill="1" applyBorder="1"/>
    <xf numFmtId="0" fontId="11" fillId="0" borderId="25" xfId="0" applyFont="1" applyBorder="1"/>
    <xf numFmtId="167" fontId="15" fillId="0" borderId="31" xfId="2" applyNumberFormat="1" applyFont="1" applyFill="1" applyBorder="1"/>
    <xf numFmtId="10" fontId="11" fillId="0" borderId="31" xfId="1" applyNumberFormat="1" applyFont="1" applyBorder="1"/>
    <xf numFmtId="10" fontId="11" fillId="0" borderId="58" xfId="1" applyNumberFormat="1" applyFont="1" applyBorder="1"/>
    <xf numFmtId="0" fontId="43" fillId="0" borderId="0" xfId="0" applyFont="1" applyAlignment="1">
      <alignment horizontal="center"/>
    </xf>
    <xf numFmtId="0" fontId="16" fillId="0" borderId="0" xfId="0" applyFont="1" applyFill="1"/>
    <xf numFmtId="0" fontId="13" fillId="6" borderId="6" xfId="0" applyFont="1" applyFill="1" applyBorder="1" applyAlignment="1">
      <alignment horizontal="right"/>
    </xf>
    <xf numFmtId="0" fontId="11" fillId="0" borderId="0" xfId="0" applyFont="1" applyAlignment="1">
      <alignment vertical="center"/>
    </xf>
    <xf numFmtId="0" fontId="0" fillId="0" borderId="0" xfId="0" applyAlignment="1">
      <alignment vertical="top"/>
    </xf>
    <xf numFmtId="0" fontId="11" fillId="0" borderId="0" xfId="0" applyFont="1" applyAlignment="1">
      <alignment vertical="top"/>
    </xf>
    <xf numFmtId="0" fontId="11" fillId="4" borderId="48" xfId="0" applyFont="1" applyFill="1" applyBorder="1"/>
    <xf numFmtId="0" fontId="39" fillId="4" borderId="50" xfId="0" applyFont="1" applyFill="1" applyBorder="1"/>
    <xf numFmtId="0" fontId="39" fillId="0" borderId="11" xfId="0" applyFont="1" applyFill="1" applyBorder="1"/>
    <xf numFmtId="0" fontId="49" fillId="0" borderId="12" xfId="0" applyFont="1" applyFill="1" applyBorder="1" applyAlignment="1">
      <alignment horizontal="center"/>
    </xf>
    <xf numFmtId="0" fontId="39" fillId="0" borderId="12" xfId="0" applyFont="1" applyFill="1" applyBorder="1"/>
    <xf numFmtId="0" fontId="39" fillId="0" borderId="13" xfId="0" applyFont="1" applyFill="1" applyBorder="1"/>
    <xf numFmtId="0" fontId="39" fillId="0" borderId="17" xfId="0" applyFont="1" applyBorder="1"/>
    <xf numFmtId="0" fontId="39" fillId="0" borderId="18" xfId="0" applyFont="1" applyBorder="1"/>
    <xf numFmtId="0" fontId="49" fillId="0" borderId="2" xfId="0" applyFont="1" applyBorder="1"/>
    <xf numFmtId="167" fontId="11" fillId="0" borderId="31" xfId="2" applyNumberFormat="1" applyFont="1" applyBorder="1"/>
    <xf numFmtId="167" fontId="11" fillId="0" borderId="2" xfId="2" applyNumberFormat="1" applyFont="1" applyBorder="1"/>
    <xf numFmtId="167" fontId="11" fillId="0" borderId="7" xfId="2" applyNumberFormat="1" applyFont="1" applyBorder="1"/>
    <xf numFmtId="167" fontId="30" fillId="0" borderId="0" xfId="2" applyNumberFormat="1" applyFont="1"/>
    <xf numFmtId="0" fontId="11" fillId="0" borderId="14" xfId="0" applyFont="1" applyBorder="1"/>
    <xf numFmtId="0" fontId="11" fillId="0" borderId="8" xfId="0" applyFont="1" applyBorder="1"/>
    <xf numFmtId="168" fontId="0" fillId="2" borderId="0" xfId="1" applyNumberFormat="1" applyFont="1" applyFill="1"/>
    <xf numFmtId="0" fontId="11" fillId="0" borderId="48" xfId="0" applyFont="1" applyBorder="1"/>
    <xf numFmtId="0" fontId="11" fillId="0" borderId="0" xfId="0" quotePrefix="1" applyFont="1" applyBorder="1" applyAlignment="1">
      <alignment horizontal="left" wrapText="1"/>
    </xf>
    <xf numFmtId="43" fontId="1" fillId="0" borderId="0" xfId="0" applyNumberFormat="1" applyFont="1"/>
    <xf numFmtId="0" fontId="45" fillId="0" borderId="26" xfId="0" applyFont="1" applyBorder="1" applyAlignment="1">
      <alignment horizontal="center"/>
    </xf>
    <xf numFmtId="0" fontId="11" fillId="0" borderId="0" xfId="0" applyFont="1" applyBorder="1" applyAlignment="1">
      <alignment horizontal="left" vertical="top" wrapText="1"/>
    </xf>
    <xf numFmtId="0" fontId="11" fillId="0" borderId="27" xfId="0" applyFont="1" applyBorder="1" applyAlignment="1">
      <alignment horizontal="left" vertical="top" wrapText="1"/>
    </xf>
    <xf numFmtId="0" fontId="11" fillId="0" borderId="27" xfId="0" applyFont="1" applyBorder="1" applyAlignment="1">
      <alignment vertical="top" wrapText="1"/>
    </xf>
    <xf numFmtId="9" fontId="13" fillId="0" borderId="2" xfId="1" applyFont="1" applyBorder="1"/>
    <xf numFmtId="166" fontId="12" fillId="4" borderId="15" xfId="0" applyNumberFormat="1" applyFont="1" applyFill="1" applyBorder="1" applyAlignment="1">
      <alignment horizontal="center" vertical="top" wrapText="1"/>
    </xf>
    <xf numFmtId="9" fontId="13" fillId="0" borderId="7" xfId="1" applyNumberFormat="1" applyFont="1" applyBorder="1"/>
    <xf numFmtId="166" fontId="12" fillId="4" borderId="63" xfId="0" applyNumberFormat="1" applyFont="1" applyFill="1" applyBorder="1" applyAlignment="1">
      <alignment horizontal="center" wrapText="1"/>
    </xf>
    <xf numFmtId="0" fontId="0" fillId="0" borderId="25" xfId="0" applyBorder="1"/>
    <xf numFmtId="0" fontId="6" fillId="0" borderId="31" xfId="0" applyFont="1" applyBorder="1" applyAlignment="1">
      <alignment horizontal="left"/>
    </xf>
    <xf numFmtId="0" fontId="0" fillId="0" borderId="31" xfId="0" applyBorder="1"/>
    <xf numFmtId="167" fontId="6" fillId="0" borderId="31" xfId="2" applyNumberFormat="1" applyFont="1" applyFill="1" applyBorder="1"/>
    <xf numFmtId="10" fontId="0" fillId="0" borderId="31" xfId="1" applyNumberFormat="1" applyFont="1" applyBorder="1"/>
    <xf numFmtId="10" fontId="0" fillId="0" borderId="58" xfId="1" applyNumberFormat="1" applyFont="1" applyBorder="1"/>
    <xf numFmtId="0" fontId="13" fillId="4" borderId="64" xfId="0" applyFont="1" applyFill="1" applyBorder="1" applyAlignment="1">
      <alignment horizontal="center"/>
    </xf>
    <xf numFmtId="166" fontId="12" fillId="4" borderId="65" xfId="0" applyNumberFormat="1" applyFont="1" applyFill="1" applyBorder="1" applyAlignment="1">
      <alignment horizontal="center" vertical="top" wrapText="1"/>
    </xf>
    <xf numFmtId="0" fontId="11" fillId="0" borderId="37" xfId="0" applyFont="1" applyBorder="1" applyAlignment="1">
      <alignment horizontal="left" vertical="top" wrapText="1"/>
    </xf>
    <xf numFmtId="0" fontId="11" fillId="0" borderId="28" xfId="0" applyFont="1" applyBorder="1" applyAlignment="1">
      <alignment horizontal="left" vertical="top" wrapText="1"/>
    </xf>
    <xf numFmtId="0" fontId="48" fillId="0" borderId="59" xfId="0" applyFont="1" applyBorder="1" applyAlignment="1">
      <alignment horizontal="right" vertical="top"/>
    </xf>
    <xf numFmtId="0" fontId="48" fillId="0" borderId="50" xfId="0" applyFont="1" applyBorder="1" applyAlignment="1">
      <alignment horizontal="right" vertical="top"/>
    </xf>
    <xf numFmtId="0" fontId="48" fillId="0" borderId="0" xfId="0" applyFont="1" applyBorder="1" applyAlignment="1">
      <alignment horizontal="right" vertical="top"/>
    </xf>
    <xf numFmtId="0" fontId="48" fillId="0" borderId="50" xfId="0" applyFont="1" applyFill="1" applyBorder="1" applyAlignment="1">
      <alignment horizontal="right" vertical="top"/>
    </xf>
    <xf numFmtId="0" fontId="48" fillId="0" borderId="59" xfId="0" applyFont="1" applyBorder="1" applyAlignment="1">
      <alignment horizontal="right"/>
    </xf>
    <xf numFmtId="0" fontId="48" fillId="0" borderId="50" xfId="0" applyFont="1" applyBorder="1" applyAlignment="1">
      <alignment horizontal="right"/>
    </xf>
    <xf numFmtId="0" fontId="37" fillId="0" borderId="0" xfId="0" applyFont="1" applyAlignment="1">
      <alignment horizontal="center" vertical="top"/>
    </xf>
    <xf numFmtId="0" fontId="11" fillId="0" borderId="48" xfId="0" applyFont="1" applyBorder="1" applyAlignment="1">
      <alignment vertical="top"/>
    </xf>
    <xf numFmtId="0" fontId="11" fillId="4" borderId="11" xfId="0" applyFont="1" applyFill="1" applyBorder="1" applyAlignment="1">
      <alignment vertical="top"/>
    </xf>
    <xf numFmtId="0" fontId="11" fillId="4" borderId="14" xfId="0" applyFont="1" applyFill="1" applyBorder="1" applyAlignment="1">
      <alignment vertical="top"/>
    </xf>
    <xf numFmtId="0" fontId="11" fillId="4" borderId="17" xfId="0" applyFont="1" applyFill="1" applyBorder="1" applyAlignment="1">
      <alignment vertical="top"/>
    </xf>
    <xf numFmtId="0" fontId="11" fillId="0" borderId="3" xfId="0" applyFont="1" applyBorder="1" applyAlignment="1">
      <alignment vertical="top"/>
    </xf>
    <xf numFmtId="0" fontId="13" fillId="0" borderId="6" xfId="0" applyFont="1" applyBorder="1" applyAlignment="1">
      <alignment vertical="top"/>
    </xf>
    <xf numFmtId="0" fontId="13" fillId="0" borderId="6" xfId="0" applyFont="1" applyBorder="1" applyAlignment="1">
      <alignment horizontal="center" vertical="top"/>
    </xf>
    <xf numFmtId="0" fontId="11" fillId="6" borderId="6" xfId="0" applyFont="1" applyFill="1" applyBorder="1" applyAlignment="1">
      <alignment vertical="top"/>
    </xf>
    <xf numFmtId="0" fontId="13" fillId="0" borderId="6" xfId="0" applyFont="1" applyBorder="1" applyAlignment="1">
      <alignment horizontal="left" vertical="top"/>
    </xf>
    <xf numFmtId="0" fontId="13" fillId="0" borderId="55" xfId="0" applyFont="1" applyBorder="1" applyAlignment="1">
      <alignment horizontal="center" vertical="top"/>
    </xf>
    <xf numFmtId="0" fontId="13" fillId="0" borderId="25" xfId="0" applyFont="1" applyBorder="1" applyAlignment="1">
      <alignment horizontal="left" vertical="top"/>
    </xf>
    <xf numFmtId="0" fontId="14" fillId="0" borderId="6" xfId="0" applyFont="1" applyFill="1" applyBorder="1" applyAlignment="1">
      <alignment horizontal="center" vertical="top"/>
    </xf>
    <xf numFmtId="0" fontId="21" fillId="0" borderId="6" xfId="0" applyFont="1" applyFill="1" applyBorder="1" applyAlignment="1">
      <alignment horizontal="center" vertical="top"/>
    </xf>
    <xf numFmtId="0" fontId="13" fillId="0" borderId="8" xfId="0" applyFont="1" applyBorder="1" applyAlignment="1">
      <alignment horizontal="center" vertical="top"/>
    </xf>
    <xf numFmtId="0" fontId="13" fillId="6" borderId="55" xfId="0" applyFont="1" applyFill="1" applyBorder="1" applyAlignment="1">
      <alignment horizontal="center" vertical="top"/>
    </xf>
    <xf numFmtId="0" fontId="13" fillId="6" borderId="6" xfId="0" applyFont="1" applyFill="1" applyBorder="1" applyAlignment="1">
      <alignment horizontal="center" vertical="top"/>
    </xf>
    <xf numFmtId="0" fontId="13" fillId="0" borderId="48" xfId="0" applyFont="1" applyBorder="1" applyAlignment="1">
      <alignment horizontal="right" vertical="top"/>
    </xf>
    <xf numFmtId="0" fontId="11" fillId="0" borderId="59" xfId="0" applyFont="1" applyBorder="1" applyAlignment="1">
      <alignment vertical="top"/>
    </xf>
    <xf numFmtId="0" fontId="13" fillId="0" borderId="59" xfId="0" applyFont="1" applyBorder="1" applyAlignment="1">
      <alignment vertical="top"/>
    </xf>
    <xf numFmtId="0" fontId="13" fillId="0" borderId="59" xfId="0" quotePrefix="1" applyFont="1" applyBorder="1" applyAlignment="1">
      <alignment horizontal="center" vertical="top"/>
    </xf>
    <xf numFmtId="0" fontId="13" fillId="0" borderId="59" xfId="0" applyFont="1" applyBorder="1" applyAlignment="1">
      <alignment horizontal="center" vertical="top"/>
    </xf>
    <xf numFmtId="0" fontId="13" fillId="0" borderId="50" xfId="0" applyFont="1" applyBorder="1" applyAlignment="1">
      <alignment horizontal="center" vertical="top"/>
    </xf>
    <xf numFmtId="0" fontId="13" fillId="0" borderId="0" xfId="0" applyFont="1" applyAlignment="1">
      <alignment horizontal="center" vertical="top"/>
    </xf>
    <xf numFmtId="0" fontId="1" fillId="0" borderId="0" xfId="0" applyFont="1" applyAlignment="1">
      <alignment horizontal="center" vertical="top"/>
    </xf>
    <xf numFmtId="167" fontId="11" fillId="0" borderId="0" xfId="2" applyNumberFormat="1" applyFont="1" applyFill="1" applyBorder="1"/>
    <xf numFmtId="0" fontId="11" fillId="0" borderId="37" xfId="0" applyFont="1" applyBorder="1" applyAlignment="1"/>
    <xf numFmtId="0" fontId="11" fillId="0" borderId="28" xfId="0" applyFont="1" applyBorder="1" applyAlignment="1"/>
    <xf numFmtId="0" fontId="11" fillId="0" borderId="27" xfId="0" applyFont="1" applyBorder="1" applyAlignment="1">
      <alignment vertical="top"/>
    </xf>
    <xf numFmtId="0" fontId="11" fillId="0" borderId="28" xfId="0" applyFont="1" applyBorder="1" applyAlignment="1">
      <alignment vertical="top" wrapText="1"/>
    </xf>
    <xf numFmtId="0" fontId="51" fillId="0" borderId="59" xfId="0" applyFont="1" applyBorder="1" applyAlignment="1">
      <alignment horizontal="left" vertical="center" readingOrder="1"/>
    </xf>
    <xf numFmtId="0" fontId="0" fillId="0" borderId="27" xfId="0" applyBorder="1"/>
    <xf numFmtId="0" fontId="52" fillId="0" borderId="27" xfId="0" applyFont="1" applyBorder="1" applyAlignment="1">
      <alignment horizontal="left" vertical="center" readingOrder="1"/>
    </xf>
    <xf numFmtId="0" fontId="52" fillId="0" borderId="28" xfId="0" applyFont="1" applyBorder="1" applyAlignment="1">
      <alignment horizontal="left" vertical="center" readingOrder="1"/>
    </xf>
    <xf numFmtId="0" fontId="11" fillId="0" borderId="37" xfId="0" applyFont="1" applyBorder="1" applyAlignment="1">
      <alignment vertical="top"/>
    </xf>
    <xf numFmtId="0" fontId="39" fillId="0" borderId="0" xfId="0" applyFont="1" applyAlignment="1">
      <alignment wrapText="1"/>
    </xf>
    <xf numFmtId="0" fontId="13" fillId="0" borderId="0" xfId="0" applyFont="1" applyFill="1" applyBorder="1" applyAlignment="1">
      <alignment horizontal="center" wrapText="1"/>
    </xf>
    <xf numFmtId="0" fontId="13" fillId="0" borderId="0" xfId="0" applyFont="1" applyFill="1" applyBorder="1" applyAlignment="1">
      <alignment horizontal="center"/>
    </xf>
    <xf numFmtId="167" fontId="13" fillId="0" borderId="0" xfId="2" applyNumberFormat="1" applyFont="1" applyBorder="1"/>
    <xf numFmtId="170" fontId="13" fillId="0" borderId="1" xfId="3" applyNumberFormat="1" applyFont="1" applyBorder="1"/>
    <xf numFmtId="167" fontId="13" fillId="0" borderId="36" xfId="2" applyNumberFormat="1" applyFont="1" applyBorder="1"/>
    <xf numFmtId="0" fontId="13" fillId="2" borderId="2" xfId="0" applyFont="1" applyFill="1" applyBorder="1" applyAlignment="1">
      <alignment horizontal="center"/>
    </xf>
    <xf numFmtId="0" fontId="45" fillId="0" borderId="26" xfId="0" applyFont="1" applyBorder="1" applyAlignment="1">
      <alignment horizontal="center" vertical="center"/>
    </xf>
    <xf numFmtId="0" fontId="0" fillId="0" borderId="0" xfId="0" applyFont="1"/>
    <xf numFmtId="0" fontId="0" fillId="0" borderId="0" xfId="0" applyFont="1" applyBorder="1" applyAlignment="1">
      <alignment horizontal="left"/>
    </xf>
    <xf numFmtId="0" fontId="46" fillId="0" borderId="0" xfId="0" applyFont="1" applyBorder="1" applyAlignment="1">
      <alignment horizontal="right" vertical="top"/>
    </xf>
    <xf numFmtId="0" fontId="0" fillId="0" borderId="0" xfId="0" applyFont="1" applyBorder="1"/>
    <xf numFmtId="167" fontId="11" fillId="0" borderId="58" xfId="2" applyNumberFormat="1" applyFont="1" applyBorder="1"/>
    <xf numFmtId="167" fontId="39" fillId="0" borderId="18" xfId="2" applyNumberFormat="1" applyFont="1" applyBorder="1" applyAlignment="1">
      <alignment horizontal="right" vertical="center"/>
    </xf>
    <xf numFmtId="0" fontId="49" fillId="0" borderId="56" xfId="0" applyFont="1" applyBorder="1"/>
    <xf numFmtId="167" fontId="11" fillId="0" borderId="56" xfId="2" applyNumberFormat="1" applyFont="1" applyBorder="1"/>
    <xf numFmtId="167" fontId="30" fillId="0" borderId="57" xfId="2" applyNumberFormat="1" applyFont="1" applyBorder="1"/>
    <xf numFmtId="0" fontId="39" fillId="0" borderId="0" xfId="0" applyFont="1" applyFill="1" applyBorder="1" applyAlignment="1">
      <alignment horizontal="center"/>
    </xf>
    <xf numFmtId="0" fontId="39" fillId="0" borderId="0" xfId="0" applyFont="1" applyFill="1" applyBorder="1"/>
    <xf numFmtId="167" fontId="39" fillId="0" borderId="0" xfId="2" applyNumberFormat="1" applyFont="1" applyFill="1" applyBorder="1" applyAlignment="1">
      <alignment horizontal="center" wrapText="1"/>
    </xf>
    <xf numFmtId="167" fontId="30" fillId="0" borderId="0" xfId="2" applyNumberFormat="1" applyFont="1" applyFill="1" applyBorder="1"/>
    <xf numFmtId="167" fontId="50" fillId="0" borderId="0" xfId="2" applyNumberFormat="1" applyFont="1" applyFill="1" applyBorder="1"/>
    <xf numFmtId="167" fontId="11" fillId="0" borderId="0" xfId="2" applyNumberFormat="1" applyFont="1" applyFill="1" applyBorder="1" applyAlignment="1">
      <alignment horizontal="center" vertical="center" wrapText="1"/>
    </xf>
    <xf numFmtId="167" fontId="50" fillId="0" borderId="7" xfId="2" applyNumberFormat="1" applyFont="1" applyBorder="1"/>
    <xf numFmtId="167" fontId="39" fillId="0" borderId="19" xfId="2" applyNumberFormat="1" applyFont="1" applyBorder="1" applyAlignment="1">
      <alignment horizontal="center" vertical="center" wrapText="1"/>
    </xf>
    <xf numFmtId="167" fontId="13" fillId="2" borderId="2" xfId="0" applyNumberFormat="1" applyFont="1" applyFill="1" applyBorder="1"/>
    <xf numFmtId="167" fontId="13" fillId="2" borderId="7" xfId="0" applyNumberFormat="1" applyFont="1" applyFill="1" applyBorder="1"/>
    <xf numFmtId="167" fontId="13" fillId="2" borderId="2" xfId="2" applyNumberFormat="1" applyFont="1" applyFill="1" applyBorder="1"/>
    <xf numFmtId="0" fontId="13" fillId="2" borderId="6" xfId="0" applyFont="1" applyFill="1" applyBorder="1" applyAlignment="1">
      <alignment horizontal="center" vertical="top"/>
    </xf>
    <xf numFmtId="0" fontId="13" fillId="2" borderId="2" xfId="0" applyFont="1" applyFill="1" applyBorder="1"/>
    <xf numFmtId="167" fontId="13" fillId="2" borderId="30" xfId="2" applyNumberFormat="1" applyFont="1" applyFill="1" applyBorder="1"/>
    <xf numFmtId="167" fontId="14" fillId="2" borderId="7" xfId="2" applyNumberFormat="1" applyFont="1" applyFill="1" applyBorder="1"/>
    <xf numFmtId="0" fontId="0" fillId="4" borderId="11" xfId="0" applyFill="1" applyBorder="1"/>
    <xf numFmtId="0" fontId="0" fillId="4" borderId="12" xfId="0" applyFill="1" applyBorder="1"/>
    <xf numFmtId="166" fontId="12" fillId="4" borderId="14" xfId="0" applyNumberFormat="1" applyFont="1" applyFill="1" applyBorder="1" applyAlignment="1">
      <alignment horizontal="center" vertical="top" wrapText="1"/>
    </xf>
    <xf numFmtId="0" fontId="0" fillId="4" borderId="17" xfId="0" applyFill="1" applyBorder="1"/>
    <xf numFmtId="0" fontId="11" fillId="4" borderId="18" xfId="0" quotePrefix="1" applyFont="1" applyFill="1" applyBorder="1" applyAlignment="1">
      <alignment horizontal="left" wrapText="1"/>
    </xf>
    <xf numFmtId="0" fontId="24" fillId="2" borderId="0" xfId="0" applyFont="1" applyFill="1"/>
    <xf numFmtId="0" fontId="24" fillId="2" borderId="12" xfId="0" applyFont="1" applyFill="1" applyBorder="1"/>
    <xf numFmtId="166" fontId="54" fillId="2" borderId="15" xfId="0" applyNumberFormat="1" applyFont="1" applyFill="1" applyBorder="1" applyAlignment="1">
      <alignment horizontal="center" vertical="top" wrapText="1"/>
    </xf>
    <xf numFmtId="0" fontId="24" fillId="2" borderId="18" xfId="0" applyFont="1" applyFill="1" applyBorder="1"/>
    <xf numFmtId="167" fontId="14" fillId="2" borderId="2" xfId="2" applyNumberFormat="1" applyFont="1" applyFill="1" applyBorder="1"/>
    <xf numFmtId="0" fontId="24" fillId="2" borderId="13" xfId="0" applyFont="1" applyFill="1" applyBorder="1"/>
    <xf numFmtId="166" fontId="54" fillId="2" borderId="16" xfId="0" applyNumberFormat="1" applyFont="1" applyFill="1" applyBorder="1" applyAlignment="1">
      <alignment horizontal="center" vertical="top" wrapText="1"/>
    </xf>
    <xf numFmtId="0" fontId="24" fillId="2" borderId="19" xfId="0" applyFont="1" applyFill="1" applyBorder="1"/>
    <xf numFmtId="0" fontId="14" fillId="2" borderId="6" xfId="0" applyFont="1" applyFill="1" applyBorder="1" applyAlignment="1">
      <alignment horizontal="center"/>
    </xf>
    <xf numFmtId="0" fontId="14" fillId="2" borderId="56" xfId="0" applyFont="1" applyFill="1" applyBorder="1" applyAlignment="1">
      <alignment horizontal="left"/>
    </xf>
    <xf numFmtId="0" fontId="16" fillId="2" borderId="56" xfId="0" applyFont="1" applyFill="1" applyBorder="1"/>
    <xf numFmtId="0" fontId="11" fillId="0" borderId="0" xfId="0" applyFont="1" applyBorder="1" applyAlignment="1">
      <alignment horizontal="left" vertical="top" wrapText="1"/>
    </xf>
    <xf numFmtId="0" fontId="11" fillId="0" borderId="27" xfId="0" applyFont="1" applyBorder="1" applyAlignment="1">
      <alignment horizontal="left" vertical="top" wrapText="1"/>
    </xf>
    <xf numFmtId="0" fontId="45" fillId="0" borderId="49" xfId="0" applyFont="1" applyBorder="1" applyAlignment="1">
      <alignment horizontal="center"/>
    </xf>
    <xf numFmtId="0" fontId="45" fillId="0" borderId="26" xfId="0" applyFont="1" applyBorder="1" applyAlignment="1">
      <alignment horizontal="center"/>
    </xf>
    <xf numFmtId="0" fontId="11" fillId="0" borderId="37" xfId="0" applyFont="1" applyBorder="1" applyAlignment="1">
      <alignment horizontal="left" vertical="top" wrapText="1"/>
    </xf>
    <xf numFmtId="0" fontId="11" fillId="0" borderId="28" xfId="0" applyFont="1" applyBorder="1" applyAlignment="1">
      <alignment horizontal="left" vertical="top" wrapText="1"/>
    </xf>
    <xf numFmtId="0" fontId="53" fillId="0" borderId="0" xfId="0" applyFont="1" applyBorder="1" applyAlignment="1">
      <alignment horizontal="left" wrapText="1"/>
    </xf>
    <xf numFmtId="0" fontId="53" fillId="0" borderId="27" xfId="0" applyFont="1" applyBorder="1" applyAlignment="1">
      <alignment horizontal="left" wrapText="1"/>
    </xf>
    <xf numFmtId="0" fontId="11" fillId="0" borderId="0" xfId="0" quotePrefix="1" applyFont="1" applyBorder="1" applyAlignment="1">
      <alignment horizontal="left" wrapText="1"/>
    </xf>
    <xf numFmtId="0" fontId="11" fillId="0" borderId="27" xfId="0" quotePrefix="1" applyFont="1" applyBorder="1" applyAlignment="1">
      <alignment horizontal="left" wrapText="1"/>
    </xf>
    <xf numFmtId="0" fontId="11" fillId="0" borderId="0" xfId="0" applyFont="1" applyBorder="1" applyAlignment="1">
      <alignment horizontal="left" wrapText="1"/>
    </xf>
    <xf numFmtId="0" fontId="11" fillId="0" borderId="27" xfId="0" applyFont="1" applyBorder="1" applyAlignment="1">
      <alignment horizontal="left" wrapText="1"/>
    </xf>
    <xf numFmtId="0" fontId="37" fillId="20" borderId="38" xfId="4" applyFont="1" applyFill="1" applyBorder="1" applyAlignment="1">
      <alignment horizontal="center"/>
    </xf>
    <xf numFmtId="0" fontId="37" fillId="20" borderId="33" xfId="4" applyFont="1" applyFill="1" applyBorder="1" applyAlignment="1">
      <alignment horizontal="center"/>
    </xf>
    <xf numFmtId="0" fontId="37" fillId="20" borderId="39" xfId="4" applyFont="1" applyFill="1" applyBorder="1" applyAlignment="1">
      <alignment horizontal="center"/>
    </xf>
    <xf numFmtId="0" fontId="47" fillId="19" borderId="38" xfId="4" applyFont="1" applyFill="1" applyBorder="1" applyAlignment="1">
      <alignment horizontal="center"/>
    </xf>
    <xf numFmtId="0" fontId="47" fillId="19" borderId="33" xfId="4" applyFont="1" applyFill="1" applyBorder="1" applyAlignment="1">
      <alignment horizontal="center"/>
    </xf>
    <xf numFmtId="0" fontId="47" fillId="19" borderId="39" xfId="4" applyFont="1" applyFill="1" applyBorder="1" applyAlignment="1">
      <alignment horizontal="center"/>
    </xf>
    <xf numFmtId="0" fontId="11" fillId="0" borderId="0" xfId="4" applyFont="1" applyAlignment="1">
      <alignment vertical="center" wrapText="1"/>
    </xf>
    <xf numFmtId="0" fontId="13" fillId="15" borderId="2" xfId="4" applyFont="1" applyFill="1" applyBorder="1" applyAlignment="1">
      <alignment horizontal="center"/>
    </xf>
    <xf numFmtId="0" fontId="13" fillId="15" borderId="2" xfId="4" applyFont="1" applyFill="1" applyBorder="1" applyAlignment="1">
      <alignment horizontal="center" wrapText="1"/>
    </xf>
    <xf numFmtId="0" fontId="11" fillId="0" borderId="0" xfId="0" applyFont="1" applyFill="1" applyBorder="1" applyAlignment="1">
      <alignment horizontal="left"/>
    </xf>
    <xf numFmtId="0" fontId="11" fillId="0" borderId="27" xfId="0" applyFont="1" applyFill="1" applyBorder="1" applyAlignment="1">
      <alignment horizontal="left"/>
    </xf>
    <xf numFmtId="0" fontId="11" fillId="0" borderId="37" xfId="0" applyFont="1" applyFill="1" applyBorder="1" applyAlignment="1">
      <alignment horizontal="left"/>
    </xf>
    <xf numFmtId="0" fontId="11" fillId="0" borderId="28" xfId="0" applyFont="1" applyFill="1" applyBorder="1" applyAlignment="1">
      <alignment horizontal="left"/>
    </xf>
    <xf numFmtId="0" fontId="11" fillId="0" borderId="37" xfId="0" applyFont="1" applyBorder="1" applyAlignment="1">
      <alignment vertical="top" wrapText="1"/>
    </xf>
    <xf numFmtId="0" fontId="0" fillId="0" borderId="37" xfId="0" applyFont="1" applyBorder="1" applyAlignment="1">
      <alignment vertical="top" wrapText="1"/>
    </xf>
    <xf numFmtId="0" fontId="0" fillId="0" borderId="28" xfId="0" applyFont="1" applyBorder="1" applyAlignment="1">
      <alignment vertical="top" wrapText="1"/>
    </xf>
    <xf numFmtId="0" fontId="45" fillId="0" borderId="48" xfId="0" applyFont="1" applyBorder="1" applyAlignment="1">
      <alignment horizontal="center" vertical="center"/>
    </xf>
    <xf numFmtId="0" fontId="45" fillId="0" borderId="49" xfId="0" applyFont="1" applyBorder="1" applyAlignment="1">
      <alignment horizontal="center" vertical="center"/>
    </xf>
    <xf numFmtId="0" fontId="45" fillId="0" borderId="26" xfId="0" applyFont="1" applyBorder="1" applyAlignment="1">
      <alignment horizontal="center" vertical="center"/>
    </xf>
    <xf numFmtId="0" fontId="11" fillId="0" borderId="0" xfId="0" applyFont="1" applyBorder="1" applyAlignment="1">
      <alignment vertical="top" wrapText="1"/>
    </xf>
    <xf numFmtId="0" fontId="11" fillId="0" borderId="0" xfId="0" applyFont="1" applyBorder="1" applyAlignment="1">
      <alignment vertical="top"/>
    </xf>
    <xf numFmtId="0" fontId="11" fillId="0" borderId="27" xfId="0" applyFont="1" applyBorder="1" applyAlignment="1">
      <alignment vertical="top"/>
    </xf>
    <xf numFmtId="0" fontId="11" fillId="0" borderId="27" xfId="0" applyFont="1" applyBorder="1" applyAlignment="1">
      <alignment vertical="top" wrapText="1"/>
    </xf>
    <xf numFmtId="0" fontId="13" fillId="0" borderId="61" xfId="0" applyFont="1" applyBorder="1" applyAlignment="1">
      <alignment horizontal="center" wrapText="1"/>
    </xf>
    <xf numFmtId="0" fontId="1" fillId="0" borderId="35" xfId="0" applyFont="1" applyBorder="1" applyAlignment="1">
      <alignment horizontal="center" wrapText="1"/>
    </xf>
    <xf numFmtId="0" fontId="45" fillId="0" borderId="49" xfId="0" applyFont="1" applyBorder="1" applyAlignment="1">
      <alignment horizontal="center" vertical="top"/>
    </xf>
    <xf numFmtId="0" fontId="45" fillId="0" borderId="26" xfId="0" applyFont="1" applyBorder="1" applyAlignment="1">
      <alignment horizontal="center" vertical="top"/>
    </xf>
    <xf numFmtId="0" fontId="45" fillId="0" borderId="48" xfId="0" applyFont="1" applyBorder="1" applyAlignment="1">
      <alignment horizontal="center"/>
    </xf>
    <xf numFmtId="0" fontId="11" fillId="0" borderId="0" xfId="0" applyFont="1" applyBorder="1" applyAlignment="1">
      <alignment horizontal="left"/>
    </xf>
    <xf numFmtId="0" fontId="11" fillId="0" borderId="27" xfId="0" applyFont="1" applyBorder="1" applyAlignment="1">
      <alignment horizontal="left"/>
    </xf>
    <xf numFmtId="0" fontId="49" fillId="0" borderId="66" xfId="0" applyFont="1" applyBorder="1" applyAlignment="1">
      <alignment horizontal="center" vertical="center" wrapText="1"/>
    </xf>
    <xf numFmtId="0" fontId="49" fillId="0" borderId="60" xfId="0" applyFont="1" applyBorder="1" applyAlignment="1">
      <alignment horizontal="center" vertical="center" wrapText="1"/>
    </xf>
    <xf numFmtId="0" fontId="49" fillId="0" borderId="67" xfId="0" applyFont="1" applyBorder="1" applyAlignment="1">
      <alignment horizontal="center" vertical="center" wrapText="1"/>
    </xf>
    <xf numFmtId="0" fontId="49" fillId="4" borderId="49" xfId="0" applyFont="1" applyFill="1" applyBorder="1" applyAlignment="1">
      <alignment horizontal="center" vertical="center"/>
    </xf>
    <xf numFmtId="0" fontId="49" fillId="4" borderId="26" xfId="0" applyFont="1" applyFill="1" applyBorder="1" applyAlignment="1">
      <alignment horizontal="center" vertical="center"/>
    </xf>
    <xf numFmtId="0" fontId="49" fillId="4" borderId="37" xfId="0" applyFont="1" applyFill="1" applyBorder="1" applyAlignment="1">
      <alignment horizontal="center" vertical="center"/>
    </xf>
    <xf numFmtId="0" fontId="49" fillId="4" borderId="28" xfId="0" applyFont="1" applyFill="1" applyBorder="1" applyAlignment="1">
      <alignment horizontal="center" vertical="center"/>
    </xf>
  </cellXfs>
  <cellStyles count="5">
    <cellStyle name="Comma" xfId="2" builtinId="3"/>
    <cellStyle name="Currency" xfId="3" builtinId="4"/>
    <cellStyle name="Normal" xfId="0" builtinId="0"/>
    <cellStyle name="Normal 2" xfId="4" xr:uid="{C47A65F9-DAE1-4A15-AEF9-4F4D93EFA6C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GPSR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'[1]5 YoY NPR INCREASES FY21-22'!$A$13</c:f>
              <c:strCache>
                <c:ptCount val="1"/>
                <c:pt idx="0">
                  <c:v>FY20</c:v>
                </c:pt>
              </c:strCache>
            </c:strRef>
          </c:tx>
          <c:spPr>
            <a:solidFill>
              <a:schemeClr val="accent2"/>
            </a:solidFill>
            <a:ln>
              <a:noFill/>
            </a:ln>
            <a:effectLst/>
          </c:spPr>
          <c:invertIfNegative val="0"/>
          <c:cat>
            <c:strRef>
              <c:f>'[1]5 YoY NPR INCREASES FY21-22'!$B$5:$K$5</c:f>
              <c:strCache>
                <c:ptCount val="10"/>
                <c:pt idx="0">
                  <c:v>OCT</c:v>
                </c:pt>
                <c:pt idx="1">
                  <c:v>NOV</c:v>
                </c:pt>
                <c:pt idx="2">
                  <c:v>DEC</c:v>
                </c:pt>
                <c:pt idx="3">
                  <c:v>JAN</c:v>
                </c:pt>
                <c:pt idx="4">
                  <c:v>FEB</c:v>
                </c:pt>
                <c:pt idx="5">
                  <c:v>MAR</c:v>
                </c:pt>
                <c:pt idx="6">
                  <c:v>APR</c:v>
                </c:pt>
                <c:pt idx="7">
                  <c:v>MAY</c:v>
                </c:pt>
                <c:pt idx="8">
                  <c:v>JUN</c:v>
                </c:pt>
                <c:pt idx="9">
                  <c:v>JUL</c:v>
                </c:pt>
              </c:strCache>
            </c:strRef>
          </c:cat>
          <c:val>
            <c:numRef>
              <c:f>'[1]5 YoY NPR INCREASES FY21-22'!$B$14:$K$14</c:f>
              <c:numCache>
                <c:formatCode>General</c:formatCode>
                <c:ptCount val="10"/>
                <c:pt idx="0">
                  <c:v>9103245.8500000015</c:v>
                </c:pt>
                <c:pt idx="1">
                  <c:v>8086083.6300000008</c:v>
                </c:pt>
                <c:pt idx="2">
                  <c:v>8409375.0800000019</c:v>
                </c:pt>
                <c:pt idx="3">
                  <c:v>9746099.9300000016</c:v>
                </c:pt>
                <c:pt idx="4">
                  <c:v>8809633.7399999984</c:v>
                </c:pt>
                <c:pt idx="5">
                  <c:v>7396883.7600000016</c:v>
                </c:pt>
                <c:pt idx="6">
                  <c:v>5172054.99</c:v>
                </c:pt>
                <c:pt idx="7">
                  <c:v>6059671.7100000009</c:v>
                </c:pt>
                <c:pt idx="8">
                  <c:v>7302886.6100000013</c:v>
                </c:pt>
                <c:pt idx="9">
                  <c:v>7656994.5</c:v>
                </c:pt>
              </c:numCache>
            </c:numRef>
          </c:val>
          <c:extLst>
            <c:ext xmlns:c16="http://schemas.microsoft.com/office/drawing/2014/chart" uri="{C3380CC4-5D6E-409C-BE32-E72D297353CC}">
              <c16:uniqueId val="{00000000-D9DF-4BBD-8CAA-F7293411B908}"/>
            </c:ext>
          </c:extLst>
        </c:ser>
        <c:ser>
          <c:idx val="0"/>
          <c:order val="1"/>
          <c:tx>
            <c:strRef>
              <c:f>'[1]5 YoY NPR INCREASES FY21-22'!$A$5</c:f>
              <c:strCache>
                <c:ptCount val="1"/>
                <c:pt idx="0">
                  <c:v>FY21</c:v>
                </c:pt>
              </c:strCache>
            </c:strRef>
          </c:tx>
          <c:spPr>
            <a:solidFill>
              <a:schemeClr val="accent1"/>
            </a:solidFill>
            <a:ln>
              <a:noFill/>
            </a:ln>
            <a:effectLst/>
          </c:spPr>
          <c:invertIfNegative val="0"/>
          <c:cat>
            <c:strRef>
              <c:f>'[1]5 YoY NPR INCREASES FY21-22'!$B$5:$K$5</c:f>
              <c:strCache>
                <c:ptCount val="10"/>
                <c:pt idx="0">
                  <c:v>OCT</c:v>
                </c:pt>
                <c:pt idx="1">
                  <c:v>NOV</c:v>
                </c:pt>
                <c:pt idx="2">
                  <c:v>DEC</c:v>
                </c:pt>
                <c:pt idx="3">
                  <c:v>JAN</c:v>
                </c:pt>
                <c:pt idx="4">
                  <c:v>FEB</c:v>
                </c:pt>
                <c:pt idx="5">
                  <c:v>MAR</c:v>
                </c:pt>
                <c:pt idx="6">
                  <c:v>APR</c:v>
                </c:pt>
                <c:pt idx="7">
                  <c:v>MAY</c:v>
                </c:pt>
                <c:pt idx="8">
                  <c:v>JUN</c:v>
                </c:pt>
                <c:pt idx="9">
                  <c:v>JUL</c:v>
                </c:pt>
              </c:strCache>
            </c:strRef>
          </c:cat>
          <c:val>
            <c:numRef>
              <c:f>'[1]5 YoY NPR INCREASES FY21-22'!$B$6:$K$6</c:f>
              <c:numCache>
                <c:formatCode>General</c:formatCode>
                <c:ptCount val="10"/>
                <c:pt idx="0">
                  <c:v>8209636.2000000002</c:v>
                </c:pt>
                <c:pt idx="1">
                  <c:v>7909816.0400000019</c:v>
                </c:pt>
                <c:pt idx="2">
                  <c:v>8152569.0199999986</c:v>
                </c:pt>
                <c:pt idx="3">
                  <c:v>8366974.1000000006</c:v>
                </c:pt>
                <c:pt idx="4">
                  <c:v>7339002.8500000006</c:v>
                </c:pt>
                <c:pt idx="5">
                  <c:v>9117539.8200000003</c:v>
                </c:pt>
                <c:pt idx="6">
                  <c:v>9147608.4700000007</c:v>
                </c:pt>
                <c:pt idx="7">
                  <c:v>8611188.2499999981</c:v>
                </c:pt>
                <c:pt idx="8">
                  <c:v>9524907.120000001</c:v>
                </c:pt>
                <c:pt idx="9">
                  <c:v>9235394.0399999991</c:v>
                </c:pt>
              </c:numCache>
            </c:numRef>
          </c:val>
          <c:extLst>
            <c:ext xmlns:c16="http://schemas.microsoft.com/office/drawing/2014/chart" uri="{C3380CC4-5D6E-409C-BE32-E72D297353CC}">
              <c16:uniqueId val="{00000001-D9DF-4BBD-8CAA-F7293411B908}"/>
            </c:ext>
          </c:extLst>
        </c:ser>
        <c:dLbls>
          <c:showLegendKey val="0"/>
          <c:showVal val="0"/>
          <c:showCatName val="0"/>
          <c:showSerName val="0"/>
          <c:showPercent val="0"/>
          <c:showBubbleSize val="0"/>
        </c:dLbls>
        <c:gapWidth val="219"/>
        <c:overlap val="-27"/>
        <c:axId val="609729839"/>
        <c:axId val="609713615"/>
      </c:barChart>
      <c:catAx>
        <c:axId val="6097298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713615"/>
        <c:crosses val="autoZero"/>
        <c:auto val="1"/>
        <c:lblAlgn val="ctr"/>
        <c:lblOffset val="100"/>
        <c:noMultiLvlLbl val="0"/>
      </c:catAx>
      <c:valAx>
        <c:axId val="6097136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7298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NPSR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'[1]5 YoY NPR INCREASES FY21-22'!$A$13</c:f>
              <c:strCache>
                <c:ptCount val="1"/>
                <c:pt idx="0">
                  <c:v>FY20</c:v>
                </c:pt>
              </c:strCache>
            </c:strRef>
          </c:tx>
          <c:spPr>
            <a:solidFill>
              <a:schemeClr val="accent2"/>
            </a:solidFill>
            <a:ln>
              <a:noFill/>
            </a:ln>
            <a:effectLst/>
          </c:spPr>
          <c:invertIfNegative val="0"/>
          <c:cat>
            <c:strRef>
              <c:f>'[1]5 YoY NPR INCREASES FY21-22'!$B$5:$K$5</c:f>
              <c:strCache>
                <c:ptCount val="10"/>
                <c:pt idx="0">
                  <c:v>OCT</c:v>
                </c:pt>
                <c:pt idx="1">
                  <c:v>NOV</c:v>
                </c:pt>
                <c:pt idx="2">
                  <c:v>DEC</c:v>
                </c:pt>
                <c:pt idx="3">
                  <c:v>JAN</c:v>
                </c:pt>
                <c:pt idx="4">
                  <c:v>FEB</c:v>
                </c:pt>
                <c:pt idx="5">
                  <c:v>MAR</c:v>
                </c:pt>
                <c:pt idx="6">
                  <c:v>APR</c:v>
                </c:pt>
                <c:pt idx="7">
                  <c:v>MAY</c:v>
                </c:pt>
                <c:pt idx="8">
                  <c:v>JUN</c:v>
                </c:pt>
                <c:pt idx="9">
                  <c:v>JUL</c:v>
                </c:pt>
              </c:strCache>
            </c:strRef>
          </c:cat>
          <c:val>
            <c:numRef>
              <c:f>'[1]5 YoY NPR INCREASES FY21-22'!$B$15:$K$15</c:f>
              <c:numCache>
                <c:formatCode>General</c:formatCode>
                <c:ptCount val="10"/>
                <c:pt idx="0">
                  <c:v>4367152.9100000029</c:v>
                </c:pt>
                <c:pt idx="1">
                  <c:v>3533126.7600000016</c:v>
                </c:pt>
                <c:pt idx="2">
                  <c:v>4053444.2200000025</c:v>
                </c:pt>
                <c:pt idx="3">
                  <c:v>4494660.6300000018</c:v>
                </c:pt>
                <c:pt idx="4">
                  <c:v>3620447.1999999974</c:v>
                </c:pt>
                <c:pt idx="5">
                  <c:v>3062817.3900000015</c:v>
                </c:pt>
                <c:pt idx="6">
                  <c:v>1861999.8100000005</c:v>
                </c:pt>
                <c:pt idx="7">
                  <c:v>2022380.4000000004</c:v>
                </c:pt>
                <c:pt idx="8">
                  <c:v>3108014.5100000016</c:v>
                </c:pt>
                <c:pt idx="9">
                  <c:v>3267335.3600000003</c:v>
                </c:pt>
              </c:numCache>
            </c:numRef>
          </c:val>
          <c:extLst>
            <c:ext xmlns:c16="http://schemas.microsoft.com/office/drawing/2014/chart" uri="{C3380CC4-5D6E-409C-BE32-E72D297353CC}">
              <c16:uniqueId val="{00000000-DC35-44B4-A394-B56B3116D538}"/>
            </c:ext>
          </c:extLst>
        </c:ser>
        <c:ser>
          <c:idx val="0"/>
          <c:order val="1"/>
          <c:tx>
            <c:strRef>
              <c:f>'[1]5 YoY NPR INCREASES FY21-22'!$A$5</c:f>
              <c:strCache>
                <c:ptCount val="1"/>
                <c:pt idx="0">
                  <c:v>FY21</c:v>
                </c:pt>
              </c:strCache>
            </c:strRef>
          </c:tx>
          <c:spPr>
            <a:solidFill>
              <a:schemeClr val="accent1"/>
            </a:solidFill>
            <a:ln>
              <a:noFill/>
            </a:ln>
            <a:effectLst/>
          </c:spPr>
          <c:invertIfNegative val="0"/>
          <c:cat>
            <c:strRef>
              <c:f>'[1]5 YoY NPR INCREASES FY21-22'!$B$5:$K$5</c:f>
              <c:strCache>
                <c:ptCount val="10"/>
                <c:pt idx="0">
                  <c:v>OCT</c:v>
                </c:pt>
                <c:pt idx="1">
                  <c:v>NOV</c:v>
                </c:pt>
                <c:pt idx="2">
                  <c:v>DEC</c:v>
                </c:pt>
                <c:pt idx="3">
                  <c:v>JAN</c:v>
                </c:pt>
                <c:pt idx="4">
                  <c:v>FEB</c:v>
                </c:pt>
                <c:pt idx="5">
                  <c:v>MAR</c:v>
                </c:pt>
                <c:pt idx="6">
                  <c:v>APR</c:v>
                </c:pt>
                <c:pt idx="7">
                  <c:v>MAY</c:v>
                </c:pt>
                <c:pt idx="8">
                  <c:v>JUN</c:v>
                </c:pt>
                <c:pt idx="9">
                  <c:v>JUL</c:v>
                </c:pt>
              </c:strCache>
            </c:strRef>
          </c:cat>
          <c:val>
            <c:numRef>
              <c:f>'[1]5 YoY NPR INCREASES FY21-22'!$B$7:$K$7</c:f>
              <c:numCache>
                <c:formatCode>General</c:formatCode>
                <c:ptCount val="10"/>
                <c:pt idx="0">
                  <c:v>3416681.9800000014</c:v>
                </c:pt>
                <c:pt idx="1">
                  <c:v>3335168.0500000017</c:v>
                </c:pt>
                <c:pt idx="2">
                  <c:v>4254259.3099999987</c:v>
                </c:pt>
                <c:pt idx="3">
                  <c:v>3140057.4000000004</c:v>
                </c:pt>
                <c:pt idx="4">
                  <c:v>3473175.0100000012</c:v>
                </c:pt>
                <c:pt idx="5">
                  <c:v>3682802.2100000009</c:v>
                </c:pt>
                <c:pt idx="6">
                  <c:v>5071898.67</c:v>
                </c:pt>
                <c:pt idx="7">
                  <c:v>3888964.9599999981</c:v>
                </c:pt>
                <c:pt idx="8">
                  <c:v>4045944.9800000004</c:v>
                </c:pt>
                <c:pt idx="9">
                  <c:v>4387087.7799999993</c:v>
                </c:pt>
              </c:numCache>
            </c:numRef>
          </c:val>
          <c:extLst>
            <c:ext xmlns:c16="http://schemas.microsoft.com/office/drawing/2014/chart" uri="{C3380CC4-5D6E-409C-BE32-E72D297353CC}">
              <c16:uniqueId val="{00000001-DC35-44B4-A394-B56B3116D538}"/>
            </c:ext>
          </c:extLst>
        </c:ser>
        <c:dLbls>
          <c:showLegendKey val="0"/>
          <c:showVal val="0"/>
          <c:showCatName val="0"/>
          <c:showSerName val="0"/>
          <c:showPercent val="0"/>
          <c:showBubbleSize val="0"/>
        </c:dLbls>
        <c:gapWidth val="219"/>
        <c:overlap val="-27"/>
        <c:axId val="821702015"/>
        <c:axId val="821702847"/>
      </c:barChart>
      <c:catAx>
        <c:axId val="821702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1702847"/>
        <c:crosses val="autoZero"/>
        <c:auto val="1"/>
        <c:lblAlgn val="ctr"/>
        <c:lblOffset val="100"/>
        <c:noMultiLvlLbl val="0"/>
      </c:catAx>
      <c:valAx>
        <c:axId val="8217028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1702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27</xdr:row>
      <xdr:rowOff>0</xdr:rowOff>
    </xdr:from>
    <xdr:to>
      <xdr:col>6</xdr:col>
      <xdr:colOff>381000</xdr:colOff>
      <xdr:row>40</xdr:row>
      <xdr:rowOff>149225</xdr:rowOff>
    </xdr:to>
    <xdr:graphicFrame macro="">
      <xdr:nvGraphicFramePr>
        <xdr:cNvPr id="6" name="Chart 5">
          <a:extLst>
            <a:ext uri="{FF2B5EF4-FFF2-40B4-BE49-F238E27FC236}">
              <a16:creationId xmlns:a16="http://schemas.microsoft.com/office/drawing/2014/main" id="{BD73C6D1-E4FF-4C1F-85B6-6B59B7A25B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27</xdr:row>
      <xdr:rowOff>0</xdr:rowOff>
    </xdr:from>
    <xdr:to>
      <xdr:col>13</xdr:col>
      <xdr:colOff>542925</xdr:colOff>
      <xdr:row>40</xdr:row>
      <xdr:rowOff>149225</xdr:rowOff>
    </xdr:to>
    <xdr:graphicFrame macro="">
      <xdr:nvGraphicFramePr>
        <xdr:cNvPr id="8" name="Chart 7">
          <a:extLst>
            <a:ext uri="{FF2B5EF4-FFF2-40B4-BE49-F238E27FC236}">
              <a16:creationId xmlns:a16="http://schemas.microsoft.com/office/drawing/2014/main" id="{03076D26-2B82-4E1D-AD95-6099477C5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Donahue\AppData\Local\Microsoft\Windows\INetCache\Content.Outlook\LB2AJBOS\NPR%20FORECAST%20TO%20NPR%20FY22%20BUDGET%20(DRAFT%2009022021)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NPR RECON"/>
      <sheetName val="2 NPR BY PAYOR"/>
      <sheetName val="3 UTILIZATION INCREASE"/>
      <sheetName val="4 10% NPR INCREASE"/>
      <sheetName val="5 YoY NPR INCREASES FY21-22"/>
      <sheetName val="6 NPR RATE &amp; UTILIZATION"/>
      <sheetName val="7"/>
      <sheetName val="8 PSYCH &amp; ADULT DAY"/>
      <sheetName val="9 OTHER UTILIZATION INCREASES"/>
      <sheetName val="10"/>
      <sheetName val=" 11 IP PSYCH - COVID &amp; NOW"/>
      <sheetName val="SUPPORTING WORKPAPERS =&gt;"/>
      <sheetName val="INCOME STATMENT 0% INCR"/>
      <sheetName val="INCOME STATMENT 8% INCR"/>
      <sheetName val="IP PSYCH COVID ANALYSIS"/>
      <sheetName val="REVIEW BY GL ACCOUNT"/>
      <sheetName val="CONTRACTUALS 0% INCR"/>
    </sheetNames>
    <sheetDataSet>
      <sheetData sheetId="0"/>
      <sheetData sheetId="1"/>
      <sheetData sheetId="2"/>
      <sheetData sheetId="3"/>
      <sheetData sheetId="4"/>
      <sheetData sheetId="5">
        <row r="5">
          <cell r="A5" t="str">
            <v>FY21</v>
          </cell>
          <cell r="B5" t="str">
            <v>OCT</v>
          </cell>
          <cell r="C5" t="str">
            <v>NOV</v>
          </cell>
          <cell r="D5" t="str">
            <v>DEC</v>
          </cell>
          <cell r="E5" t="str">
            <v>JAN</v>
          </cell>
          <cell r="F5" t="str">
            <v>FEB</v>
          </cell>
          <cell r="G5" t="str">
            <v>MAR</v>
          </cell>
          <cell r="H5" t="str">
            <v>APR</v>
          </cell>
          <cell r="I5" t="str">
            <v>MAY</v>
          </cell>
          <cell r="J5" t="str">
            <v>JUN</v>
          </cell>
          <cell r="K5" t="str">
            <v>JUL</v>
          </cell>
        </row>
        <row r="6">
          <cell r="B6">
            <v>8209636.2000000002</v>
          </cell>
          <cell r="C6">
            <v>7909816.0400000019</v>
          </cell>
          <cell r="D6">
            <v>8152569.0199999986</v>
          </cell>
          <cell r="E6">
            <v>8366974.1000000006</v>
          </cell>
          <cell r="F6">
            <v>7339002.8500000006</v>
          </cell>
          <cell r="G6">
            <v>9117539.8200000003</v>
          </cell>
          <cell r="H6">
            <v>9147608.4700000007</v>
          </cell>
          <cell r="I6">
            <v>8611188.2499999981</v>
          </cell>
          <cell r="J6">
            <v>9524907.120000001</v>
          </cell>
          <cell r="K6">
            <v>9235394.0399999991</v>
          </cell>
        </row>
        <row r="7">
          <cell r="B7">
            <v>3416681.9800000014</v>
          </cell>
          <cell r="C7">
            <v>3335168.0500000017</v>
          </cell>
          <cell r="D7">
            <v>4254259.3099999987</v>
          </cell>
          <cell r="E7">
            <v>3140057.4000000004</v>
          </cell>
          <cell r="F7">
            <v>3473175.0100000012</v>
          </cell>
          <cell r="G7">
            <v>3682802.2100000009</v>
          </cell>
          <cell r="H7">
            <v>5071898.67</v>
          </cell>
          <cell r="I7">
            <v>3888964.9599999981</v>
          </cell>
          <cell r="J7">
            <v>4045944.9800000004</v>
          </cell>
          <cell r="K7">
            <v>4387087.7799999993</v>
          </cell>
        </row>
        <row r="13">
          <cell r="A13" t="str">
            <v>FY20</v>
          </cell>
        </row>
        <row r="14">
          <cell r="B14">
            <v>9103245.8500000015</v>
          </cell>
          <cell r="C14">
            <v>8086083.6300000008</v>
          </cell>
          <cell r="D14">
            <v>8409375.0800000019</v>
          </cell>
          <cell r="E14">
            <v>9746099.9300000016</v>
          </cell>
          <cell r="F14">
            <v>8809633.7399999984</v>
          </cell>
          <cell r="G14">
            <v>7396883.7600000016</v>
          </cell>
          <cell r="H14">
            <v>5172054.99</v>
          </cell>
          <cell r="I14">
            <v>6059671.7100000009</v>
          </cell>
          <cell r="J14">
            <v>7302886.6100000013</v>
          </cell>
          <cell r="K14">
            <v>7656994.5</v>
          </cell>
        </row>
        <row r="15">
          <cell r="B15">
            <v>4367152.9100000029</v>
          </cell>
          <cell r="C15">
            <v>3533126.7600000016</v>
          </cell>
          <cell r="D15">
            <v>4053444.2200000025</v>
          </cell>
          <cell r="E15">
            <v>4494660.6300000018</v>
          </cell>
          <cell r="F15">
            <v>3620447.1999999974</v>
          </cell>
          <cell r="G15">
            <v>3062817.3900000015</v>
          </cell>
          <cell r="H15">
            <v>1861999.8100000005</v>
          </cell>
          <cell r="I15">
            <v>2022380.4000000004</v>
          </cell>
          <cell r="J15">
            <v>3108014.5100000016</v>
          </cell>
          <cell r="K15">
            <v>3267335.3600000003</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90285-4221-4341-B96C-4F4B11C40AE0}">
  <sheetPr>
    <tabColor rgb="FF00B050"/>
  </sheetPr>
  <dimension ref="A1:F30"/>
  <sheetViews>
    <sheetView workbookViewId="0">
      <selection activeCell="C23" sqref="C23"/>
    </sheetView>
  </sheetViews>
  <sheetFormatPr defaultRowHeight="14.5" x14ac:dyDescent="0.35"/>
  <cols>
    <col min="1" max="1" width="9.1796875" style="7"/>
    <col min="3" max="3" width="121.81640625" customWidth="1"/>
    <col min="4" max="4" width="28" customWidth="1"/>
    <col min="5" max="5" width="17.26953125" bestFit="1" customWidth="1"/>
    <col min="6" max="6" width="16" customWidth="1"/>
  </cols>
  <sheetData>
    <row r="1" spans="1:6" ht="18.5" x14ac:dyDescent="0.45">
      <c r="C1" s="55" t="s">
        <v>270</v>
      </c>
    </row>
    <row r="2" spans="1:6" ht="18.5" x14ac:dyDescent="0.45">
      <c r="C2" s="55" t="s">
        <v>532</v>
      </c>
    </row>
    <row r="3" spans="1:6" ht="18.5" x14ac:dyDescent="0.45">
      <c r="C3" s="55" t="s">
        <v>533</v>
      </c>
    </row>
    <row r="4" spans="1:6" ht="19" thickBot="1" x14ac:dyDescent="0.5">
      <c r="C4" s="55"/>
    </row>
    <row r="5" spans="1:6" ht="15" thickTop="1" x14ac:dyDescent="0.35">
      <c r="A5" s="231"/>
      <c r="B5" s="97"/>
      <c r="C5" s="97"/>
      <c r="D5" s="97"/>
      <c r="E5" s="232"/>
    </row>
    <row r="6" spans="1:6" x14ac:dyDescent="0.35">
      <c r="A6" s="233"/>
      <c r="B6" s="234" t="s">
        <v>2</v>
      </c>
      <c r="C6" s="234" t="s">
        <v>0</v>
      </c>
      <c r="D6" s="234" t="s">
        <v>1</v>
      </c>
      <c r="E6" s="244" t="s">
        <v>13</v>
      </c>
      <c r="F6" s="2"/>
    </row>
    <row r="7" spans="1:6" x14ac:dyDescent="0.35">
      <c r="A7" s="233">
        <v>1</v>
      </c>
      <c r="B7" s="235">
        <v>1</v>
      </c>
      <c r="C7" s="236" t="s">
        <v>8</v>
      </c>
      <c r="D7" s="236" t="s">
        <v>7</v>
      </c>
      <c r="E7" s="245">
        <v>44442</v>
      </c>
      <c r="F7" s="3"/>
    </row>
    <row r="8" spans="1:6" x14ac:dyDescent="0.35">
      <c r="A8" s="233">
        <f>+A7+1</f>
        <v>2</v>
      </c>
      <c r="B8" s="235">
        <v>1</v>
      </c>
      <c r="C8" s="236" t="s">
        <v>9</v>
      </c>
      <c r="D8" s="236" t="s">
        <v>7</v>
      </c>
      <c r="E8" s="245">
        <v>44442</v>
      </c>
      <c r="F8" s="3"/>
    </row>
    <row r="9" spans="1:6" x14ac:dyDescent="0.35">
      <c r="A9" s="233">
        <f t="shared" ref="A9:A17" si="0">+A8+1</f>
        <v>3</v>
      </c>
      <c r="B9" s="235">
        <v>1</v>
      </c>
      <c r="C9" s="236" t="s">
        <v>10</v>
      </c>
      <c r="D9" s="236" t="s">
        <v>7</v>
      </c>
      <c r="E9" s="245">
        <v>44442</v>
      </c>
      <c r="F9" s="3"/>
    </row>
    <row r="10" spans="1:6" x14ac:dyDescent="0.35">
      <c r="A10" s="233">
        <f t="shared" si="0"/>
        <v>4</v>
      </c>
      <c r="B10" s="235">
        <v>1</v>
      </c>
      <c r="C10" s="237" t="s">
        <v>17</v>
      </c>
      <c r="D10" s="236" t="s">
        <v>7</v>
      </c>
      <c r="E10" s="245">
        <v>44442</v>
      </c>
      <c r="F10" s="3"/>
    </row>
    <row r="11" spans="1:6" x14ac:dyDescent="0.35">
      <c r="A11" s="233">
        <f t="shared" si="0"/>
        <v>5</v>
      </c>
      <c r="B11" s="235">
        <v>1</v>
      </c>
      <c r="C11" s="236" t="s">
        <v>12</v>
      </c>
      <c r="D11" s="236" t="s">
        <v>7</v>
      </c>
      <c r="E11" s="245">
        <v>44442</v>
      </c>
      <c r="F11" s="3"/>
    </row>
    <row r="12" spans="1:6" x14ac:dyDescent="0.35">
      <c r="A12" s="233">
        <f t="shared" si="0"/>
        <v>6</v>
      </c>
      <c r="B12" s="235">
        <v>1</v>
      </c>
      <c r="C12" s="236" t="s">
        <v>14</v>
      </c>
      <c r="D12" s="236" t="s">
        <v>7</v>
      </c>
      <c r="E12" s="245">
        <v>44442</v>
      </c>
      <c r="F12" s="3"/>
    </row>
    <row r="13" spans="1:6" ht="29" x14ac:dyDescent="0.35">
      <c r="A13" s="233">
        <f t="shared" si="0"/>
        <v>7</v>
      </c>
      <c r="B13" s="235">
        <v>1</v>
      </c>
      <c r="C13" s="237" t="s">
        <v>11</v>
      </c>
      <c r="D13" s="236" t="s">
        <v>7</v>
      </c>
      <c r="E13" s="245">
        <v>44442</v>
      </c>
      <c r="F13" s="3"/>
    </row>
    <row r="14" spans="1:6" x14ac:dyDescent="0.35">
      <c r="A14" s="233">
        <f t="shared" si="0"/>
        <v>8</v>
      </c>
      <c r="B14" s="235">
        <v>1</v>
      </c>
      <c r="C14" s="236" t="s">
        <v>18</v>
      </c>
      <c r="D14" s="236" t="s">
        <v>7</v>
      </c>
      <c r="E14" s="245">
        <v>44442</v>
      </c>
      <c r="F14" s="3"/>
    </row>
    <row r="15" spans="1:6" x14ac:dyDescent="0.35">
      <c r="A15" s="233">
        <f t="shared" si="0"/>
        <v>9</v>
      </c>
      <c r="B15" s="235">
        <v>1</v>
      </c>
      <c r="C15" s="236" t="s">
        <v>19</v>
      </c>
      <c r="D15" s="236" t="s">
        <v>7</v>
      </c>
      <c r="E15" s="245">
        <v>44442</v>
      </c>
      <c r="F15" s="3"/>
    </row>
    <row r="16" spans="1:6" x14ac:dyDescent="0.35">
      <c r="A16" s="233">
        <f t="shared" si="0"/>
        <v>10</v>
      </c>
      <c r="B16" s="235">
        <v>1</v>
      </c>
      <c r="C16" s="237" t="s">
        <v>15</v>
      </c>
      <c r="D16" s="236" t="s">
        <v>7</v>
      </c>
      <c r="E16" s="245">
        <v>44442</v>
      </c>
      <c r="F16" s="3"/>
    </row>
    <row r="17" spans="1:5" ht="16.5" customHeight="1" x14ac:dyDescent="0.35">
      <c r="A17" s="233">
        <f t="shared" si="0"/>
        <v>11</v>
      </c>
      <c r="B17" s="235">
        <v>1</v>
      </c>
      <c r="C17" s="236" t="s">
        <v>16</v>
      </c>
      <c r="D17" s="236" t="s">
        <v>7</v>
      </c>
      <c r="E17" s="245">
        <v>44442</v>
      </c>
    </row>
    <row r="18" spans="1:5" x14ac:dyDescent="0.35">
      <c r="A18" s="233"/>
      <c r="B18" s="234" t="s">
        <v>6</v>
      </c>
      <c r="C18" s="30"/>
      <c r="D18" s="30"/>
      <c r="E18" s="238"/>
    </row>
    <row r="19" spans="1:5" x14ac:dyDescent="0.35">
      <c r="A19" s="233"/>
      <c r="B19" s="239">
        <v>1</v>
      </c>
      <c r="C19" s="30" t="s">
        <v>5</v>
      </c>
      <c r="D19" s="30"/>
      <c r="E19" s="238"/>
    </row>
    <row r="20" spans="1:5" x14ac:dyDescent="0.35">
      <c r="A20" s="233"/>
      <c r="B20" s="240">
        <v>2</v>
      </c>
      <c r="C20" s="30" t="s">
        <v>4</v>
      </c>
      <c r="D20" s="30"/>
      <c r="E20" s="238"/>
    </row>
    <row r="21" spans="1:5" x14ac:dyDescent="0.35">
      <c r="A21" s="233"/>
      <c r="B21" s="241">
        <v>3</v>
      </c>
      <c r="C21" s="30" t="s">
        <v>3</v>
      </c>
      <c r="D21" s="30"/>
      <c r="E21" s="238"/>
    </row>
    <row r="22" spans="1:5" ht="15" thickBot="1" x14ac:dyDescent="0.4">
      <c r="A22" s="242"/>
      <c r="B22" s="95"/>
      <c r="C22" s="95"/>
      <c r="D22" s="95"/>
      <c r="E22" s="243"/>
    </row>
    <row r="23" spans="1:5" ht="15" thickTop="1" x14ac:dyDescent="0.35"/>
    <row r="30" spans="1:5" ht="78.75" customHeight="1" x14ac:dyDescent="0.35"/>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B9603-9BA9-434D-9363-75600A8A59AB}">
  <sheetPr>
    <tabColor rgb="FFFFFF00"/>
  </sheetPr>
  <dimension ref="B1:E10"/>
  <sheetViews>
    <sheetView workbookViewId="0">
      <selection activeCell="C7" sqref="C7"/>
    </sheetView>
  </sheetViews>
  <sheetFormatPr defaultRowHeight="14.5" x14ac:dyDescent="0.35"/>
  <cols>
    <col min="3" max="3" width="73" customWidth="1"/>
  </cols>
  <sheetData>
    <row r="1" spans="2:5" ht="18" x14ac:dyDescent="0.4">
      <c r="B1" s="255"/>
      <c r="C1" s="247" t="s">
        <v>270</v>
      </c>
      <c r="D1" s="255"/>
      <c r="E1" s="255"/>
    </row>
    <row r="2" spans="2:5" ht="18" x14ac:dyDescent="0.4">
      <c r="B2" s="247" t="s">
        <v>524</v>
      </c>
      <c r="C2" s="271" t="s">
        <v>525</v>
      </c>
      <c r="D2" s="255"/>
      <c r="E2" s="255"/>
    </row>
    <row r="3" spans="2:5" ht="18" x14ac:dyDescent="0.4">
      <c r="B3" s="255"/>
      <c r="C3" s="247" t="s">
        <v>271</v>
      </c>
      <c r="D3" s="255"/>
      <c r="E3" s="255"/>
    </row>
    <row r="4" spans="2:5" x14ac:dyDescent="0.35">
      <c r="B4" s="255"/>
      <c r="C4" s="255"/>
      <c r="D4" s="255"/>
      <c r="E4" s="255"/>
    </row>
    <row r="5" spans="2:5" x14ac:dyDescent="0.35">
      <c r="B5" s="255"/>
      <c r="C5" s="412" t="s">
        <v>591</v>
      </c>
      <c r="D5" s="255"/>
      <c r="E5" s="255"/>
    </row>
    <row r="6" spans="2:5" x14ac:dyDescent="0.35">
      <c r="B6" s="347"/>
      <c r="D6" s="255"/>
      <c r="E6" s="255"/>
    </row>
    <row r="7" spans="2:5" x14ac:dyDescent="0.35">
      <c r="B7" s="255"/>
      <c r="C7" s="255"/>
      <c r="D7" s="255"/>
      <c r="E7" s="255"/>
    </row>
    <row r="8" spans="2:5" x14ac:dyDescent="0.35">
      <c r="B8" s="255"/>
      <c r="C8" s="255"/>
      <c r="D8" s="255"/>
      <c r="E8" s="255"/>
    </row>
    <row r="9" spans="2:5" x14ac:dyDescent="0.35">
      <c r="B9" s="255"/>
      <c r="C9" s="255"/>
      <c r="D9" s="255"/>
      <c r="E9" s="255"/>
    </row>
    <row r="10" spans="2:5" x14ac:dyDescent="0.35">
      <c r="B10" s="255"/>
      <c r="C10" s="255"/>
      <c r="D10" s="255"/>
      <c r="E10" s="25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2B373-AC4D-4D69-A2AA-0251828B0843}">
  <sheetPr>
    <tabColor rgb="FFFFFF00"/>
  </sheetPr>
  <dimension ref="B1:P28"/>
  <sheetViews>
    <sheetView topLeftCell="A4" zoomScale="140" zoomScaleNormal="140" workbookViewId="0">
      <selection activeCell="C15" sqref="C15"/>
    </sheetView>
  </sheetViews>
  <sheetFormatPr defaultRowHeight="14.5" x14ac:dyDescent="0.35"/>
  <cols>
    <col min="2" max="2" width="4.26953125" customWidth="1"/>
    <col min="3" max="3" width="72.81640625" customWidth="1"/>
  </cols>
  <sheetData>
    <row r="1" spans="2:5" ht="18" x14ac:dyDescent="0.4">
      <c r="B1" s="255"/>
      <c r="C1" s="247" t="s">
        <v>270</v>
      </c>
      <c r="D1" s="255"/>
      <c r="E1" s="255"/>
    </row>
    <row r="2" spans="2:5" ht="18" x14ac:dyDescent="0.4">
      <c r="B2" s="247" t="s">
        <v>599</v>
      </c>
      <c r="C2" s="247" t="s">
        <v>592</v>
      </c>
      <c r="D2" s="255"/>
      <c r="E2" s="255"/>
    </row>
    <row r="3" spans="2:5" ht="18" x14ac:dyDescent="0.4">
      <c r="B3" s="255"/>
      <c r="C3" s="247" t="s">
        <v>271</v>
      </c>
      <c r="D3" s="255"/>
      <c r="E3" s="255"/>
    </row>
    <row r="4" spans="2:5" ht="15" thickBot="1" x14ac:dyDescent="0.4">
      <c r="B4" s="255"/>
      <c r="C4" s="255"/>
      <c r="D4" s="255"/>
      <c r="E4" s="255"/>
    </row>
    <row r="5" spans="2:5" ht="23.15" customHeight="1" x14ac:dyDescent="0.35">
      <c r="B5" s="567" t="s">
        <v>607</v>
      </c>
      <c r="C5" s="569"/>
      <c r="D5" s="255"/>
      <c r="E5" s="255"/>
    </row>
    <row r="6" spans="2:5" x14ac:dyDescent="0.35">
      <c r="B6" s="486" t="s">
        <v>650</v>
      </c>
      <c r="C6" s="487"/>
      <c r="D6" s="255"/>
      <c r="E6" s="255"/>
    </row>
    <row r="7" spans="2:5" x14ac:dyDescent="0.35">
      <c r="B7" s="450"/>
      <c r="C7" s="488" t="s">
        <v>649</v>
      </c>
    </row>
    <row r="8" spans="2:5" x14ac:dyDescent="0.35">
      <c r="B8" s="486" t="s">
        <v>651</v>
      </c>
      <c r="C8" s="487"/>
    </row>
    <row r="9" spans="2:5" x14ac:dyDescent="0.35">
      <c r="B9" s="450">
        <v>1</v>
      </c>
      <c r="C9" s="488" t="s">
        <v>545</v>
      </c>
    </row>
    <row r="10" spans="2:5" x14ac:dyDescent="0.35">
      <c r="B10" s="450">
        <v>2</v>
      </c>
      <c r="C10" s="488" t="s">
        <v>546</v>
      </c>
    </row>
    <row r="11" spans="2:5" x14ac:dyDescent="0.35">
      <c r="B11" s="450">
        <v>3</v>
      </c>
      <c r="C11" s="488" t="s">
        <v>547</v>
      </c>
    </row>
    <row r="12" spans="2:5" x14ac:dyDescent="0.35">
      <c r="B12" s="450">
        <v>4</v>
      </c>
      <c r="C12" s="488" t="s">
        <v>548</v>
      </c>
    </row>
    <row r="13" spans="2:5" x14ac:dyDescent="0.35">
      <c r="B13" s="450">
        <v>5</v>
      </c>
      <c r="C13" s="488" t="s">
        <v>593</v>
      </c>
    </row>
    <row r="14" spans="2:5" x14ac:dyDescent="0.35">
      <c r="B14" s="450">
        <v>6</v>
      </c>
      <c r="C14" s="488" t="s">
        <v>594</v>
      </c>
    </row>
    <row r="15" spans="2:5" x14ac:dyDescent="0.35">
      <c r="B15" s="450">
        <v>7</v>
      </c>
      <c r="C15" s="488" t="s">
        <v>595</v>
      </c>
    </row>
    <row r="16" spans="2:5" x14ac:dyDescent="0.35">
      <c r="B16" s="450">
        <v>8</v>
      </c>
      <c r="C16" s="488" t="s">
        <v>69</v>
      </c>
    </row>
    <row r="17" spans="2:16" x14ac:dyDescent="0.35">
      <c r="B17" s="450">
        <v>9</v>
      </c>
      <c r="C17" s="488" t="s">
        <v>596</v>
      </c>
    </row>
    <row r="18" spans="2:16" x14ac:dyDescent="0.35">
      <c r="B18" s="450">
        <v>10</v>
      </c>
      <c r="C18" s="488" t="s">
        <v>597</v>
      </c>
    </row>
    <row r="19" spans="2:16" ht="15" thickBot="1" x14ac:dyDescent="0.4">
      <c r="B19" s="451">
        <v>11</v>
      </c>
      <c r="C19" s="489" t="s">
        <v>598</v>
      </c>
    </row>
    <row r="20" spans="2:16" x14ac:dyDescent="0.35">
      <c r="B20" s="255"/>
      <c r="C20" s="255"/>
    </row>
    <row r="28" spans="2:16" x14ac:dyDescent="0.35">
      <c r="P28">
        <v>10</v>
      </c>
    </row>
  </sheetData>
  <mergeCells count="1">
    <mergeCell ref="B5:C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462D6-E7C5-4DF0-BA5D-15972C208258}">
  <sheetPr>
    <tabColor rgb="FFFFFF00"/>
  </sheetPr>
  <dimension ref="A1:J39"/>
  <sheetViews>
    <sheetView topLeftCell="A4" zoomScale="110" zoomScaleNormal="110" zoomScaleSheetLayoutView="99" workbookViewId="0">
      <selection activeCell="D17" sqref="D17"/>
    </sheetView>
  </sheetViews>
  <sheetFormatPr defaultRowHeight="14.5" x14ac:dyDescent="0.35"/>
  <cols>
    <col min="1" max="2" width="4.54296875" customWidth="1"/>
    <col min="3" max="3" width="33.1796875" bestFit="1" customWidth="1"/>
    <col min="4" max="4" width="17.81640625" customWidth="1"/>
    <col min="5" max="5" width="15.26953125" style="6" customWidth="1"/>
    <col min="6" max="6" width="19" style="6" customWidth="1"/>
    <col min="7" max="7" width="17.1796875" style="6" customWidth="1"/>
    <col min="8" max="8" width="4.81640625" style="6" customWidth="1"/>
    <col min="9" max="9" width="30.1796875" style="6" customWidth="1"/>
  </cols>
  <sheetData>
    <row r="1" spans="1:10" ht="18.5" x14ac:dyDescent="0.45">
      <c r="C1" s="55" t="s">
        <v>270</v>
      </c>
      <c r="I1" s="226"/>
    </row>
    <row r="2" spans="1:10" ht="18.5" x14ac:dyDescent="0.45">
      <c r="B2" s="227" t="s">
        <v>526</v>
      </c>
      <c r="C2" s="225" t="s">
        <v>531</v>
      </c>
    </row>
    <row r="3" spans="1:10" ht="18.5" x14ac:dyDescent="0.45">
      <c r="C3" s="55" t="s">
        <v>271</v>
      </c>
      <c r="I3" s="226"/>
    </row>
    <row r="4" spans="1:10" ht="19" thickBot="1" x14ac:dyDescent="0.5">
      <c r="C4" s="55"/>
      <c r="I4" s="226"/>
    </row>
    <row r="5" spans="1:10" ht="18" x14ac:dyDescent="0.4">
      <c r="B5" s="578" t="s">
        <v>607</v>
      </c>
      <c r="C5" s="541"/>
      <c r="D5" s="541"/>
      <c r="E5" s="541"/>
      <c r="F5" s="541"/>
      <c r="G5" s="541"/>
      <c r="H5" s="541"/>
      <c r="I5" s="542"/>
      <c r="J5" s="255"/>
    </row>
    <row r="6" spans="1:10" ht="42" customHeight="1" x14ac:dyDescent="0.35">
      <c r="A6" s="411"/>
      <c r="B6" s="450">
        <v>1</v>
      </c>
      <c r="C6" s="539" t="s">
        <v>602</v>
      </c>
      <c r="D6" s="539"/>
      <c r="E6" s="539"/>
      <c r="F6" s="539"/>
      <c r="G6" s="539"/>
      <c r="H6" s="539"/>
      <c r="I6" s="540"/>
      <c r="J6" s="255"/>
    </row>
    <row r="7" spans="1:10" ht="18" customHeight="1" x14ac:dyDescent="0.35">
      <c r="B7" s="450">
        <v>2</v>
      </c>
      <c r="C7" s="539" t="s">
        <v>656</v>
      </c>
      <c r="D7" s="539"/>
      <c r="E7" s="539"/>
      <c r="F7" s="539"/>
      <c r="G7" s="539"/>
      <c r="H7" s="539"/>
      <c r="I7" s="540"/>
      <c r="J7" s="255"/>
    </row>
    <row r="8" spans="1:10" ht="25" customHeight="1" thickBot="1" x14ac:dyDescent="0.4">
      <c r="B8" s="451">
        <v>3</v>
      </c>
      <c r="C8" s="543" t="s">
        <v>606</v>
      </c>
      <c r="D8" s="543"/>
      <c r="E8" s="543"/>
      <c r="F8" s="543"/>
      <c r="G8" s="543"/>
      <c r="H8" s="543"/>
      <c r="I8" s="544"/>
      <c r="J8" s="255"/>
    </row>
    <row r="9" spans="1:10" ht="18" x14ac:dyDescent="0.4">
      <c r="B9" s="255"/>
      <c r="C9" s="255"/>
      <c r="D9" s="247"/>
      <c r="E9" s="256"/>
      <c r="F9" s="256"/>
      <c r="G9" s="256"/>
      <c r="H9" s="256"/>
      <c r="I9" s="339"/>
      <c r="J9" s="255"/>
    </row>
    <row r="10" spans="1:10" ht="15" thickBot="1" x14ac:dyDescent="0.4">
      <c r="B10" s="255"/>
      <c r="C10" s="255"/>
      <c r="D10" s="255"/>
      <c r="E10" s="256"/>
      <c r="F10" s="256"/>
      <c r="G10" s="256"/>
      <c r="H10" s="256"/>
      <c r="I10" s="339"/>
      <c r="J10" s="255"/>
    </row>
    <row r="11" spans="1:10" ht="16" customHeight="1" x14ac:dyDescent="0.35">
      <c r="B11" s="413"/>
      <c r="C11" s="584" t="s">
        <v>527</v>
      </c>
      <c r="D11" s="584"/>
      <c r="E11" s="584"/>
      <c r="F11" s="584"/>
      <c r="G11" s="585"/>
      <c r="H11" s="256"/>
      <c r="I11" s="481"/>
      <c r="J11" s="255"/>
    </row>
    <row r="12" spans="1:10" s="221" customFormat="1" ht="16" thickBot="1" x14ac:dyDescent="0.4">
      <c r="A12"/>
      <c r="B12" s="414"/>
      <c r="C12" s="586"/>
      <c r="D12" s="586"/>
      <c r="E12" s="586"/>
      <c r="F12" s="586"/>
      <c r="G12" s="587"/>
      <c r="H12" s="260"/>
      <c r="I12" s="509"/>
      <c r="J12" s="260"/>
    </row>
    <row r="13" spans="1:10" s="221" customFormat="1" ht="15.5" x14ac:dyDescent="0.35">
      <c r="A13"/>
      <c r="B13" s="415"/>
      <c r="C13" s="416"/>
      <c r="D13" s="417"/>
      <c r="E13" s="417"/>
      <c r="F13" s="417"/>
      <c r="G13" s="418"/>
      <c r="H13" s="260"/>
      <c r="I13" s="508"/>
      <c r="J13" s="260"/>
    </row>
    <row r="14" spans="1:10" s="221" customFormat="1" ht="16" thickBot="1" x14ac:dyDescent="0.4">
      <c r="A14"/>
      <c r="B14" s="419"/>
      <c r="C14" s="420"/>
      <c r="D14" s="504" t="s">
        <v>528</v>
      </c>
      <c r="E14" s="504" t="s">
        <v>529</v>
      </c>
      <c r="F14" s="504" t="s">
        <v>530</v>
      </c>
      <c r="G14" s="515" t="s">
        <v>601</v>
      </c>
      <c r="H14" s="260"/>
      <c r="I14" s="510"/>
      <c r="J14" s="260"/>
    </row>
    <row r="15" spans="1:10" ht="15.5" x14ac:dyDescent="0.35">
      <c r="B15" s="403"/>
      <c r="C15" s="421" t="s">
        <v>600</v>
      </c>
      <c r="D15" s="422">
        <v>3776735</v>
      </c>
      <c r="E15" s="422">
        <v>2314960</v>
      </c>
      <c r="F15" s="422">
        <v>875592</v>
      </c>
      <c r="G15" s="503">
        <v>4380000</v>
      </c>
      <c r="H15" s="256"/>
      <c r="I15" s="481"/>
      <c r="J15" s="255"/>
    </row>
    <row r="16" spans="1:10" ht="15.5" x14ac:dyDescent="0.35">
      <c r="B16" s="31"/>
      <c r="C16" s="421" t="s">
        <v>183</v>
      </c>
      <c r="D16" s="423">
        <v>1196918.0500000003</v>
      </c>
      <c r="E16" s="423">
        <v>666414.57999999996</v>
      </c>
      <c r="F16" s="423">
        <v>256819.33714285714</v>
      </c>
      <c r="G16" s="424">
        <v>1990163.0745734018</v>
      </c>
      <c r="H16" s="256"/>
      <c r="I16" s="481"/>
      <c r="J16" s="255"/>
    </row>
    <row r="17" spans="2:10" ht="15.5" x14ac:dyDescent="0.35">
      <c r="B17" s="31"/>
      <c r="C17" s="421" t="s">
        <v>267</v>
      </c>
      <c r="D17" s="423">
        <f t="shared" ref="D17:E17" si="0">+D15-D16</f>
        <v>2579816.9499999997</v>
      </c>
      <c r="E17" s="423">
        <f t="shared" si="0"/>
        <v>1648545.42</v>
      </c>
      <c r="F17" s="423">
        <f>+F15-F16</f>
        <v>618772.66285714286</v>
      </c>
      <c r="G17" s="424">
        <f>+G15-G16</f>
        <v>2389836.9254265982</v>
      </c>
      <c r="H17" s="256"/>
      <c r="I17" s="481"/>
      <c r="J17" s="255"/>
    </row>
    <row r="18" spans="2:10" ht="15.5" x14ac:dyDescent="0.35">
      <c r="B18" s="31"/>
      <c r="C18" s="421"/>
      <c r="D18" s="423"/>
      <c r="E18" s="423"/>
      <c r="F18" s="423"/>
      <c r="G18" s="424"/>
      <c r="H18" s="256"/>
      <c r="I18" s="481"/>
      <c r="J18" s="255"/>
    </row>
    <row r="19" spans="2:10" ht="15.5" hidden="1" x14ac:dyDescent="0.35">
      <c r="B19" s="31"/>
      <c r="C19" s="421"/>
      <c r="D19" s="423"/>
      <c r="E19" s="423"/>
      <c r="F19" s="423"/>
      <c r="G19" s="424"/>
      <c r="H19" s="256"/>
      <c r="I19" s="481"/>
      <c r="J19" s="255"/>
    </row>
    <row r="20" spans="2:10" ht="15.5" x14ac:dyDescent="0.35">
      <c r="B20" s="31"/>
      <c r="C20" s="421" t="s">
        <v>555</v>
      </c>
      <c r="D20" s="423">
        <v>2024209.56</v>
      </c>
      <c r="E20" s="423">
        <v>1937467.2599999993</v>
      </c>
      <c r="F20" s="423">
        <v>2075717.708571428</v>
      </c>
      <c r="G20" s="424">
        <v>2037198.6183323199</v>
      </c>
      <c r="H20" s="256"/>
      <c r="I20" s="481"/>
      <c r="J20" s="255"/>
    </row>
    <row r="21" spans="2:10" ht="15.5" x14ac:dyDescent="0.35">
      <c r="B21" s="31"/>
      <c r="C21" s="421"/>
      <c r="D21" s="423"/>
      <c r="E21" s="423"/>
      <c r="F21" s="423"/>
      <c r="G21" s="424"/>
      <c r="H21" s="256"/>
      <c r="I21" s="481"/>
      <c r="J21" s="255"/>
    </row>
    <row r="22" spans="2:10" ht="16" thickBot="1" x14ac:dyDescent="0.4">
      <c r="B22" s="285"/>
      <c r="C22" s="505" t="s">
        <v>652</v>
      </c>
      <c r="D22" s="506">
        <f>+D17-D20</f>
        <v>555607.38999999966</v>
      </c>
      <c r="E22" s="506">
        <f t="shared" ref="E22:F22" si="1">+E17-E20</f>
        <v>-288921.83999999939</v>
      </c>
      <c r="F22" s="506">
        <f t="shared" si="1"/>
        <v>-1456945.0457142852</v>
      </c>
      <c r="G22" s="507">
        <f>+G17-G20</f>
        <v>352638.30709427828</v>
      </c>
      <c r="H22" s="425"/>
      <c r="I22" s="511"/>
      <c r="J22" s="255"/>
    </row>
    <row r="23" spans="2:10" ht="16" thickTop="1" x14ac:dyDescent="0.35">
      <c r="B23" s="426"/>
      <c r="C23" s="421" t="s">
        <v>653</v>
      </c>
      <c r="D23" s="423"/>
      <c r="E23" s="423">
        <v>1023823</v>
      </c>
      <c r="F23" s="423">
        <v>1303925</v>
      </c>
      <c r="G23" s="514"/>
      <c r="H23" s="256"/>
      <c r="I23" s="512"/>
      <c r="J23" s="255"/>
    </row>
    <row r="24" spans="2:10" ht="15.5" x14ac:dyDescent="0.35">
      <c r="B24" s="426"/>
      <c r="C24" s="421" t="s">
        <v>654</v>
      </c>
      <c r="D24" s="423">
        <f>+D23+D22</f>
        <v>555607.38999999966</v>
      </c>
      <c r="E24" s="423">
        <f t="shared" ref="E24:G24" si="2">+E23+E22</f>
        <v>734901.16000000061</v>
      </c>
      <c r="F24" s="423">
        <f t="shared" si="2"/>
        <v>-153020.04571428522</v>
      </c>
      <c r="G24" s="424">
        <f t="shared" si="2"/>
        <v>352638.30709427828</v>
      </c>
      <c r="H24" s="256"/>
      <c r="I24" s="512"/>
      <c r="J24" s="255"/>
    </row>
    <row r="25" spans="2:10" ht="47.15" customHeight="1" thickBot="1" x14ac:dyDescent="0.4">
      <c r="B25" s="427"/>
      <c r="C25" s="581" t="s">
        <v>655</v>
      </c>
      <c r="D25" s="582"/>
      <c r="E25" s="582"/>
      <c r="F25" s="582"/>
      <c r="G25" s="583"/>
      <c r="H25" s="256"/>
      <c r="I25" s="513"/>
      <c r="J25" s="255"/>
    </row>
    <row r="26" spans="2:10" x14ac:dyDescent="0.35">
      <c r="B26" s="255"/>
      <c r="C26" s="255"/>
      <c r="D26" s="255"/>
      <c r="E26" s="256"/>
      <c r="F26" s="256"/>
      <c r="G26" s="256"/>
      <c r="H26" s="256"/>
      <c r="I26" s="256"/>
      <c r="J26" s="255"/>
    </row>
    <row r="27" spans="2:10" x14ac:dyDescent="0.35">
      <c r="B27" s="255"/>
      <c r="C27" s="255"/>
      <c r="D27" s="255"/>
      <c r="E27" s="256"/>
      <c r="F27" s="256"/>
      <c r="G27" s="256"/>
      <c r="H27" s="256"/>
      <c r="I27" s="256"/>
      <c r="J27" s="255"/>
    </row>
    <row r="28" spans="2:10" x14ac:dyDescent="0.35">
      <c r="B28" s="255"/>
      <c r="C28" s="255"/>
      <c r="D28" s="255"/>
      <c r="E28" s="256"/>
      <c r="F28" s="256"/>
      <c r="G28" s="256"/>
      <c r="H28" s="256"/>
      <c r="I28" s="256"/>
      <c r="J28" s="255"/>
    </row>
    <row r="29" spans="2:10" x14ac:dyDescent="0.35">
      <c r="B29" s="255"/>
      <c r="C29" s="255"/>
      <c r="D29" s="255"/>
      <c r="E29" s="256"/>
      <c r="F29" s="256"/>
      <c r="G29" s="256"/>
      <c r="H29" s="256"/>
      <c r="I29" s="256"/>
      <c r="J29" s="255"/>
    </row>
    <row r="30" spans="2:10" x14ac:dyDescent="0.35">
      <c r="B30" s="255"/>
      <c r="C30" s="255"/>
      <c r="D30" s="255"/>
      <c r="E30" s="256"/>
      <c r="F30" s="256"/>
      <c r="G30" s="256"/>
      <c r="H30" s="256"/>
      <c r="I30" s="256"/>
      <c r="J30" s="255"/>
    </row>
    <row r="31" spans="2:10" x14ac:dyDescent="0.35">
      <c r="B31" s="255"/>
      <c r="C31" s="255"/>
      <c r="D31" s="255"/>
      <c r="E31" s="256"/>
      <c r="F31" s="256"/>
      <c r="G31" s="256"/>
      <c r="H31" s="256"/>
      <c r="I31" s="256"/>
      <c r="J31" s="255"/>
    </row>
    <row r="32" spans="2:10" x14ac:dyDescent="0.35">
      <c r="B32" s="255"/>
      <c r="C32" s="255"/>
      <c r="D32" s="255"/>
      <c r="E32" s="256"/>
      <c r="F32" s="256"/>
      <c r="G32" s="256"/>
      <c r="H32" s="256"/>
      <c r="I32" s="256"/>
      <c r="J32" s="255"/>
    </row>
    <row r="33" spans="2:10" x14ac:dyDescent="0.35">
      <c r="B33" s="255"/>
      <c r="C33" s="255"/>
      <c r="D33" s="255"/>
      <c r="E33" s="256"/>
      <c r="F33" s="256"/>
      <c r="G33" s="256"/>
      <c r="H33" s="256"/>
      <c r="I33" s="256"/>
      <c r="J33" s="255"/>
    </row>
    <row r="34" spans="2:10" x14ac:dyDescent="0.35">
      <c r="B34" s="255"/>
      <c r="C34" s="255"/>
      <c r="D34" s="255"/>
      <c r="E34" s="256"/>
      <c r="F34" s="256"/>
      <c r="G34" s="256"/>
      <c r="H34" s="256"/>
      <c r="I34" s="256"/>
      <c r="J34" s="255"/>
    </row>
    <row r="35" spans="2:10" x14ac:dyDescent="0.35">
      <c r="B35" s="255"/>
      <c r="C35" s="255"/>
      <c r="D35" s="255"/>
      <c r="E35" s="256"/>
      <c r="F35" s="256"/>
      <c r="G35" s="256"/>
      <c r="H35" s="256"/>
      <c r="I35" s="256"/>
      <c r="J35" s="255"/>
    </row>
    <row r="36" spans="2:10" x14ac:dyDescent="0.35">
      <c r="B36" s="255"/>
      <c r="C36" s="255"/>
      <c r="D36" s="255"/>
      <c r="E36" s="256"/>
      <c r="F36" s="256"/>
      <c r="G36" s="256"/>
      <c r="H36" s="256"/>
      <c r="I36" s="256"/>
      <c r="J36" s="255"/>
    </row>
    <row r="37" spans="2:10" x14ac:dyDescent="0.35">
      <c r="B37" s="255"/>
      <c r="C37" s="255"/>
      <c r="D37" s="255"/>
      <c r="E37" s="256"/>
      <c r="F37" s="256"/>
      <c r="G37" s="256"/>
      <c r="H37" s="256"/>
      <c r="I37" s="256"/>
      <c r="J37" s="255"/>
    </row>
    <row r="38" spans="2:10" x14ac:dyDescent="0.35">
      <c r="B38" s="255"/>
      <c r="C38" s="255"/>
      <c r="D38" s="255"/>
      <c r="E38" s="256"/>
      <c r="F38" s="256"/>
      <c r="G38" s="256"/>
      <c r="H38" s="256"/>
      <c r="I38" s="256"/>
      <c r="J38" s="255"/>
    </row>
    <row r="39" spans="2:10" x14ac:dyDescent="0.35">
      <c r="B39" s="255"/>
      <c r="C39" s="255"/>
      <c r="D39" s="255"/>
      <c r="E39" s="256"/>
      <c r="F39" s="256"/>
      <c r="G39" s="256"/>
      <c r="H39" s="256"/>
      <c r="I39" s="256"/>
      <c r="J39" s="255"/>
    </row>
  </sheetData>
  <mergeCells count="6">
    <mergeCell ref="C25:G25"/>
    <mergeCell ref="C11:G12"/>
    <mergeCell ref="B5:I5"/>
    <mergeCell ref="C6:I6"/>
    <mergeCell ref="C7:I7"/>
    <mergeCell ref="C8:I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B9E65-4C1C-4A2C-8ACF-7820D759D24C}">
  <sheetPr>
    <tabColor rgb="FFFF0000"/>
  </sheetPr>
  <dimension ref="A1"/>
  <sheetViews>
    <sheetView workbookViewId="0">
      <selection activeCell="O34" sqref="O34"/>
    </sheetView>
  </sheetViews>
  <sheetFormatPr defaultRowHeight="14.5" x14ac:dyDescent="0.3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15961-2FDD-4A9A-B56E-4AAD40045FB5}">
  <sheetPr>
    <tabColor rgb="FFFF0000"/>
  </sheetPr>
  <dimension ref="A1:U108"/>
  <sheetViews>
    <sheetView workbookViewId="0">
      <selection activeCell="N21" sqref="N21"/>
    </sheetView>
  </sheetViews>
  <sheetFormatPr defaultRowHeight="14.5" x14ac:dyDescent="0.35"/>
  <cols>
    <col min="1" max="1" width="3.453125" customWidth="1"/>
    <col min="2" max="2" width="40.26953125" customWidth="1"/>
    <col min="3" max="3" width="13.54296875" bestFit="1" customWidth="1"/>
    <col min="4" max="4" width="20" hidden="1" customWidth="1"/>
    <col min="5" max="5" width="15.453125" customWidth="1"/>
    <col min="6" max="6" width="17.453125" customWidth="1"/>
    <col min="7" max="7" width="18.26953125" customWidth="1"/>
    <col min="8" max="8" width="14.453125" customWidth="1"/>
    <col min="9" max="10" width="15.26953125" customWidth="1"/>
    <col min="11" max="11" width="13.453125" bestFit="1" customWidth="1"/>
    <col min="12" max="13" width="14.81640625" style="4" customWidth="1"/>
    <col min="14" max="14" width="106.54296875" style="117" bestFit="1" customWidth="1"/>
    <col min="16" max="16" width="11.54296875" bestFit="1" customWidth="1"/>
    <col min="17" max="17" width="9.7265625" bestFit="1" customWidth="1"/>
    <col min="18" max="18" width="15.26953125" style="6" bestFit="1" customWidth="1"/>
    <col min="19" max="19" width="12.26953125" style="6" bestFit="1" customWidth="1"/>
    <col min="20" max="20" width="15.26953125" bestFit="1" customWidth="1"/>
    <col min="21" max="21" width="9.7265625" bestFit="1" customWidth="1"/>
  </cols>
  <sheetData>
    <row r="1" spans="1:21" x14ac:dyDescent="0.35">
      <c r="L1"/>
      <c r="M1"/>
      <c r="N1"/>
    </row>
    <row r="2" spans="1:21" ht="54" customHeight="1" x14ac:dyDescent="0.35">
      <c r="A2" s="118"/>
      <c r="C2" s="119" t="s">
        <v>329</v>
      </c>
      <c r="D2" s="119" t="s">
        <v>330</v>
      </c>
      <c r="E2" s="119" t="s">
        <v>331</v>
      </c>
      <c r="F2" s="119" t="s">
        <v>20</v>
      </c>
      <c r="G2" s="119" t="s">
        <v>332</v>
      </c>
      <c r="H2" s="119" t="s">
        <v>333</v>
      </c>
      <c r="I2" s="119" t="s">
        <v>334</v>
      </c>
      <c r="J2" s="119" t="s">
        <v>334</v>
      </c>
      <c r="K2" s="119" t="s">
        <v>335</v>
      </c>
      <c r="L2" s="119" t="s">
        <v>336</v>
      </c>
      <c r="M2" s="119" t="s">
        <v>337</v>
      </c>
      <c r="N2" s="120" t="s">
        <v>338</v>
      </c>
    </row>
    <row r="3" spans="1:21" x14ac:dyDescent="0.35">
      <c r="A3" s="121" t="s">
        <v>339</v>
      </c>
      <c r="B3" s="121"/>
      <c r="H3" s="122" t="s">
        <v>340</v>
      </c>
      <c r="I3" s="122" t="s">
        <v>340</v>
      </c>
      <c r="J3" s="122" t="s">
        <v>340</v>
      </c>
      <c r="K3" s="122" t="s">
        <v>340</v>
      </c>
      <c r="L3" s="122" t="s">
        <v>340</v>
      </c>
      <c r="M3" s="122" t="s">
        <v>340</v>
      </c>
    </row>
    <row r="4" spans="1:21" ht="18" customHeight="1" x14ac:dyDescent="0.35">
      <c r="A4" s="123"/>
      <c r="B4" s="124" t="s">
        <v>21</v>
      </c>
      <c r="C4" s="125">
        <v>19843570.349999998</v>
      </c>
      <c r="D4" s="125">
        <v>9111698.0200000033</v>
      </c>
      <c r="E4" s="125">
        <v>18679264.899999999</v>
      </c>
      <c r="F4" s="125">
        <v>15620053.748571435</v>
      </c>
      <c r="G4" s="125">
        <v>22707365</v>
      </c>
      <c r="H4" s="125">
        <v>20013988.827709649</v>
      </c>
      <c r="I4" s="126">
        <v>4393935.0791382138</v>
      </c>
      <c r="J4" s="126">
        <v>4393935.0791382138</v>
      </c>
      <c r="K4" s="126">
        <v>-2693376.1722903512</v>
      </c>
      <c r="L4" s="127">
        <v>0.28130089370147465</v>
      </c>
      <c r="M4" s="127">
        <v>-0.11861244896932564</v>
      </c>
      <c r="R4" s="128">
        <v>24318156.943713278</v>
      </c>
      <c r="S4" s="6">
        <v>-1610791.9437132776</v>
      </c>
      <c r="T4">
        <v>22819398.84</v>
      </c>
      <c r="U4" s="8">
        <v>-112033.83999999985</v>
      </c>
    </row>
    <row r="5" spans="1:21" ht="18" customHeight="1" x14ac:dyDescent="0.35">
      <c r="A5" s="129"/>
      <c r="B5" s="124" t="s">
        <v>22</v>
      </c>
      <c r="C5" s="125">
        <v>81456659.210000008</v>
      </c>
      <c r="D5" s="125">
        <v>42650869.820000008</v>
      </c>
      <c r="E5" s="125">
        <v>65178256.069999985</v>
      </c>
      <c r="F5" s="125">
        <v>73115776.834285706</v>
      </c>
      <c r="G5" s="125">
        <v>76665604</v>
      </c>
      <c r="H5" s="125">
        <v>75312139.144313365</v>
      </c>
      <c r="I5" s="126">
        <v>2196362.3100276589</v>
      </c>
      <c r="J5" s="126">
        <v>2196362.3100276589</v>
      </c>
      <c r="K5" s="126">
        <v>-1353464.8556866348</v>
      </c>
      <c r="L5" s="127">
        <v>3.003951274436481E-2</v>
      </c>
      <c r="M5" s="127">
        <v>-1.765413412364996E-2</v>
      </c>
      <c r="R5" s="128">
        <v>76665779.043093055</v>
      </c>
      <c r="S5" s="6">
        <v>-175.04309305548668</v>
      </c>
      <c r="T5">
        <v>76665845.489999995</v>
      </c>
      <c r="U5" s="8">
        <v>-241.48999999463558</v>
      </c>
    </row>
    <row r="6" spans="1:21" ht="18" customHeight="1" x14ac:dyDescent="0.35">
      <c r="A6" s="130"/>
      <c r="B6" s="131" t="s">
        <v>23</v>
      </c>
      <c r="C6" s="125">
        <v>8912505.5300000012</v>
      </c>
      <c r="D6" s="125">
        <v>6480578.6600000001</v>
      </c>
      <c r="E6" s="125">
        <v>9273009.7300000004</v>
      </c>
      <c r="F6" s="125">
        <v>11109563.417142859</v>
      </c>
      <c r="G6" s="125">
        <v>10699692</v>
      </c>
      <c r="H6" s="125">
        <v>12031584.756589975</v>
      </c>
      <c r="I6" s="126">
        <v>922021.33944711648</v>
      </c>
      <c r="J6" s="126">
        <v>922021.33944711648</v>
      </c>
      <c r="K6" s="126">
        <v>1331892.7565899752</v>
      </c>
      <c r="L6" s="127">
        <v>8.2993480916124115E-2</v>
      </c>
      <c r="M6" s="127">
        <v>0.12447954170923567</v>
      </c>
      <c r="N6" s="117" t="s">
        <v>341</v>
      </c>
      <c r="R6" s="128">
        <v>10677341.501249652</v>
      </c>
      <c r="S6" s="6">
        <v>22350.498750347644</v>
      </c>
      <c r="T6">
        <v>10587411.189999999</v>
      </c>
      <c r="U6" s="8">
        <v>112280.81000000052</v>
      </c>
    </row>
    <row r="7" spans="1:21" ht="18" customHeight="1" x14ac:dyDescent="0.35">
      <c r="A7" s="123"/>
      <c r="B7" s="132" t="s">
        <v>342</v>
      </c>
      <c r="C7" s="133">
        <v>110212735.09</v>
      </c>
      <c r="D7" s="133">
        <v>58243146.500000015</v>
      </c>
      <c r="E7" s="133">
        <v>93130530.699999988</v>
      </c>
      <c r="F7" s="133">
        <v>99845394</v>
      </c>
      <c r="G7" s="133">
        <v>110072661</v>
      </c>
      <c r="H7" s="133">
        <v>107357712.72861299</v>
      </c>
      <c r="I7" s="134">
        <v>7512318.7286129892</v>
      </c>
      <c r="J7" s="134">
        <v>7512318.7286129892</v>
      </c>
      <c r="K7" s="134">
        <v>-2714948.2713870108</v>
      </c>
      <c r="L7" s="135">
        <v>7.5239512086185859E-2</v>
      </c>
      <c r="M7" s="135">
        <v>-2.4665055307302973E-2</v>
      </c>
      <c r="R7" s="6">
        <v>111661277.48805599</v>
      </c>
      <c r="S7" s="6">
        <v>-1588616.4880559891</v>
      </c>
      <c r="T7" s="6">
        <v>110072655</v>
      </c>
      <c r="U7" s="8">
        <v>6</v>
      </c>
    </row>
    <row r="8" spans="1:21" ht="18" customHeight="1" x14ac:dyDescent="0.35">
      <c r="A8" s="123"/>
      <c r="B8" s="132" t="s">
        <v>24</v>
      </c>
      <c r="C8" s="136"/>
      <c r="D8" s="136"/>
      <c r="E8" s="136"/>
      <c r="F8" s="136"/>
      <c r="G8" s="136"/>
      <c r="H8" s="136"/>
      <c r="I8" s="137"/>
      <c r="J8" s="137"/>
      <c r="K8" s="137"/>
      <c r="L8" s="138"/>
      <c r="M8" s="138"/>
      <c r="S8" s="6">
        <v>0</v>
      </c>
    </row>
    <row r="9" spans="1:21" ht="18" customHeight="1" x14ac:dyDescent="0.35">
      <c r="A9" s="123"/>
      <c r="B9" s="124" t="s">
        <v>25</v>
      </c>
      <c r="C9" s="125">
        <v>55881499.999999993</v>
      </c>
      <c r="D9" s="125">
        <v>30418000.57</v>
      </c>
      <c r="E9" s="125">
        <v>49259042.620000005</v>
      </c>
      <c r="F9" s="125">
        <v>52145143.834285706</v>
      </c>
      <c r="G9" s="125">
        <v>54334789</v>
      </c>
      <c r="H9" s="125">
        <v>56356251.148129255</v>
      </c>
      <c r="I9" s="126">
        <v>4211107.3138435483</v>
      </c>
      <c r="J9" s="126">
        <v>4211107.3138435483</v>
      </c>
      <c r="K9" s="126">
        <v>2021462.1481292546</v>
      </c>
      <c r="L9" s="127">
        <v>8.0757420618614212E-2</v>
      </c>
      <c r="M9" s="127">
        <v>3.7203828069144698E-2</v>
      </c>
      <c r="R9" s="6">
        <v>54334786.004835367</v>
      </c>
      <c r="S9" s="6">
        <v>2.9951646327972412</v>
      </c>
    </row>
    <row r="10" spans="1:21" ht="18" customHeight="1" x14ac:dyDescent="0.35">
      <c r="A10" s="123"/>
      <c r="B10" s="124" t="s">
        <v>26</v>
      </c>
      <c r="C10" s="125">
        <v>1565752.83</v>
      </c>
      <c r="D10" s="125">
        <v>446547.75</v>
      </c>
      <c r="E10" s="125">
        <v>918532.57000000018</v>
      </c>
      <c r="F10" s="125">
        <v>765510.42857142852</v>
      </c>
      <c r="G10" s="125">
        <v>1136260</v>
      </c>
      <c r="H10" s="125">
        <v>801177.89034041099</v>
      </c>
      <c r="I10" s="126">
        <v>35667.461768982466</v>
      </c>
      <c r="J10" s="126">
        <v>35667.461768982466</v>
      </c>
      <c r="K10" s="126">
        <v>-335082.10965958901</v>
      </c>
      <c r="L10" s="127">
        <v>4.6593044898870888E-2</v>
      </c>
      <c r="M10" s="127">
        <v>-0.29489915130303718</v>
      </c>
      <c r="R10" s="6">
        <v>1136259.8407582585</v>
      </c>
      <c r="S10" s="6">
        <v>0.15924174152314663</v>
      </c>
    </row>
    <row r="11" spans="1:21" ht="18" customHeight="1" x14ac:dyDescent="0.35">
      <c r="A11" s="123"/>
      <c r="B11" s="124" t="s">
        <v>27</v>
      </c>
      <c r="C11" s="125">
        <v>5271466.790000001</v>
      </c>
      <c r="D11" s="125">
        <v>1485154.7600000002</v>
      </c>
      <c r="E11" s="125">
        <v>4046158.5500000007</v>
      </c>
      <c r="F11" s="139">
        <v>2545979.5885714283</v>
      </c>
      <c r="G11" s="125">
        <v>5010225</v>
      </c>
      <c r="H11" s="139">
        <v>2559407.9868812365</v>
      </c>
      <c r="I11" s="126">
        <v>13428.398309808224</v>
      </c>
      <c r="J11" s="126">
        <v>13428.398309808224</v>
      </c>
      <c r="K11" s="126">
        <v>-2450817.0131187635</v>
      </c>
      <c r="L11" s="127">
        <v>5.2743542682300209E-3</v>
      </c>
      <c r="M11" s="127">
        <v>-0.48916306415755051</v>
      </c>
      <c r="N11" s="140" t="s">
        <v>343</v>
      </c>
      <c r="R11" s="6">
        <v>5010225.8310202751</v>
      </c>
      <c r="S11" s="6">
        <v>-0.83102027513086796</v>
      </c>
    </row>
    <row r="12" spans="1:21" ht="18" customHeight="1" x14ac:dyDescent="0.35">
      <c r="A12" s="123"/>
      <c r="B12" s="124" t="s">
        <v>28</v>
      </c>
      <c r="C12" s="125">
        <v>-1019052.99</v>
      </c>
      <c r="D12" s="125">
        <v>-480599.21000000008</v>
      </c>
      <c r="E12" s="125">
        <v>-883306.96</v>
      </c>
      <c r="F12" s="125">
        <v>-823884.3600000001</v>
      </c>
      <c r="G12" s="125">
        <v>-1008927</v>
      </c>
      <c r="H12" s="125">
        <v>-823884.3600000001</v>
      </c>
      <c r="I12" s="126">
        <v>0</v>
      </c>
      <c r="J12" s="126">
        <v>0</v>
      </c>
      <c r="K12" s="126">
        <v>185042.6399999999</v>
      </c>
      <c r="L12" s="127">
        <v>0</v>
      </c>
      <c r="M12" s="127">
        <v>-0.1834053801712115</v>
      </c>
      <c r="R12" s="6">
        <v>-1008926.7810260036</v>
      </c>
      <c r="S12" s="6">
        <v>-0.21897399635054171</v>
      </c>
    </row>
    <row r="13" spans="1:21" ht="18" customHeight="1" thickBot="1" x14ac:dyDescent="0.4">
      <c r="A13" s="123"/>
      <c r="B13" s="132" t="s">
        <v>344</v>
      </c>
      <c r="C13" s="141">
        <v>61699666.629999988</v>
      </c>
      <c r="D13" s="141">
        <v>31869103.870000001</v>
      </c>
      <c r="E13" s="141">
        <v>53340426.780000009</v>
      </c>
      <c r="F13" s="141">
        <v>54632749.491428562</v>
      </c>
      <c r="G13" s="141">
        <v>59472347</v>
      </c>
      <c r="H13" s="141">
        <v>58892952.665350899</v>
      </c>
      <c r="I13" s="142">
        <v>4260203.1739223376</v>
      </c>
      <c r="J13" s="142">
        <v>4260203.1739223376</v>
      </c>
      <c r="K13" s="142">
        <v>-579394.3346491009</v>
      </c>
      <c r="L13" s="143">
        <v>7.7978926808190921E-2</v>
      </c>
      <c r="M13" s="143">
        <v>-9.7422476810794245E-3</v>
      </c>
      <c r="R13" s="6">
        <v>59472344.895587891</v>
      </c>
      <c r="S13" s="6">
        <v>2.1044121086597443</v>
      </c>
    </row>
    <row r="14" spans="1:21" ht="18" customHeight="1" thickBot="1" x14ac:dyDescent="0.4">
      <c r="A14" s="123"/>
      <c r="B14" s="132" t="s">
        <v>345</v>
      </c>
      <c r="C14" s="144">
        <v>48513068.460000016</v>
      </c>
      <c r="D14" s="144">
        <v>26374042.630000014</v>
      </c>
      <c r="E14" s="144">
        <v>39790103.919999979</v>
      </c>
      <c r="F14" s="144">
        <v>45212644.508571438</v>
      </c>
      <c r="G14" s="144">
        <v>50600314</v>
      </c>
      <c r="H14" s="145">
        <v>48464760.06326209</v>
      </c>
      <c r="I14" s="146">
        <v>3252115.5546906516</v>
      </c>
      <c r="J14" s="146">
        <v>3252115.5546906516</v>
      </c>
      <c r="K14" s="146">
        <v>-2135553.9367379099</v>
      </c>
      <c r="L14" s="147">
        <v>7.1929337247108247E-2</v>
      </c>
      <c r="M14" s="147">
        <v>-4.2204361355107599E-2</v>
      </c>
      <c r="O14" s="148" t="s">
        <v>346</v>
      </c>
      <c r="P14" s="149"/>
      <c r="R14" s="6">
        <v>52188932.592468098</v>
      </c>
      <c r="S14" s="6">
        <v>-1588618.5924680978</v>
      </c>
      <c r="T14">
        <v>50600310.799999997</v>
      </c>
      <c r="U14" s="8">
        <v>3.2000000029802322</v>
      </c>
    </row>
    <row r="15" spans="1:21" ht="18" customHeight="1" x14ac:dyDescent="0.35">
      <c r="A15" s="123"/>
      <c r="B15" s="123" t="s">
        <v>29</v>
      </c>
      <c r="C15" s="125">
        <v>1727699.4200000004</v>
      </c>
      <c r="D15" s="125">
        <v>2578374.3199999998</v>
      </c>
      <c r="E15" s="125">
        <v>7491046.7500000009</v>
      </c>
      <c r="F15" s="125">
        <v>4420070.2628571428</v>
      </c>
      <c r="G15" s="125">
        <v>1761472</v>
      </c>
      <c r="H15" s="125">
        <v>2394000</v>
      </c>
      <c r="I15" s="126">
        <v>-2026070.2628571428</v>
      </c>
      <c r="J15" s="126">
        <v>-2026070.2628571428</v>
      </c>
      <c r="K15" s="126">
        <v>632528</v>
      </c>
      <c r="L15" s="127">
        <v>-0.45837965063195324</v>
      </c>
      <c r="M15" s="127">
        <v>0.35909057878864947</v>
      </c>
      <c r="N15" s="117" t="s">
        <v>347</v>
      </c>
      <c r="R15" s="6">
        <v>1091472.5463784346</v>
      </c>
      <c r="S15" s="6">
        <v>669999.45362156536</v>
      </c>
    </row>
    <row r="16" spans="1:21" ht="18" customHeight="1" x14ac:dyDescent="0.35">
      <c r="A16" s="123"/>
      <c r="B16" s="132" t="s">
        <v>348</v>
      </c>
      <c r="C16" s="150">
        <v>50240767.880000018</v>
      </c>
      <c r="D16" s="150">
        <v>28952416.950000014</v>
      </c>
      <c r="E16" s="150">
        <v>47281150.669999979</v>
      </c>
      <c r="F16" s="150">
        <v>49632714.771428585</v>
      </c>
      <c r="G16" s="150">
        <v>52361786</v>
      </c>
      <c r="H16" s="150">
        <v>50858760.06326209</v>
      </c>
      <c r="I16" s="151">
        <v>1226045.291833505</v>
      </c>
      <c r="J16" s="151">
        <v>1226045.291833505</v>
      </c>
      <c r="K16" s="151">
        <v>-1503025.9367379099</v>
      </c>
      <c r="L16" s="152">
        <v>2.4702362090805608E-2</v>
      </c>
      <c r="M16" s="152">
        <v>-2.8704634649740747E-2</v>
      </c>
      <c r="R16" s="6">
        <v>53280405.138846532</v>
      </c>
      <c r="S16" s="6">
        <v>-918619.13884653151</v>
      </c>
    </row>
    <row r="17" spans="1:20" x14ac:dyDescent="0.35">
      <c r="A17" s="123"/>
      <c r="B17" s="153" t="s">
        <v>349</v>
      </c>
      <c r="C17" s="154">
        <v>0.44017661316892387</v>
      </c>
      <c r="D17" s="154">
        <v>0.45282654208937712</v>
      </c>
      <c r="E17" s="154">
        <v>0.42725090924452325</v>
      </c>
      <c r="F17" s="154">
        <v>0.45282654208937706</v>
      </c>
      <c r="G17" s="154">
        <v>0.45969919815057436</v>
      </c>
      <c r="H17" s="154">
        <v>0.45143249452207507</v>
      </c>
      <c r="I17" s="155"/>
      <c r="J17" s="155">
        <v>-1.3940475673019925E-3</v>
      </c>
      <c r="K17" s="155"/>
      <c r="L17" s="154"/>
      <c r="M17" s="154"/>
      <c r="S17" s="6">
        <v>0.45969919815057436</v>
      </c>
    </row>
    <row r="18" spans="1:20" x14ac:dyDescent="0.35">
      <c r="A18" s="132" t="s">
        <v>350</v>
      </c>
      <c r="B18" s="121"/>
      <c r="C18" s="155"/>
      <c r="D18" s="155"/>
      <c r="E18" s="155"/>
      <c r="F18" s="155"/>
      <c r="G18" s="155"/>
      <c r="H18" s="155"/>
      <c r="I18" s="155"/>
      <c r="J18" s="155">
        <v>0</v>
      </c>
      <c r="K18" s="155"/>
      <c r="L18" s="154"/>
      <c r="M18" s="154"/>
      <c r="S18" s="6">
        <v>0</v>
      </c>
    </row>
    <row r="19" spans="1:20" ht="18" customHeight="1" x14ac:dyDescent="0.35">
      <c r="A19" s="123"/>
      <c r="B19" s="156" t="s">
        <v>351</v>
      </c>
      <c r="C19" s="125">
        <v>18037524.269999996</v>
      </c>
      <c r="D19" s="125">
        <v>10202501.569999998</v>
      </c>
      <c r="E19" s="125">
        <v>16309559.200000001</v>
      </c>
      <c r="F19" s="125">
        <v>17490002.691428572</v>
      </c>
      <c r="G19" s="125">
        <v>18036921</v>
      </c>
      <c r="H19" s="125">
        <v>19168228.999999996</v>
      </c>
      <c r="I19" s="126">
        <v>1678226.3085714243</v>
      </c>
      <c r="J19" s="126">
        <v>1678226.3085714243</v>
      </c>
      <c r="K19" s="126">
        <v>1131307.9999999963</v>
      </c>
      <c r="L19" s="127">
        <v>9.5953461996542894E-2</v>
      </c>
      <c r="M19" s="127">
        <v>6.2721791596248397E-2</v>
      </c>
      <c r="N19" s="157" t="s">
        <v>352</v>
      </c>
      <c r="R19" s="6">
        <v>18036922.438279398</v>
      </c>
      <c r="S19" s="6">
        <v>-1.4382793977856636</v>
      </c>
    </row>
    <row r="20" spans="1:20" ht="18" customHeight="1" x14ac:dyDescent="0.35">
      <c r="A20" s="123"/>
      <c r="B20" s="124" t="s">
        <v>353</v>
      </c>
      <c r="C20" s="125">
        <v>7637870.4399999995</v>
      </c>
      <c r="D20" s="125">
        <v>2870931.5300000003</v>
      </c>
      <c r="E20" s="125">
        <v>4682999.5599999996</v>
      </c>
      <c r="F20" s="125">
        <v>4921596.9085714277</v>
      </c>
      <c r="G20" s="125">
        <v>4982319</v>
      </c>
      <c r="H20" s="125">
        <v>5433601</v>
      </c>
      <c r="I20" s="126">
        <v>512004.09142857231</v>
      </c>
      <c r="J20" s="126">
        <v>512004.09142857231</v>
      </c>
      <c r="K20" s="126">
        <v>451282</v>
      </c>
      <c r="L20" s="127">
        <v>0.10403210602982715</v>
      </c>
      <c r="M20" s="127">
        <v>9.0576697317052562E-2</v>
      </c>
      <c r="N20" s="158" t="s">
        <v>354</v>
      </c>
      <c r="O20" s="159">
        <v>0.2834691196562813</v>
      </c>
      <c r="R20" s="128">
        <v>5900941</v>
      </c>
      <c r="S20" s="6">
        <v>-918622</v>
      </c>
      <c r="T20" s="8"/>
    </row>
    <row r="21" spans="1:20" ht="18" customHeight="1" x14ac:dyDescent="0.35">
      <c r="A21" s="123"/>
      <c r="B21" s="124" t="s">
        <v>355</v>
      </c>
      <c r="C21" s="125">
        <v>1881124.4300000004</v>
      </c>
      <c r="D21" s="125">
        <v>1498540.8699999996</v>
      </c>
      <c r="E21" s="125">
        <v>1644755.42</v>
      </c>
      <c r="F21" s="125">
        <v>2568927.2057142858</v>
      </c>
      <c r="G21" s="125">
        <v>1685490</v>
      </c>
      <c r="H21" s="125">
        <v>1977918.1736584629</v>
      </c>
      <c r="I21" s="126">
        <v>-591009.0320558229</v>
      </c>
      <c r="J21" s="126">
        <v>-591009.0320558229</v>
      </c>
      <c r="K21" s="126">
        <v>292428.17365846294</v>
      </c>
      <c r="L21" s="127">
        <v>-0.23006063805202057</v>
      </c>
      <c r="M21" s="127">
        <v>0.17349742428520071</v>
      </c>
      <c r="R21" s="6">
        <v>1685489.0686482959</v>
      </c>
      <c r="S21" s="6">
        <v>0.93135170405730605</v>
      </c>
    </row>
    <row r="22" spans="1:20" ht="18" customHeight="1" x14ac:dyDescent="0.35">
      <c r="A22" s="123"/>
      <c r="B22" s="124" t="s">
        <v>356</v>
      </c>
      <c r="C22" s="125">
        <v>1625251.1500000001</v>
      </c>
      <c r="D22" s="125">
        <v>461777.93000000005</v>
      </c>
      <c r="E22" s="125">
        <v>1341899.5299999998</v>
      </c>
      <c r="F22" s="125">
        <v>791619.30857142876</v>
      </c>
      <c r="G22" s="125">
        <v>1391915</v>
      </c>
      <c r="H22" s="125">
        <v>1483409</v>
      </c>
      <c r="I22" s="126">
        <v>691789.69142857124</v>
      </c>
      <c r="J22" s="126">
        <v>691789.69142857124</v>
      </c>
      <c r="K22" s="126">
        <v>91494</v>
      </c>
      <c r="L22" s="127">
        <v>0.87389188709531107</v>
      </c>
      <c r="M22" s="127">
        <v>6.5732462111551357E-2</v>
      </c>
      <c r="N22" s="117" t="s">
        <v>357</v>
      </c>
      <c r="R22" s="6">
        <v>1391915.6805049423</v>
      </c>
      <c r="S22" s="6">
        <v>-0.68050494231283665</v>
      </c>
    </row>
    <row r="23" spans="1:20" ht="18" customHeight="1" x14ac:dyDescent="0.35">
      <c r="A23" s="123"/>
      <c r="B23" s="124" t="s">
        <v>358</v>
      </c>
      <c r="C23" s="125">
        <v>5256069.6800000016</v>
      </c>
      <c r="D23" s="125">
        <v>3811033.1700000004</v>
      </c>
      <c r="E23" s="125">
        <v>5276618.03</v>
      </c>
      <c r="F23" s="125">
        <v>6533199.7200000007</v>
      </c>
      <c r="G23" s="125">
        <v>4498388</v>
      </c>
      <c r="H23" s="125">
        <v>6436301.6361199999</v>
      </c>
      <c r="I23" s="126">
        <v>-96898.083880000748</v>
      </c>
      <c r="J23" s="126">
        <v>-96898.083880000748</v>
      </c>
      <c r="K23" s="126">
        <v>1937913.6361199999</v>
      </c>
      <c r="L23" s="127">
        <v>-1.4831642691615242E-2</v>
      </c>
      <c r="M23" s="127">
        <v>0.43080179747056052</v>
      </c>
      <c r="N23" s="157" t="s">
        <v>359</v>
      </c>
      <c r="P23" s="160">
        <v>-96898.083880000748</v>
      </c>
      <c r="Q23" s="160"/>
      <c r="R23" s="6">
        <v>4498387.4814099791</v>
      </c>
      <c r="S23" s="6">
        <v>0.51859002094715834</v>
      </c>
    </row>
    <row r="24" spans="1:20" ht="18" customHeight="1" x14ac:dyDescent="0.35">
      <c r="A24" s="123"/>
      <c r="B24" s="124" t="s">
        <v>360</v>
      </c>
      <c r="C24" s="125">
        <v>3025518.899999999</v>
      </c>
      <c r="D24" s="125">
        <v>1807988.84</v>
      </c>
      <c r="E24" s="125">
        <v>3085452.2699999996</v>
      </c>
      <c r="F24" s="125">
        <v>3099409.4400000009</v>
      </c>
      <c r="G24" s="125">
        <v>3047972</v>
      </c>
      <c r="H24" s="125">
        <v>3182729.768734403</v>
      </c>
      <c r="I24" s="126">
        <v>83320.328734402079</v>
      </c>
      <c r="J24" s="126">
        <v>83320.328734402079</v>
      </c>
      <c r="K24" s="126">
        <v>134757.76873440295</v>
      </c>
      <c r="L24" s="127">
        <v>2.6882646629095269E-2</v>
      </c>
      <c r="M24" s="127">
        <v>4.4212272532163338E-2</v>
      </c>
      <c r="R24" s="6">
        <v>3047970.9599999995</v>
      </c>
      <c r="S24" s="6">
        <v>1.0400000005029142</v>
      </c>
    </row>
    <row r="25" spans="1:20" ht="18" customHeight="1" x14ac:dyDescent="0.35">
      <c r="A25" s="123"/>
      <c r="B25" s="124" t="s">
        <v>361</v>
      </c>
      <c r="C25" s="125">
        <v>7553491.9099999992</v>
      </c>
      <c r="D25" s="125">
        <v>3010379.2999999993</v>
      </c>
      <c r="E25" s="125">
        <v>6705762.9100000001</v>
      </c>
      <c r="F25" s="125">
        <v>5160650.228571428</v>
      </c>
      <c r="G25" s="125">
        <v>5891283</v>
      </c>
      <c r="H25" s="125">
        <v>4946497.8</v>
      </c>
      <c r="I25" s="126">
        <v>-214152.42857142817</v>
      </c>
      <c r="J25" s="126">
        <v>-214152.42857142817</v>
      </c>
      <c r="K25" s="126">
        <v>-944785.20000000019</v>
      </c>
      <c r="L25" s="127">
        <v>-4.1497179441806482E-2</v>
      </c>
      <c r="M25" s="127">
        <v>-0.16037002466186062</v>
      </c>
      <c r="N25" s="157" t="s">
        <v>362</v>
      </c>
      <c r="R25" s="6">
        <v>5891282.96</v>
      </c>
      <c r="S25" s="6">
        <v>4.0000000037252903E-2</v>
      </c>
    </row>
    <row r="26" spans="1:20" ht="18" customHeight="1" x14ac:dyDescent="0.35">
      <c r="A26" s="123"/>
      <c r="B26" s="124" t="s">
        <v>363</v>
      </c>
      <c r="C26" s="125">
        <v>872029.1100000001</v>
      </c>
      <c r="D26" s="125">
        <v>961490.71000000008</v>
      </c>
      <c r="E26" s="125">
        <v>656846.04999999993</v>
      </c>
      <c r="F26" s="125">
        <v>1648269.7885714287</v>
      </c>
      <c r="G26" s="125">
        <v>351106</v>
      </c>
      <c r="H26" s="125">
        <v>1272295.2</v>
      </c>
      <c r="I26" s="126">
        <v>-375974.58857142879</v>
      </c>
      <c r="J26" s="126">
        <v>-375974.58857142879</v>
      </c>
      <c r="K26" s="126">
        <v>921189.2</v>
      </c>
      <c r="L26" s="127">
        <v>-0.22810257833900455</v>
      </c>
      <c r="M26" s="127">
        <v>2.62367831936794</v>
      </c>
      <c r="N26" s="161"/>
      <c r="R26" s="6">
        <v>351105.47999999992</v>
      </c>
      <c r="S26" s="6">
        <v>0.52000000007683411</v>
      </c>
    </row>
    <row r="27" spans="1:20" ht="18" customHeight="1" x14ac:dyDescent="0.35">
      <c r="A27" s="123"/>
      <c r="B27" s="124" t="s">
        <v>364</v>
      </c>
      <c r="C27" s="125">
        <v>1647419.96</v>
      </c>
      <c r="D27" s="125">
        <v>877729.35999999987</v>
      </c>
      <c r="E27" s="125">
        <v>1625097.93</v>
      </c>
      <c r="F27" s="125">
        <v>1504678.9028571425</v>
      </c>
      <c r="G27" s="125">
        <v>1863793</v>
      </c>
      <c r="H27" s="125">
        <v>1225000</v>
      </c>
      <c r="I27" s="126">
        <v>-279678.9028571425</v>
      </c>
      <c r="J27" s="126">
        <v>-279678.9028571425</v>
      </c>
      <c r="K27" s="126">
        <v>-638793</v>
      </c>
      <c r="L27" s="127">
        <v>-0.18587281467566094</v>
      </c>
      <c r="M27" s="127">
        <v>-0.34273816888463471</v>
      </c>
      <c r="N27" s="157"/>
      <c r="R27" s="6">
        <v>1863794.4583333333</v>
      </c>
      <c r="S27" s="6">
        <v>-1.4583333332557231</v>
      </c>
    </row>
    <row r="28" spans="1:20" ht="18" customHeight="1" x14ac:dyDescent="0.35">
      <c r="A28" s="123"/>
      <c r="B28" s="124" t="s">
        <v>365</v>
      </c>
      <c r="C28" s="125">
        <v>479020.67</v>
      </c>
      <c r="D28" s="125">
        <v>118453.06999999999</v>
      </c>
      <c r="E28" s="125">
        <v>408784.86</v>
      </c>
      <c r="F28" s="125">
        <v>203062.40571428573</v>
      </c>
      <c r="G28" s="125">
        <v>159204</v>
      </c>
      <c r="H28" s="125">
        <v>120000</v>
      </c>
      <c r="I28" s="126">
        <v>-83062.405714285735</v>
      </c>
      <c r="J28" s="126">
        <v>-83062.405714285735</v>
      </c>
      <c r="K28" s="126">
        <v>-39204</v>
      </c>
      <c r="L28" s="127">
        <v>-0.4090486637450596</v>
      </c>
      <c r="M28" s="127">
        <v>-0.24625009421873822</v>
      </c>
      <c r="R28" s="6">
        <v>159204</v>
      </c>
      <c r="S28" s="6">
        <v>0</v>
      </c>
    </row>
    <row r="29" spans="1:20" ht="18" customHeight="1" x14ac:dyDescent="0.35">
      <c r="A29" s="123"/>
      <c r="B29" s="124" t="s">
        <v>366</v>
      </c>
      <c r="C29" s="125">
        <v>750309.67999999993</v>
      </c>
      <c r="D29" s="125">
        <v>440469.95999999996</v>
      </c>
      <c r="E29" s="125">
        <v>741887.07000000007</v>
      </c>
      <c r="F29" s="125">
        <v>755091.36</v>
      </c>
      <c r="G29" s="125">
        <v>639051</v>
      </c>
      <c r="H29" s="125">
        <v>731000</v>
      </c>
      <c r="I29" s="126">
        <v>-24091.359999999986</v>
      </c>
      <c r="J29" s="126">
        <v>-24091.359999999986</v>
      </c>
      <c r="K29" s="126">
        <v>91949</v>
      </c>
      <c r="L29" s="127">
        <v>-3.1905225349155082E-2</v>
      </c>
      <c r="M29" s="127">
        <v>0.14388366499700336</v>
      </c>
      <c r="R29" s="6">
        <v>639050.4</v>
      </c>
      <c r="S29" s="6">
        <v>0.59999999997671694</v>
      </c>
    </row>
    <row r="30" spans="1:20" ht="18" customHeight="1" x14ac:dyDescent="0.35">
      <c r="A30" s="123"/>
      <c r="B30" s="124" t="s">
        <v>30</v>
      </c>
      <c r="C30" s="125">
        <v>2831012.19</v>
      </c>
      <c r="D30" s="125">
        <v>1619219</v>
      </c>
      <c r="E30" s="125">
        <v>3508014.85</v>
      </c>
      <c r="F30" s="125">
        <v>2775804</v>
      </c>
      <c r="G30" s="125">
        <v>3074817</v>
      </c>
      <c r="H30" s="125">
        <v>2832000</v>
      </c>
      <c r="I30" s="126">
        <v>56196</v>
      </c>
      <c r="J30" s="126">
        <v>56196</v>
      </c>
      <c r="K30" s="126">
        <v>-242817</v>
      </c>
      <c r="L30" s="127">
        <v>2.0244945248295627E-2</v>
      </c>
      <c r="M30" s="127">
        <v>-7.8969577701697366E-2</v>
      </c>
      <c r="R30" s="6">
        <v>3074817.2905015205</v>
      </c>
      <c r="S30" s="6">
        <v>-0.29050152050331235</v>
      </c>
    </row>
    <row r="31" spans="1:20" ht="18" customHeight="1" x14ac:dyDescent="0.35">
      <c r="A31" s="162"/>
      <c r="B31" s="131" t="s">
        <v>367</v>
      </c>
      <c r="C31" s="125">
        <v>6883050.5900000045</v>
      </c>
      <c r="D31" s="125">
        <v>3583638.5299999975</v>
      </c>
      <c r="E31" s="125">
        <v>6607740.7700000033</v>
      </c>
      <c r="F31" s="125">
        <v>6143380.3371428614</v>
      </c>
      <c r="G31" s="125">
        <v>6045858</v>
      </c>
      <c r="H31" s="125">
        <v>6234947.7189217005</v>
      </c>
      <c r="I31" s="126">
        <v>91567.381778839044</v>
      </c>
      <c r="J31" s="126">
        <v>91567.381778839044</v>
      </c>
      <c r="K31" s="126">
        <v>189089.71892170049</v>
      </c>
      <c r="L31" s="127">
        <v>1.4905048483686236E-2</v>
      </c>
      <c r="M31" s="127">
        <v>3.1275911363068815E-2</v>
      </c>
      <c r="N31" s="120" t="s">
        <v>368</v>
      </c>
      <c r="R31" s="6">
        <v>6045850.0264099194</v>
      </c>
      <c r="S31" s="6">
        <v>7.9735900806263089</v>
      </c>
    </row>
    <row r="32" spans="1:20" x14ac:dyDescent="0.35">
      <c r="A32" s="123"/>
      <c r="B32" s="132" t="s">
        <v>369</v>
      </c>
      <c r="C32" s="144">
        <v>58479692.979999989</v>
      </c>
      <c r="D32" s="144">
        <v>31264153.839999996</v>
      </c>
      <c r="E32" s="144">
        <v>52595418.450000003</v>
      </c>
      <c r="F32" s="144">
        <v>53595692.297142863</v>
      </c>
      <c r="G32" s="144">
        <v>51668117</v>
      </c>
      <c r="H32" s="144">
        <v>55043929.297434561</v>
      </c>
      <c r="I32" s="146">
        <v>1448237.0002916977</v>
      </c>
      <c r="J32" s="146">
        <v>1448237.0002916977</v>
      </c>
      <c r="K32" s="146">
        <v>3375812.297434561</v>
      </c>
      <c r="L32" s="147">
        <v>2.7021518674718227E-2</v>
      </c>
      <c r="M32" s="147">
        <v>6.5336468473092615E-2</v>
      </c>
      <c r="N32" s="163"/>
      <c r="O32" s="164"/>
      <c r="R32" s="6">
        <v>52586731.244087383</v>
      </c>
      <c r="S32" s="6">
        <v>-918614.24408738315</v>
      </c>
    </row>
    <row r="33" spans="1:19" x14ac:dyDescent="0.35">
      <c r="A33" s="123"/>
      <c r="B33" s="165" t="s">
        <v>370</v>
      </c>
      <c r="C33" s="166">
        <v>-8238925.0999999717</v>
      </c>
      <c r="D33" s="166">
        <v>-2311736.889999982</v>
      </c>
      <c r="E33" s="166">
        <v>-5314267.7800000235</v>
      </c>
      <c r="F33" s="166">
        <v>-3962977.5257142782</v>
      </c>
      <c r="G33" s="166">
        <v>693669</v>
      </c>
      <c r="H33" s="166">
        <v>-4185169.2341724709</v>
      </c>
      <c r="I33" s="167">
        <v>-222191.70845819265</v>
      </c>
      <c r="J33" s="167">
        <v>-222191.70845819265</v>
      </c>
      <c r="K33" s="167">
        <v>-4878838.2341724709</v>
      </c>
      <c r="L33" s="168">
        <v>5.6066860590673E-2</v>
      </c>
      <c r="M33" s="168">
        <v>-7.0333808115577758</v>
      </c>
      <c r="N33" s="169"/>
      <c r="O33" s="169"/>
      <c r="R33" s="6">
        <v>693673.89475914836</v>
      </c>
      <c r="S33" s="6">
        <v>-4.8947591483592987</v>
      </c>
    </row>
    <row r="34" spans="1:19" x14ac:dyDescent="0.35">
      <c r="A34" s="123"/>
      <c r="B34" s="121"/>
      <c r="C34" s="170"/>
      <c r="D34" s="170"/>
      <c r="E34" s="170"/>
      <c r="F34" s="170"/>
      <c r="G34" s="170"/>
      <c r="H34" s="170"/>
      <c r="I34" s="171"/>
      <c r="J34" s="171">
        <v>0</v>
      </c>
      <c r="K34" s="171"/>
      <c r="L34" s="172"/>
      <c r="M34" s="172"/>
      <c r="S34" s="6">
        <v>0</v>
      </c>
    </row>
    <row r="35" spans="1:19" x14ac:dyDescent="0.35">
      <c r="A35" s="123"/>
      <c r="B35" s="123" t="s">
        <v>371</v>
      </c>
      <c r="C35" s="125">
        <v>-958753.88000000012</v>
      </c>
      <c r="D35" s="125">
        <v>18036133.129999999</v>
      </c>
      <c r="E35" s="125">
        <v>576499.56999999995</v>
      </c>
      <c r="F35" s="125">
        <v>18253716.95857143</v>
      </c>
      <c r="G35" s="125">
        <v>0</v>
      </c>
      <c r="H35" s="125">
        <v>60525</v>
      </c>
      <c r="I35" s="126">
        <v>-18193191.95857143</v>
      </c>
      <c r="J35" s="126">
        <v>-18193191.95857143</v>
      </c>
      <c r="K35" s="126">
        <v>60525</v>
      </c>
      <c r="L35" s="127">
        <v>-0.9966842369618546</v>
      </c>
      <c r="M35" s="127"/>
      <c r="N35" s="117" t="s">
        <v>372</v>
      </c>
      <c r="R35" s="6">
        <v>0</v>
      </c>
      <c r="S35" s="6">
        <v>0</v>
      </c>
    </row>
    <row r="36" spans="1:19" x14ac:dyDescent="0.35">
      <c r="A36" s="123"/>
      <c r="B36" s="123" t="s">
        <v>373</v>
      </c>
      <c r="C36" s="125">
        <v>-6030292.71</v>
      </c>
      <c r="D36" s="125">
        <v>0</v>
      </c>
      <c r="E36" s="125">
        <v>0</v>
      </c>
      <c r="F36" s="125">
        <v>0</v>
      </c>
      <c r="G36" s="125">
        <v>0</v>
      </c>
      <c r="H36" s="125">
        <v>0</v>
      </c>
      <c r="I36" s="126">
        <v>0</v>
      </c>
      <c r="J36" s="126">
        <v>0</v>
      </c>
      <c r="K36" s="126">
        <v>0</v>
      </c>
      <c r="L36" s="127"/>
      <c r="M36" s="127"/>
      <c r="R36" s="6">
        <v>0</v>
      </c>
      <c r="S36" s="6">
        <v>0</v>
      </c>
    </row>
    <row r="37" spans="1:19" x14ac:dyDescent="0.35">
      <c r="A37" s="123"/>
      <c r="B37" s="123" t="s">
        <v>31</v>
      </c>
      <c r="C37" s="125">
        <v>-1256731</v>
      </c>
      <c r="D37" s="125">
        <v>0</v>
      </c>
      <c r="E37" s="125">
        <v>-757412</v>
      </c>
      <c r="F37" s="125">
        <v>0</v>
      </c>
      <c r="G37" s="125">
        <v>-508935</v>
      </c>
      <c r="H37" s="125">
        <v>-750000</v>
      </c>
      <c r="I37" s="126">
        <v>-750000</v>
      </c>
      <c r="J37" s="126">
        <v>-750000</v>
      </c>
      <c r="K37" s="126">
        <v>-241065</v>
      </c>
      <c r="L37" s="127"/>
      <c r="M37" s="127">
        <v>0.47366559580300038</v>
      </c>
      <c r="R37" s="6">
        <v>-508935</v>
      </c>
      <c r="S37" s="6">
        <v>0</v>
      </c>
    </row>
    <row r="38" spans="1:19" ht="15" thickBot="1" x14ac:dyDescent="0.4">
      <c r="A38" s="123"/>
      <c r="B38" s="173" t="s">
        <v>374</v>
      </c>
      <c r="C38" s="174">
        <v>-16484702.689999972</v>
      </c>
      <c r="D38" s="174">
        <v>15724396.240000017</v>
      </c>
      <c r="E38" s="174">
        <v>-5495180.2100000232</v>
      </c>
      <c r="F38" s="174">
        <v>14290739.432857152</v>
      </c>
      <c r="G38" s="174">
        <v>184734</v>
      </c>
      <c r="H38" s="174">
        <v>-4874644.2341724709</v>
      </c>
      <c r="I38" s="175">
        <v>-19165383.667029623</v>
      </c>
      <c r="J38" s="175">
        <v>-19165383.667029623</v>
      </c>
      <c r="K38" s="175">
        <v>-5059378.2341724709</v>
      </c>
      <c r="L38" s="176">
        <v>-1.3411051091565442</v>
      </c>
      <c r="M38" s="176">
        <v>-27.387369050485947</v>
      </c>
      <c r="R38" s="6">
        <v>184738.89475914836</v>
      </c>
      <c r="S38" s="6">
        <v>-4.8947591483592987</v>
      </c>
    </row>
    <row r="39" spans="1:19" ht="15" thickTop="1" x14ac:dyDescent="0.35">
      <c r="S39" s="6">
        <v>0</v>
      </c>
    </row>
    <row r="40" spans="1:19" ht="3" customHeight="1" x14ac:dyDescent="0.35"/>
    <row r="42" spans="1:19" x14ac:dyDescent="0.35">
      <c r="B42" s="132" t="s">
        <v>375</v>
      </c>
      <c r="H42" s="125">
        <v>-4185169.2341724709</v>
      </c>
    </row>
    <row r="43" spans="1:19" x14ac:dyDescent="0.35">
      <c r="B43" s="131" t="s">
        <v>376</v>
      </c>
      <c r="H43" s="125">
        <v>1345000</v>
      </c>
    </row>
    <row r="44" spans="1:19" x14ac:dyDescent="0.35">
      <c r="B44" s="131" t="s">
        <v>377</v>
      </c>
      <c r="H44" s="125">
        <v>-1113000</v>
      </c>
    </row>
    <row r="45" spans="1:19" x14ac:dyDescent="0.35">
      <c r="B45" s="131" t="s">
        <v>378</v>
      </c>
      <c r="H45" s="125">
        <v>-750000</v>
      </c>
    </row>
    <row r="46" spans="1:19" x14ac:dyDescent="0.35">
      <c r="B46" s="131" t="s">
        <v>379</v>
      </c>
      <c r="H46" s="125">
        <v>-1400000</v>
      </c>
    </row>
    <row r="47" spans="1:19" ht="15" thickBot="1" x14ac:dyDescent="0.4">
      <c r="B47" s="174" t="s">
        <v>380</v>
      </c>
      <c r="H47" s="174">
        <v>-6103169.2341724709</v>
      </c>
    </row>
    <row r="48" spans="1:19" ht="15" thickTop="1" x14ac:dyDescent="0.35"/>
    <row r="49" spans="2:19" s="179" customFormat="1" x14ac:dyDescent="0.35">
      <c r="B49" s="177" t="s">
        <v>381</v>
      </c>
      <c r="C49" s="178"/>
      <c r="D49" s="178">
        <v>0</v>
      </c>
      <c r="E49" s="178">
        <v>-2.8870999813079834E-8</v>
      </c>
      <c r="F49" s="178">
        <v>-6.7055225372314453E-8</v>
      </c>
      <c r="G49" s="178">
        <v>0</v>
      </c>
      <c r="H49" s="178">
        <v>4.9360096454620361E-8</v>
      </c>
      <c r="L49" s="180"/>
      <c r="M49" s="180"/>
      <c r="N49" s="181"/>
      <c r="R49" s="182">
        <v>-9.9884346127510071E-8</v>
      </c>
      <c r="S49" s="6">
        <v>9.9884346127510071E-8</v>
      </c>
    </row>
    <row r="50" spans="2:19" x14ac:dyDescent="0.35">
      <c r="B50" s="183" t="s">
        <v>382</v>
      </c>
      <c r="C50" s="183"/>
      <c r="D50" s="183"/>
      <c r="E50" s="183"/>
      <c r="F50" t="s">
        <v>383</v>
      </c>
      <c r="G50" t="s">
        <v>384</v>
      </c>
      <c r="H50" s="184" t="s">
        <v>385</v>
      </c>
      <c r="I50" s="184"/>
      <c r="J50" s="184"/>
      <c r="K50" s="185"/>
      <c r="L50" s="185"/>
      <c r="N50" s="186"/>
      <c r="O50" s="184"/>
    </row>
    <row r="51" spans="2:19" ht="15.5" x14ac:dyDescent="0.35">
      <c r="B51" s="118" t="s">
        <v>351</v>
      </c>
      <c r="C51" s="187" t="s">
        <v>386</v>
      </c>
      <c r="D51" s="187"/>
      <c r="E51" s="187"/>
      <c r="F51" s="188">
        <v>1678226.3085714243</v>
      </c>
      <c r="G51" s="188">
        <v>1131307.9999999963</v>
      </c>
      <c r="H51" s="187" t="s">
        <v>387</v>
      </c>
      <c r="I51" s="187"/>
      <c r="J51" s="187"/>
      <c r="K51" s="189"/>
      <c r="L51" s="189"/>
      <c r="N51" s="190"/>
      <c r="O51" s="187"/>
      <c r="P51" s="187"/>
    </row>
    <row r="52" spans="2:19" ht="15.5" x14ac:dyDescent="0.35">
      <c r="B52" s="118" t="s">
        <v>351</v>
      </c>
      <c r="C52" s="187" t="s">
        <v>388</v>
      </c>
      <c r="D52" s="187"/>
      <c r="E52" s="187"/>
      <c r="G52" s="188">
        <v>300000</v>
      </c>
      <c r="H52" s="187"/>
      <c r="I52" s="187"/>
      <c r="J52" s="187"/>
      <c r="K52" s="189"/>
      <c r="L52" s="189"/>
      <c r="N52" s="190"/>
      <c r="O52" s="187"/>
      <c r="P52" s="187"/>
    </row>
    <row r="53" spans="2:19" ht="15.5" x14ac:dyDescent="0.35">
      <c r="B53" s="118" t="s">
        <v>389</v>
      </c>
      <c r="C53" s="191">
        <v>561000</v>
      </c>
      <c r="D53" s="187" t="s">
        <v>390</v>
      </c>
      <c r="E53" s="187" t="s">
        <v>391</v>
      </c>
      <c r="F53" s="187"/>
      <c r="H53" s="187"/>
      <c r="I53" s="187"/>
      <c r="J53" s="187"/>
      <c r="K53" s="189"/>
      <c r="L53" s="189"/>
      <c r="N53" s="190"/>
      <c r="O53" s="187"/>
      <c r="P53" s="187"/>
    </row>
    <row r="54" spans="2:19" ht="30" customHeight="1" x14ac:dyDescent="0.35">
      <c r="B54" s="118" t="s">
        <v>392</v>
      </c>
      <c r="C54" s="191">
        <v>-200000</v>
      </c>
      <c r="E54" s="187" t="s">
        <v>393</v>
      </c>
      <c r="F54" s="187"/>
      <c r="H54" s="187"/>
      <c r="I54" s="187"/>
      <c r="J54" s="187"/>
      <c r="K54" s="189"/>
      <c r="L54" s="189"/>
      <c r="N54" s="190"/>
      <c r="O54" s="187"/>
      <c r="P54" s="187"/>
    </row>
    <row r="55" spans="2:19" ht="30" customHeight="1" x14ac:dyDescent="0.35">
      <c r="B55" s="118" t="s">
        <v>358</v>
      </c>
      <c r="C55" s="192"/>
      <c r="D55" s="193"/>
      <c r="E55" s="192"/>
      <c r="F55" s="192"/>
      <c r="G55" s="192"/>
      <c r="H55" s="192"/>
      <c r="I55" s="192"/>
      <c r="J55" s="192"/>
      <c r="K55" s="194"/>
      <c r="L55" s="194"/>
      <c r="N55" s="190"/>
      <c r="O55" s="187"/>
      <c r="P55" s="187"/>
    </row>
    <row r="56" spans="2:19" ht="30" customHeight="1" x14ac:dyDescent="0.35">
      <c r="B56" s="118" t="s">
        <v>394</v>
      </c>
      <c r="C56" s="187" t="s">
        <v>395</v>
      </c>
      <c r="D56" s="195"/>
      <c r="E56" s="187"/>
      <c r="F56" s="187"/>
      <c r="G56" s="187"/>
      <c r="H56" s="187"/>
      <c r="I56" s="187"/>
      <c r="J56" s="187"/>
      <c r="K56" s="189"/>
      <c r="L56" s="189"/>
      <c r="N56" s="190"/>
      <c r="O56" s="187"/>
      <c r="P56" s="187"/>
    </row>
    <row r="57" spans="2:19" ht="30" customHeight="1" x14ac:dyDescent="0.35">
      <c r="B57" s="118" t="s">
        <v>394</v>
      </c>
      <c r="C57" s="118" t="s">
        <v>396</v>
      </c>
      <c r="D57" s="195"/>
      <c r="E57" s="187"/>
      <c r="F57" s="187"/>
      <c r="G57" s="187"/>
      <c r="H57" s="187"/>
      <c r="I57" s="187"/>
      <c r="J57" s="187"/>
      <c r="K57" s="189"/>
      <c r="L57" s="189"/>
      <c r="N57" s="190"/>
      <c r="O57" s="187"/>
      <c r="P57" s="187"/>
    </row>
    <row r="58" spans="2:19" ht="15.75" customHeight="1" x14ac:dyDescent="0.35">
      <c r="B58" s="118" t="s">
        <v>366</v>
      </c>
      <c r="C58" s="196" t="s">
        <v>397</v>
      </c>
      <c r="D58" s="196"/>
      <c r="E58" s="196"/>
      <c r="F58" s="196"/>
      <c r="G58" s="196"/>
      <c r="H58" s="187"/>
      <c r="I58" s="187"/>
      <c r="J58" s="187"/>
      <c r="K58" s="189"/>
      <c r="L58" s="189"/>
      <c r="N58" s="190"/>
      <c r="O58" s="187"/>
      <c r="P58" s="187"/>
    </row>
    <row r="59" spans="2:19" ht="15.5" x14ac:dyDescent="0.35">
      <c r="B59" s="118" t="s">
        <v>398</v>
      </c>
      <c r="C59" s="187" t="s">
        <v>399</v>
      </c>
      <c r="D59" s="187"/>
      <c r="E59" s="187"/>
      <c r="F59" s="187"/>
      <c r="G59" s="187"/>
      <c r="H59" s="187"/>
      <c r="I59" s="187"/>
      <c r="J59" s="187"/>
      <c r="K59" s="189"/>
      <c r="L59" s="189"/>
      <c r="N59" s="190"/>
      <c r="O59" s="187"/>
      <c r="P59" s="187"/>
    </row>
    <row r="60" spans="2:19" ht="15.5" x14ac:dyDescent="0.35">
      <c r="B60" s="118" t="s">
        <v>361</v>
      </c>
      <c r="C60" s="187" t="s">
        <v>400</v>
      </c>
      <c r="D60" s="187"/>
      <c r="E60" s="187"/>
      <c r="F60" s="187"/>
      <c r="G60" s="187"/>
      <c r="H60" s="187"/>
      <c r="I60" s="187"/>
      <c r="J60" s="187"/>
      <c r="K60" s="189"/>
      <c r="L60" s="189"/>
      <c r="N60" s="190"/>
      <c r="O60" s="187"/>
      <c r="P60" s="187"/>
    </row>
    <row r="61" spans="2:19" ht="15.5" x14ac:dyDescent="0.35">
      <c r="B61" s="118" t="s">
        <v>401</v>
      </c>
      <c r="C61" s="187" t="s">
        <v>402</v>
      </c>
      <c r="D61" s="187"/>
      <c r="E61" s="187"/>
      <c r="F61" s="187"/>
      <c r="G61" s="187"/>
      <c r="H61" s="187"/>
      <c r="I61" s="187"/>
      <c r="J61" s="187"/>
      <c r="K61" s="189"/>
      <c r="L61" s="189"/>
      <c r="N61" s="190"/>
      <c r="O61" s="187"/>
      <c r="P61" s="187"/>
    </row>
    <row r="62" spans="2:19" ht="29.5" thickBot="1" x14ac:dyDescent="0.4">
      <c r="B62" s="197" t="s">
        <v>403</v>
      </c>
      <c r="F62" s="198" t="s">
        <v>404</v>
      </c>
      <c r="G62" s="199">
        <v>43738</v>
      </c>
      <c r="H62" s="199">
        <v>43373</v>
      </c>
      <c r="I62" s="200"/>
      <c r="J62" s="200"/>
      <c r="K62" s="200" t="s">
        <v>405</v>
      </c>
      <c r="L62" s="201"/>
      <c r="M62" s="201"/>
    </row>
    <row r="63" spans="2:19" x14ac:dyDescent="0.35">
      <c r="B63" t="s">
        <v>406</v>
      </c>
      <c r="C63" t="s">
        <v>407</v>
      </c>
      <c r="E63" s="5">
        <v>31.5</v>
      </c>
      <c r="F63" s="202">
        <v>37.559210526315788</v>
      </c>
      <c r="G63" s="202">
        <v>39.052054794520551</v>
      </c>
      <c r="H63" s="6">
        <v>44.479452054794521</v>
      </c>
      <c r="K63">
        <v>30.9</v>
      </c>
    </row>
    <row r="64" spans="2:19" x14ac:dyDescent="0.35">
      <c r="B64" t="s">
        <v>408</v>
      </c>
      <c r="C64" t="s">
        <v>409</v>
      </c>
      <c r="E64" s="5">
        <v>10.5</v>
      </c>
      <c r="F64">
        <v>15.5</v>
      </c>
      <c r="G64">
        <v>11.8</v>
      </c>
      <c r="H64">
        <v>18.100000000000001</v>
      </c>
      <c r="K64">
        <v>10.6</v>
      </c>
    </row>
    <row r="65" spans="2:13" x14ac:dyDescent="0.35">
      <c r="B65" t="s">
        <v>410</v>
      </c>
      <c r="C65" s="203"/>
      <c r="E65" s="203"/>
      <c r="F65" s="203"/>
      <c r="G65" s="203"/>
      <c r="H65" s="203"/>
      <c r="I65" s="203"/>
      <c r="J65" s="203"/>
      <c r="K65" s="203"/>
      <c r="L65" s="204"/>
      <c r="M65" s="204"/>
    </row>
    <row r="66" spans="2:13" ht="29.5" thickBot="1" x14ac:dyDescent="0.4">
      <c r="B66" t="s">
        <v>411</v>
      </c>
      <c r="E66" s="5"/>
      <c r="F66" s="198" t="s">
        <v>404</v>
      </c>
      <c r="G66" s="205">
        <v>43738</v>
      </c>
      <c r="H66" s="205">
        <v>43373</v>
      </c>
      <c r="K66" s="200" t="s">
        <v>405</v>
      </c>
      <c r="L66" s="201"/>
      <c r="M66" s="201"/>
    </row>
    <row r="67" spans="2:13" x14ac:dyDescent="0.35">
      <c r="B67" t="s">
        <v>259</v>
      </c>
      <c r="C67" t="s">
        <v>412</v>
      </c>
      <c r="E67" s="206">
        <v>8</v>
      </c>
      <c r="F67" s="207">
        <v>7.5</v>
      </c>
      <c r="G67" s="207">
        <v>7.2</v>
      </c>
      <c r="H67" s="207">
        <v>7.4</v>
      </c>
      <c r="I67" s="207"/>
      <c r="J67" s="207"/>
      <c r="K67" s="207">
        <v>7.6</v>
      </c>
    </row>
    <row r="68" spans="2:13" ht="18.5" x14ac:dyDescent="0.45">
      <c r="B68" s="208" t="s">
        <v>413</v>
      </c>
    </row>
    <row r="72" spans="2:13" x14ac:dyDescent="0.35">
      <c r="B72" t="s">
        <v>414</v>
      </c>
    </row>
    <row r="74" spans="2:13" x14ac:dyDescent="0.35">
      <c r="B74" s="7" t="s">
        <v>375</v>
      </c>
    </row>
    <row r="75" spans="2:13" x14ac:dyDescent="0.35">
      <c r="B75" t="s">
        <v>415</v>
      </c>
      <c r="H75" s="160">
        <v>-4185169.2341724709</v>
      </c>
    </row>
    <row r="76" spans="2:13" x14ac:dyDescent="0.35">
      <c r="B76" t="s">
        <v>376</v>
      </c>
      <c r="H76" s="6">
        <v>1345000</v>
      </c>
    </row>
    <row r="77" spans="2:13" x14ac:dyDescent="0.35">
      <c r="B77" t="s">
        <v>377</v>
      </c>
      <c r="H77" s="6">
        <v>-1113000</v>
      </c>
    </row>
    <row r="78" spans="2:13" x14ac:dyDescent="0.35">
      <c r="B78" t="s">
        <v>378</v>
      </c>
      <c r="H78" s="6">
        <v>-750000</v>
      </c>
    </row>
    <row r="79" spans="2:13" x14ac:dyDescent="0.35">
      <c r="B79" t="s">
        <v>379</v>
      </c>
      <c r="H79" s="209">
        <v>-1400000</v>
      </c>
      <c r="I79" t="s">
        <v>416</v>
      </c>
      <c r="J79" t="s">
        <v>416</v>
      </c>
    </row>
    <row r="80" spans="2:13" x14ac:dyDescent="0.35">
      <c r="B80" t="s">
        <v>417</v>
      </c>
      <c r="H80" s="8">
        <v>-6103169.2341724709</v>
      </c>
      <c r="I80" s="115"/>
      <c r="J80" s="115"/>
    </row>
    <row r="81" spans="2:10" x14ac:dyDescent="0.35">
      <c r="B81" t="s">
        <v>418</v>
      </c>
      <c r="H81" s="8">
        <v>48464760.06326209</v>
      </c>
    </row>
    <row r="82" spans="2:10" x14ac:dyDescent="0.35">
      <c r="B82" t="s">
        <v>419</v>
      </c>
      <c r="H82" s="8">
        <v>54567929.297434561</v>
      </c>
    </row>
    <row r="83" spans="2:10" x14ac:dyDescent="0.35">
      <c r="B83" t="s">
        <v>420</v>
      </c>
      <c r="H83" s="210">
        <v>1.125930041254839</v>
      </c>
    </row>
    <row r="84" spans="2:10" x14ac:dyDescent="0.35">
      <c r="B84" s="7" t="s">
        <v>421</v>
      </c>
      <c r="H84" s="211">
        <v>50600311</v>
      </c>
      <c r="I84" t="s">
        <v>422</v>
      </c>
      <c r="J84" t="s">
        <v>422</v>
      </c>
    </row>
    <row r="85" spans="2:10" x14ac:dyDescent="0.35">
      <c r="B85" t="s">
        <v>423</v>
      </c>
      <c r="H85" s="212">
        <v>3967618.297434561</v>
      </c>
    </row>
    <row r="86" spans="2:10" x14ac:dyDescent="0.35">
      <c r="B86" t="s">
        <v>424</v>
      </c>
      <c r="H86" s="213">
        <v>1.0784109468701597</v>
      </c>
      <c r="I86" t="s">
        <v>425</v>
      </c>
      <c r="J86" t="s">
        <v>425</v>
      </c>
    </row>
    <row r="87" spans="2:10" x14ac:dyDescent="0.35">
      <c r="B87" t="s">
        <v>426</v>
      </c>
      <c r="H87" s="7">
        <v>1.0349999999999999</v>
      </c>
    </row>
    <row r="88" spans="2:10" x14ac:dyDescent="0.35">
      <c r="B88" t="s">
        <v>427</v>
      </c>
      <c r="H88" s="6">
        <v>52371321.884999998</v>
      </c>
      <c r="I88" s="115"/>
      <c r="J88" s="115"/>
    </row>
    <row r="89" spans="2:10" x14ac:dyDescent="0.35">
      <c r="B89" t="s">
        <v>426</v>
      </c>
      <c r="H89" s="8">
        <v>3906561.8217379078</v>
      </c>
    </row>
    <row r="90" spans="2:10" x14ac:dyDescent="0.35">
      <c r="B90" t="s">
        <v>428</v>
      </c>
      <c r="H90" s="8">
        <v>6103169.2341724709</v>
      </c>
      <c r="I90" s="115"/>
      <c r="J90" s="115"/>
    </row>
    <row r="91" spans="2:10" x14ac:dyDescent="0.35">
      <c r="B91" t="s">
        <v>429</v>
      </c>
      <c r="H91" s="8">
        <v>-2196607.412434563</v>
      </c>
      <c r="I91" s="115"/>
      <c r="J91" s="115"/>
    </row>
    <row r="92" spans="2:10" x14ac:dyDescent="0.35">
      <c r="B92" t="s">
        <v>430</v>
      </c>
      <c r="H92" s="8">
        <v>0</v>
      </c>
      <c r="I92" t="s">
        <v>431</v>
      </c>
      <c r="J92" t="s">
        <v>431</v>
      </c>
    </row>
    <row r="93" spans="2:10" x14ac:dyDescent="0.35">
      <c r="B93" t="s">
        <v>432</v>
      </c>
      <c r="H93" s="8">
        <v>1228525</v>
      </c>
    </row>
    <row r="99" spans="8:10" x14ac:dyDescent="0.35">
      <c r="H99" t="s">
        <v>433</v>
      </c>
    </row>
    <row r="100" spans="8:10" x14ac:dyDescent="0.35">
      <c r="H100">
        <v>19168</v>
      </c>
    </row>
    <row r="101" spans="8:10" x14ac:dyDescent="0.35">
      <c r="H101">
        <v>5433</v>
      </c>
    </row>
    <row r="102" spans="8:10" x14ac:dyDescent="0.35">
      <c r="H102">
        <v>4946</v>
      </c>
    </row>
    <row r="103" spans="8:10" x14ac:dyDescent="0.35">
      <c r="H103">
        <v>3461</v>
      </c>
    </row>
    <row r="104" spans="8:10" x14ac:dyDescent="0.35">
      <c r="H104">
        <v>6436</v>
      </c>
    </row>
    <row r="105" spans="8:10" x14ac:dyDescent="0.35">
      <c r="H105">
        <v>2832</v>
      </c>
    </row>
    <row r="106" spans="8:10" x14ac:dyDescent="0.35">
      <c r="H106">
        <v>2076</v>
      </c>
    </row>
    <row r="107" spans="8:10" x14ac:dyDescent="0.35">
      <c r="H107">
        <v>-55043</v>
      </c>
      <c r="I107" t="s">
        <v>434</v>
      </c>
      <c r="J107" t="s">
        <v>434</v>
      </c>
    </row>
    <row r="108" spans="8:10" x14ac:dyDescent="0.35">
      <c r="H108">
        <v>-10691</v>
      </c>
      <c r="I108" t="s">
        <v>367</v>
      </c>
      <c r="J108" t="s">
        <v>367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37821-B53B-4535-A77D-A0896D3F5742}">
  <sheetPr>
    <tabColor rgb="FFFF0000"/>
  </sheetPr>
  <dimension ref="A1:U108"/>
  <sheetViews>
    <sheetView workbookViewId="0">
      <selection activeCell="M19" sqref="M19"/>
    </sheetView>
  </sheetViews>
  <sheetFormatPr defaultRowHeight="14.5" x14ac:dyDescent="0.35"/>
  <cols>
    <col min="1" max="1" width="3.453125" customWidth="1"/>
    <col min="2" max="2" width="40.26953125" customWidth="1"/>
    <col min="3" max="3" width="13.54296875" bestFit="1" customWidth="1"/>
    <col min="4" max="4" width="20" hidden="1" customWidth="1"/>
    <col min="5" max="5" width="15.453125" customWidth="1"/>
    <col min="6" max="6" width="17.453125" customWidth="1"/>
    <col min="7" max="7" width="18.26953125" customWidth="1"/>
    <col min="8" max="8" width="14.453125" customWidth="1"/>
    <col min="9" max="10" width="15.26953125" customWidth="1"/>
    <col min="11" max="11" width="13.453125" bestFit="1" customWidth="1"/>
    <col min="12" max="13" width="16.54296875" style="4" customWidth="1"/>
    <col min="14" max="14" width="106.54296875" style="117" bestFit="1" customWidth="1"/>
    <col min="16" max="16" width="11.54296875" bestFit="1" customWidth="1"/>
    <col min="17" max="17" width="9.7265625" bestFit="1" customWidth="1"/>
    <col min="18" max="18" width="15.26953125" style="6" bestFit="1" customWidth="1"/>
    <col min="19" max="19" width="12.26953125" style="6" bestFit="1" customWidth="1"/>
    <col min="20" max="20" width="15.26953125" bestFit="1" customWidth="1"/>
    <col min="21" max="21" width="9.7265625" bestFit="1" customWidth="1"/>
  </cols>
  <sheetData>
    <row r="1" spans="1:21" x14ac:dyDescent="0.35">
      <c r="L1"/>
      <c r="M1"/>
    </row>
    <row r="2" spans="1:21" ht="54" customHeight="1" x14ac:dyDescent="0.35">
      <c r="A2" s="118"/>
      <c r="C2" s="119" t="s">
        <v>329</v>
      </c>
      <c r="D2" s="119" t="s">
        <v>330</v>
      </c>
      <c r="E2" s="119" t="s">
        <v>331</v>
      </c>
      <c r="F2" s="119" t="s">
        <v>20</v>
      </c>
      <c r="G2" s="119" t="s">
        <v>332</v>
      </c>
      <c r="H2" s="119" t="s">
        <v>333</v>
      </c>
      <c r="I2" s="119" t="s">
        <v>334</v>
      </c>
      <c r="J2" s="119" t="s">
        <v>334</v>
      </c>
      <c r="K2" s="119" t="s">
        <v>335</v>
      </c>
      <c r="L2" s="119" t="s">
        <v>336</v>
      </c>
      <c r="M2" s="119" t="s">
        <v>337</v>
      </c>
      <c r="N2" s="120" t="s">
        <v>338</v>
      </c>
    </row>
    <row r="3" spans="1:21" x14ac:dyDescent="0.35">
      <c r="A3" s="121" t="s">
        <v>339</v>
      </c>
      <c r="B3" s="121"/>
      <c r="H3" s="122" t="s">
        <v>340</v>
      </c>
      <c r="I3" s="122" t="s">
        <v>340</v>
      </c>
      <c r="J3" s="122" t="s">
        <v>340</v>
      </c>
      <c r="K3" s="122" t="s">
        <v>340</v>
      </c>
      <c r="L3" s="122" t="s">
        <v>340</v>
      </c>
      <c r="M3" s="122" t="s">
        <v>340</v>
      </c>
    </row>
    <row r="4" spans="1:21" ht="18" customHeight="1" x14ac:dyDescent="0.35">
      <c r="A4" s="123"/>
      <c r="B4" s="124" t="s">
        <v>21</v>
      </c>
      <c r="C4" s="125">
        <v>19843570.349999998</v>
      </c>
      <c r="D4" s="125">
        <v>9111698.0200000033</v>
      </c>
      <c r="E4" s="125">
        <v>18679264.899999999</v>
      </c>
      <c r="F4" s="125">
        <v>15620053.748571435</v>
      </c>
      <c r="G4" s="125">
        <v>22707365</v>
      </c>
      <c r="H4" s="125">
        <v>20013988.827709649</v>
      </c>
      <c r="I4" s="126">
        <v>4393935.0791382138</v>
      </c>
      <c r="J4" s="126">
        <v>4393935.0791382138</v>
      </c>
      <c r="K4" s="126">
        <v>-2693376.1722903512</v>
      </c>
      <c r="L4" s="127">
        <v>0.28130089370147465</v>
      </c>
      <c r="M4" s="127">
        <v>-0.11861244896932564</v>
      </c>
      <c r="R4" s="128">
        <v>24318156.943713278</v>
      </c>
      <c r="S4" s="6">
        <v>-1610791.9437132776</v>
      </c>
      <c r="T4">
        <v>22819398.84</v>
      </c>
      <c r="U4" s="8">
        <v>-112033.83999999985</v>
      </c>
    </row>
    <row r="5" spans="1:21" ht="18" customHeight="1" x14ac:dyDescent="0.35">
      <c r="A5" s="129"/>
      <c r="B5" s="124" t="s">
        <v>22</v>
      </c>
      <c r="C5" s="125">
        <v>81456659.210000008</v>
      </c>
      <c r="D5" s="125">
        <v>42650869.820000008</v>
      </c>
      <c r="E5" s="125">
        <v>65178256.069999985</v>
      </c>
      <c r="F5" s="125">
        <v>73115776.834285706</v>
      </c>
      <c r="G5" s="125">
        <v>76665604</v>
      </c>
      <c r="H5" s="125">
        <v>75312139.144313365</v>
      </c>
      <c r="I5" s="126">
        <v>2196362.3100276589</v>
      </c>
      <c r="J5" s="126">
        <v>2196362.3100276589</v>
      </c>
      <c r="K5" s="126">
        <v>-1353464.8556866348</v>
      </c>
      <c r="L5" s="127">
        <v>3.003951274436481E-2</v>
      </c>
      <c r="M5" s="127">
        <v>-1.765413412364996E-2</v>
      </c>
      <c r="R5" s="128">
        <v>76665779.043093055</v>
      </c>
      <c r="S5" s="6">
        <v>-175.04309305548668</v>
      </c>
      <c r="T5">
        <v>76665845.489999995</v>
      </c>
      <c r="U5" s="8">
        <v>-241.48999999463558</v>
      </c>
    </row>
    <row r="6" spans="1:21" ht="18" customHeight="1" x14ac:dyDescent="0.35">
      <c r="A6" s="130"/>
      <c r="B6" s="131" t="s">
        <v>23</v>
      </c>
      <c r="C6" s="125">
        <v>8912505.5300000012</v>
      </c>
      <c r="D6" s="125">
        <v>6480578.6600000001</v>
      </c>
      <c r="E6" s="125">
        <v>9273009.7300000004</v>
      </c>
      <c r="F6" s="125">
        <v>11109563.417142859</v>
      </c>
      <c r="G6" s="125">
        <v>10699692</v>
      </c>
      <c r="H6" s="125">
        <v>12031584.756589975</v>
      </c>
      <c r="I6" s="126">
        <v>922021.33944711648</v>
      </c>
      <c r="J6" s="126">
        <v>922021.33944711648</v>
      </c>
      <c r="K6" s="126">
        <v>1331892.7565899752</v>
      </c>
      <c r="L6" s="127">
        <v>8.2993480916124115E-2</v>
      </c>
      <c r="M6" s="127">
        <v>0.12447954170923567</v>
      </c>
      <c r="N6" s="117" t="s">
        <v>341</v>
      </c>
      <c r="R6" s="128">
        <v>10677341.501249652</v>
      </c>
      <c r="S6" s="6">
        <v>22350.498750347644</v>
      </c>
      <c r="T6">
        <v>10587411.189999999</v>
      </c>
      <c r="U6" s="8">
        <v>112280.81000000052</v>
      </c>
    </row>
    <row r="7" spans="1:21" ht="18" customHeight="1" x14ac:dyDescent="0.35">
      <c r="A7" s="123"/>
      <c r="B7" s="132" t="s">
        <v>342</v>
      </c>
      <c r="C7" s="133">
        <v>110212735.09</v>
      </c>
      <c r="D7" s="133">
        <v>58243146.500000015</v>
      </c>
      <c r="E7" s="133">
        <v>93130530.699999988</v>
      </c>
      <c r="F7" s="133">
        <v>99845394</v>
      </c>
      <c r="G7" s="133">
        <v>110072661</v>
      </c>
      <c r="H7" s="133">
        <v>107357712.72861299</v>
      </c>
      <c r="I7" s="134">
        <v>7512318.7286129892</v>
      </c>
      <c r="J7" s="134">
        <v>7512318.7286129892</v>
      </c>
      <c r="K7" s="134">
        <v>-2714948.2713870108</v>
      </c>
      <c r="L7" s="135">
        <v>7.5239512086185859E-2</v>
      </c>
      <c r="M7" s="135">
        <v>-2.4665055307302973E-2</v>
      </c>
      <c r="R7" s="6">
        <v>111661277.48805599</v>
      </c>
      <c r="S7" s="6">
        <v>-1588616.4880559891</v>
      </c>
      <c r="T7" s="6">
        <v>110072655</v>
      </c>
      <c r="U7" s="8">
        <v>6</v>
      </c>
    </row>
    <row r="8" spans="1:21" ht="18" customHeight="1" x14ac:dyDescent="0.35">
      <c r="A8" s="123"/>
      <c r="B8" s="132" t="s">
        <v>24</v>
      </c>
      <c r="C8" s="136"/>
      <c r="D8" s="136"/>
      <c r="E8" s="136"/>
      <c r="F8" s="136"/>
      <c r="G8" s="136"/>
      <c r="H8" s="136"/>
      <c r="I8" s="137"/>
      <c r="J8" s="137"/>
      <c r="K8" s="137"/>
      <c r="L8" s="138"/>
      <c r="M8" s="138"/>
      <c r="S8" s="6">
        <v>0</v>
      </c>
    </row>
    <row r="9" spans="1:21" ht="18" customHeight="1" x14ac:dyDescent="0.35">
      <c r="A9" s="123"/>
      <c r="B9" s="124" t="s">
        <v>25</v>
      </c>
      <c r="C9" s="125">
        <v>55881499.999999993</v>
      </c>
      <c r="D9" s="125">
        <v>30418000.57</v>
      </c>
      <c r="E9" s="125">
        <v>49259042.620000005</v>
      </c>
      <c r="F9" s="125">
        <v>52145143.834285706</v>
      </c>
      <c r="G9" s="125">
        <v>54334789</v>
      </c>
      <c r="H9" s="125">
        <v>56356251.148129255</v>
      </c>
      <c r="I9" s="126">
        <v>4211107.3138435483</v>
      </c>
      <c r="J9" s="126">
        <v>4211107.3138435483</v>
      </c>
      <c r="K9" s="126">
        <v>2021462.1481292546</v>
      </c>
      <c r="L9" s="127">
        <v>8.0757420618614212E-2</v>
      </c>
      <c r="M9" s="127">
        <v>3.7203828069144698E-2</v>
      </c>
      <c r="R9" s="6">
        <v>54334786.004835367</v>
      </c>
      <c r="S9" s="6">
        <v>2.9951646327972412</v>
      </c>
    </row>
    <row r="10" spans="1:21" ht="18" customHeight="1" x14ac:dyDescent="0.35">
      <c r="A10" s="123"/>
      <c r="B10" s="124" t="s">
        <v>26</v>
      </c>
      <c r="C10" s="125">
        <v>1565752.83</v>
      </c>
      <c r="D10" s="125">
        <v>446547.75</v>
      </c>
      <c r="E10" s="125">
        <v>918532.57000000018</v>
      </c>
      <c r="F10" s="125">
        <v>765510.42857142852</v>
      </c>
      <c r="G10" s="125">
        <v>1136260</v>
      </c>
      <c r="H10" s="125">
        <v>801177.89034041099</v>
      </c>
      <c r="I10" s="126">
        <v>35667.461768982466</v>
      </c>
      <c r="J10" s="126">
        <v>35667.461768982466</v>
      </c>
      <c r="K10" s="126">
        <v>-335082.10965958901</v>
      </c>
      <c r="L10" s="127">
        <v>4.6593044898870888E-2</v>
      </c>
      <c r="M10" s="127">
        <v>-0.29489915130303718</v>
      </c>
      <c r="R10" s="6">
        <v>1136259.8407582585</v>
      </c>
      <c r="S10" s="6">
        <v>0.15924174152314663</v>
      </c>
    </row>
    <row r="11" spans="1:21" ht="18" customHeight="1" x14ac:dyDescent="0.35">
      <c r="A11" s="123"/>
      <c r="B11" s="124" t="s">
        <v>27</v>
      </c>
      <c r="C11" s="125">
        <v>5271466.790000001</v>
      </c>
      <c r="D11" s="125">
        <v>1485154.7600000002</v>
      </c>
      <c r="E11" s="125">
        <v>4046158.5500000007</v>
      </c>
      <c r="F11" s="139">
        <v>2545979.5885714283</v>
      </c>
      <c r="G11" s="125">
        <v>5010225</v>
      </c>
      <c r="H11" s="139">
        <v>2559407.9868812365</v>
      </c>
      <c r="I11" s="126">
        <v>13428.398309808224</v>
      </c>
      <c r="J11" s="126">
        <v>13428.398309808224</v>
      </c>
      <c r="K11" s="126">
        <v>-2450817.0131187635</v>
      </c>
      <c r="L11" s="127">
        <v>5.2743542682300209E-3</v>
      </c>
      <c r="M11" s="127">
        <v>-0.48916306415755051</v>
      </c>
      <c r="N11" s="140" t="s">
        <v>343</v>
      </c>
      <c r="R11" s="6">
        <v>5010225.8310202751</v>
      </c>
      <c r="S11" s="6">
        <v>-0.83102027513086796</v>
      </c>
    </row>
    <row r="12" spans="1:21" ht="18" customHeight="1" x14ac:dyDescent="0.35">
      <c r="A12" s="123"/>
      <c r="B12" s="124" t="s">
        <v>28</v>
      </c>
      <c r="C12" s="125">
        <v>-1019052.99</v>
      </c>
      <c r="D12" s="125">
        <v>-480599.21000000008</v>
      </c>
      <c r="E12" s="125">
        <v>-883306.96</v>
      </c>
      <c r="F12" s="125">
        <v>-823884.3600000001</v>
      </c>
      <c r="G12" s="125">
        <v>-1008927</v>
      </c>
      <c r="H12" s="125">
        <v>-823884.3600000001</v>
      </c>
      <c r="I12" s="126">
        <v>0</v>
      </c>
      <c r="J12" s="126">
        <v>0</v>
      </c>
      <c r="K12" s="126">
        <v>185042.6399999999</v>
      </c>
      <c r="L12" s="127">
        <v>0</v>
      </c>
      <c r="M12" s="127">
        <v>-0.1834053801712115</v>
      </c>
      <c r="R12" s="6">
        <v>-1008926.7810260036</v>
      </c>
      <c r="S12" s="6">
        <v>-0.21897399635054171</v>
      </c>
    </row>
    <row r="13" spans="1:21" ht="18" customHeight="1" thickBot="1" x14ac:dyDescent="0.4">
      <c r="A13" s="123"/>
      <c r="B13" s="132" t="s">
        <v>344</v>
      </c>
      <c r="C13" s="141">
        <v>61699666.629999988</v>
      </c>
      <c r="D13" s="141">
        <v>31869103.870000001</v>
      </c>
      <c r="E13" s="141">
        <v>53340426.780000009</v>
      </c>
      <c r="F13" s="141">
        <v>54632749.491428562</v>
      </c>
      <c r="G13" s="141">
        <v>59472347</v>
      </c>
      <c r="H13" s="141">
        <v>58892952.665350899</v>
      </c>
      <c r="I13" s="142">
        <v>4260203.1739223376</v>
      </c>
      <c r="J13" s="142">
        <v>4260203.1739223376</v>
      </c>
      <c r="K13" s="142">
        <v>-579394.3346491009</v>
      </c>
      <c r="L13" s="143">
        <v>7.7978926808190921E-2</v>
      </c>
      <c r="M13" s="143">
        <v>-9.7422476810794245E-3</v>
      </c>
      <c r="R13" s="6">
        <v>59472344.895587891</v>
      </c>
      <c r="S13" s="6">
        <v>2.1044121086597443</v>
      </c>
    </row>
    <row r="14" spans="1:21" ht="18" customHeight="1" thickBot="1" x14ac:dyDescent="0.4">
      <c r="A14" s="123"/>
      <c r="B14" s="132" t="s">
        <v>345</v>
      </c>
      <c r="C14" s="144">
        <v>48513068.460000016</v>
      </c>
      <c r="D14" s="144">
        <v>26374042.630000014</v>
      </c>
      <c r="E14" s="144">
        <v>39790103.919999979</v>
      </c>
      <c r="F14" s="144">
        <v>45212644.508571438</v>
      </c>
      <c r="G14" s="144">
        <v>50600314</v>
      </c>
      <c r="H14" s="145">
        <v>48464760.06326209</v>
      </c>
      <c r="I14" s="146">
        <v>3252115.5546906516</v>
      </c>
      <c r="J14" s="146">
        <v>3252115.5546906516</v>
      </c>
      <c r="K14" s="146">
        <v>-2135553.9367379099</v>
      </c>
      <c r="L14" s="147">
        <v>7.1929337247108247E-2</v>
      </c>
      <c r="M14" s="147">
        <v>-4.2204361355107599E-2</v>
      </c>
      <c r="O14" s="148" t="s">
        <v>346</v>
      </c>
      <c r="P14" s="149"/>
      <c r="R14" s="6">
        <v>52188932.592468098</v>
      </c>
      <c r="S14" s="6">
        <v>-1588618.5924680978</v>
      </c>
      <c r="T14">
        <v>50600310.799999997</v>
      </c>
      <c r="U14" s="8">
        <v>3.2000000029802322</v>
      </c>
    </row>
    <row r="15" spans="1:21" ht="18" customHeight="1" x14ac:dyDescent="0.35">
      <c r="A15" s="123"/>
      <c r="B15" s="123" t="s">
        <v>29</v>
      </c>
      <c r="C15" s="125">
        <v>1727699.4200000004</v>
      </c>
      <c r="D15" s="125">
        <v>2578374.3199999998</v>
      </c>
      <c r="E15" s="125">
        <v>7491046.7500000009</v>
      </c>
      <c r="F15" s="125">
        <v>4420070.2628571428</v>
      </c>
      <c r="G15" s="125">
        <v>1761472</v>
      </c>
      <c r="H15" s="125">
        <v>2394000</v>
      </c>
      <c r="I15" s="126">
        <v>-2026070.2628571428</v>
      </c>
      <c r="J15" s="126">
        <v>-2026070.2628571428</v>
      </c>
      <c r="K15" s="126">
        <v>632528</v>
      </c>
      <c r="L15" s="127">
        <v>-0.45837965063195324</v>
      </c>
      <c r="M15" s="127">
        <v>0.35909057878864947</v>
      </c>
      <c r="N15" s="117" t="s">
        <v>347</v>
      </c>
      <c r="R15" s="6">
        <v>1091472.5463784346</v>
      </c>
      <c r="S15" s="6">
        <v>669999.45362156536</v>
      </c>
    </row>
    <row r="16" spans="1:21" ht="18" customHeight="1" x14ac:dyDescent="0.35">
      <c r="A16" s="123"/>
      <c r="B16" s="132" t="s">
        <v>348</v>
      </c>
      <c r="C16" s="150">
        <v>50240767.880000018</v>
      </c>
      <c r="D16" s="150">
        <v>28952416.950000014</v>
      </c>
      <c r="E16" s="150">
        <v>47281150.669999979</v>
      </c>
      <c r="F16" s="150">
        <v>49632714.771428585</v>
      </c>
      <c r="G16" s="150">
        <v>52361786</v>
      </c>
      <c r="H16" s="150">
        <v>50858760.06326209</v>
      </c>
      <c r="I16" s="151">
        <v>1226045.291833505</v>
      </c>
      <c r="J16" s="151">
        <v>1226045.291833505</v>
      </c>
      <c r="K16" s="151">
        <v>-1503025.9367379099</v>
      </c>
      <c r="L16" s="152">
        <v>2.4702362090805608E-2</v>
      </c>
      <c r="M16" s="152">
        <v>-2.8704634649740747E-2</v>
      </c>
      <c r="R16" s="6">
        <v>53280405.138846532</v>
      </c>
      <c r="S16" s="6">
        <v>-918619.13884653151</v>
      </c>
    </row>
    <row r="17" spans="1:20" x14ac:dyDescent="0.35">
      <c r="A17" s="123"/>
      <c r="B17" s="153" t="s">
        <v>349</v>
      </c>
      <c r="C17" s="154">
        <v>0.44017661316892387</v>
      </c>
      <c r="D17" s="154">
        <v>0.45282654208937712</v>
      </c>
      <c r="E17" s="154">
        <v>0.42725090924452325</v>
      </c>
      <c r="F17" s="154">
        <v>0.45282654208937706</v>
      </c>
      <c r="G17" s="154">
        <v>0.45969919815057436</v>
      </c>
      <c r="H17" s="154">
        <v>0.45143249452207507</v>
      </c>
      <c r="I17" s="155"/>
      <c r="J17" s="155">
        <v>-1.3940475673019925E-3</v>
      </c>
      <c r="K17" s="155"/>
      <c r="L17" s="154"/>
      <c r="M17" s="154"/>
      <c r="S17" s="6">
        <v>0.45969919815057436</v>
      </c>
    </row>
    <row r="18" spans="1:20" x14ac:dyDescent="0.35">
      <c r="A18" s="132" t="s">
        <v>350</v>
      </c>
      <c r="B18" s="121"/>
      <c r="C18" s="155"/>
      <c r="D18" s="155"/>
      <c r="E18" s="155"/>
      <c r="F18" s="155"/>
      <c r="G18" s="155"/>
      <c r="H18" s="155"/>
      <c r="I18" s="155"/>
      <c r="J18" s="155">
        <v>0</v>
      </c>
      <c r="K18" s="155"/>
      <c r="L18" s="154"/>
      <c r="M18" s="154"/>
      <c r="S18" s="6">
        <v>0</v>
      </c>
    </row>
    <row r="19" spans="1:20" ht="18" customHeight="1" x14ac:dyDescent="0.35">
      <c r="A19" s="123"/>
      <c r="B19" s="156" t="s">
        <v>351</v>
      </c>
      <c r="C19" s="125">
        <v>18037524.269999996</v>
      </c>
      <c r="D19" s="125">
        <v>10202501.569999998</v>
      </c>
      <c r="E19" s="125">
        <v>16309559.200000001</v>
      </c>
      <c r="F19" s="125">
        <v>17490002.691428572</v>
      </c>
      <c r="G19" s="125">
        <v>18036921</v>
      </c>
      <c r="H19" s="125">
        <v>19168228.999999996</v>
      </c>
      <c r="I19" s="126">
        <v>1678226.3085714243</v>
      </c>
      <c r="J19" s="126">
        <v>1678226.3085714243</v>
      </c>
      <c r="K19" s="126">
        <v>1131307.9999999963</v>
      </c>
      <c r="L19" s="127">
        <v>9.5953461996542894E-2</v>
      </c>
      <c r="M19" s="127">
        <v>6.2721791596248397E-2</v>
      </c>
      <c r="N19" s="157" t="s">
        <v>352</v>
      </c>
      <c r="R19" s="6">
        <v>18036922.438279398</v>
      </c>
      <c r="S19" s="6">
        <v>-1.4382793977856636</v>
      </c>
    </row>
    <row r="20" spans="1:20" ht="18" customHeight="1" x14ac:dyDescent="0.35">
      <c r="A20" s="123"/>
      <c r="B20" s="124" t="s">
        <v>353</v>
      </c>
      <c r="C20" s="125">
        <v>7637870.4399999995</v>
      </c>
      <c r="D20" s="125">
        <v>2870931.5300000003</v>
      </c>
      <c r="E20" s="125">
        <v>4682999.5599999996</v>
      </c>
      <c r="F20" s="125">
        <v>4921596.9085714277</v>
      </c>
      <c r="G20" s="125">
        <v>4982319</v>
      </c>
      <c r="H20" s="125">
        <v>5433601</v>
      </c>
      <c r="I20" s="126">
        <v>512004.09142857231</v>
      </c>
      <c r="J20" s="126">
        <v>512004.09142857231</v>
      </c>
      <c r="K20" s="126">
        <v>451282</v>
      </c>
      <c r="L20" s="127">
        <v>0.10403210602982715</v>
      </c>
      <c r="M20" s="127">
        <v>9.0576697317052562E-2</v>
      </c>
      <c r="N20" s="158" t="s">
        <v>354</v>
      </c>
      <c r="O20" s="159">
        <v>0.2834691196562813</v>
      </c>
      <c r="R20" s="128">
        <v>5900941</v>
      </c>
      <c r="S20" s="6">
        <v>-918622</v>
      </c>
      <c r="T20" s="8"/>
    </row>
    <row r="21" spans="1:20" ht="18" customHeight="1" x14ac:dyDescent="0.35">
      <c r="A21" s="123"/>
      <c r="B21" s="124" t="s">
        <v>355</v>
      </c>
      <c r="C21" s="125">
        <v>1881124.4300000004</v>
      </c>
      <c r="D21" s="125">
        <v>1498540.8699999996</v>
      </c>
      <c r="E21" s="125">
        <v>1644755.42</v>
      </c>
      <c r="F21" s="125">
        <v>2568927.2057142858</v>
      </c>
      <c r="G21" s="125">
        <v>1685490</v>
      </c>
      <c r="H21" s="125">
        <v>1977918.1736584629</v>
      </c>
      <c r="I21" s="126">
        <v>-591009.0320558229</v>
      </c>
      <c r="J21" s="126">
        <v>-591009.0320558229</v>
      </c>
      <c r="K21" s="126">
        <v>292428.17365846294</v>
      </c>
      <c r="L21" s="127">
        <v>-0.23006063805202057</v>
      </c>
      <c r="M21" s="127">
        <v>0.17349742428520071</v>
      </c>
      <c r="R21" s="6">
        <v>1685489.0686482959</v>
      </c>
      <c r="S21" s="6">
        <v>0.93135170405730605</v>
      </c>
    </row>
    <row r="22" spans="1:20" ht="18" customHeight="1" x14ac:dyDescent="0.35">
      <c r="A22" s="123"/>
      <c r="B22" s="124" t="s">
        <v>356</v>
      </c>
      <c r="C22" s="125">
        <v>1625251.1500000001</v>
      </c>
      <c r="D22" s="125">
        <v>461777.93000000005</v>
      </c>
      <c r="E22" s="125">
        <v>1341899.5299999998</v>
      </c>
      <c r="F22" s="125">
        <v>791619.30857142876</v>
      </c>
      <c r="G22" s="125">
        <v>1391915</v>
      </c>
      <c r="H22" s="125">
        <v>1483409</v>
      </c>
      <c r="I22" s="126">
        <v>691789.69142857124</v>
      </c>
      <c r="J22" s="126">
        <v>691789.69142857124</v>
      </c>
      <c r="K22" s="126">
        <v>91494</v>
      </c>
      <c r="L22" s="127">
        <v>0.87389188709531107</v>
      </c>
      <c r="M22" s="127">
        <v>6.5732462111551357E-2</v>
      </c>
      <c r="N22" s="117" t="s">
        <v>357</v>
      </c>
      <c r="R22" s="6">
        <v>1391915.6805049423</v>
      </c>
      <c r="S22" s="6">
        <v>-0.68050494231283665</v>
      </c>
    </row>
    <row r="23" spans="1:20" ht="18" customHeight="1" x14ac:dyDescent="0.35">
      <c r="A23" s="123"/>
      <c r="B23" s="124" t="s">
        <v>358</v>
      </c>
      <c r="C23" s="125">
        <v>5256069.6800000016</v>
      </c>
      <c r="D23" s="125">
        <v>3811033.1700000004</v>
      </c>
      <c r="E23" s="125">
        <v>5276618.03</v>
      </c>
      <c r="F23" s="125">
        <v>6533199.7200000007</v>
      </c>
      <c r="G23" s="125">
        <v>4498388</v>
      </c>
      <c r="H23" s="125">
        <v>6436301.6361199999</v>
      </c>
      <c r="I23" s="126">
        <v>-96898.083880000748</v>
      </c>
      <c r="J23" s="126">
        <v>-96898.083880000748</v>
      </c>
      <c r="K23" s="126">
        <v>1937913.6361199999</v>
      </c>
      <c r="L23" s="127">
        <v>-1.4831642691615242E-2</v>
      </c>
      <c r="M23" s="127">
        <v>0.43080179747056052</v>
      </c>
      <c r="N23" s="157" t="s">
        <v>359</v>
      </c>
      <c r="P23" s="160">
        <v>-96898.083880000748</v>
      </c>
      <c r="Q23" s="160"/>
      <c r="R23" s="6">
        <v>4498387.4814099791</v>
      </c>
      <c r="S23" s="6">
        <v>0.51859002094715834</v>
      </c>
    </row>
    <row r="24" spans="1:20" ht="18" customHeight="1" x14ac:dyDescent="0.35">
      <c r="A24" s="123"/>
      <c r="B24" s="124" t="s">
        <v>360</v>
      </c>
      <c r="C24" s="125">
        <v>3025518.899999999</v>
      </c>
      <c r="D24" s="125">
        <v>1807988.84</v>
      </c>
      <c r="E24" s="125">
        <v>3085452.2699999996</v>
      </c>
      <c r="F24" s="125">
        <v>3099409.4400000009</v>
      </c>
      <c r="G24" s="125">
        <v>3047972</v>
      </c>
      <c r="H24" s="125">
        <v>3182729.768734403</v>
      </c>
      <c r="I24" s="126">
        <v>83320.328734402079</v>
      </c>
      <c r="J24" s="126">
        <v>83320.328734402079</v>
      </c>
      <c r="K24" s="126">
        <v>134757.76873440295</v>
      </c>
      <c r="L24" s="127">
        <v>2.6882646629095269E-2</v>
      </c>
      <c r="M24" s="127">
        <v>4.4212272532163338E-2</v>
      </c>
      <c r="R24" s="6">
        <v>3047970.9599999995</v>
      </c>
      <c r="S24" s="6">
        <v>1.0400000005029142</v>
      </c>
    </row>
    <row r="25" spans="1:20" ht="18" customHeight="1" x14ac:dyDescent="0.35">
      <c r="A25" s="123"/>
      <c r="B25" s="124" t="s">
        <v>361</v>
      </c>
      <c r="C25" s="125">
        <v>7553491.9099999992</v>
      </c>
      <c r="D25" s="125">
        <v>3010379.2999999993</v>
      </c>
      <c r="E25" s="125">
        <v>6705762.9100000001</v>
      </c>
      <c r="F25" s="125">
        <v>5160650.228571428</v>
      </c>
      <c r="G25" s="125">
        <v>5891283</v>
      </c>
      <c r="H25" s="125">
        <v>4946497.8</v>
      </c>
      <c r="I25" s="126">
        <v>-214152.42857142817</v>
      </c>
      <c r="J25" s="126">
        <v>-214152.42857142817</v>
      </c>
      <c r="K25" s="126">
        <v>-944785.20000000019</v>
      </c>
      <c r="L25" s="127">
        <v>-4.1497179441806482E-2</v>
      </c>
      <c r="M25" s="127">
        <v>-0.16037002466186062</v>
      </c>
      <c r="N25" s="157" t="s">
        <v>362</v>
      </c>
      <c r="R25" s="6">
        <v>5891282.96</v>
      </c>
      <c r="S25" s="6">
        <v>4.0000000037252903E-2</v>
      </c>
    </row>
    <row r="26" spans="1:20" ht="18" customHeight="1" x14ac:dyDescent="0.35">
      <c r="A26" s="123"/>
      <c r="B26" s="124" t="s">
        <v>363</v>
      </c>
      <c r="C26" s="125">
        <v>872029.1100000001</v>
      </c>
      <c r="D26" s="125">
        <v>961490.71000000008</v>
      </c>
      <c r="E26" s="125">
        <v>656846.04999999993</v>
      </c>
      <c r="F26" s="125">
        <v>1648269.7885714287</v>
      </c>
      <c r="G26" s="125">
        <v>351106</v>
      </c>
      <c r="H26" s="125">
        <v>1272295.2</v>
      </c>
      <c r="I26" s="126">
        <v>-375974.58857142879</v>
      </c>
      <c r="J26" s="126">
        <v>-375974.58857142879</v>
      </c>
      <c r="K26" s="126">
        <v>921189.2</v>
      </c>
      <c r="L26" s="127">
        <v>-0.22810257833900455</v>
      </c>
      <c r="M26" s="127">
        <v>2.62367831936794</v>
      </c>
      <c r="N26" s="161"/>
      <c r="R26" s="6">
        <v>351105.47999999992</v>
      </c>
      <c r="S26" s="6">
        <v>0.52000000007683411</v>
      </c>
    </row>
    <row r="27" spans="1:20" ht="18" customHeight="1" x14ac:dyDescent="0.35">
      <c r="A27" s="123"/>
      <c r="B27" s="124" t="s">
        <v>364</v>
      </c>
      <c r="C27" s="125">
        <v>1647419.96</v>
      </c>
      <c r="D27" s="125">
        <v>877729.35999999987</v>
      </c>
      <c r="E27" s="125">
        <v>1625097.93</v>
      </c>
      <c r="F27" s="125">
        <v>1504678.9028571425</v>
      </c>
      <c r="G27" s="125">
        <v>1863793</v>
      </c>
      <c r="H27" s="125">
        <v>1225000</v>
      </c>
      <c r="I27" s="126">
        <v>-279678.9028571425</v>
      </c>
      <c r="J27" s="126">
        <v>-279678.9028571425</v>
      </c>
      <c r="K27" s="126">
        <v>-638793</v>
      </c>
      <c r="L27" s="127">
        <v>-0.18587281467566094</v>
      </c>
      <c r="M27" s="127">
        <v>-0.34273816888463471</v>
      </c>
      <c r="N27" s="157"/>
      <c r="R27" s="6">
        <v>1863794.4583333333</v>
      </c>
      <c r="S27" s="6">
        <v>-1.4583333332557231</v>
      </c>
    </row>
    <row r="28" spans="1:20" ht="18" customHeight="1" x14ac:dyDescent="0.35">
      <c r="A28" s="123"/>
      <c r="B28" s="124" t="s">
        <v>365</v>
      </c>
      <c r="C28" s="125">
        <v>479020.67</v>
      </c>
      <c r="D28" s="125">
        <v>118453.06999999999</v>
      </c>
      <c r="E28" s="125">
        <v>408784.86</v>
      </c>
      <c r="F28" s="125">
        <v>203062.40571428573</v>
      </c>
      <c r="G28" s="125">
        <v>159204</v>
      </c>
      <c r="H28" s="125">
        <v>120000</v>
      </c>
      <c r="I28" s="126">
        <v>-83062.405714285735</v>
      </c>
      <c r="J28" s="126">
        <v>-83062.405714285735</v>
      </c>
      <c r="K28" s="126">
        <v>-39204</v>
      </c>
      <c r="L28" s="127">
        <v>-0.4090486637450596</v>
      </c>
      <c r="M28" s="127">
        <v>-0.24625009421873822</v>
      </c>
      <c r="R28" s="6">
        <v>159204</v>
      </c>
      <c r="S28" s="6">
        <v>0</v>
      </c>
    </row>
    <row r="29" spans="1:20" ht="18" customHeight="1" x14ac:dyDescent="0.35">
      <c r="A29" s="123"/>
      <c r="B29" s="124" t="s">
        <v>366</v>
      </c>
      <c r="C29" s="125">
        <v>750309.67999999993</v>
      </c>
      <c r="D29" s="125">
        <v>440469.95999999996</v>
      </c>
      <c r="E29" s="125">
        <v>741887.07000000007</v>
      </c>
      <c r="F29" s="125">
        <v>755091.36</v>
      </c>
      <c r="G29" s="125">
        <v>639051</v>
      </c>
      <c r="H29" s="125">
        <v>731000</v>
      </c>
      <c r="I29" s="126">
        <v>-24091.359999999986</v>
      </c>
      <c r="J29" s="126">
        <v>-24091.359999999986</v>
      </c>
      <c r="K29" s="126">
        <v>91949</v>
      </c>
      <c r="L29" s="127">
        <v>-3.1905225349155082E-2</v>
      </c>
      <c r="M29" s="127">
        <v>0.14388366499700336</v>
      </c>
      <c r="R29" s="6">
        <v>639050.4</v>
      </c>
      <c r="S29" s="6">
        <v>0.59999999997671694</v>
      </c>
    </row>
    <row r="30" spans="1:20" ht="18" customHeight="1" x14ac:dyDescent="0.35">
      <c r="A30" s="123"/>
      <c r="B30" s="124" t="s">
        <v>30</v>
      </c>
      <c r="C30" s="125">
        <v>2831012.19</v>
      </c>
      <c r="D30" s="125">
        <v>1619219</v>
      </c>
      <c r="E30" s="125">
        <v>3508014.85</v>
      </c>
      <c r="F30" s="125">
        <v>2775804</v>
      </c>
      <c r="G30" s="125">
        <v>3074817</v>
      </c>
      <c r="H30" s="125">
        <v>2832000</v>
      </c>
      <c r="I30" s="126">
        <v>56196</v>
      </c>
      <c r="J30" s="126">
        <v>56196</v>
      </c>
      <c r="K30" s="126">
        <v>-242817</v>
      </c>
      <c r="L30" s="127">
        <v>2.0244945248295627E-2</v>
      </c>
      <c r="M30" s="127">
        <v>-7.8969577701697366E-2</v>
      </c>
      <c r="R30" s="6">
        <v>3074817.2905015205</v>
      </c>
      <c r="S30" s="6">
        <v>-0.29050152050331235</v>
      </c>
    </row>
    <row r="31" spans="1:20" ht="18" customHeight="1" x14ac:dyDescent="0.35">
      <c r="A31" s="162"/>
      <c r="B31" s="131" t="s">
        <v>367</v>
      </c>
      <c r="C31" s="125">
        <v>6883050.5900000045</v>
      </c>
      <c r="D31" s="125">
        <v>3583638.5299999975</v>
      </c>
      <c r="E31" s="125">
        <v>6607740.7700000033</v>
      </c>
      <c r="F31" s="125">
        <v>6143380.3371428614</v>
      </c>
      <c r="G31" s="125">
        <v>6045858</v>
      </c>
      <c r="H31" s="125">
        <v>6234947.7189217005</v>
      </c>
      <c r="I31" s="126">
        <v>91567.381778839044</v>
      </c>
      <c r="J31" s="126">
        <v>91567.381778839044</v>
      </c>
      <c r="K31" s="126">
        <v>189089.71892170049</v>
      </c>
      <c r="L31" s="127">
        <v>1.4905048483686236E-2</v>
      </c>
      <c r="M31" s="127">
        <v>3.1275911363068815E-2</v>
      </c>
      <c r="N31" s="120" t="s">
        <v>368</v>
      </c>
      <c r="R31" s="6">
        <v>6045850.0264099194</v>
      </c>
      <c r="S31" s="6">
        <v>7.9735900806263089</v>
      </c>
    </row>
    <row r="32" spans="1:20" x14ac:dyDescent="0.35">
      <c r="A32" s="123"/>
      <c r="B32" s="132" t="s">
        <v>369</v>
      </c>
      <c r="C32" s="144">
        <v>58479692.979999989</v>
      </c>
      <c r="D32" s="144">
        <v>31264153.839999996</v>
      </c>
      <c r="E32" s="144">
        <v>52595418.450000003</v>
      </c>
      <c r="F32" s="144">
        <v>53595692.297142863</v>
      </c>
      <c r="G32" s="144">
        <v>51668117</v>
      </c>
      <c r="H32" s="144">
        <v>55043929.297434561</v>
      </c>
      <c r="I32" s="146">
        <v>1448237.0002916977</v>
      </c>
      <c r="J32" s="146">
        <v>1448237.0002916977</v>
      </c>
      <c r="K32" s="146">
        <v>3375812.297434561</v>
      </c>
      <c r="L32" s="147">
        <v>2.7021518674718227E-2</v>
      </c>
      <c r="M32" s="147">
        <v>6.5336468473092615E-2</v>
      </c>
      <c r="N32" s="163"/>
      <c r="O32" s="164"/>
      <c r="R32" s="6">
        <v>52586731.244087383</v>
      </c>
      <c r="S32" s="6">
        <v>-918614.24408738315</v>
      </c>
    </row>
    <row r="33" spans="1:19" x14ac:dyDescent="0.35">
      <c r="A33" s="123"/>
      <c r="B33" s="165" t="s">
        <v>370</v>
      </c>
      <c r="C33" s="166">
        <v>-8238925.0999999717</v>
      </c>
      <c r="D33" s="166">
        <v>-2311736.889999982</v>
      </c>
      <c r="E33" s="166">
        <v>-5314267.7800000235</v>
      </c>
      <c r="F33" s="166">
        <v>-3962977.5257142782</v>
      </c>
      <c r="G33" s="166">
        <v>693669</v>
      </c>
      <c r="H33" s="166">
        <v>-4185169.2341724709</v>
      </c>
      <c r="I33" s="167">
        <v>-222191.70845819265</v>
      </c>
      <c r="J33" s="167">
        <v>-222191.70845819265</v>
      </c>
      <c r="K33" s="167">
        <v>-4878838.2341724709</v>
      </c>
      <c r="L33" s="168">
        <v>5.6066860590673E-2</v>
      </c>
      <c r="M33" s="168">
        <v>-7.0333808115577758</v>
      </c>
      <c r="N33" s="169"/>
      <c r="O33" s="169"/>
      <c r="R33" s="6">
        <v>693673.89475914836</v>
      </c>
      <c r="S33" s="6">
        <v>-4.8947591483592987</v>
      </c>
    </row>
    <row r="34" spans="1:19" x14ac:dyDescent="0.35">
      <c r="A34" s="123"/>
      <c r="B34" s="121"/>
      <c r="C34" s="170"/>
      <c r="D34" s="170"/>
      <c r="E34" s="170"/>
      <c r="F34" s="170"/>
      <c r="G34" s="170"/>
      <c r="H34" s="170"/>
      <c r="I34" s="171"/>
      <c r="J34" s="171">
        <v>0</v>
      </c>
      <c r="K34" s="171"/>
      <c r="L34" s="172"/>
      <c r="M34" s="172"/>
      <c r="S34" s="6">
        <v>0</v>
      </c>
    </row>
    <row r="35" spans="1:19" x14ac:dyDescent="0.35">
      <c r="A35" s="123"/>
      <c r="B35" s="123" t="s">
        <v>371</v>
      </c>
      <c r="C35" s="125">
        <v>-958753.88000000012</v>
      </c>
      <c r="D35" s="125">
        <v>18036133.129999999</v>
      </c>
      <c r="E35" s="125">
        <v>576499.56999999995</v>
      </c>
      <c r="F35" s="125">
        <v>18253716.95857143</v>
      </c>
      <c r="G35" s="125">
        <v>0</v>
      </c>
      <c r="H35" s="125">
        <v>60525</v>
      </c>
      <c r="I35" s="126">
        <v>-18193191.95857143</v>
      </c>
      <c r="J35" s="126">
        <v>-18193191.95857143</v>
      </c>
      <c r="K35" s="126">
        <v>60525</v>
      </c>
      <c r="L35" s="127">
        <v>-0.9966842369618546</v>
      </c>
      <c r="M35" s="127"/>
      <c r="N35" s="117" t="s">
        <v>372</v>
      </c>
      <c r="R35" s="6">
        <v>0</v>
      </c>
      <c r="S35" s="6">
        <v>0</v>
      </c>
    </row>
    <row r="36" spans="1:19" x14ac:dyDescent="0.35">
      <c r="A36" s="123"/>
      <c r="B36" s="123" t="s">
        <v>373</v>
      </c>
      <c r="C36" s="125">
        <v>-6030292.71</v>
      </c>
      <c r="D36" s="125">
        <v>0</v>
      </c>
      <c r="E36" s="125">
        <v>0</v>
      </c>
      <c r="F36" s="125">
        <v>0</v>
      </c>
      <c r="G36" s="125">
        <v>0</v>
      </c>
      <c r="H36" s="125">
        <v>0</v>
      </c>
      <c r="I36" s="126">
        <v>0</v>
      </c>
      <c r="J36" s="126">
        <v>0</v>
      </c>
      <c r="K36" s="126">
        <v>0</v>
      </c>
      <c r="L36" s="127"/>
      <c r="M36" s="127"/>
      <c r="R36" s="6">
        <v>0</v>
      </c>
      <c r="S36" s="6">
        <v>0</v>
      </c>
    </row>
    <row r="37" spans="1:19" x14ac:dyDescent="0.35">
      <c r="A37" s="123"/>
      <c r="B37" s="123" t="s">
        <v>31</v>
      </c>
      <c r="C37" s="125">
        <v>-1256731</v>
      </c>
      <c r="D37" s="125">
        <v>0</v>
      </c>
      <c r="E37" s="125">
        <v>-757412</v>
      </c>
      <c r="F37" s="125">
        <v>0</v>
      </c>
      <c r="G37" s="125">
        <v>-508935</v>
      </c>
      <c r="H37" s="125">
        <v>-750000</v>
      </c>
      <c r="I37" s="126">
        <v>-750000</v>
      </c>
      <c r="J37" s="126">
        <v>-750000</v>
      </c>
      <c r="K37" s="126">
        <v>-241065</v>
      </c>
      <c r="L37" s="127"/>
      <c r="M37" s="127">
        <v>0.47366559580300038</v>
      </c>
      <c r="R37" s="6">
        <v>-508935</v>
      </c>
      <c r="S37" s="6">
        <v>0</v>
      </c>
    </row>
    <row r="38" spans="1:19" ht="15" thickBot="1" x14ac:dyDescent="0.4">
      <c r="A38" s="123"/>
      <c r="B38" s="173" t="s">
        <v>374</v>
      </c>
      <c r="C38" s="174">
        <v>-16484702.689999972</v>
      </c>
      <c r="D38" s="174">
        <v>15724396.240000017</v>
      </c>
      <c r="E38" s="174">
        <v>-5495180.2100000232</v>
      </c>
      <c r="F38" s="174">
        <v>14290739.432857152</v>
      </c>
      <c r="G38" s="174">
        <v>184734</v>
      </c>
      <c r="H38" s="174">
        <v>-4874644.2341724709</v>
      </c>
      <c r="I38" s="175">
        <v>-19165383.667029623</v>
      </c>
      <c r="J38" s="175">
        <v>-19165383.667029623</v>
      </c>
      <c r="K38" s="175">
        <v>-5059378.2341724709</v>
      </c>
      <c r="L38" s="176">
        <v>-1.3411051091565442</v>
      </c>
      <c r="M38" s="176">
        <v>-27.387369050485947</v>
      </c>
      <c r="R38" s="6">
        <v>184738.89475914836</v>
      </c>
      <c r="S38" s="6">
        <v>-4.8947591483592987</v>
      </c>
    </row>
    <row r="39" spans="1:19" ht="15" thickTop="1" x14ac:dyDescent="0.35">
      <c r="S39" s="6">
        <v>0</v>
      </c>
    </row>
    <row r="40" spans="1:19" ht="3" customHeight="1" x14ac:dyDescent="0.35"/>
    <row r="42" spans="1:19" x14ac:dyDescent="0.35">
      <c r="B42" s="132" t="s">
        <v>375</v>
      </c>
      <c r="H42" s="125">
        <v>-4185169.2341724709</v>
      </c>
    </row>
    <row r="43" spans="1:19" x14ac:dyDescent="0.35">
      <c r="B43" s="131" t="s">
        <v>376</v>
      </c>
      <c r="H43" s="125">
        <v>1345000</v>
      </c>
    </row>
    <row r="44" spans="1:19" x14ac:dyDescent="0.35">
      <c r="B44" s="131" t="s">
        <v>377</v>
      </c>
      <c r="H44" s="125">
        <v>-1113000</v>
      </c>
    </row>
    <row r="45" spans="1:19" x14ac:dyDescent="0.35">
      <c r="B45" s="131" t="s">
        <v>378</v>
      </c>
      <c r="H45" s="125">
        <v>-750000</v>
      </c>
    </row>
    <row r="46" spans="1:19" x14ac:dyDescent="0.35">
      <c r="B46" s="131" t="s">
        <v>379</v>
      </c>
      <c r="H46" s="125">
        <v>-1400000</v>
      </c>
    </row>
    <row r="47" spans="1:19" ht="15" thickBot="1" x14ac:dyDescent="0.4">
      <c r="B47" s="174" t="s">
        <v>380</v>
      </c>
      <c r="H47" s="174">
        <v>-6103169.2341724709</v>
      </c>
    </row>
    <row r="48" spans="1:19" ht="15" thickTop="1" x14ac:dyDescent="0.35"/>
    <row r="49" spans="2:19" s="179" customFormat="1" x14ac:dyDescent="0.35">
      <c r="B49" s="177" t="s">
        <v>381</v>
      </c>
      <c r="C49" s="178"/>
      <c r="D49" s="178">
        <v>0</v>
      </c>
      <c r="E49" s="178">
        <v>-2.8870999813079834E-8</v>
      </c>
      <c r="F49" s="178">
        <v>-6.7055225372314453E-8</v>
      </c>
      <c r="G49" s="178">
        <v>0</v>
      </c>
      <c r="H49" s="178">
        <v>4.9360096454620361E-8</v>
      </c>
      <c r="L49" s="180"/>
      <c r="M49" s="180"/>
      <c r="N49" s="181"/>
      <c r="R49" s="182">
        <v>-9.9884346127510071E-8</v>
      </c>
      <c r="S49" s="6">
        <v>9.9884346127510071E-8</v>
      </c>
    </row>
    <row r="50" spans="2:19" x14ac:dyDescent="0.35">
      <c r="B50" s="183" t="s">
        <v>382</v>
      </c>
      <c r="C50" s="183"/>
      <c r="D50" s="183"/>
      <c r="E50" s="183"/>
      <c r="F50" t="s">
        <v>383</v>
      </c>
      <c r="G50" t="s">
        <v>384</v>
      </c>
      <c r="H50" s="184" t="s">
        <v>385</v>
      </c>
      <c r="I50" s="184"/>
      <c r="J50" s="184"/>
      <c r="K50" s="185"/>
      <c r="L50" s="185"/>
      <c r="N50" s="186"/>
      <c r="O50" s="184"/>
    </row>
    <row r="51" spans="2:19" ht="15.5" x14ac:dyDescent="0.35">
      <c r="B51" s="118" t="s">
        <v>351</v>
      </c>
      <c r="C51" s="187" t="s">
        <v>386</v>
      </c>
      <c r="D51" s="187"/>
      <c r="E51" s="187"/>
      <c r="F51" s="188">
        <v>1678226.3085714243</v>
      </c>
      <c r="G51" s="188">
        <v>1131307.9999999963</v>
      </c>
      <c r="H51" s="187" t="s">
        <v>387</v>
      </c>
      <c r="I51" s="187"/>
      <c r="J51" s="187"/>
      <c r="K51" s="189"/>
      <c r="L51" s="189"/>
      <c r="N51" s="190"/>
      <c r="O51" s="187"/>
      <c r="P51" s="187"/>
    </row>
    <row r="52" spans="2:19" ht="15.5" x14ac:dyDescent="0.35">
      <c r="B52" s="118" t="s">
        <v>351</v>
      </c>
      <c r="C52" s="187" t="s">
        <v>388</v>
      </c>
      <c r="D52" s="187"/>
      <c r="E52" s="187"/>
      <c r="G52" s="188">
        <v>300000</v>
      </c>
      <c r="H52" s="187"/>
      <c r="I52" s="187"/>
      <c r="J52" s="187"/>
      <c r="K52" s="189"/>
      <c r="L52" s="189"/>
      <c r="N52" s="190"/>
      <c r="O52" s="187"/>
      <c r="P52" s="187"/>
    </row>
    <row r="53" spans="2:19" ht="15.5" x14ac:dyDescent="0.35">
      <c r="B53" s="118" t="s">
        <v>389</v>
      </c>
      <c r="C53" s="191">
        <v>561000</v>
      </c>
      <c r="D53" s="187" t="s">
        <v>390</v>
      </c>
      <c r="E53" s="187" t="s">
        <v>391</v>
      </c>
      <c r="F53" s="187"/>
      <c r="H53" s="187"/>
      <c r="I53" s="187"/>
      <c r="J53" s="187"/>
      <c r="K53" s="189"/>
      <c r="L53" s="189"/>
      <c r="N53" s="190"/>
      <c r="O53" s="187"/>
      <c r="P53" s="187"/>
    </row>
    <row r="54" spans="2:19" ht="30" customHeight="1" x14ac:dyDescent="0.35">
      <c r="B54" s="118" t="s">
        <v>392</v>
      </c>
      <c r="C54" s="191">
        <v>-200000</v>
      </c>
      <c r="E54" s="187" t="s">
        <v>393</v>
      </c>
      <c r="F54" s="187"/>
      <c r="H54" s="187"/>
      <c r="I54" s="187"/>
      <c r="J54" s="187"/>
      <c r="K54" s="189"/>
      <c r="L54" s="189"/>
      <c r="N54" s="190"/>
      <c r="O54" s="187"/>
      <c r="P54" s="187"/>
    </row>
    <row r="55" spans="2:19" ht="30" customHeight="1" x14ac:dyDescent="0.35">
      <c r="B55" s="118" t="s">
        <v>358</v>
      </c>
      <c r="C55" s="192"/>
      <c r="D55" s="193"/>
      <c r="E55" s="192"/>
      <c r="F55" s="192"/>
      <c r="G55" s="192"/>
      <c r="H55" s="192"/>
      <c r="I55" s="192"/>
      <c r="J55" s="192"/>
      <c r="K55" s="194"/>
      <c r="L55" s="194"/>
      <c r="N55" s="190"/>
      <c r="O55" s="187"/>
      <c r="P55" s="187"/>
    </row>
    <row r="56" spans="2:19" ht="30" customHeight="1" x14ac:dyDescent="0.35">
      <c r="B56" s="118" t="s">
        <v>394</v>
      </c>
      <c r="C56" s="187" t="s">
        <v>395</v>
      </c>
      <c r="D56" s="195"/>
      <c r="E56" s="187"/>
      <c r="F56" s="187"/>
      <c r="G56" s="187"/>
      <c r="H56" s="187"/>
      <c r="I56" s="187"/>
      <c r="J56" s="187"/>
      <c r="K56" s="189"/>
      <c r="L56" s="189"/>
      <c r="N56" s="190"/>
      <c r="O56" s="187"/>
      <c r="P56" s="187"/>
    </row>
    <row r="57" spans="2:19" ht="30" customHeight="1" x14ac:dyDescent="0.35">
      <c r="B57" s="118" t="s">
        <v>394</v>
      </c>
      <c r="C57" s="118" t="s">
        <v>396</v>
      </c>
      <c r="D57" s="195"/>
      <c r="E57" s="187"/>
      <c r="F57" s="187"/>
      <c r="G57" s="187"/>
      <c r="H57" s="187"/>
      <c r="I57" s="187"/>
      <c r="J57" s="187"/>
      <c r="K57" s="189"/>
      <c r="L57" s="189"/>
      <c r="N57" s="190"/>
      <c r="O57" s="187"/>
      <c r="P57" s="187"/>
    </row>
    <row r="58" spans="2:19" ht="15.75" customHeight="1" x14ac:dyDescent="0.35">
      <c r="B58" s="118" t="s">
        <v>366</v>
      </c>
      <c r="C58" s="196" t="s">
        <v>397</v>
      </c>
      <c r="D58" s="196"/>
      <c r="E58" s="196"/>
      <c r="F58" s="196"/>
      <c r="G58" s="196"/>
      <c r="H58" s="187"/>
      <c r="I58" s="187"/>
      <c r="J58" s="187"/>
      <c r="K58" s="189"/>
      <c r="L58" s="189"/>
      <c r="N58" s="190"/>
      <c r="O58" s="187"/>
      <c r="P58" s="187"/>
    </row>
    <row r="59" spans="2:19" ht="15.5" x14ac:dyDescent="0.35">
      <c r="B59" s="118" t="s">
        <v>398</v>
      </c>
      <c r="C59" s="187" t="s">
        <v>399</v>
      </c>
      <c r="D59" s="187"/>
      <c r="E59" s="187"/>
      <c r="F59" s="187"/>
      <c r="G59" s="187"/>
      <c r="H59" s="187"/>
      <c r="I59" s="187"/>
      <c r="J59" s="187"/>
      <c r="K59" s="189"/>
      <c r="L59" s="189"/>
      <c r="N59" s="190"/>
      <c r="O59" s="187"/>
      <c r="P59" s="187"/>
    </row>
    <row r="60" spans="2:19" ht="15.5" x14ac:dyDescent="0.35">
      <c r="B60" s="118" t="s">
        <v>361</v>
      </c>
      <c r="C60" s="187" t="s">
        <v>400</v>
      </c>
      <c r="D60" s="187"/>
      <c r="E60" s="187"/>
      <c r="F60" s="187"/>
      <c r="G60" s="187"/>
      <c r="H60" s="187"/>
      <c r="I60" s="187"/>
      <c r="J60" s="187"/>
      <c r="K60" s="189"/>
      <c r="L60" s="189"/>
      <c r="N60" s="190"/>
      <c r="O60" s="187"/>
      <c r="P60" s="187"/>
    </row>
    <row r="61" spans="2:19" ht="15.5" x14ac:dyDescent="0.35">
      <c r="B61" s="118" t="s">
        <v>401</v>
      </c>
      <c r="C61" s="187" t="s">
        <v>402</v>
      </c>
      <c r="D61" s="187"/>
      <c r="E61" s="187"/>
      <c r="F61" s="187"/>
      <c r="G61" s="187"/>
      <c r="H61" s="187"/>
      <c r="I61" s="187"/>
      <c r="J61" s="187"/>
      <c r="K61" s="189"/>
      <c r="L61" s="189"/>
      <c r="N61" s="190"/>
      <c r="O61" s="187"/>
      <c r="P61" s="187"/>
    </row>
    <row r="62" spans="2:19" ht="29.5" thickBot="1" x14ac:dyDescent="0.4">
      <c r="B62" s="197" t="s">
        <v>403</v>
      </c>
      <c r="F62" s="198" t="s">
        <v>404</v>
      </c>
      <c r="G62" s="199">
        <v>43738</v>
      </c>
      <c r="H62" s="199">
        <v>43373</v>
      </c>
      <c r="I62" s="200"/>
      <c r="J62" s="200"/>
      <c r="K62" s="200" t="s">
        <v>405</v>
      </c>
      <c r="L62" s="201"/>
      <c r="M62" s="201"/>
    </row>
    <row r="63" spans="2:19" x14ac:dyDescent="0.35">
      <c r="B63" t="s">
        <v>406</v>
      </c>
      <c r="C63" t="s">
        <v>407</v>
      </c>
      <c r="E63" s="5">
        <v>31.5</v>
      </c>
      <c r="F63" s="202">
        <v>37.559210526315788</v>
      </c>
      <c r="G63" s="202">
        <v>39.052054794520551</v>
      </c>
      <c r="H63" s="6">
        <v>44.479452054794521</v>
      </c>
      <c r="K63">
        <v>30.9</v>
      </c>
    </row>
    <row r="64" spans="2:19" x14ac:dyDescent="0.35">
      <c r="B64" t="s">
        <v>408</v>
      </c>
      <c r="C64" t="s">
        <v>409</v>
      </c>
      <c r="E64" s="5">
        <v>10.5</v>
      </c>
      <c r="F64">
        <v>15.5</v>
      </c>
      <c r="G64">
        <v>11.8</v>
      </c>
      <c r="H64">
        <v>18.100000000000001</v>
      </c>
      <c r="K64">
        <v>10.6</v>
      </c>
    </row>
    <row r="65" spans="2:13" x14ac:dyDescent="0.35">
      <c r="B65" t="s">
        <v>410</v>
      </c>
      <c r="C65" s="203"/>
      <c r="E65" s="203"/>
      <c r="F65" s="203"/>
      <c r="G65" s="203"/>
      <c r="H65" s="203"/>
      <c r="I65" s="203"/>
      <c r="J65" s="203"/>
      <c r="K65" s="203"/>
      <c r="L65" s="204"/>
      <c r="M65" s="204"/>
    </row>
    <row r="66" spans="2:13" ht="29.5" thickBot="1" x14ac:dyDescent="0.4">
      <c r="B66" t="s">
        <v>411</v>
      </c>
      <c r="E66" s="5"/>
      <c r="F66" s="198" t="s">
        <v>404</v>
      </c>
      <c r="G66" s="205">
        <v>43738</v>
      </c>
      <c r="H66" s="205">
        <v>43373</v>
      </c>
      <c r="K66" s="200" t="s">
        <v>405</v>
      </c>
      <c r="L66" s="201"/>
      <c r="M66" s="201"/>
    </row>
    <row r="67" spans="2:13" x14ac:dyDescent="0.35">
      <c r="B67" t="s">
        <v>259</v>
      </c>
      <c r="C67" t="s">
        <v>412</v>
      </c>
      <c r="E67" s="206">
        <v>8</v>
      </c>
      <c r="F67" s="207">
        <v>7.5</v>
      </c>
      <c r="G67" s="207">
        <v>7.2</v>
      </c>
      <c r="H67" s="207">
        <v>7.4</v>
      </c>
      <c r="I67" s="207"/>
      <c r="J67" s="207"/>
      <c r="K67" s="207">
        <v>7.6</v>
      </c>
    </row>
    <row r="68" spans="2:13" ht="18.5" x14ac:dyDescent="0.45">
      <c r="B68" s="208" t="s">
        <v>413</v>
      </c>
    </row>
    <row r="72" spans="2:13" x14ac:dyDescent="0.35">
      <c r="B72" t="s">
        <v>414</v>
      </c>
    </row>
    <row r="74" spans="2:13" x14ac:dyDescent="0.35">
      <c r="B74" s="7" t="s">
        <v>375</v>
      </c>
    </row>
    <row r="75" spans="2:13" x14ac:dyDescent="0.35">
      <c r="B75" t="s">
        <v>415</v>
      </c>
      <c r="H75" s="160">
        <v>-4185169.2341724709</v>
      </c>
    </row>
    <row r="76" spans="2:13" x14ac:dyDescent="0.35">
      <c r="B76" t="s">
        <v>376</v>
      </c>
      <c r="H76" s="6">
        <v>1345000</v>
      </c>
    </row>
    <row r="77" spans="2:13" x14ac:dyDescent="0.35">
      <c r="B77" t="s">
        <v>377</v>
      </c>
      <c r="H77" s="6">
        <v>-1113000</v>
      </c>
    </row>
    <row r="78" spans="2:13" x14ac:dyDescent="0.35">
      <c r="B78" t="s">
        <v>378</v>
      </c>
      <c r="H78" s="6">
        <v>-750000</v>
      </c>
    </row>
    <row r="79" spans="2:13" x14ac:dyDescent="0.35">
      <c r="B79" t="s">
        <v>379</v>
      </c>
      <c r="H79" s="209">
        <v>-1400000</v>
      </c>
      <c r="I79" t="s">
        <v>416</v>
      </c>
      <c r="J79" t="s">
        <v>416</v>
      </c>
    </row>
    <row r="80" spans="2:13" x14ac:dyDescent="0.35">
      <c r="B80" t="s">
        <v>417</v>
      </c>
      <c r="H80" s="8">
        <v>-6103169.2341724709</v>
      </c>
      <c r="I80" s="115"/>
      <c r="J80" s="115"/>
    </row>
    <row r="81" spans="2:10" x14ac:dyDescent="0.35">
      <c r="B81" t="s">
        <v>418</v>
      </c>
      <c r="H81" s="8">
        <v>48464760.06326209</v>
      </c>
    </row>
    <row r="82" spans="2:10" x14ac:dyDescent="0.35">
      <c r="B82" t="s">
        <v>419</v>
      </c>
      <c r="H82" s="8">
        <v>54567929.297434561</v>
      </c>
    </row>
    <row r="83" spans="2:10" x14ac:dyDescent="0.35">
      <c r="B83" t="s">
        <v>420</v>
      </c>
      <c r="H83" s="210">
        <v>1.125930041254839</v>
      </c>
    </row>
    <row r="84" spans="2:10" x14ac:dyDescent="0.35">
      <c r="B84" s="7" t="s">
        <v>421</v>
      </c>
      <c r="H84" s="211">
        <v>50600311</v>
      </c>
      <c r="I84" t="s">
        <v>422</v>
      </c>
      <c r="J84" t="s">
        <v>422</v>
      </c>
    </row>
    <row r="85" spans="2:10" x14ac:dyDescent="0.35">
      <c r="B85" t="s">
        <v>423</v>
      </c>
      <c r="H85" s="212">
        <v>3967618.297434561</v>
      </c>
    </row>
    <row r="86" spans="2:10" x14ac:dyDescent="0.35">
      <c r="B86" t="s">
        <v>424</v>
      </c>
      <c r="H86" s="213">
        <v>1.0784109468701597</v>
      </c>
      <c r="I86" t="s">
        <v>425</v>
      </c>
      <c r="J86" t="s">
        <v>425</v>
      </c>
    </row>
    <row r="87" spans="2:10" x14ac:dyDescent="0.35">
      <c r="B87" t="s">
        <v>426</v>
      </c>
      <c r="H87" s="7">
        <v>1.0349999999999999</v>
      </c>
    </row>
    <row r="88" spans="2:10" x14ac:dyDescent="0.35">
      <c r="B88" t="s">
        <v>427</v>
      </c>
      <c r="H88" s="6">
        <v>52371321.884999998</v>
      </c>
      <c r="I88" s="115"/>
      <c r="J88" s="115"/>
    </row>
    <row r="89" spans="2:10" x14ac:dyDescent="0.35">
      <c r="B89" t="s">
        <v>426</v>
      </c>
      <c r="H89" s="8">
        <v>3906561.8217379078</v>
      </c>
    </row>
    <row r="90" spans="2:10" x14ac:dyDescent="0.35">
      <c r="B90" t="s">
        <v>428</v>
      </c>
      <c r="H90" s="8">
        <v>6103169.2341724709</v>
      </c>
      <c r="I90" s="115"/>
      <c r="J90" s="115"/>
    </row>
    <row r="91" spans="2:10" x14ac:dyDescent="0.35">
      <c r="B91" t="s">
        <v>429</v>
      </c>
      <c r="H91" s="8">
        <v>-2196607.412434563</v>
      </c>
      <c r="I91" s="115"/>
      <c r="J91" s="115"/>
    </row>
    <row r="92" spans="2:10" x14ac:dyDescent="0.35">
      <c r="B92" t="s">
        <v>430</v>
      </c>
      <c r="H92" s="8">
        <v>0</v>
      </c>
      <c r="I92" t="s">
        <v>431</v>
      </c>
      <c r="J92" t="s">
        <v>431</v>
      </c>
    </row>
    <row r="93" spans="2:10" x14ac:dyDescent="0.35">
      <c r="B93" t="s">
        <v>432</v>
      </c>
      <c r="H93" s="8">
        <v>1228525</v>
      </c>
    </row>
    <row r="99" spans="8:10" x14ac:dyDescent="0.35">
      <c r="H99" t="s">
        <v>433</v>
      </c>
    </row>
    <row r="100" spans="8:10" x14ac:dyDescent="0.35">
      <c r="H100">
        <v>19168</v>
      </c>
    </row>
    <row r="101" spans="8:10" x14ac:dyDescent="0.35">
      <c r="H101">
        <v>5433</v>
      </c>
    </row>
    <row r="102" spans="8:10" x14ac:dyDescent="0.35">
      <c r="H102">
        <v>4946</v>
      </c>
    </row>
    <row r="103" spans="8:10" x14ac:dyDescent="0.35">
      <c r="H103">
        <v>3461</v>
      </c>
    </row>
    <row r="104" spans="8:10" x14ac:dyDescent="0.35">
      <c r="H104">
        <v>6436</v>
      </c>
    </row>
    <row r="105" spans="8:10" x14ac:dyDescent="0.35">
      <c r="H105">
        <v>2832</v>
      </c>
    </row>
    <row r="106" spans="8:10" x14ac:dyDescent="0.35">
      <c r="H106">
        <v>2076</v>
      </c>
    </row>
    <row r="107" spans="8:10" x14ac:dyDescent="0.35">
      <c r="H107">
        <v>-55043</v>
      </c>
      <c r="I107" t="s">
        <v>434</v>
      </c>
      <c r="J107" t="s">
        <v>434</v>
      </c>
    </row>
    <row r="108" spans="8:10" x14ac:dyDescent="0.35">
      <c r="H108">
        <v>-10691</v>
      </c>
      <c r="I108" t="s">
        <v>367</v>
      </c>
      <c r="J108" t="s">
        <v>367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88C36-4641-4834-B54D-4C51BE7A9F38}">
  <sheetPr>
    <tabColor rgb="FF0070C0"/>
  </sheetPr>
  <dimension ref="A1:K150"/>
  <sheetViews>
    <sheetView workbookViewId="0">
      <selection activeCell="E3" sqref="E3"/>
    </sheetView>
  </sheetViews>
  <sheetFormatPr defaultRowHeight="14.5" x14ac:dyDescent="0.35"/>
  <cols>
    <col min="1" max="1" width="10.1796875" bestFit="1" customWidth="1"/>
    <col min="2" max="2" width="9.54296875" customWidth="1"/>
    <col min="3" max="3" width="38.453125" bestFit="1" customWidth="1"/>
    <col min="4" max="4" width="37.26953125" bestFit="1" customWidth="1"/>
    <col min="5" max="5" width="14.81640625" style="8" customWidth="1"/>
    <col min="6" max="6" width="17.7265625" style="6" customWidth="1"/>
    <col min="7" max="8" width="17.7265625" customWidth="1"/>
    <col min="9" max="9" width="26.7265625" bestFit="1" customWidth="1"/>
    <col min="10" max="10" width="33" bestFit="1" customWidth="1"/>
    <col min="11" max="11" width="32.81640625" bestFit="1" customWidth="1"/>
  </cols>
  <sheetData>
    <row r="1" spans="1:11" x14ac:dyDescent="0.35">
      <c r="F1" s="128" t="s">
        <v>603</v>
      </c>
      <c r="G1" s="128">
        <v>119167062.72861299</v>
      </c>
    </row>
    <row r="2" spans="1:11" x14ac:dyDescent="0.35">
      <c r="F2" s="128" t="s">
        <v>604</v>
      </c>
      <c r="G2" s="128">
        <v>107357712.73</v>
      </c>
    </row>
    <row r="3" spans="1:11" x14ac:dyDescent="0.35">
      <c r="F3" s="128" t="s">
        <v>605</v>
      </c>
      <c r="G3" s="428">
        <f>+G1/G2-1</f>
        <v>0.11000001488773314</v>
      </c>
    </row>
    <row r="5" spans="1:11" ht="25" x14ac:dyDescent="0.35">
      <c r="A5" s="14" t="s">
        <v>255</v>
      </c>
      <c r="B5" s="15" t="s">
        <v>254</v>
      </c>
      <c r="C5" s="22" t="s">
        <v>253</v>
      </c>
      <c r="D5" s="22" t="s">
        <v>252</v>
      </c>
      <c r="E5" s="16" t="s">
        <v>20</v>
      </c>
      <c r="F5" s="16" t="s">
        <v>256</v>
      </c>
      <c r="G5" s="16" t="s">
        <v>257</v>
      </c>
      <c r="H5" s="16" t="s">
        <v>35</v>
      </c>
      <c r="I5" s="16" t="s">
        <v>37</v>
      </c>
      <c r="J5" s="16" t="s">
        <v>250</v>
      </c>
      <c r="K5" s="16" t="s">
        <v>251</v>
      </c>
    </row>
    <row r="6" spans="1:11" x14ac:dyDescent="0.35">
      <c r="A6" s="14"/>
      <c r="B6" s="15"/>
      <c r="C6" s="22"/>
      <c r="D6" s="22"/>
      <c r="E6" s="16"/>
      <c r="F6" s="16"/>
      <c r="G6" s="16"/>
      <c r="H6" s="16"/>
      <c r="I6" s="16"/>
      <c r="J6" s="16"/>
      <c r="K6" s="16"/>
    </row>
    <row r="7" spans="1:11" x14ac:dyDescent="0.35">
      <c r="A7" s="24">
        <v>30000000</v>
      </c>
      <c r="B7" s="17">
        <v>0</v>
      </c>
      <c r="C7" s="21" t="e">
        <v>#N/A</v>
      </c>
      <c r="D7" s="21" t="s">
        <v>176</v>
      </c>
      <c r="E7" s="18">
        <v>-8494.56</v>
      </c>
      <c r="F7" s="6">
        <v>0</v>
      </c>
      <c r="G7" s="18">
        <f>ROUND(F7*$G$3,0)</f>
        <v>0</v>
      </c>
      <c r="H7" s="18">
        <f t="shared" ref="H7:H51" si="0">+F7+G7</f>
        <v>0</v>
      </c>
      <c r="I7" s="18" t="s">
        <v>161</v>
      </c>
      <c r="J7" s="17" t="s">
        <v>21</v>
      </c>
      <c r="K7" s="17" t="s">
        <v>181</v>
      </c>
    </row>
    <row r="8" spans="1:11" x14ac:dyDescent="0.35">
      <c r="A8" s="24">
        <v>30000009</v>
      </c>
      <c r="B8" s="17">
        <v>9</v>
      </c>
      <c r="C8" s="21" t="s">
        <v>39</v>
      </c>
      <c r="D8" s="21" t="s">
        <v>40</v>
      </c>
      <c r="E8" s="18">
        <v>-5290036.6114285719</v>
      </c>
      <c r="F8" s="26">
        <v>-5659371.742201726</v>
      </c>
      <c r="G8" s="18">
        <f t="shared" ref="G8:G44" si="1">ROUND(F8*$G$3,0)</f>
        <v>-622531</v>
      </c>
      <c r="H8" s="18">
        <f t="shared" si="0"/>
        <v>-6281902.742201726</v>
      </c>
      <c r="I8" s="18" t="s">
        <v>161</v>
      </c>
      <c r="J8" s="17" t="s">
        <v>21</v>
      </c>
      <c r="K8" s="17" t="s">
        <v>181</v>
      </c>
    </row>
    <row r="9" spans="1:11" x14ac:dyDescent="0.35">
      <c r="A9" s="24">
        <v>30000011</v>
      </c>
      <c r="B9" s="17"/>
      <c r="C9" s="21"/>
      <c r="D9" s="21" t="s">
        <v>179</v>
      </c>
      <c r="E9" s="18">
        <v>-2674.2857142857142</v>
      </c>
      <c r="F9" s="26">
        <v>0</v>
      </c>
      <c r="G9" s="18">
        <f t="shared" si="1"/>
        <v>0</v>
      </c>
      <c r="H9" s="18">
        <f t="shared" si="0"/>
        <v>0</v>
      </c>
      <c r="I9" s="18" t="s">
        <v>161</v>
      </c>
      <c r="J9" s="17" t="s">
        <v>21</v>
      </c>
      <c r="K9" s="17" t="s">
        <v>181</v>
      </c>
    </row>
    <row r="10" spans="1:11" x14ac:dyDescent="0.35">
      <c r="A10" s="24">
        <v>30000013</v>
      </c>
      <c r="B10" s="19"/>
      <c r="C10" s="21"/>
      <c r="D10" s="23" t="s">
        <v>237</v>
      </c>
      <c r="E10" s="18"/>
      <c r="G10" s="18">
        <f t="shared" si="1"/>
        <v>0</v>
      </c>
      <c r="H10" s="18">
        <f t="shared" si="0"/>
        <v>0</v>
      </c>
      <c r="I10" s="18"/>
      <c r="J10" s="17" t="s">
        <v>21</v>
      </c>
      <c r="K10" s="17" t="s">
        <v>181</v>
      </c>
    </row>
    <row r="11" spans="1:11" x14ac:dyDescent="0.35">
      <c r="A11" s="24">
        <v>30000021</v>
      </c>
      <c r="B11" s="17">
        <v>21</v>
      </c>
      <c r="C11" s="21" t="s">
        <v>43</v>
      </c>
      <c r="D11" s="21" t="s">
        <v>44</v>
      </c>
      <c r="E11" s="18">
        <v>-977045.16000000015</v>
      </c>
      <c r="F11" s="26">
        <v>-996545.66375000007</v>
      </c>
      <c r="G11" s="18">
        <f t="shared" si="1"/>
        <v>-109620</v>
      </c>
      <c r="H11" s="18">
        <f t="shared" si="0"/>
        <v>-1106165.6637500001</v>
      </c>
      <c r="I11" s="18" t="s">
        <v>161</v>
      </c>
      <c r="J11" s="17" t="s">
        <v>21</v>
      </c>
      <c r="K11" s="17" t="s">
        <v>181</v>
      </c>
    </row>
    <row r="12" spans="1:11" x14ac:dyDescent="0.35">
      <c r="A12" s="24">
        <v>30000022</v>
      </c>
      <c r="B12" s="17">
        <v>22</v>
      </c>
      <c r="C12" s="21" t="s">
        <v>45</v>
      </c>
      <c r="D12" s="21" t="s">
        <v>46</v>
      </c>
      <c r="E12" s="18">
        <v>-67218.857142857145</v>
      </c>
      <c r="F12" s="26">
        <v>-64697.810423985466</v>
      </c>
      <c r="G12" s="18">
        <f t="shared" si="1"/>
        <v>-7117</v>
      </c>
      <c r="H12" s="18">
        <f t="shared" si="0"/>
        <v>-71814.810423985473</v>
      </c>
      <c r="I12" s="18" t="s">
        <v>161</v>
      </c>
      <c r="J12" s="17" t="s">
        <v>21</v>
      </c>
      <c r="K12" s="17" t="s">
        <v>181</v>
      </c>
    </row>
    <row r="13" spans="1:11" x14ac:dyDescent="0.35">
      <c r="A13" s="24">
        <v>30000023</v>
      </c>
      <c r="B13" s="17">
        <v>23</v>
      </c>
      <c r="C13" s="21" t="s">
        <v>112</v>
      </c>
      <c r="D13" s="21" t="s">
        <v>162</v>
      </c>
      <c r="E13" s="18">
        <v>0</v>
      </c>
      <c r="F13" s="26">
        <v>0</v>
      </c>
      <c r="G13" s="18">
        <f t="shared" si="1"/>
        <v>0</v>
      </c>
      <c r="H13" s="18">
        <f t="shared" si="0"/>
        <v>0</v>
      </c>
      <c r="I13" s="18" t="s">
        <v>161</v>
      </c>
      <c r="J13" s="17" t="s">
        <v>21</v>
      </c>
      <c r="K13" s="17" t="s">
        <v>181</v>
      </c>
    </row>
    <row r="14" spans="1:11" x14ac:dyDescent="0.35">
      <c r="A14" s="24">
        <v>30000028</v>
      </c>
      <c r="B14" s="17">
        <v>28</v>
      </c>
      <c r="C14" s="21" t="s">
        <v>49</v>
      </c>
      <c r="D14" s="21" t="s">
        <v>50</v>
      </c>
      <c r="E14" s="18">
        <v>-63190.285714285717</v>
      </c>
      <c r="F14" s="26">
        <v>-59072.11538461539</v>
      </c>
      <c r="G14" s="18">
        <f t="shared" si="1"/>
        <v>-6498</v>
      </c>
      <c r="H14" s="18">
        <f t="shared" si="0"/>
        <v>-65570.11538461539</v>
      </c>
      <c r="I14" s="18" t="s">
        <v>161</v>
      </c>
      <c r="J14" s="17" t="s">
        <v>21</v>
      </c>
      <c r="K14" s="17" t="s">
        <v>181</v>
      </c>
    </row>
    <row r="15" spans="1:11" x14ac:dyDescent="0.35">
      <c r="A15" s="24">
        <v>30000036</v>
      </c>
      <c r="B15" s="17">
        <v>36</v>
      </c>
      <c r="C15" s="21" t="s">
        <v>51</v>
      </c>
      <c r="D15" s="21" t="s">
        <v>52</v>
      </c>
      <c r="E15" s="18">
        <v>-120065.14285714284</v>
      </c>
      <c r="F15" s="26">
        <v>-124205.32019704433</v>
      </c>
      <c r="G15" s="18">
        <f t="shared" si="1"/>
        <v>-13663</v>
      </c>
      <c r="H15" s="18">
        <f t="shared" si="0"/>
        <v>-137868.32019704435</v>
      </c>
      <c r="I15" s="18" t="s">
        <v>161</v>
      </c>
      <c r="J15" s="17" t="s">
        <v>21</v>
      </c>
      <c r="K15" s="17" t="s">
        <v>181</v>
      </c>
    </row>
    <row r="16" spans="1:11" x14ac:dyDescent="0.35">
      <c r="A16" s="24">
        <v>30000040</v>
      </c>
      <c r="B16" s="17">
        <v>40</v>
      </c>
      <c r="C16" s="21" t="s">
        <v>55</v>
      </c>
      <c r="D16" s="21" t="s">
        <v>56</v>
      </c>
      <c r="E16" s="18">
        <v>-692777.14285714284</v>
      </c>
      <c r="F16" s="26">
        <v>-715491.14754098363</v>
      </c>
      <c r="G16" s="18">
        <f t="shared" si="1"/>
        <v>-78704</v>
      </c>
      <c r="H16" s="18">
        <f t="shared" si="0"/>
        <v>-794195.14754098363</v>
      </c>
      <c r="I16" s="18" t="s">
        <v>161</v>
      </c>
      <c r="J16" s="17" t="s">
        <v>21</v>
      </c>
      <c r="K16" s="17" t="s">
        <v>181</v>
      </c>
    </row>
    <row r="17" spans="1:11" x14ac:dyDescent="0.35">
      <c r="A17" s="24">
        <v>30000041</v>
      </c>
      <c r="B17" s="17">
        <v>41</v>
      </c>
      <c r="C17" s="21" t="s">
        <v>57</v>
      </c>
      <c r="D17" s="21" t="s">
        <v>58</v>
      </c>
      <c r="E17" s="18">
        <v>-2394088.2171428571</v>
      </c>
      <c r="F17" s="26">
        <v>-2673798.6300872853</v>
      </c>
      <c r="G17" s="18">
        <f t="shared" si="1"/>
        <v>-294118</v>
      </c>
      <c r="H17" s="18">
        <f t="shared" si="0"/>
        <v>-2967916.6300872853</v>
      </c>
      <c r="I17" s="18" t="s">
        <v>161</v>
      </c>
      <c r="J17" s="17" t="s">
        <v>21</v>
      </c>
      <c r="K17" s="17" t="s">
        <v>181</v>
      </c>
    </row>
    <row r="18" spans="1:11" x14ac:dyDescent="0.35">
      <c r="A18" s="24">
        <v>30000042</v>
      </c>
      <c r="B18" s="17">
        <v>42</v>
      </c>
      <c r="C18" s="21" t="s">
        <v>59</v>
      </c>
      <c r="D18" s="21" t="s">
        <v>60</v>
      </c>
      <c r="E18" s="18">
        <v>-148618.28571428571</v>
      </c>
      <c r="F18" s="26">
        <v>-114857.26678979165</v>
      </c>
      <c r="G18" s="18">
        <f t="shared" si="1"/>
        <v>-12634</v>
      </c>
      <c r="H18" s="18">
        <f t="shared" si="0"/>
        <v>-127491.26678979165</v>
      </c>
      <c r="I18" s="18" t="s">
        <v>161</v>
      </c>
      <c r="J18" s="17" t="s">
        <v>21</v>
      </c>
      <c r="K18" s="17" t="s">
        <v>181</v>
      </c>
    </row>
    <row r="19" spans="1:11" x14ac:dyDescent="0.35">
      <c r="A19" s="24">
        <v>30000043</v>
      </c>
      <c r="B19" s="17">
        <v>43</v>
      </c>
      <c r="C19" s="21" t="s">
        <v>61</v>
      </c>
      <c r="D19" s="21" t="s">
        <v>62</v>
      </c>
      <c r="E19" s="18">
        <v>-131249.14285714284</v>
      </c>
      <c r="F19" s="26">
        <v>-135479.82004353823</v>
      </c>
      <c r="G19" s="18">
        <f t="shared" si="1"/>
        <v>-14903</v>
      </c>
      <c r="H19" s="18">
        <f t="shared" si="0"/>
        <v>-150382.82004353823</v>
      </c>
      <c r="I19" s="18" t="s">
        <v>161</v>
      </c>
      <c r="J19" s="17" t="s">
        <v>21</v>
      </c>
      <c r="K19" s="17" t="s">
        <v>181</v>
      </c>
    </row>
    <row r="20" spans="1:11" x14ac:dyDescent="0.35">
      <c r="A20" s="24">
        <v>30000044</v>
      </c>
      <c r="B20" s="17">
        <v>44</v>
      </c>
      <c r="C20" s="21" t="s">
        <v>63</v>
      </c>
      <c r="D20" s="21" t="s">
        <v>64</v>
      </c>
      <c r="E20" s="18">
        <v>-241129.71428571432</v>
      </c>
      <c r="F20" s="26">
        <v>-248750.95629203613</v>
      </c>
      <c r="G20" s="18">
        <f t="shared" si="1"/>
        <v>-27363</v>
      </c>
      <c r="H20" s="18">
        <f t="shared" si="0"/>
        <v>-276113.95629203611</v>
      </c>
      <c r="I20" s="18" t="s">
        <v>161</v>
      </c>
      <c r="J20" s="17" t="s">
        <v>21</v>
      </c>
      <c r="K20" s="17" t="s">
        <v>181</v>
      </c>
    </row>
    <row r="21" spans="1:11" x14ac:dyDescent="0.35">
      <c r="A21" s="24">
        <v>30000045</v>
      </c>
      <c r="B21" s="17">
        <v>45</v>
      </c>
      <c r="C21" s="21" t="s">
        <v>65</v>
      </c>
      <c r="D21" s="21" t="s">
        <v>66</v>
      </c>
      <c r="E21" s="18">
        <v>-383117.14285714284</v>
      </c>
      <c r="F21" s="26">
        <v>-386248.19131832797</v>
      </c>
      <c r="G21" s="18">
        <f t="shared" si="1"/>
        <v>-42487</v>
      </c>
      <c r="H21" s="18">
        <f t="shared" si="0"/>
        <v>-428735.19131832797</v>
      </c>
      <c r="I21" s="18" t="s">
        <v>161</v>
      </c>
      <c r="J21" s="17" t="s">
        <v>21</v>
      </c>
      <c r="K21" s="17" t="s">
        <v>181</v>
      </c>
    </row>
    <row r="22" spans="1:11" x14ac:dyDescent="0.35">
      <c r="A22" s="24">
        <v>30000046</v>
      </c>
      <c r="B22" s="17">
        <v>46</v>
      </c>
      <c r="C22" s="21" t="s">
        <v>67</v>
      </c>
      <c r="D22" s="21" t="s">
        <v>68</v>
      </c>
      <c r="E22" s="18">
        <v>-10505.142857142857</v>
      </c>
      <c r="F22" s="26">
        <v>-11490</v>
      </c>
      <c r="G22" s="18">
        <f t="shared" si="1"/>
        <v>-1264</v>
      </c>
      <c r="H22" s="18">
        <f t="shared" si="0"/>
        <v>-12754</v>
      </c>
      <c r="I22" s="18" t="s">
        <v>161</v>
      </c>
      <c r="J22" s="17" t="s">
        <v>21</v>
      </c>
      <c r="K22" s="17" t="s">
        <v>181</v>
      </c>
    </row>
    <row r="23" spans="1:11" x14ac:dyDescent="0.35">
      <c r="A23" s="24">
        <v>30000047</v>
      </c>
      <c r="B23" s="17">
        <v>47</v>
      </c>
      <c r="C23" s="21" t="s">
        <v>69</v>
      </c>
      <c r="D23" s="21" t="s">
        <v>70</v>
      </c>
      <c r="E23" s="18">
        <v>-916244.87999999989</v>
      </c>
      <c r="F23" s="26">
        <v>-746184.32354262925</v>
      </c>
      <c r="G23" s="18">
        <f t="shared" si="1"/>
        <v>-82080</v>
      </c>
      <c r="H23" s="18">
        <f t="shared" si="0"/>
        <v>-828264.32354262925</v>
      </c>
      <c r="I23" s="18" t="s">
        <v>161</v>
      </c>
      <c r="J23" s="17" t="s">
        <v>21</v>
      </c>
      <c r="K23" s="17" t="s">
        <v>181</v>
      </c>
    </row>
    <row r="24" spans="1:11" x14ac:dyDescent="0.35">
      <c r="A24" s="24">
        <v>30000048</v>
      </c>
      <c r="B24" s="17">
        <v>48</v>
      </c>
      <c r="C24" s="21" t="s">
        <v>71</v>
      </c>
      <c r="D24" s="21" t="s">
        <v>72</v>
      </c>
      <c r="E24" s="18">
        <v>-233697.29142857139</v>
      </c>
      <c r="F24" s="26">
        <v>-231573.16136262848</v>
      </c>
      <c r="G24" s="18">
        <f t="shared" si="1"/>
        <v>-25473</v>
      </c>
      <c r="H24" s="18">
        <f t="shared" si="0"/>
        <v>-257046.16136262848</v>
      </c>
      <c r="I24" s="18" t="s">
        <v>161</v>
      </c>
      <c r="J24" s="17" t="s">
        <v>21</v>
      </c>
      <c r="K24" s="17" t="s">
        <v>181</v>
      </c>
    </row>
    <row r="25" spans="1:11" x14ac:dyDescent="0.35">
      <c r="A25" s="24">
        <v>30000049</v>
      </c>
      <c r="B25" s="17">
        <v>49</v>
      </c>
      <c r="C25" s="21" t="s">
        <v>73</v>
      </c>
      <c r="D25" s="21" t="s">
        <v>74</v>
      </c>
      <c r="E25" s="18">
        <v>-316212</v>
      </c>
      <c r="F25" s="26">
        <v>-329859.54888155026</v>
      </c>
      <c r="G25" s="18">
        <f t="shared" si="1"/>
        <v>-36285</v>
      </c>
      <c r="H25" s="18">
        <f t="shared" si="0"/>
        <v>-366144.54888155026</v>
      </c>
      <c r="I25" s="18" t="s">
        <v>161</v>
      </c>
      <c r="J25" s="17" t="s">
        <v>21</v>
      </c>
      <c r="K25" s="17" t="s">
        <v>181</v>
      </c>
    </row>
    <row r="26" spans="1:11" x14ac:dyDescent="0.35">
      <c r="A26" s="24">
        <v>30000050</v>
      </c>
      <c r="B26" s="17">
        <v>50</v>
      </c>
      <c r="C26" s="21" t="s">
        <v>75</v>
      </c>
      <c r="D26" s="21" t="s">
        <v>76</v>
      </c>
      <c r="E26" s="18">
        <v>-778909.71428571432</v>
      </c>
      <c r="F26" s="26">
        <v>-812313.74333636719</v>
      </c>
      <c r="G26" s="18">
        <f t="shared" si="1"/>
        <v>-89355</v>
      </c>
      <c r="H26" s="18">
        <f t="shared" si="0"/>
        <v>-901668.74333636719</v>
      </c>
      <c r="I26" s="18" t="s">
        <v>161</v>
      </c>
      <c r="J26" s="17" t="s">
        <v>21</v>
      </c>
      <c r="K26" s="17" t="s">
        <v>181</v>
      </c>
    </row>
    <row r="27" spans="1:11" x14ac:dyDescent="0.35">
      <c r="A27" s="24">
        <v>30000052</v>
      </c>
      <c r="B27" s="17">
        <v>52</v>
      </c>
      <c r="C27" s="21" t="s">
        <v>77</v>
      </c>
      <c r="D27" s="21" t="s">
        <v>78</v>
      </c>
      <c r="E27" s="18">
        <v>-208944</v>
      </c>
      <c r="F27" s="26">
        <v>-226440.38772213247</v>
      </c>
      <c r="G27" s="18">
        <f t="shared" si="1"/>
        <v>-24908</v>
      </c>
      <c r="H27" s="18">
        <f t="shared" si="0"/>
        <v>-251348.38772213247</v>
      </c>
      <c r="I27" s="18" t="s">
        <v>161</v>
      </c>
      <c r="J27" s="17" t="s">
        <v>21</v>
      </c>
      <c r="K27" s="17" t="s">
        <v>181</v>
      </c>
    </row>
    <row r="28" spans="1:11" x14ac:dyDescent="0.35">
      <c r="A28" s="24">
        <v>30000081</v>
      </c>
      <c r="B28" s="17">
        <v>81</v>
      </c>
      <c r="C28" s="21" t="s">
        <v>79</v>
      </c>
      <c r="D28" s="21" t="s">
        <v>80</v>
      </c>
      <c r="E28" s="18">
        <v>-13095.428571428571</v>
      </c>
      <c r="F28" s="26">
        <v>0</v>
      </c>
      <c r="G28" s="18">
        <f t="shared" si="1"/>
        <v>0</v>
      </c>
      <c r="H28" s="18">
        <f t="shared" si="0"/>
        <v>0</v>
      </c>
      <c r="I28" s="18" t="s">
        <v>161</v>
      </c>
      <c r="J28" s="17" t="s">
        <v>21</v>
      </c>
      <c r="K28" s="17" t="s">
        <v>181</v>
      </c>
    </row>
    <row r="29" spans="1:11" x14ac:dyDescent="0.35">
      <c r="A29" s="24">
        <v>30050009</v>
      </c>
      <c r="B29" s="17">
        <v>9</v>
      </c>
      <c r="C29" s="21" t="s">
        <v>39</v>
      </c>
      <c r="D29" s="21" t="s">
        <v>90</v>
      </c>
      <c r="E29" s="18">
        <v>-60233.57142857142</v>
      </c>
      <c r="F29" s="26">
        <v>-64438.906025395307</v>
      </c>
      <c r="G29" s="18">
        <f t="shared" si="1"/>
        <v>-7088</v>
      </c>
      <c r="H29" s="18">
        <f t="shared" si="0"/>
        <v>-71526.906025395307</v>
      </c>
      <c r="I29" s="18" t="s">
        <v>161</v>
      </c>
      <c r="J29" s="17" t="s">
        <v>21</v>
      </c>
      <c r="K29" s="17" t="s">
        <v>181</v>
      </c>
    </row>
    <row r="30" spans="1:11" x14ac:dyDescent="0.35">
      <c r="A30" s="24">
        <v>30050013</v>
      </c>
      <c r="B30" s="19"/>
      <c r="C30" s="21"/>
      <c r="D30" s="23" t="s">
        <v>240</v>
      </c>
      <c r="E30" s="18"/>
      <c r="G30" s="18">
        <f t="shared" si="1"/>
        <v>0</v>
      </c>
      <c r="H30" s="18">
        <f t="shared" si="0"/>
        <v>0</v>
      </c>
      <c r="I30" s="18"/>
      <c r="J30" s="17" t="s">
        <v>21</v>
      </c>
      <c r="K30" s="17" t="s">
        <v>181</v>
      </c>
    </row>
    <row r="31" spans="1:11" x14ac:dyDescent="0.35">
      <c r="A31" s="24">
        <v>30050020</v>
      </c>
      <c r="B31" s="17">
        <v>20</v>
      </c>
      <c r="C31" s="21" t="s">
        <v>91</v>
      </c>
      <c r="D31" s="21" t="s">
        <v>92</v>
      </c>
      <c r="E31" s="18">
        <v>-569.14285714285711</v>
      </c>
      <c r="F31" s="26">
        <v>0</v>
      </c>
      <c r="G31" s="18">
        <f t="shared" si="1"/>
        <v>0</v>
      </c>
      <c r="H31" s="18">
        <f t="shared" si="0"/>
        <v>0</v>
      </c>
      <c r="I31" s="18" t="s">
        <v>161</v>
      </c>
      <c r="J31" s="17" t="s">
        <v>21</v>
      </c>
      <c r="K31" s="17" t="s">
        <v>181</v>
      </c>
    </row>
    <row r="32" spans="1:11" x14ac:dyDescent="0.35">
      <c r="A32" s="24">
        <v>30050021</v>
      </c>
      <c r="B32" s="17">
        <v>21</v>
      </c>
      <c r="C32" s="21" t="s">
        <v>43</v>
      </c>
      <c r="D32" s="21" t="s">
        <v>93</v>
      </c>
      <c r="E32" s="18">
        <v>-1535211.5314285716</v>
      </c>
      <c r="F32" s="26">
        <v>-1565852.2832088333</v>
      </c>
      <c r="G32" s="18">
        <f t="shared" si="1"/>
        <v>-172244</v>
      </c>
      <c r="H32" s="18">
        <f t="shared" si="0"/>
        <v>-1738096.2832088333</v>
      </c>
      <c r="I32" s="18" t="s">
        <v>161</v>
      </c>
      <c r="J32" s="17" t="s">
        <v>21</v>
      </c>
      <c r="K32" s="17" t="s">
        <v>181</v>
      </c>
    </row>
    <row r="33" spans="1:11" x14ac:dyDescent="0.35">
      <c r="A33" s="24">
        <v>30050022</v>
      </c>
      <c r="B33" s="17">
        <v>22</v>
      </c>
      <c r="C33" s="21" t="s">
        <v>45</v>
      </c>
      <c r="D33" s="21" t="s">
        <v>94</v>
      </c>
      <c r="E33" s="18">
        <v>-136.04571428571427</v>
      </c>
      <c r="F33" s="26">
        <v>-256.5698850137577</v>
      </c>
      <c r="G33" s="18">
        <f t="shared" si="1"/>
        <v>-28</v>
      </c>
      <c r="H33" s="18">
        <f t="shared" si="0"/>
        <v>-284.5698850137577</v>
      </c>
      <c r="I33" s="18" t="s">
        <v>161</v>
      </c>
      <c r="J33" s="17" t="s">
        <v>21</v>
      </c>
      <c r="K33" s="17" t="s">
        <v>181</v>
      </c>
    </row>
    <row r="34" spans="1:11" x14ac:dyDescent="0.35">
      <c r="A34" s="24">
        <v>30050023</v>
      </c>
      <c r="B34" s="19"/>
      <c r="C34" s="21"/>
      <c r="D34" s="23" t="s">
        <v>241</v>
      </c>
      <c r="E34" s="18"/>
      <c r="G34" s="18">
        <f t="shared" si="1"/>
        <v>0</v>
      </c>
      <c r="H34" s="18">
        <f t="shared" si="0"/>
        <v>0</v>
      </c>
      <c r="I34" s="18"/>
      <c r="J34" s="17" t="s">
        <v>21</v>
      </c>
      <c r="K34" s="17" t="s">
        <v>181</v>
      </c>
    </row>
    <row r="35" spans="1:11" x14ac:dyDescent="0.35">
      <c r="A35" s="24">
        <v>30050024</v>
      </c>
      <c r="B35" s="17">
        <v>24</v>
      </c>
      <c r="C35" s="21" t="s">
        <v>95</v>
      </c>
      <c r="D35" s="21" t="s">
        <v>96</v>
      </c>
      <c r="E35" s="18">
        <v>-418.81714285714293</v>
      </c>
      <c r="F35" s="26">
        <v>0</v>
      </c>
      <c r="G35" s="18">
        <f t="shared" si="1"/>
        <v>0</v>
      </c>
      <c r="H35" s="18">
        <f t="shared" si="0"/>
        <v>0</v>
      </c>
      <c r="I35" s="18" t="s">
        <v>161</v>
      </c>
      <c r="J35" s="17" t="s">
        <v>21</v>
      </c>
      <c r="K35" s="17" t="s">
        <v>181</v>
      </c>
    </row>
    <row r="36" spans="1:11" x14ac:dyDescent="0.35">
      <c r="A36" s="24">
        <v>30050028</v>
      </c>
      <c r="B36" s="17">
        <v>28</v>
      </c>
      <c r="C36" s="21" t="s">
        <v>49</v>
      </c>
      <c r="D36" s="21" t="s">
        <v>97</v>
      </c>
      <c r="E36" s="18">
        <v>-12162.428571428572</v>
      </c>
      <c r="F36" s="26">
        <v>-11369.791666666666</v>
      </c>
      <c r="G36" s="18">
        <f t="shared" si="1"/>
        <v>-1251</v>
      </c>
      <c r="H36" s="18">
        <f t="shared" si="0"/>
        <v>-12620.791666666666</v>
      </c>
      <c r="I36" s="18" t="s">
        <v>161</v>
      </c>
      <c r="J36" s="17" t="s">
        <v>21</v>
      </c>
      <c r="K36" s="17" t="s">
        <v>181</v>
      </c>
    </row>
    <row r="37" spans="1:11" x14ac:dyDescent="0.35">
      <c r="A37" s="24">
        <v>30050029</v>
      </c>
      <c r="B37" s="17">
        <v>29</v>
      </c>
      <c r="C37" s="21" t="s">
        <v>118</v>
      </c>
      <c r="D37" s="21" t="s">
        <v>165</v>
      </c>
      <c r="E37" s="18">
        <v>0</v>
      </c>
      <c r="F37" s="26">
        <v>0</v>
      </c>
      <c r="G37" s="18">
        <f t="shared" si="1"/>
        <v>0</v>
      </c>
      <c r="H37" s="18">
        <f t="shared" si="0"/>
        <v>0</v>
      </c>
      <c r="I37" s="18" t="s">
        <v>161</v>
      </c>
      <c r="J37" s="17" t="s">
        <v>21</v>
      </c>
      <c r="K37" s="17" t="s">
        <v>181</v>
      </c>
    </row>
    <row r="38" spans="1:11" x14ac:dyDescent="0.35">
      <c r="A38" s="24">
        <v>30050036</v>
      </c>
      <c r="B38" s="17">
        <v>36</v>
      </c>
      <c r="C38" s="21" t="s">
        <v>51</v>
      </c>
      <c r="D38" s="21" t="s">
        <v>98</v>
      </c>
      <c r="E38" s="18">
        <v>-3238.0971428571424</v>
      </c>
      <c r="F38" s="26">
        <v>-3349.7556650246306</v>
      </c>
      <c r="G38" s="18">
        <f t="shared" si="1"/>
        <v>-368</v>
      </c>
      <c r="H38" s="18">
        <f t="shared" si="0"/>
        <v>-3717.7556650246306</v>
      </c>
      <c r="I38" s="18" t="s">
        <v>161</v>
      </c>
      <c r="J38" s="17" t="s">
        <v>21</v>
      </c>
      <c r="K38" s="17" t="s">
        <v>181</v>
      </c>
    </row>
    <row r="39" spans="1:11" x14ac:dyDescent="0.35">
      <c r="A39" s="24">
        <v>30050043</v>
      </c>
      <c r="B39" s="17">
        <v>43</v>
      </c>
      <c r="C39" s="21" t="s">
        <v>61</v>
      </c>
      <c r="D39" s="21" t="s">
        <v>166</v>
      </c>
      <c r="E39" s="18">
        <v>0</v>
      </c>
      <c r="F39" s="26">
        <v>0</v>
      </c>
      <c r="G39" s="18">
        <f t="shared" si="1"/>
        <v>0</v>
      </c>
      <c r="H39" s="18">
        <f t="shared" si="0"/>
        <v>0</v>
      </c>
      <c r="I39" s="18" t="s">
        <v>161</v>
      </c>
      <c r="J39" s="17" t="s">
        <v>21</v>
      </c>
      <c r="K39" s="17" t="s">
        <v>181</v>
      </c>
    </row>
    <row r="40" spans="1:11" x14ac:dyDescent="0.35">
      <c r="A40" s="24">
        <v>30050044</v>
      </c>
      <c r="B40" s="17">
        <v>44</v>
      </c>
      <c r="C40" s="21" t="s">
        <v>63</v>
      </c>
      <c r="D40" s="21" t="s">
        <v>99</v>
      </c>
      <c r="E40" s="18">
        <v>-12260.82857142857</v>
      </c>
      <c r="F40" s="26">
        <v>-13168.299142895134</v>
      </c>
      <c r="G40" s="18">
        <f t="shared" si="1"/>
        <v>-1449</v>
      </c>
      <c r="H40" s="18">
        <f t="shared" si="0"/>
        <v>-14617.299142895134</v>
      </c>
      <c r="I40" s="18" t="s">
        <v>161</v>
      </c>
      <c r="J40" s="17" t="s">
        <v>21</v>
      </c>
      <c r="K40" s="17" t="s">
        <v>181</v>
      </c>
    </row>
    <row r="41" spans="1:11" x14ac:dyDescent="0.35">
      <c r="A41" s="24">
        <v>30050045</v>
      </c>
      <c r="B41" s="17">
        <v>45</v>
      </c>
      <c r="C41" s="21" t="s">
        <v>65</v>
      </c>
      <c r="D41" s="21" t="s">
        <v>167</v>
      </c>
      <c r="E41" s="18">
        <v>0</v>
      </c>
      <c r="F41" s="26">
        <v>0</v>
      </c>
      <c r="G41" s="18">
        <f t="shared" si="1"/>
        <v>0</v>
      </c>
      <c r="H41" s="18">
        <f t="shared" si="0"/>
        <v>0</v>
      </c>
      <c r="I41" s="18" t="s">
        <v>161</v>
      </c>
      <c r="J41" s="17" t="s">
        <v>21</v>
      </c>
      <c r="K41" s="17" t="s">
        <v>181</v>
      </c>
    </row>
    <row r="42" spans="1:11" x14ac:dyDescent="0.35">
      <c r="A42" s="24">
        <v>30050047</v>
      </c>
      <c r="B42" s="17">
        <v>47</v>
      </c>
      <c r="C42" s="21" t="s">
        <v>69</v>
      </c>
      <c r="D42" s="21" t="s">
        <v>100</v>
      </c>
      <c r="E42" s="18">
        <v>-31980.651428571426</v>
      </c>
      <c r="F42" s="26">
        <v>-39477.134816325124</v>
      </c>
      <c r="G42" s="18">
        <f t="shared" si="1"/>
        <v>-4342</v>
      </c>
      <c r="H42" s="18">
        <f t="shared" si="0"/>
        <v>-43819.134816325124</v>
      </c>
      <c r="I42" s="18" t="s">
        <v>161</v>
      </c>
      <c r="J42" s="17" t="s">
        <v>21</v>
      </c>
      <c r="K42" s="17" t="s">
        <v>181</v>
      </c>
    </row>
    <row r="43" spans="1:11" x14ac:dyDescent="0.35">
      <c r="A43" s="24">
        <v>30050048</v>
      </c>
      <c r="B43" s="17">
        <v>48</v>
      </c>
      <c r="C43" s="21" t="s">
        <v>71</v>
      </c>
      <c r="D43" s="21" t="s">
        <v>101</v>
      </c>
      <c r="E43" s="18">
        <v>-2346.6514285714288</v>
      </c>
      <c r="F43" s="26">
        <v>-1468.1349765893701</v>
      </c>
      <c r="G43" s="18">
        <f t="shared" si="1"/>
        <v>-161</v>
      </c>
      <c r="H43" s="18">
        <f t="shared" si="0"/>
        <v>-1629.1349765893701</v>
      </c>
      <c r="I43" s="18" t="s">
        <v>161</v>
      </c>
      <c r="J43" s="17" t="s">
        <v>21</v>
      </c>
      <c r="K43" s="17" t="s">
        <v>181</v>
      </c>
    </row>
    <row r="44" spans="1:11" x14ac:dyDescent="0.35">
      <c r="A44" s="24">
        <v>30050050</v>
      </c>
      <c r="B44" s="17">
        <v>50</v>
      </c>
      <c r="C44" s="21" t="s">
        <v>75</v>
      </c>
      <c r="D44" s="21" t="s">
        <v>102</v>
      </c>
      <c r="E44" s="18">
        <v>-20353.114285714284</v>
      </c>
      <c r="F44" s="26">
        <v>-21225.970289949288</v>
      </c>
      <c r="G44" s="18">
        <f t="shared" si="1"/>
        <v>-2335</v>
      </c>
      <c r="H44" s="18">
        <f t="shared" si="0"/>
        <v>-23560.970289949288</v>
      </c>
      <c r="I44" s="18" t="s">
        <v>161</v>
      </c>
      <c r="J44" s="17" t="s">
        <v>21</v>
      </c>
      <c r="K44" s="17" t="s">
        <v>181</v>
      </c>
    </row>
    <row r="45" spans="1:11" x14ac:dyDescent="0.35">
      <c r="A45" s="24">
        <v>30000026</v>
      </c>
      <c r="B45" s="17">
        <v>26</v>
      </c>
      <c r="C45" s="21" t="s">
        <v>115</v>
      </c>
      <c r="D45" s="21" t="s">
        <v>177</v>
      </c>
      <c r="E45" s="18">
        <v>63949.714285714283</v>
      </c>
      <c r="F45" s="26">
        <v>0</v>
      </c>
      <c r="G45" s="18">
        <f t="shared" ref="G45:G50" si="2">ROUND(F45*$G$3,0)</f>
        <v>0</v>
      </c>
      <c r="H45" s="18">
        <f t="shared" si="0"/>
        <v>0</v>
      </c>
      <c r="I45" s="18" t="s">
        <v>161</v>
      </c>
      <c r="J45" s="27" t="s">
        <v>23</v>
      </c>
      <c r="K45" s="17" t="s">
        <v>181</v>
      </c>
    </row>
    <row r="46" spans="1:11" x14ac:dyDescent="0.35">
      <c r="A46" s="24">
        <v>30000017</v>
      </c>
      <c r="B46" s="17">
        <v>17</v>
      </c>
      <c r="C46" s="21" t="s">
        <v>41</v>
      </c>
      <c r="D46" s="21" t="s">
        <v>42</v>
      </c>
      <c r="E46" s="18">
        <v>0</v>
      </c>
      <c r="F46" s="26">
        <v>0</v>
      </c>
      <c r="G46" s="18">
        <f t="shared" si="2"/>
        <v>0</v>
      </c>
      <c r="H46" s="18">
        <f t="shared" si="0"/>
        <v>0</v>
      </c>
      <c r="I46" s="18" t="s">
        <v>161</v>
      </c>
      <c r="J46" s="17" t="s">
        <v>23</v>
      </c>
      <c r="K46" s="17" t="s">
        <v>181</v>
      </c>
    </row>
    <row r="47" spans="1:11" x14ac:dyDescent="0.35">
      <c r="A47" s="24">
        <v>30000025</v>
      </c>
      <c r="B47" s="17">
        <v>25</v>
      </c>
      <c r="C47" s="21" t="s">
        <v>47</v>
      </c>
      <c r="D47" s="21" t="s">
        <v>48</v>
      </c>
      <c r="E47" s="18">
        <v>-1280.5714285714284</v>
      </c>
      <c r="F47" s="26">
        <v>-1478.6223277909737</v>
      </c>
      <c r="G47" s="18">
        <f t="shared" si="2"/>
        <v>-163</v>
      </c>
      <c r="H47" s="18">
        <f t="shared" si="0"/>
        <v>-1641.6223277909737</v>
      </c>
      <c r="I47" s="18" t="s">
        <v>161</v>
      </c>
      <c r="J47" s="17" t="s">
        <v>23</v>
      </c>
      <c r="K47" s="17" t="s">
        <v>181</v>
      </c>
    </row>
    <row r="48" spans="1:11" x14ac:dyDescent="0.35">
      <c r="A48" s="24">
        <v>30000037</v>
      </c>
      <c r="B48" s="17">
        <v>37</v>
      </c>
      <c r="C48" s="21" t="s">
        <v>53</v>
      </c>
      <c r="D48" s="21" t="s">
        <v>54</v>
      </c>
      <c r="E48" s="18">
        <v>-105931.50857142854</v>
      </c>
      <c r="F48" s="26">
        <v>-126121.43290185183</v>
      </c>
      <c r="G48" s="18">
        <f t="shared" si="2"/>
        <v>-13873</v>
      </c>
      <c r="H48" s="18">
        <f t="shared" si="0"/>
        <v>-139994.43290185183</v>
      </c>
      <c r="I48" s="18" t="s">
        <v>161</v>
      </c>
      <c r="J48" s="17" t="s">
        <v>23</v>
      </c>
      <c r="K48" s="17" t="s">
        <v>181</v>
      </c>
    </row>
    <row r="49" spans="1:11" x14ac:dyDescent="0.35">
      <c r="A49" s="24">
        <v>30000096</v>
      </c>
      <c r="B49" s="17">
        <v>96</v>
      </c>
      <c r="C49" s="21" t="s">
        <v>81</v>
      </c>
      <c r="D49" s="21" t="s">
        <v>82</v>
      </c>
      <c r="E49" s="18">
        <v>-1051760.1257142858</v>
      </c>
      <c r="F49" s="26">
        <v>-1149544.9842821485</v>
      </c>
      <c r="G49" s="18">
        <f t="shared" si="2"/>
        <v>-126450</v>
      </c>
      <c r="H49" s="18">
        <f t="shared" si="0"/>
        <v>-1275994.9842821485</v>
      </c>
      <c r="I49" s="18" t="s">
        <v>161</v>
      </c>
      <c r="J49" s="17" t="s">
        <v>23</v>
      </c>
      <c r="K49" s="17" t="s">
        <v>181</v>
      </c>
    </row>
    <row r="50" spans="1:11" x14ac:dyDescent="0.35">
      <c r="A50" s="24">
        <v>30110058</v>
      </c>
      <c r="B50" s="17">
        <v>58</v>
      </c>
      <c r="C50" s="21" t="s">
        <v>133</v>
      </c>
      <c r="D50" s="21" t="s">
        <v>142</v>
      </c>
      <c r="E50" s="18">
        <v>-40779.428571428572</v>
      </c>
      <c r="F50" s="26">
        <v>-29654.389536347509</v>
      </c>
      <c r="G50" s="18">
        <f t="shared" si="2"/>
        <v>-3262</v>
      </c>
      <c r="H50" s="18">
        <f t="shared" si="0"/>
        <v>-32916.389536347509</v>
      </c>
      <c r="I50" s="18" t="s">
        <v>161</v>
      </c>
      <c r="J50" s="17" t="s">
        <v>23</v>
      </c>
      <c r="K50" s="17" t="s">
        <v>181</v>
      </c>
    </row>
    <row r="51" spans="1:11" x14ac:dyDescent="0.35">
      <c r="A51" s="24"/>
      <c r="B51" s="17"/>
      <c r="C51" s="21"/>
      <c r="D51" s="29" t="s">
        <v>262</v>
      </c>
      <c r="E51" s="13"/>
      <c r="F51" s="11">
        <v>-1728</v>
      </c>
      <c r="G51" s="13">
        <v>0</v>
      </c>
      <c r="H51" s="13">
        <f t="shared" si="0"/>
        <v>-1728</v>
      </c>
      <c r="I51" s="18"/>
      <c r="J51" s="17"/>
      <c r="K51" s="17"/>
    </row>
    <row r="52" spans="1:11" x14ac:dyDescent="0.35">
      <c r="A52" s="24"/>
      <c r="B52" s="17"/>
      <c r="C52" s="21"/>
      <c r="D52" s="21"/>
      <c r="E52" s="18"/>
      <c r="F52" s="26"/>
      <c r="G52" s="18"/>
      <c r="H52" s="18"/>
      <c r="I52" s="18"/>
      <c r="J52" s="17"/>
      <c r="K52" s="17"/>
    </row>
    <row r="53" spans="1:11" x14ac:dyDescent="0.35">
      <c r="A53" s="24"/>
      <c r="B53" s="17"/>
      <c r="C53" s="21"/>
      <c r="D53" s="21"/>
      <c r="E53" s="18">
        <f>SUM(E7:E52)</f>
        <v>-15812025.805714291</v>
      </c>
      <c r="F53" s="18">
        <f t="shared" ref="F53:H53" si="3">SUM(F7:F52)</f>
        <v>-16565514.103599472</v>
      </c>
      <c r="G53" s="18">
        <f t="shared" si="3"/>
        <v>-1822017</v>
      </c>
      <c r="H53" s="18">
        <f t="shared" si="3"/>
        <v>-18387531.103599466</v>
      </c>
      <c r="I53" s="18"/>
      <c r="J53" s="17"/>
      <c r="K53" s="17"/>
    </row>
    <row r="54" spans="1:11" x14ac:dyDescent="0.35">
      <c r="A54" s="24"/>
      <c r="B54" s="17"/>
      <c r="C54" s="21"/>
      <c r="D54" s="21"/>
      <c r="E54" s="18"/>
      <c r="F54" s="26"/>
      <c r="G54" s="18"/>
      <c r="H54" s="18"/>
      <c r="I54" s="18"/>
      <c r="J54" s="17"/>
      <c r="K54" s="17"/>
    </row>
    <row r="55" spans="1:11" x14ac:dyDescent="0.35">
      <c r="A55" s="24">
        <v>30010018</v>
      </c>
      <c r="B55" s="17">
        <v>18</v>
      </c>
      <c r="C55" s="21" t="s">
        <v>83</v>
      </c>
      <c r="D55" s="21" t="s">
        <v>84</v>
      </c>
      <c r="E55" s="18">
        <v>-875592</v>
      </c>
      <c r="F55" s="26">
        <v>-4380000</v>
      </c>
      <c r="G55" s="18">
        <f t="shared" ref="G55:G69" si="4">ROUND(F55*$G$3,0)</f>
        <v>-481800</v>
      </c>
      <c r="H55" s="18">
        <f t="shared" ref="H55:H69" si="5">+F55+G55</f>
        <v>-4861800</v>
      </c>
      <c r="I55" s="18" t="s">
        <v>161</v>
      </c>
      <c r="J55" s="17" t="s">
        <v>21</v>
      </c>
      <c r="K55" s="17" t="s">
        <v>181</v>
      </c>
    </row>
    <row r="56" spans="1:11" x14ac:dyDescent="0.35">
      <c r="A56" s="24">
        <v>30010021</v>
      </c>
      <c r="B56" s="17">
        <v>21</v>
      </c>
      <c r="C56" s="21" t="s">
        <v>43</v>
      </c>
      <c r="D56" s="21" t="s">
        <v>85</v>
      </c>
      <c r="E56" s="18">
        <v>-85226.794285714292</v>
      </c>
      <c r="F56" s="26">
        <v>-86927.806162759007</v>
      </c>
      <c r="G56" s="18">
        <f t="shared" si="4"/>
        <v>-9562</v>
      </c>
      <c r="H56" s="18">
        <f t="shared" si="5"/>
        <v>-96489.806162759007</v>
      </c>
      <c r="I56" s="18" t="s">
        <v>161</v>
      </c>
      <c r="J56" s="17" t="s">
        <v>21</v>
      </c>
      <c r="K56" s="17" t="s">
        <v>181</v>
      </c>
    </row>
    <row r="57" spans="1:11" x14ac:dyDescent="0.35">
      <c r="A57" s="24">
        <v>30010041</v>
      </c>
      <c r="B57" s="19"/>
      <c r="C57" s="21"/>
      <c r="D57" s="23" t="s">
        <v>238</v>
      </c>
      <c r="E57" s="18"/>
      <c r="G57" s="18">
        <f t="shared" si="4"/>
        <v>0</v>
      </c>
      <c r="H57" s="18">
        <f t="shared" si="5"/>
        <v>0</v>
      </c>
      <c r="I57" s="18"/>
      <c r="J57" s="17" t="s">
        <v>21</v>
      </c>
      <c r="K57" s="17" t="s">
        <v>181</v>
      </c>
    </row>
    <row r="58" spans="1:11" x14ac:dyDescent="0.35">
      <c r="A58" s="24">
        <v>30010044</v>
      </c>
      <c r="B58" s="17">
        <v>44</v>
      </c>
      <c r="C58" s="21" t="s">
        <v>63</v>
      </c>
      <c r="D58" s="21" t="s">
        <v>163</v>
      </c>
      <c r="E58" s="18">
        <v>0</v>
      </c>
      <c r="F58" s="26">
        <v>0</v>
      </c>
      <c r="G58" s="18">
        <f t="shared" si="4"/>
        <v>0</v>
      </c>
      <c r="H58" s="18">
        <f t="shared" si="5"/>
        <v>0</v>
      </c>
      <c r="I58" s="18" t="s">
        <v>161</v>
      </c>
      <c r="J58" s="17" t="s">
        <v>21</v>
      </c>
      <c r="K58" s="17" t="s">
        <v>181</v>
      </c>
    </row>
    <row r="59" spans="1:11" x14ac:dyDescent="0.35">
      <c r="A59" s="24">
        <v>30010047</v>
      </c>
      <c r="B59" s="17">
        <v>47</v>
      </c>
      <c r="C59" s="21" t="s">
        <v>69</v>
      </c>
      <c r="D59" s="21" t="s">
        <v>164</v>
      </c>
      <c r="E59" s="18">
        <v>0</v>
      </c>
      <c r="F59" s="26">
        <v>0</v>
      </c>
      <c r="G59" s="18">
        <f t="shared" si="4"/>
        <v>0</v>
      </c>
      <c r="H59" s="18">
        <f t="shared" si="5"/>
        <v>0</v>
      </c>
      <c r="I59" s="18" t="s">
        <v>161</v>
      </c>
      <c r="J59" s="17" t="s">
        <v>21</v>
      </c>
      <c r="K59" s="17" t="s">
        <v>181</v>
      </c>
    </row>
    <row r="60" spans="1:11" x14ac:dyDescent="0.35">
      <c r="A60" s="24">
        <v>30010050</v>
      </c>
      <c r="B60" s="17">
        <v>50</v>
      </c>
      <c r="C60" s="21" t="s">
        <v>75</v>
      </c>
      <c r="D60" s="21" t="s">
        <v>86</v>
      </c>
      <c r="E60" s="18">
        <v>-11163.428571428572</v>
      </c>
      <c r="F60" s="26">
        <v>-11642.179170458978</v>
      </c>
      <c r="G60" s="18">
        <f t="shared" si="4"/>
        <v>-1281</v>
      </c>
      <c r="H60" s="18">
        <f t="shared" si="5"/>
        <v>-12923.179170458978</v>
      </c>
      <c r="I60" s="18" t="s">
        <v>161</v>
      </c>
      <c r="J60" s="17" t="s">
        <v>21</v>
      </c>
      <c r="K60" s="17" t="s">
        <v>181</v>
      </c>
    </row>
    <row r="61" spans="1:11" x14ac:dyDescent="0.35">
      <c r="A61" s="24">
        <v>30010070</v>
      </c>
      <c r="B61" s="17">
        <v>70</v>
      </c>
      <c r="C61" s="21" t="e">
        <v>#N/A</v>
      </c>
      <c r="D61" s="21" t="s">
        <v>87</v>
      </c>
      <c r="E61" s="18">
        <v>-761.14285714285711</v>
      </c>
      <c r="F61" s="26">
        <v>0</v>
      </c>
      <c r="G61" s="18">
        <f t="shared" si="4"/>
        <v>0</v>
      </c>
      <c r="H61" s="18">
        <f t="shared" si="5"/>
        <v>0</v>
      </c>
      <c r="I61" s="18" t="s">
        <v>161</v>
      </c>
      <c r="J61" s="17" t="s">
        <v>21</v>
      </c>
      <c r="K61" s="17" t="s">
        <v>181</v>
      </c>
    </row>
    <row r="62" spans="1:11" x14ac:dyDescent="0.35">
      <c r="A62" s="24">
        <v>30010077</v>
      </c>
      <c r="B62" s="17">
        <v>77</v>
      </c>
      <c r="C62" s="21" t="e">
        <v>#N/A</v>
      </c>
      <c r="D62" s="21" t="s">
        <v>88</v>
      </c>
      <c r="E62" s="18">
        <v>-7853.1428571428569</v>
      </c>
      <c r="F62" s="26">
        <v>-106996.84867389734</v>
      </c>
      <c r="G62" s="18">
        <f t="shared" si="4"/>
        <v>-11770</v>
      </c>
      <c r="H62" s="18">
        <f t="shared" si="5"/>
        <v>-118766.84867389734</v>
      </c>
      <c r="I62" s="18" t="s">
        <v>161</v>
      </c>
      <c r="J62" s="17" t="s">
        <v>21</v>
      </c>
      <c r="K62" s="17" t="s">
        <v>181</v>
      </c>
    </row>
    <row r="63" spans="1:11" x14ac:dyDescent="0.35">
      <c r="A63" s="24">
        <v>30010087</v>
      </c>
      <c r="B63" s="17">
        <v>87</v>
      </c>
      <c r="C63" s="21" t="e">
        <v>#N/A</v>
      </c>
      <c r="D63" s="21" t="s">
        <v>89</v>
      </c>
      <c r="E63" s="18">
        <v>-27183.068571428568</v>
      </c>
      <c r="F63" s="26">
        <v>-171435.31915119995</v>
      </c>
      <c r="G63" s="18">
        <f t="shared" si="4"/>
        <v>-18858</v>
      </c>
      <c r="H63" s="18">
        <f t="shared" si="5"/>
        <v>-190293.31915119995</v>
      </c>
      <c r="I63" s="18" t="s">
        <v>161</v>
      </c>
      <c r="J63" s="17" t="s">
        <v>21</v>
      </c>
      <c r="K63" s="17" t="s">
        <v>181</v>
      </c>
    </row>
    <row r="64" spans="1:11" x14ac:dyDescent="0.35">
      <c r="A64" s="24">
        <v>30019013</v>
      </c>
      <c r="B64" s="19"/>
      <c r="C64" s="21"/>
      <c r="D64" s="23" t="s">
        <v>239</v>
      </c>
      <c r="E64" s="18"/>
      <c r="G64" s="18">
        <f t="shared" si="4"/>
        <v>0</v>
      </c>
      <c r="H64" s="18">
        <f t="shared" si="5"/>
        <v>0</v>
      </c>
      <c r="I64" s="18"/>
      <c r="J64" s="17" t="s">
        <v>21</v>
      </c>
      <c r="K64" s="17" t="s">
        <v>181</v>
      </c>
    </row>
    <row r="65" spans="1:11" x14ac:dyDescent="0.35">
      <c r="A65" s="24">
        <v>30060018</v>
      </c>
      <c r="B65" s="17">
        <v>18</v>
      </c>
      <c r="C65" s="21" t="s">
        <v>83</v>
      </c>
      <c r="D65" s="21" t="s">
        <v>168</v>
      </c>
      <c r="E65" s="18">
        <v>0</v>
      </c>
      <c r="F65" s="26">
        <v>0</v>
      </c>
      <c r="G65" s="18">
        <f t="shared" si="4"/>
        <v>0</v>
      </c>
      <c r="H65" s="18">
        <f t="shared" si="5"/>
        <v>0</v>
      </c>
      <c r="I65" s="18" t="s">
        <v>161</v>
      </c>
      <c r="J65" s="17" t="s">
        <v>21</v>
      </c>
      <c r="K65" s="17" t="s">
        <v>181</v>
      </c>
    </row>
    <row r="66" spans="1:11" x14ac:dyDescent="0.35">
      <c r="A66" s="24">
        <v>30060023</v>
      </c>
      <c r="B66" s="17">
        <v>23</v>
      </c>
      <c r="C66" s="21" t="s">
        <v>112</v>
      </c>
      <c r="D66" s="21" t="s">
        <v>169</v>
      </c>
      <c r="E66" s="18">
        <v>0</v>
      </c>
      <c r="F66" s="26">
        <v>0</v>
      </c>
      <c r="G66" s="18">
        <f t="shared" si="4"/>
        <v>0</v>
      </c>
      <c r="H66" s="18">
        <f t="shared" si="5"/>
        <v>0</v>
      </c>
      <c r="I66" s="18" t="s">
        <v>161</v>
      </c>
      <c r="J66" s="17" t="s">
        <v>21</v>
      </c>
      <c r="K66" s="17" t="s">
        <v>181</v>
      </c>
    </row>
    <row r="67" spans="1:11" x14ac:dyDescent="0.35">
      <c r="A67" s="24">
        <v>30060044</v>
      </c>
      <c r="B67" s="17">
        <v>44</v>
      </c>
      <c r="C67" s="21" t="s">
        <v>63</v>
      </c>
      <c r="D67" s="21" t="s">
        <v>169</v>
      </c>
      <c r="E67" s="18">
        <v>0</v>
      </c>
      <c r="F67" s="26">
        <v>0</v>
      </c>
      <c r="G67" s="18">
        <f t="shared" si="4"/>
        <v>0</v>
      </c>
      <c r="H67" s="18">
        <f t="shared" si="5"/>
        <v>0</v>
      </c>
      <c r="I67" s="18" t="s">
        <v>161</v>
      </c>
      <c r="J67" s="17" t="s">
        <v>21</v>
      </c>
      <c r="K67" s="17" t="s">
        <v>181</v>
      </c>
    </row>
    <row r="68" spans="1:11" x14ac:dyDescent="0.35">
      <c r="A68" s="24">
        <v>30060047</v>
      </c>
      <c r="B68" s="19"/>
      <c r="C68" s="21"/>
      <c r="D68" s="23" t="s">
        <v>242</v>
      </c>
      <c r="E68" s="18"/>
      <c r="G68" s="18">
        <f t="shared" si="4"/>
        <v>0</v>
      </c>
      <c r="H68" s="18">
        <f t="shared" si="5"/>
        <v>0</v>
      </c>
      <c r="I68" s="18"/>
      <c r="J68" s="17" t="s">
        <v>21</v>
      </c>
      <c r="K68" s="17" t="s">
        <v>181</v>
      </c>
    </row>
    <row r="69" spans="1:11" x14ac:dyDescent="0.35">
      <c r="A69" s="24">
        <v>30060050</v>
      </c>
      <c r="B69" s="17">
        <v>50</v>
      </c>
      <c r="C69" s="21" t="s">
        <v>75</v>
      </c>
      <c r="D69" s="21" t="s">
        <v>170</v>
      </c>
      <c r="E69" s="18">
        <v>0</v>
      </c>
      <c r="F69" s="26">
        <v>0</v>
      </c>
      <c r="G69" s="18">
        <f t="shared" si="4"/>
        <v>0</v>
      </c>
      <c r="H69" s="18">
        <f t="shared" si="5"/>
        <v>0</v>
      </c>
      <c r="I69" s="18" t="s">
        <v>161</v>
      </c>
      <c r="J69" s="17" t="s">
        <v>21</v>
      </c>
      <c r="K69" s="17" t="s">
        <v>181</v>
      </c>
    </row>
    <row r="70" spans="1:11" x14ac:dyDescent="0.35">
      <c r="A70" s="24"/>
      <c r="B70" s="19"/>
      <c r="C70" s="21"/>
      <c r="D70" s="23"/>
      <c r="E70" s="18"/>
      <c r="G70" s="18"/>
      <c r="H70" s="18"/>
      <c r="I70" s="18"/>
      <c r="J70" s="17"/>
      <c r="K70" s="17"/>
    </row>
    <row r="71" spans="1:11" x14ac:dyDescent="0.35">
      <c r="A71" s="24"/>
      <c r="B71" s="19"/>
      <c r="C71" s="21"/>
      <c r="D71" s="23" t="s">
        <v>303</v>
      </c>
      <c r="E71" s="18">
        <f>SUM(E55:E70)</f>
        <v>-1007779.577142857</v>
      </c>
      <c r="F71" s="18">
        <f t="shared" ref="F71:H71" si="6">SUM(F55:F70)</f>
        <v>-4757002.1531583155</v>
      </c>
      <c r="G71" s="18">
        <f t="shared" si="6"/>
        <v>-523271</v>
      </c>
      <c r="H71" s="18">
        <f t="shared" si="6"/>
        <v>-5280273.1531583155</v>
      </c>
      <c r="I71" s="18"/>
      <c r="J71" s="17"/>
      <c r="K71" s="17"/>
    </row>
    <row r="72" spans="1:11" x14ac:dyDescent="0.35">
      <c r="A72" s="24"/>
      <c r="B72" s="19"/>
      <c r="C72" s="21"/>
      <c r="D72" s="23"/>
      <c r="E72" s="18"/>
      <c r="G72" s="18"/>
      <c r="H72" s="18"/>
      <c r="I72" s="18"/>
      <c r="J72" s="17"/>
      <c r="K72" s="17"/>
    </row>
    <row r="73" spans="1:11" x14ac:dyDescent="0.35">
      <c r="D73" s="23" t="s">
        <v>278</v>
      </c>
      <c r="E73" s="8">
        <f>+E53+E71</f>
        <v>-16819805.382857148</v>
      </c>
      <c r="F73" s="8">
        <f t="shared" ref="F73:H73" si="7">+F53+F71</f>
        <v>-21322516.256757788</v>
      </c>
      <c r="G73" s="8">
        <f t="shared" si="7"/>
        <v>-2345288</v>
      </c>
      <c r="H73" s="8">
        <f t="shared" si="7"/>
        <v>-23667804.256757781</v>
      </c>
      <c r="I73" s="18"/>
      <c r="J73" s="17"/>
    </row>
    <row r="74" spans="1:11" x14ac:dyDescent="0.35">
      <c r="A74" s="24"/>
      <c r="B74" s="17"/>
      <c r="C74" s="21"/>
      <c r="D74" s="21"/>
      <c r="E74" s="21"/>
      <c r="F74" s="21"/>
      <c r="G74" s="21"/>
      <c r="H74" s="21"/>
      <c r="I74" s="18"/>
      <c r="J74" s="17"/>
      <c r="K74" s="17"/>
    </row>
    <row r="75" spans="1:11" x14ac:dyDescent="0.35">
      <c r="E75"/>
      <c r="F75"/>
    </row>
    <row r="76" spans="1:11" x14ac:dyDescent="0.35">
      <c r="A76" s="24">
        <v>30000001</v>
      </c>
      <c r="B76" s="17">
        <v>1</v>
      </c>
      <c r="C76" s="21" t="e">
        <v>#N/A</v>
      </c>
      <c r="D76" s="21" t="s">
        <v>38</v>
      </c>
      <c r="E76" s="18">
        <v>-12541.714285714286</v>
      </c>
      <c r="F76" s="6">
        <v>-13200</v>
      </c>
      <c r="G76" s="18">
        <f t="shared" ref="G76:G132" si="8">ROUND(F76*$G$3,0)</f>
        <v>-1452</v>
      </c>
      <c r="H76" s="18">
        <f t="shared" ref="H76:H107" si="9">+F76+G76</f>
        <v>-14652</v>
      </c>
      <c r="I76" s="18" t="s">
        <v>161</v>
      </c>
      <c r="J76" s="17" t="s">
        <v>22</v>
      </c>
      <c r="K76" s="17" t="s">
        <v>181</v>
      </c>
    </row>
    <row r="77" spans="1:11" x14ac:dyDescent="0.35">
      <c r="A77" s="24">
        <v>30100009</v>
      </c>
      <c r="B77" s="17">
        <v>9</v>
      </c>
      <c r="C77" s="21" t="s">
        <v>39</v>
      </c>
      <c r="D77" s="21" t="s">
        <v>103</v>
      </c>
      <c r="E77" s="18">
        <v>-897131.62285714294</v>
      </c>
      <c r="F77" s="26">
        <v>-959766.77069956879</v>
      </c>
      <c r="G77" s="18">
        <f t="shared" si="8"/>
        <v>-105574</v>
      </c>
      <c r="H77" s="18">
        <f t="shared" si="9"/>
        <v>-1065340.7706995688</v>
      </c>
      <c r="I77" s="18" t="s">
        <v>161</v>
      </c>
      <c r="J77" s="17" t="s">
        <v>22</v>
      </c>
      <c r="K77" s="17" t="s">
        <v>181</v>
      </c>
    </row>
    <row r="78" spans="1:11" x14ac:dyDescent="0.35">
      <c r="A78" s="24">
        <v>30100011</v>
      </c>
      <c r="B78" s="17"/>
      <c r="C78" s="21"/>
      <c r="D78" s="21" t="s">
        <v>107</v>
      </c>
      <c r="E78" s="18">
        <v>0</v>
      </c>
      <c r="F78" s="26">
        <v>0</v>
      </c>
      <c r="G78" s="18">
        <f t="shared" si="8"/>
        <v>0</v>
      </c>
      <c r="H78" s="18">
        <f t="shared" si="9"/>
        <v>0</v>
      </c>
      <c r="I78" s="18" t="s">
        <v>161</v>
      </c>
      <c r="J78" s="17" t="s">
        <v>22</v>
      </c>
      <c r="K78" s="17" t="s">
        <v>181</v>
      </c>
    </row>
    <row r="79" spans="1:11" x14ac:dyDescent="0.35">
      <c r="A79" s="24">
        <v>30100013</v>
      </c>
      <c r="B79" s="19"/>
      <c r="C79" s="21"/>
      <c r="D79" s="23" t="s">
        <v>243</v>
      </c>
      <c r="E79" s="18"/>
      <c r="G79" s="18">
        <f t="shared" si="8"/>
        <v>0</v>
      </c>
      <c r="H79" s="18">
        <f t="shared" si="9"/>
        <v>0</v>
      </c>
      <c r="I79" s="18"/>
      <c r="J79" s="17" t="s">
        <v>22</v>
      </c>
      <c r="K79" s="17" t="s">
        <v>181</v>
      </c>
    </row>
    <row r="80" spans="1:11" x14ac:dyDescent="0.35">
      <c r="A80" s="24">
        <v>30100016</v>
      </c>
      <c r="B80" s="17">
        <v>16</v>
      </c>
      <c r="C80" s="21" t="e">
        <v>#N/A</v>
      </c>
      <c r="D80" s="21" t="s">
        <v>106</v>
      </c>
      <c r="E80" s="18">
        <v>0</v>
      </c>
      <c r="G80" s="18">
        <f t="shared" si="8"/>
        <v>0</v>
      </c>
      <c r="H80" s="18">
        <f t="shared" si="9"/>
        <v>0</v>
      </c>
      <c r="I80" s="18" t="s">
        <v>161</v>
      </c>
      <c r="J80" s="17" t="s">
        <v>22</v>
      </c>
      <c r="K80" s="17" t="s">
        <v>181</v>
      </c>
    </row>
    <row r="81" spans="1:11" x14ac:dyDescent="0.35">
      <c r="A81" s="24">
        <v>30100018</v>
      </c>
      <c r="B81" s="17">
        <v>18</v>
      </c>
      <c r="C81" s="21" t="s">
        <v>83</v>
      </c>
      <c r="D81" s="21" t="s">
        <v>108</v>
      </c>
      <c r="E81" s="18">
        <v>-122079.42857142857</v>
      </c>
      <c r="F81" s="26">
        <v>-400000</v>
      </c>
      <c r="G81" s="18">
        <f t="shared" si="8"/>
        <v>-44000</v>
      </c>
      <c r="H81" s="18">
        <f t="shared" si="9"/>
        <v>-444000</v>
      </c>
      <c r="I81" s="18" t="s">
        <v>161</v>
      </c>
      <c r="J81" s="17" t="s">
        <v>22</v>
      </c>
      <c r="K81" s="17" t="s">
        <v>181</v>
      </c>
    </row>
    <row r="82" spans="1:11" x14ac:dyDescent="0.35">
      <c r="A82" s="24">
        <v>30100019</v>
      </c>
      <c r="B82" s="17">
        <v>19</v>
      </c>
      <c r="C82" s="21" t="s">
        <v>171</v>
      </c>
      <c r="D82" s="21" t="s">
        <v>172</v>
      </c>
      <c r="E82" s="18">
        <v>0</v>
      </c>
      <c r="F82" s="26">
        <v>0</v>
      </c>
      <c r="G82" s="18">
        <f t="shared" si="8"/>
        <v>0</v>
      </c>
      <c r="H82" s="18">
        <f t="shared" si="9"/>
        <v>0</v>
      </c>
      <c r="I82" s="18" t="s">
        <v>161</v>
      </c>
      <c r="J82" s="17" t="s">
        <v>22</v>
      </c>
      <c r="K82" s="17" t="s">
        <v>181</v>
      </c>
    </row>
    <row r="83" spans="1:11" x14ac:dyDescent="0.35">
      <c r="A83" s="24">
        <v>30100020</v>
      </c>
      <c r="B83" s="17">
        <v>20</v>
      </c>
      <c r="C83" s="21" t="s">
        <v>91</v>
      </c>
      <c r="D83" s="21" t="s">
        <v>109</v>
      </c>
      <c r="E83" s="18">
        <v>-1435733.1428571427</v>
      </c>
      <c r="F83" s="26">
        <v>-1418651.4216575923</v>
      </c>
      <c r="G83" s="18">
        <f t="shared" si="8"/>
        <v>-156052</v>
      </c>
      <c r="H83" s="18">
        <f t="shared" si="9"/>
        <v>-1574703.4216575923</v>
      </c>
      <c r="I83" s="18" t="s">
        <v>161</v>
      </c>
      <c r="J83" s="17" t="s">
        <v>22</v>
      </c>
      <c r="K83" s="17" t="s">
        <v>181</v>
      </c>
    </row>
    <row r="84" spans="1:11" x14ac:dyDescent="0.35">
      <c r="A84" s="24">
        <v>30100021</v>
      </c>
      <c r="B84" s="17">
        <v>21</v>
      </c>
      <c r="C84" s="21" t="s">
        <v>43</v>
      </c>
      <c r="D84" s="21" t="s">
        <v>110</v>
      </c>
      <c r="E84" s="18">
        <v>-4746198.8571428573</v>
      </c>
      <c r="F84" s="26">
        <v>-4840926.5856052348</v>
      </c>
      <c r="G84" s="18">
        <f t="shared" si="8"/>
        <v>-532502</v>
      </c>
      <c r="H84" s="18">
        <f t="shared" si="9"/>
        <v>-5373428.5856052348</v>
      </c>
      <c r="I84" s="18" t="s">
        <v>161</v>
      </c>
      <c r="J84" s="17" t="s">
        <v>22</v>
      </c>
      <c r="K84" s="17" t="s">
        <v>181</v>
      </c>
    </row>
    <row r="85" spans="1:11" x14ac:dyDescent="0.35">
      <c r="A85" s="24">
        <v>30100022</v>
      </c>
      <c r="B85" s="17">
        <v>22</v>
      </c>
      <c r="C85" s="21" t="s">
        <v>45</v>
      </c>
      <c r="D85" s="21" t="s">
        <v>111</v>
      </c>
      <c r="E85" s="18">
        <v>-282613.71428571432</v>
      </c>
      <c r="F85" s="26">
        <v>-318118.14259378111</v>
      </c>
      <c r="G85" s="18">
        <f t="shared" si="8"/>
        <v>-34993</v>
      </c>
      <c r="H85" s="18">
        <f t="shared" si="9"/>
        <v>-353111.14259378111</v>
      </c>
      <c r="I85" s="18" t="s">
        <v>161</v>
      </c>
      <c r="J85" s="17" t="s">
        <v>22</v>
      </c>
      <c r="K85" s="17" t="s">
        <v>181</v>
      </c>
    </row>
    <row r="86" spans="1:11" x14ac:dyDescent="0.35">
      <c r="A86" s="24">
        <v>30100023</v>
      </c>
      <c r="B86" s="17">
        <v>23</v>
      </c>
      <c r="C86" s="21" t="s">
        <v>112</v>
      </c>
      <c r="D86" s="21" t="s">
        <v>113</v>
      </c>
      <c r="E86" s="18">
        <v>-13725449.142857144</v>
      </c>
      <c r="F86" s="26">
        <v>-14461267.158787496</v>
      </c>
      <c r="G86" s="18">
        <f t="shared" si="8"/>
        <v>-1590740</v>
      </c>
      <c r="H86" s="18">
        <f t="shared" si="9"/>
        <v>-16052007.158787496</v>
      </c>
      <c r="I86" s="18" t="s">
        <v>161</v>
      </c>
      <c r="J86" s="17" t="s">
        <v>22</v>
      </c>
      <c r="K86" s="17" t="s">
        <v>181</v>
      </c>
    </row>
    <row r="87" spans="1:11" x14ac:dyDescent="0.35">
      <c r="A87" s="24">
        <v>30100024</v>
      </c>
      <c r="B87" s="17"/>
      <c r="C87" s="21"/>
      <c r="D87" s="21" t="s">
        <v>180</v>
      </c>
      <c r="E87" s="18">
        <v>-27.428571428571427</v>
      </c>
      <c r="F87" s="26">
        <v>0</v>
      </c>
      <c r="G87" s="18">
        <f t="shared" si="8"/>
        <v>0</v>
      </c>
      <c r="H87" s="18">
        <f t="shared" si="9"/>
        <v>0</v>
      </c>
      <c r="I87" s="18" t="s">
        <v>161</v>
      </c>
      <c r="J87" s="17" t="s">
        <v>22</v>
      </c>
      <c r="K87" s="17" t="s">
        <v>181</v>
      </c>
    </row>
    <row r="88" spans="1:11" x14ac:dyDescent="0.35">
      <c r="A88" s="24">
        <v>30100026</v>
      </c>
      <c r="B88" s="17">
        <v>26</v>
      </c>
      <c r="C88" s="21" t="s">
        <v>115</v>
      </c>
      <c r="D88" s="21" t="s">
        <v>116</v>
      </c>
      <c r="E88" s="18">
        <v>-85296</v>
      </c>
      <c r="F88" s="26">
        <v>0</v>
      </c>
      <c r="G88" s="18">
        <f t="shared" si="8"/>
        <v>0</v>
      </c>
      <c r="H88" s="18">
        <f t="shared" si="9"/>
        <v>0</v>
      </c>
      <c r="I88" s="18" t="s">
        <v>161</v>
      </c>
      <c r="J88" s="17" t="s">
        <v>22</v>
      </c>
      <c r="K88" s="17" t="s">
        <v>181</v>
      </c>
    </row>
    <row r="89" spans="1:11" x14ac:dyDescent="0.35">
      <c r="A89" s="24">
        <v>30100028</v>
      </c>
      <c r="B89" s="17">
        <v>28</v>
      </c>
      <c r="C89" s="21" t="s">
        <v>49</v>
      </c>
      <c r="D89" s="21" t="s">
        <v>117</v>
      </c>
      <c r="E89" s="18">
        <v>-2124459.4285714286</v>
      </c>
      <c r="F89" s="26">
        <v>-1986006.4102564103</v>
      </c>
      <c r="G89" s="18">
        <f t="shared" si="8"/>
        <v>-218461</v>
      </c>
      <c r="H89" s="18">
        <f t="shared" si="9"/>
        <v>-2204467.41025641</v>
      </c>
      <c r="I89" s="18" t="s">
        <v>161</v>
      </c>
      <c r="J89" s="17" t="s">
        <v>22</v>
      </c>
      <c r="K89" s="17" t="s">
        <v>181</v>
      </c>
    </row>
    <row r="90" spans="1:11" x14ac:dyDescent="0.35">
      <c r="A90" s="24">
        <v>30100029</v>
      </c>
      <c r="B90" s="17">
        <v>29</v>
      </c>
      <c r="C90" s="21" t="s">
        <v>118</v>
      </c>
      <c r="D90" s="21" t="s">
        <v>119</v>
      </c>
      <c r="E90" s="18">
        <v>-954663.42857142852</v>
      </c>
      <c r="F90" s="26">
        <v>-942477.07226683141</v>
      </c>
      <c r="G90" s="18">
        <f t="shared" si="8"/>
        <v>-103672</v>
      </c>
      <c r="H90" s="18">
        <f t="shared" si="9"/>
        <v>-1046149.0722668314</v>
      </c>
      <c r="I90" s="18" t="s">
        <v>161</v>
      </c>
      <c r="J90" s="17" t="s">
        <v>22</v>
      </c>
      <c r="K90" s="17" t="s">
        <v>181</v>
      </c>
    </row>
    <row r="91" spans="1:11" x14ac:dyDescent="0.35">
      <c r="A91" s="24">
        <v>30100036</v>
      </c>
      <c r="B91" s="17">
        <v>36</v>
      </c>
      <c r="C91" s="21" t="s">
        <v>51</v>
      </c>
      <c r="D91" s="21" t="s">
        <v>120</v>
      </c>
      <c r="E91" s="18">
        <v>-2011061.142857143</v>
      </c>
      <c r="F91" s="26">
        <v>-2080408.078817734</v>
      </c>
      <c r="G91" s="18">
        <f t="shared" si="8"/>
        <v>-228845</v>
      </c>
      <c r="H91" s="18">
        <f t="shared" si="9"/>
        <v>-2309253.078817734</v>
      </c>
      <c r="I91" s="18" t="s">
        <v>161</v>
      </c>
      <c r="J91" s="17" t="s">
        <v>22</v>
      </c>
      <c r="K91" s="17" t="s">
        <v>181</v>
      </c>
    </row>
    <row r="92" spans="1:11" x14ac:dyDescent="0.35">
      <c r="A92" s="24">
        <v>30100040</v>
      </c>
      <c r="B92" s="17">
        <v>40</v>
      </c>
      <c r="C92" s="21" t="s">
        <v>55</v>
      </c>
      <c r="D92" s="21" t="s">
        <v>121</v>
      </c>
      <c r="E92" s="18">
        <v>-3509098.2857142859</v>
      </c>
      <c r="F92" s="26">
        <v>-3624150.6885245899</v>
      </c>
      <c r="G92" s="18">
        <f t="shared" si="8"/>
        <v>-398657</v>
      </c>
      <c r="H92" s="18">
        <f t="shared" si="9"/>
        <v>-4022807.6885245899</v>
      </c>
      <c r="I92" s="18" t="s">
        <v>161</v>
      </c>
      <c r="J92" s="17" t="s">
        <v>22</v>
      </c>
      <c r="K92" s="17" t="s">
        <v>181</v>
      </c>
    </row>
    <row r="93" spans="1:11" x14ac:dyDescent="0.35">
      <c r="A93" s="24">
        <v>30100041</v>
      </c>
      <c r="B93" s="17">
        <v>41</v>
      </c>
      <c r="C93" s="21" t="s">
        <v>57</v>
      </c>
      <c r="D93" s="21" t="s">
        <v>122</v>
      </c>
      <c r="E93" s="18">
        <v>-14931460.354285715</v>
      </c>
      <c r="F93" s="26">
        <v>-15184330.516726872</v>
      </c>
      <c r="G93" s="18">
        <f t="shared" si="8"/>
        <v>-1670277</v>
      </c>
      <c r="H93" s="18">
        <f t="shared" si="9"/>
        <v>-16854607.516726874</v>
      </c>
      <c r="I93" s="18" t="s">
        <v>161</v>
      </c>
      <c r="J93" s="17" t="s">
        <v>22</v>
      </c>
      <c r="K93" s="17" t="s">
        <v>181</v>
      </c>
    </row>
    <row r="94" spans="1:11" x14ac:dyDescent="0.35">
      <c r="A94" s="24">
        <v>30100042</v>
      </c>
      <c r="B94" s="17">
        <v>42</v>
      </c>
      <c r="C94" s="21" t="s">
        <v>59</v>
      </c>
      <c r="D94" s="21" t="s">
        <v>123</v>
      </c>
      <c r="E94" s="18">
        <v>-399063.42857142864</v>
      </c>
      <c r="F94" s="26">
        <v>-420457.12266373489</v>
      </c>
      <c r="G94" s="18">
        <f t="shared" si="8"/>
        <v>-46250</v>
      </c>
      <c r="H94" s="18">
        <f t="shared" si="9"/>
        <v>-466707.12266373489</v>
      </c>
      <c r="I94" s="18" t="s">
        <v>161</v>
      </c>
      <c r="J94" s="17" t="s">
        <v>22</v>
      </c>
      <c r="K94" s="17" t="s">
        <v>181</v>
      </c>
    </row>
    <row r="95" spans="1:11" x14ac:dyDescent="0.35">
      <c r="A95" s="24">
        <v>30100043</v>
      </c>
      <c r="B95" s="17">
        <v>43</v>
      </c>
      <c r="C95" s="21" t="s">
        <v>61</v>
      </c>
      <c r="D95" s="21" t="s">
        <v>124</v>
      </c>
      <c r="E95" s="18">
        <v>-1070434.2857142857</v>
      </c>
      <c r="F95" s="26">
        <v>-1127820.0094235903</v>
      </c>
      <c r="G95" s="18">
        <f t="shared" si="8"/>
        <v>-124060</v>
      </c>
      <c r="H95" s="18">
        <f t="shared" si="9"/>
        <v>-1251880.0094235903</v>
      </c>
      <c r="I95" s="18" t="s">
        <v>161</v>
      </c>
      <c r="J95" s="17" t="s">
        <v>22</v>
      </c>
      <c r="K95" s="17" t="s">
        <v>181</v>
      </c>
    </row>
    <row r="96" spans="1:11" x14ac:dyDescent="0.35">
      <c r="A96" s="24">
        <v>30100044</v>
      </c>
      <c r="B96" s="17">
        <v>44</v>
      </c>
      <c r="C96" s="21" t="s">
        <v>63</v>
      </c>
      <c r="D96" s="21" t="s">
        <v>125</v>
      </c>
      <c r="E96" s="18">
        <v>-3216629.7942857146</v>
      </c>
      <c r="F96" s="26">
        <v>-3389072.5412282078</v>
      </c>
      <c r="G96" s="18">
        <f t="shared" si="8"/>
        <v>-372798</v>
      </c>
      <c r="H96" s="18">
        <f t="shared" si="9"/>
        <v>-3761870.5412282078</v>
      </c>
      <c r="I96" s="18" t="s">
        <v>161</v>
      </c>
      <c r="J96" s="17" t="s">
        <v>22</v>
      </c>
      <c r="K96" s="17" t="s">
        <v>181</v>
      </c>
    </row>
    <row r="97" spans="1:11" x14ac:dyDescent="0.35">
      <c r="A97" s="24">
        <v>30100045</v>
      </c>
      <c r="B97" s="17">
        <v>45</v>
      </c>
      <c r="C97" s="21" t="s">
        <v>65</v>
      </c>
      <c r="D97" s="21" t="s">
        <v>126</v>
      </c>
      <c r="E97" s="18">
        <v>-9936929.1428571418</v>
      </c>
      <c r="F97" s="26">
        <v>-10018139.308681671</v>
      </c>
      <c r="G97" s="18">
        <f t="shared" si="8"/>
        <v>-1101995</v>
      </c>
      <c r="H97" s="18">
        <f t="shared" si="9"/>
        <v>-11120134.308681671</v>
      </c>
      <c r="I97" s="18" t="s">
        <v>161</v>
      </c>
      <c r="J97" s="17" t="s">
        <v>22</v>
      </c>
      <c r="K97" s="17" t="s">
        <v>181</v>
      </c>
    </row>
    <row r="98" spans="1:11" x14ac:dyDescent="0.35">
      <c r="A98" s="24">
        <v>30100046</v>
      </c>
      <c r="B98" s="17">
        <v>46</v>
      </c>
      <c r="C98" s="21" t="s">
        <v>67</v>
      </c>
      <c r="D98" s="21" t="s">
        <v>127</v>
      </c>
      <c r="E98" s="18">
        <v>-621197.14285714284</v>
      </c>
      <c r="F98" s="26">
        <v>-679434.375</v>
      </c>
      <c r="G98" s="18">
        <f t="shared" si="8"/>
        <v>-74738</v>
      </c>
      <c r="H98" s="18">
        <f t="shared" si="9"/>
        <v>-754172.375</v>
      </c>
      <c r="I98" s="18" t="s">
        <v>161</v>
      </c>
      <c r="J98" s="17" t="s">
        <v>22</v>
      </c>
      <c r="K98" s="17" t="s">
        <v>181</v>
      </c>
    </row>
    <row r="99" spans="1:11" x14ac:dyDescent="0.35">
      <c r="A99" s="24">
        <v>30100047</v>
      </c>
      <c r="B99" s="17">
        <v>47</v>
      </c>
      <c r="C99" s="21" t="s">
        <v>69</v>
      </c>
      <c r="D99" s="21" t="s">
        <v>128</v>
      </c>
      <c r="E99" s="18">
        <v>-4996147.8685714286</v>
      </c>
      <c r="F99" s="26">
        <v>-5263990.1499921465</v>
      </c>
      <c r="G99" s="18">
        <f t="shared" si="8"/>
        <v>-579039</v>
      </c>
      <c r="H99" s="18">
        <f t="shared" si="9"/>
        <v>-5843029.1499921465</v>
      </c>
      <c r="I99" s="18" t="s">
        <v>161</v>
      </c>
      <c r="J99" s="17" t="s">
        <v>22</v>
      </c>
      <c r="K99" s="17" t="s">
        <v>181</v>
      </c>
    </row>
    <row r="100" spans="1:11" x14ac:dyDescent="0.35">
      <c r="A100" s="24">
        <v>30100048</v>
      </c>
      <c r="B100" s="17">
        <v>48</v>
      </c>
      <c r="C100" s="21" t="s">
        <v>71</v>
      </c>
      <c r="D100" s="21" t="s">
        <v>129</v>
      </c>
      <c r="E100" s="18">
        <v>-1255900.422857143</v>
      </c>
      <c r="F100" s="26">
        <v>-1355670.436998558</v>
      </c>
      <c r="G100" s="18">
        <f t="shared" si="8"/>
        <v>-149124</v>
      </c>
      <c r="H100" s="18">
        <f t="shared" si="9"/>
        <v>-1504794.436998558</v>
      </c>
      <c r="I100" s="18" t="s">
        <v>161</v>
      </c>
      <c r="J100" s="17" t="s">
        <v>22</v>
      </c>
      <c r="K100" s="17" t="s">
        <v>181</v>
      </c>
    </row>
    <row r="101" spans="1:11" x14ac:dyDescent="0.35">
      <c r="A101" s="24">
        <v>30100049</v>
      </c>
      <c r="B101" s="17">
        <v>49</v>
      </c>
      <c r="C101" s="21" t="s">
        <v>73</v>
      </c>
      <c r="D101" s="21" t="s">
        <v>130</v>
      </c>
      <c r="E101" s="18">
        <v>-2002590.857142857</v>
      </c>
      <c r="F101" s="26">
        <v>-2089021.658670322</v>
      </c>
      <c r="G101" s="18">
        <f t="shared" si="8"/>
        <v>-229792</v>
      </c>
      <c r="H101" s="18">
        <f t="shared" si="9"/>
        <v>-2318813.658670322</v>
      </c>
      <c r="I101" s="18" t="s">
        <v>161</v>
      </c>
      <c r="J101" s="17" t="s">
        <v>22</v>
      </c>
      <c r="K101" s="17" t="s">
        <v>181</v>
      </c>
    </row>
    <row r="102" spans="1:11" x14ac:dyDescent="0.35">
      <c r="A102" s="24">
        <v>30100050</v>
      </c>
      <c r="B102" s="17">
        <v>50</v>
      </c>
      <c r="C102" s="21" t="s">
        <v>75</v>
      </c>
      <c r="D102" s="21" t="s">
        <v>131</v>
      </c>
      <c r="E102" s="18">
        <v>-439170.85714285716</v>
      </c>
      <c r="F102" s="26">
        <v>-458004.97334546875</v>
      </c>
      <c r="G102" s="18">
        <f t="shared" si="8"/>
        <v>-50381</v>
      </c>
      <c r="H102" s="18">
        <f t="shared" si="9"/>
        <v>-508385.97334546875</v>
      </c>
      <c r="I102" s="18" t="s">
        <v>161</v>
      </c>
      <c r="J102" s="17" t="s">
        <v>22</v>
      </c>
      <c r="K102" s="17" t="s">
        <v>181</v>
      </c>
    </row>
    <row r="103" spans="1:11" x14ac:dyDescent="0.35">
      <c r="A103" s="24">
        <v>30100052</v>
      </c>
      <c r="B103" s="17">
        <v>52</v>
      </c>
      <c r="C103" s="21" t="s">
        <v>77</v>
      </c>
      <c r="D103" s="21" t="s">
        <v>132</v>
      </c>
      <c r="E103" s="18">
        <v>-49465.714285714283</v>
      </c>
      <c r="F103" s="26">
        <v>-53607.8352180937</v>
      </c>
      <c r="G103" s="18">
        <f t="shared" si="8"/>
        <v>-5897</v>
      </c>
      <c r="H103" s="18">
        <f t="shared" si="9"/>
        <v>-59504.8352180937</v>
      </c>
      <c r="I103" s="18" t="s">
        <v>161</v>
      </c>
      <c r="J103" s="17" t="s">
        <v>22</v>
      </c>
      <c r="K103" s="17" t="s">
        <v>181</v>
      </c>
    </row>
    <row r="104" spans="1:11" x14ac:dyDescent="0.35">
      <c r="A104" s="24">
        <v>30100079</v>
      </c>
      <c r="B104" s="19"/>
      <c r="C104" s="21"/>
      <c r="D104" s="23" t="s">
        <v>107</v>
      </c>
      <c r="E104" s="18"/>
      <c r="G104" s="18">
        <f t="shared" si="8"/>
        <v>0</v>
      </c>
      <c r="H104" s="18">
        <f t="shared" si="9"/>
        <v>0</v>
      </c>
      <c r="I104" s="18"/>
      <c r="J104" s="17" t="s">
        <v>22</v>
      </c>
      <c r="K104" s="17" t="s">
        <v>181</v>
      </c>
    </row>
    <row r="105" spans="1:11" x14ac:dyDescent="0.35">
      <c r="A105" s="24">
        <v>30100084</v>
      </c>
      <c r="B105" s="17">
        <v>84</v>
      </c>
      <c r="C105" s="21" t="s">
        <v>136</v>
      </c>
      <c r="D105" s="21" t="s">
        <v>137</v>
      </c>
      <c r="E105" s="18">
        <v>-540937.71428571432</v>
      </c>
      <c r="F105" s="26">
        <v>-550175.83154506434</v>
      </c>
      <c r="G105" s="18">
        <f t="shared" si="8"/>
        <v>-60519</v>
      </c>
      <c r="H105" s="18">
        <f t="shared" si="9"/>
        <v>-610694.83154506434</v>
      </c>
      <c r="I105" s="18" t="s">
        <v>161</v>
      </c>
      <c r="J105" s="17" t="s">
        <v>22</v>
      </c>
      <c r="K105" s="17" t="s">
        <v>181</v>
      </c>
    </row>
    <row r="106" spans="1:11" x14ac:dyDescent="0.35">
      <c r="A106" s="24">
        <v>30100088</v>
      </c>
      <c r="B106" s="17"/>
      <c r="C106" s="21"/>
      <c r="D106" s="21" t="s">
        <v>178</v>
      </c>
      <c r="E106" s="18">
        <v>-135538.28571428571</v>
      </c>
      <c r="F106" s="26">
        <v>0</v>
      </c>
      <c r="G106" s="18">
        <f t="shared" si="8"/>
        <v>0</v>
      </c>
      <c r="H106" s="18">
        <f t="shared" si="9"/>
        <v>0</v>
      </c>
      <c r="I106" s="18" t="s">
        <v>161</v>
      </c>
      <c r="J106" s="17" t="s">
        <v>22</v>
      </c>
      <c r="K106" s="17" t="s">
        <v>181</v>
      </c>
    </row>
    <row r="107" spans="1:11" x14ac:dyDescent="0.35">
      <c r="A107" s="24">
        <v>30100094</v>
      </c>
      <c r="B107" s="17">
        <v>94</v>
      </c>
      <c r="C107" s="21" t="s">
        <v>138</v>
      </c>
      <c r="D107" s="21" t="s">
        <v>139</v>
      </c>
      <c r="E107" s="18">
        <v>-205116</v>
      </c>
      <c r="F107" s="26">
        <v>-209326.45206438066</v>
      </c>
      <c r="G107" s="18">
        <f t="shared" si="8"/>
        <v>-23026</v>
      </c>
      <c r="H107" s="18">
        <f t="shared" si="9"/>
        <v>-232352.45206438066</v>
      </c>
      <c r="I107" s="18" t="s">
        <v>161</v>
      </c>
      <c r="J107" s="17" t="s">
        <v>22</v>
      </c>
      <c r="K107" s="17" t="s">
        <v>181</v>
      </c>
    </row>
    <row r="108" spans="1:11" x14ac:dyDescent="0.35">
      <c r="A108" s="24">
        <v>30110049</v>
      </c>
      <c r="B108" s="19"/>
      <c r="C108" s="21"/>
      <c r="D108" s="23" t="s">
        <v>244</v>
      </c>
      <c r="E108" s="18"/>
      <c r="G108" s="18">
        <f t="shared" si="8"/>
        <v>0</v>
      </c>
      <c r="H108" s="18">
        <f t="shared" ref="H108:H139" si="10">+F108+G108</f>
        <v>0</v>
      </c>
      <c r="I108" s="18"/>
      <c r="J108" s="17" t="s">
        <v>22</v>
      </c>
      <c r="K108" s="17" t="s">
        <v>181</v>
      </c>
    </row>
    <row r="109" spans="1:11" x14ac:dyDescent="0.35">
      <c r="A109" s="24">
        <v>30110077</v>
      </c>
      <c r="B109" s="17">
        <v>77</v>
      </c>
      <c r="C109" s="21" t="e">
        <v>#N/A</v>
      </c>
      <c r="D109" s="21" t="s">
        <v>143</v>
      </c>
      <c r="E109" s="18">
        <v>-89.142857142857139</v>
      </c>
      <c r="F109" s="26">
        <v>0</v>
      </c>
      <c r="G109" s="18">
        <f t="shared" si="8"/>
        <v>0</v>
      </c>
      <c r="H109" s="18">
        <f t="shared" si="10"/>
        <v>0</v>
      </c>
      <c r="I109" s="18" t="s">
        <v>161</v>
      </c>
      <c r="J109" s="17" t="s">
        <v>22</v>
      </c>
      <c r="K109" s="17" t="s">
        <v>181</v>
      </c>
    </row>
    <row r="110" spans="1:11" x14ac:dyDescent="0.35">
      <c r="A110" s="24">
        <v>30110087</v>
      </c>
      <c r="B110" s="19"/>
      <c r="C110" s="21"/>
      <c r="D110" s="23" t="s">
        <v>245</v>
      </c>
      <c r="E110" s="18"/>
      <c r="G110" s="18">
        <f t="shared" si="8"/>
        <v>0</v>
      </c>
      <c r="H110" s="18">
        <f t="shared" si="10"/>
        <v>0</v>
      </c>
      <c r="I110" s="18"/>
      <c r="J110" s="17" t="s">
        <v>22</v>
      </c>
      <c r="K110" s="17" t="s">
        <v>181</v>
      </c>
    </row>
    <row r="111" spans="1:11" x14ac:dyDescent="0.35">
      <c r="A111" s="24">
        <v>30119013</v>
      </c>
      <c r="B111" s="19"/>
      <c r="C111" s="21"/>
      <c r="D111" s="23" t="s">
        <v>246</v>
      </c>
      <c r="E111" s="18"/>
      <c r="G111" s="18">
        <f t="shared" si="8"/>
        <v>0</v>
      </c>
      <c r="H111" s="18">
        <f t="shared" si="10"/>
        <v>0</v>
      </c>
      <c r="I111" s="18"/>
      <c r="J111" s="17" t="s">
        <v>22</v>
      </c>
      <c r="K111" s="17" t="s">
        <v>181</v>
      </c>
    </row>
    <row r="112" spans="1:11" x14ac:dyDescent="0.35">
      <c r="A112" s="24">
        <v>30150009</v>
      </c>
      <c r="B112" s="17">
        <v>9</v>
      </c>
      <c r="C112" s="21" t="s">
        <v>39</v>
      </c>
      <c r="D112" s="21" t="s">
        <v>144</v>
      </c>
      <c r="E112" s="18">
        <v>-15779.537142857142</v>
      </c>
      <c r="F112" s="26">
        <v>-16881.219010541445</v>
      </c>
      <c r="G112" s="18">
        <f t="shared" si="8"/>
        <v>-1857</v>
      </c>
      <c r="H112" s="18">
        <f t="shared" si="10"/>
        <v>-18738.219010541445</v>
      </c>
      <c r="I112" s="18" t="s">
        <v>161</v>
      </c>
      <c r="J112" s="17" t="s">
        <v>22</v>
      </c>
      <c r="K112" s="17" t="s">
        <v>181</v>
      </c>
    </row>
    <row r="113" spans="1:11" x14ac:dyDescent="0.35">
      <c r="A113" s="24">
        <v>30150013</v>
      </c>
      <c r="B113" s="19"/>
      <c r="C113" s="21"/>
      <c r="D113" s="23" t="s">
        <v>247</v>
      </c>
      <c r="E113" s="18"/>
      <c r="G113" s="18">
        <f t="shared" si="8"/>
        <v>0</v>
      </c>
      <c r="H113" s="18">
        <f t="shared" si="10"/>
        <v>0</v>
      </c>
      <c r="I113" s="18"/>
      <c r="J113" s="17" t="s">
        <v>22</v>
      </c>
      <c r="K113" s="17" t="s">
        <v>181</v>
      </c>
    </row>
    <row r="114" spans="1:11" x14ac:dyDescent="0.35">
      <c r="A114" s="24">
        <v>30150019</v>
      </c>
      <c r="B114" s="17">
        <v>19</v>
      </c>
      <c r="C114" s="21" t="s">
        <v>171</v>
      </c>
      <c r="D114" s="21" t="s">
        <v>173</v>
      </c>
      <c r="E114" s="18">
        <v>0</v>
      </c>
      <c r="F114" s="26">
        <v>0</v>
      </c>
      <c r="G114" s="18">
        <f t="shared" si="8"/>
        <v>0</v>
      </c>
      <c r="H114" s="18">
        <f t="shared" si="10"/>
        <v>0</v>
      </c>
      <c r="I114" s="18" t="s">
        <v>161</v>
      </c>
      <c r="J114" s="17" t="s">
        <v>22</v>
      </c>
      <c r="K114" s="17" t="s">
        <v>181</v>
      </c>
    </row>
    <row r="115" spans="1:11" x14ac:dyDescent="0.35">
      <c r="A115" s="24">
        <v>30150020</v>
      </c>
      <c r="B115" s="17">
        <v>20</v>
      </c>
      <c r="C115" s="21" t="s">
        <v>91</v>
      </c>
      <c r="D115" s="21" t="s">
        <v>146</v>
      </c>
      <c r="E115" s="18">
        <v>-16600.01142857143</v>
      </c>
      <c r="F115" s="26">
        <v>-16402.511796733212</v>
      </c>
      <c r="G115" s="18">
        <f t="shared" si="8"/>
        <v>-1804</v>
      </c>
      <c r="H115" s="18">
        <f t="shared" si="10"/>
        <v>-18206.511796733212</v>
      </c>
      <c r="I115" s="18" t="s">
        <v>161</v>
      </c>
      <c r="J115" s="17" t="s">
        <v>22</v>
      </c>
      <c r="K115" s="17" t="s">
        <v>181</v>
      </c>
    </row>
    <row r="116" spans="1:11" x14ac:dyDescent="0.35">
      <c r="A116" s="24">
        <v>30150021</v>
      </c>
      <c r="B116" s="17">
        <v>21</v>
      </c>
      <c r="C116" s="21" t="s">
        <v>43</v>
      </c>
      <c r="D116" s="21" t="s">
        <v>147</v>
      </c>
      <c r="E116" s="18">
        <v>-2237954.6571428571</v>
      </c>
      <c r="F116" s="26">
        <v>-2282621.213992639</v>
      </c>
      <c r="G116" s="18">
        <f t="shared" si="8"/>
        <v>-251088</v>
      </c>
      <c r="H116" s="18">
        <f t="shared" si="10"/>
        <v>-2533709.213992639</v>
      </c>
      <c r="I116" s="18" t="s">
        <v>161</v>
      </c>
      <c r="J116" s="17" t="s">
        <v>22</v>
      </c>
      <c r="K116" s="17" t="s">
        <v>181</v>
      </c>
    </row>
    <row r="117" spans="1:11" x14ac:dyDescent="0.35">
      <c r="A117" s="24">
        <v>30150022</v>
      </c>
      <c r="B117" s="17">
        <v>22</v>
      </c>
      <c r="C117" s="21" t="s">
        <v>45</v>
      </c>
      <c r="D117" s="21" t="s">
        <v>148</v>
      </c>
      <c r="E117" s="18">
        <v>-664.64571428571423</v>
      </c>
      <c r="F117" s="26">
        <v>-927.47709721968999</v>
      </c>
      <c r="G117" s="18">
        <f t="shared" si="8"/>
        <v>-102</v>
      </c>
      <c r="H117" s="18">
        <f t="shared" si="10"/>
        <v>-1029.47709721969</v>
      </c>
      <c r="I117" s="18" t="s">
        <v>161</v>
      </c>
      <c r="J117" s="17" t="s">
        <v>22</v>
      </c>
      <c r="K117" s="17" t="s">
        <v>181</v>
      </c>
    </row>
    <row r="118" spans="1:11" x14ac:dyDescent="0.35">
      <c r="A118" s="24">
        <v>30150023</v>
      </c>
      <c r="B118" s="17">
        <v>23</v>
      </c>
      <c r="C118" s="21" t="s">
        <v>112</v>
      </c>
      <c r="D118" s="21" t="s">
        <v>149</v>
      </c>
      <c r="E118" s="18">
        <v>-205634.84571428571</v>
      </c>
      <c r="F118" s="26">
        <v>-216658.88016334223</v>
      </c>
      <c r="G118" s="18">
        <f t="shared" si="8"/>
        <v>-23832</v>
      </c>
      <c r="H118" s="18">
        <f t="shared" si="10"/>
        <v>-240490.88016334223</v>
      </c>
      <c r="I118" s="18" t="s">
        <v>161</v>
      </c>
      <c r="J118" s="17" t="s">
        <v>22</v>
      </c>
      <c r="K118" s="17" t="s">
        <v>181</v>
      </c>
    </row>
    <row r="119" spans="1:11" x14ac:dyDescent="0.35">
      <c r="A119" s="24">
        <v>30150024</v>
      </c>
      <c r="B119" s="17">
        <v>24</v>
      </c>
      <c r="C119" s="21" t="s">
        <v>95</v>
      </c>
      <c r="D119" s="21" t="s">
        <v>150</v>
      </c>
      <c r="E119" s="18">
        <v>-12528.462857142858</v>
      </c>
      <c r="F119" s="26">
        <v>-13131.472971590068</v>
      </c>
      <c r="G119" s="18">
        <f t="shared" si="8"/>
        <v>-1444</v>
      </c>
      <c r="H119" s="18">
        <f t="shared" si="10"/>
        <v>-14575.472971590068</v>
      </c>
      <c r="I119" s="18" t="s">
        <v>161</v>
      </c>
      <c r="J119" s="17" t="s">
        <v>22</v>
      </c>
      <c r="K119" s="17" t="s">
        <v>181</v>
      </c>
    </row>
    <row r="120" spans="1:11" x14ac:dyDescent="0.35">
      <c r="A120" s="24">
        <v>30150028</v>
      </c>
      <c r="B120" s="17">
        <v>28</v>
      </c>
      <c r="C120" s="21" t="s">
        <v>49</v>
      </c>
      <c r="D120" s="21" t="s">
        <v>151</v>
      </c>
      <c r="E120" s="18">
        <v>-309346.45714285714</v>
      </c>
      <c r="F120" s="26">
        <v>-289186.05769230763</v>
      </c>
      <c r="G120" s="18">
        <f t="shared" si="8"/>
        <v>-31810</v>
      </c>
      <c r="H120" s="18">
        <f t="shared" si="10"/>
        <v>-320996.05769230763</v>
      </c>
      <c r="I120" s="18" t="s">
        <v>161</v>
      </c>
      <c r="J120" s="17" t="s">
        <v>22</v>
      </c>
      <c r="K120" s="17" t="s">
        <v>181</v>
      </c>
    </row>
    <row r="121" spans="1:11" x14ac:dyDescent="0.35">
      <c r="A121" s="24">
        <v>30150029</v>
      </c>
      <c r="B121" s="17">
        <v>29</v>
      </c>
      <c r="C121" s="21" t="s">
        <v>118</v>
      </c>
      <c r="D121" s="21" t="s">
        <v>152</v>
      </c>
      <c r="E121" s="18">
        <v>-82920.942857142858</v>
      </c>
      <c r="F121" s="26">
        <v>-81862.450277949349</v>
      </c>
      <c r="G121" s="18">
        <f t="shared" si="8"/>
        <v>-9005</v>
      </c>
      <c r="H121" s="18">
        <f t="shared" si="10"/>
        <v>-90867.450277949349</v>
      </c>
      <c r="I121" s="18" t="s">
        <v>161</v>
      </c>
      <c r="J121" s="17" t="s">
        <v>22</v>
      </c>
      <c r="K121" s="17" t="s">
        <v>181</v>
      </c>
    </row>
    <row r="122" spans="1:11" x14ac:dyDescent="0.35">
      <c r="A122" s="24">
        <v>30150036</v>
      </c>
      <c r="B122" s="17">
        <v>36</v>
      </c>
      <c r="C122" s="21" t="s">
        <v>51</v>
      </c>
      <c r="D122" s="21" t="s">
        <v>153</v>
      </c>
      <c r="E122" s="18">
        <v>-35085.805714285714</v>
      </c>
      <c r="F122" s="26">
        <v>-36295.661083743835</v>
      </c>
      <c r="G122" s="18">
        <f t="shared" si="8"/>
        <v>-3993</v>
      </c>
      <c r="H122" s="18">
        <f t="shared" si="10"/>
        <v>-40288.661083743835</v>
      </c>
      <c r="I122" s="18" t="s">
        <v>161</v>
      </c>
      <c r="J122" s="17" t="s">
        <v>22</v>
      </c>
      <c r="K122" s="17" t="s">
        <v>181</v>
      </c>
    </row>
    <row r="123" spans="1:11" x14ac:dyDescent="0.35">
      <c r="A123" s="24">
        <v>30150043</v>
      </c>
      <c r="B123" s="17">
        <v>43</v>
      </c>
      <c r="C123" s="21" t="s">
        <v>61</v>
      </c>
      <c r="D123" s="21" t="s">
        <v>154</v>
      </c>
      <c r="E123" s="18">
        <v>-1049.1428571428571</v>
      </c>
      <c r="F123" s="26">
        <v>-1105.3871525051043</v>
      </c>
      <c r="G123" s="18">
        <f t="shared" si="8"/>
        <v>-122</v>
      </c>
      <c r="H123" s="18">
        <f t="shared" si="10"/>
        <v>-1227.3871525051043</v>
      </c>
      <c r="I123" s="18" t="s">
        <v>161</v>
      </c>
      <c r="J123" s="17" t="s">
        <v>22</v>
      </c>
      <c r="K123" s="17" t="s">
        <v>181</v>
      </c>
    </row>
    <row r="124" spans="1:11" x14ac:dyDescent="0.35">
      <c r="A124" s="24">
        <v>30150044</v>
      </c>
      <c r="B124" s="17">
        <v>44</v>
      </c>
      <c r="C124" s="21" t="s">
        <v>63</v>
      </c>
      <c r="D124" s="21" t="s">
        <v>155</v>
      </c>
      <c r="E124" s="18">
        <v>-266984.93142857146</v>
      </c>
      <c r="F124" s="26">
        <v>-281297.92916601227</v>
      </c>
      <c r="G124" s="18">
        <f t="shared" si="8"/>
        <v>-30943</v>
      </c>
      <c r="H124" s="18">
        <f t="shared" si="10"/>
        <v>-312240.92916601227</v>
      </c>
      <c r="I124" s="18" t="s">
        <v>161</v>
      </c>
      <c r="J124" s="17" t="s">
        <v>22</v>
      </c>
      <c r="K124" s="17" t="s">
        <v>181</v>
      </c>
    </row>
    <row r="125" spans="1:11" x14ac:dyDescent="0.35">
      <c r="A125" s="24">
        <v>30150045</v>
      </c>
      <c r="B125" s="17">
        <v>45</v>
      </c>
      <c r="C125" s="21" t="s">
        <v>65</v>
      </c>
      <c r="D125" s="21" t="s">
        <v>156</v>
      </c>
      <c r="E125" s="18">
        <v>-2626.0114285714285</v>
      </c>
      <c r="F125" s="26">
        <v>-2647.4726688102892</v>
      </c>
      <c r="G125" s="18">
        <f t="shared" si="8"/>
        <v>-291</v>
      </c>
      <c r="H125" s="18">
        <f t="shared" si="10"/>
        <v>-2938.4726688102892</v>
      </c>
      <c r="I125" s="18" t="s">
        <v>161</v>
      </c>
      <c r="J125" s="17" t="s">
        <v>22</v>
      </c>
      <c r="K125" s="17" t="s">
        <v>181</v>
      </c>
    </row>
    <row r="126" spans="1:11" x14ac:dyDescent="0.35">
      <c r="A126" s="24">
        <v>30150047</v>
      </c>
      <c r="B126" s="17">
        <v>47</v>
      </c>
      <c r="C126" s="21" t="s">
        <v>69</v>
      </c>
      <c r="D126" s="21" t="s">
        <v>157</v>
      </c>
      <c r="E126" s="18">
        <v>-184156.16571428574</v>
      </c>
      <c r="F126" s="26">
        <v>-194028.73331239203</v>
      </c>
      <c r="G126" s="18">
        <f t="shared" si="8"/>
        <v>-21343</v>
      </c>
      <c r="H126" s="18">
        <f t="shared" si="10"/>
        <v>-215371.73331239203</v>
      </c>
      <c r="I126" s="18" t="s">
        <v>161</v>
      </c>
      <c r="J126" s="17" t="s">
        <v>22</v>
      </c>
      <c r="K126" s="17" t="s">
        <v>181</v>
      </c>
    </row>
    <row r="127" spans="1:11" x14ac:dyDescent="0.35">
      <c r="A127" s="24">
        <v>30150048</v>
      </c>
      <c r="B127" s="17">
        <v>48</v>
      </c>
      <c r="C127" s="21" t="s">
        <v>71</v>
      </c>
      <c r="D127" s="21" t="s">
        <v>158</v>
      </c>
      <c r="E127" s="18">
        <v>-7670.914285714287</v>
      </c>
      <c r="F127" s="26">
        <v>-4288.2666622240513</v>
      </c>
      <c r="G127" s="18">
        <f t="shared" si="8"/>
        <v>-472</v>
      </c>
      <c r="H127" s="18">
        <f t="shared" si="10"/>
        <v>-4760.2666622240513</v>
      </c>
      <c r="I127" s="18" t="s">
        <v>161</v>
      </c>
      <c r="J127" s="17" t="s">
        <v>22</v>
      </c>
      <c r="K127" s="17" t="s">
        <v>181</v>
      </c>
    </row>
    <row r="128" spans="1:11" x14ac:dyDescent="0.35">
      <c r="A128" s="24">
        <v>30150049</v>
      </c>
      <c r="B128" s="17">
        <v>49</v>
      </c>
      <c r="C128" s="21" t="s">
        <v>73</v>
      </c>
      <c r="D128" s="21" t="s">
        <v>159</v>
      </c>
      <c r="E128" s="18">
        <v>-234.85714285714289</v>
      </c>
      <c r="F128" s="26">
        <v>0</v>
      </c>
      <c r="G128" s="18">
        <f t="shared" si="8"/>
        <v>0</v>
      </c>
      <c r="H128" s="18">
        <f t="shared" si="10"/>
        <v>0</v>
      </c>
      <c r="I128" s="18" t="s">
        <v>161</v>
      </c>
      <c r="J128" s="17" t="s">
        <v>22</v>
      </c>
      <c r="K128" s="17" t="s">
        <v>181</v>
      </c>
    </row>
    <row r="129" spans="1:11" x14ac:dyDescent="0.35">
      <c r="A129" s="24">
        <v>30150050</v>
      </c>
      <c r="B129" s="17">
        <v>50</v>
      </c>
      <c r="C129" s="21" t="s">
        <v>75</v>
      </c>
      <c r="D129" s="21" t="s">
        <v>160</v>
      </c>
      <c r="E129" s="18">
        <v>-29515.097142857143</v>
      </c>
      <c r="F129" s="26">
        <v>-30780.870497984659</v>
      </c>
      <c r="G129" s="18">
        <f t="shared" si="8"/>
        <v>-3386</v>
      </c>
      <c r="H129" s="18">
        <f t="shared" si="10"/>
        <v>-34166.870497984659</v>
      </c>
      <c r="I129" s="18" t="s">
        <v>161</v>
      </c>
      <c r="J129" s="17" t="s">
        <v>22</v>
      </c>
      <c r="K129" s="17" t="s">
        <v>181</v>
      </c>
    </row>
    <row r="130" spans="1:11" x14ac:dyDescent="0.35">
      <c r="A130" s="24">
        <v>30150052</v>
      </c>
      <c r="B130" s="17">
        <v>52</v>
      </c>
      <c r="C130" s="21" t="s">
        <v>77</v>
      </c>
      <c r="D130" s="21" t="s">
        <v>175</v>
      </c>
      <c r="E130" s="18">
        <v>0</v>
      </c>
      <c r="F130" s="26">
        <v>0</v>
      </c>
      <c r="G130" s="18">
        <f t="shared" si="8"/>
        <v>0</v>
      </c>
      <c r="H130" s="18">
        <f t="shared" si="10"/>
        <v>0</v>
      </c>
      <c r="I130" s="18" t="s">
        <v>161</v>
      </c>
      <c r="J130" s="17" t="s">
        <v>22</v>
      </c>
      <c r="K130" s="17" t="s">
        <v>181</v>
      </c>
    </row>
    <row r="131" spans="1:11" x14ac:dyDescent="0.35">
      <c r="A131" s="24">
        <v>30150084</v>
      </c>
      <c r="B131" s="19"/>
      <c r="C131" s="21"/>
      <c r="D131" s="23" t="s">
        <v>248</v>
      </c>
      <c r="E131" s="18"/>
      <c r="F131" s="26"/>
      <c r="G131" s="18">
        <f t="shared" si="8"/>
        <v>0</v>
      </c>
      <c r="H131" s="18">
        <f t="shared" si="10"/>
        <v>0</v>
      </c>
      <c r="I131" s="18"/>
      <c r="J131" s="17" t="s">
        <v>22</v>
      </c>
      <c r="K131" s="17" t="s">
        <v>181</v>
      </c>
    </row>
    <row r="132" spans="1:11" x14ac:dyDescent="0.35">
      <c r="A132" s="24">
        <v>30150094</v>
      </c>
      <c r="B132" s="19"/>
      <c r="C132" s="21"/>
      <c r="D132" s="23" t="s">
        <v>249</v>
      </c>
      <c r="E132" s="18"/>
      <c r="F132" s="26"/>
      <c r="G132" s="18">
        <f t="shared" si="8"/>
        <v>0</v>
      </c>
      <c r="H132" s="18">
        <f t="shared" si="10"/>
        <v>0</v>
      </c>
      <c r="I132" s="18"/>
      <c r="J132" s="17" t="s">
        <v>22</v>
      </c>
      <c r="K132" s="17" t="s">
        <v>181</v>
      </c>
    </row>
    <row r="133" spans="1:11" x14ac:dyDescent="0.35">
      <c r="A133" s="24">
        <v>30100015</v>
      </c>
      <c r="B133" s="17">
        <v>15</v>
      </c>
      <c r="C133" s="21" t="s">
        <v>104</v>
      </c>
      <c r="D133" s="21" t="s">
        <v>105</v>
      </c>
      <c r="E133" s="18">
        <v>-723558.10285714292</v>
      </c>
      <c r="F133" s="26">
        <v>-685744.20796100725</v>
      </c>
      <c r="G133" s="18">
        <f t="shared" ref="G133:G143" si="11">ROUND(F133*$G$3,0)</f>
        <v>-75432</v>
      </c>
      <c r="H133" s="18">
        <f t="shared" si="10"/>
        <v>-761176.20796100725</v>
      </c>
      <c r="I133" s="18" t="s">
        <v>161</v>
      </c>
      <c r="J133" s="17" t="s">
        <v>23</v>
      </c>
      <c r="K133" s="17" t="s">
        <v>181</v>
      </c>
    </row>
    <row r="134" spans="1:11" x14ac:dyDescent="0.35">
      <c r="A134" s="24">
        <v>30100017</v>
      </c>
      <c r="B134" s="17">
        <v>17</v>
      </c>
      <c r="C134" s="21" t="s">
        <v>41</v>
      </c>
      <c r="D134" s="21" t="s">
        <v>107</v>
      </c>
      <c r="E134" s="18">
        <v>-3335669.1428571427</v>
      </c>
      <c r="F134" s="26">
        <v>-3550742.700729927</v>
      </c>
      <c r="G134" s="18">
        <f t="shared" si="11"/>
        <v>-390582</v>
      </c>
      <c r="H134" s="18">
        <f t="shared" si="10"/>
        <v>-3941324.700729927</v>
      </c>
      <c r="I134" s="18" t="s">
        <v>161</v>
      </c>
      <c r="J134" s="17" t="s">
        <v>23</v>
      </c>
      <c r="K134" s="17" t="s">
        <v>181</v>
      </c>
    </row>
    <row r="135" spans="1:11" x14ac:dyDescent="0.35">
      <c r="A135" s="24">
        <v>30100025</v>
      </c>
      <c r="B135" s="17">
        <v>25</v>
      </c>
      <c r="C135" s="21" t="s">
        <v>47</v>
      </c>
      <c r="D135" s="21" t="s">
        <v>114</v>
      </c>
      <c r="E135" s="18">
        <v>-965460</v>
      </c>
      <c r="F135" s="26">
        <v>-1114776.3262074427</v>
      </c>
      <c r="G135" s="18">
        <f t="shared" si="11"/>
        <v>-122625</v>
      </c>
      <c r="H135" s="18">
        <f t="shared" si="10"/>
        <v>-1237401.3262074427</v>
      </c>
      <c r="I135" s="18" t="s">
        <v>161</v>
      </c>
      <c r="J135" s="17" t="s">
        <v>23</v>
      </c>
      <c r="K135" s="17" t="s">
        <v>181</v>
      </c>
    </row>
    <row r="136" spans="1:11" x14ac:dyDescent="0.35">
      <c r="A136" s="24">
        <v>30100037</v>
      </c>
      <c r="B136" s="17">
        <v>37</v>
      </c>
      <c r="C136" s="21" t="s">
        <v>53</v>
      </c>
      <c r="D136" s="21" t="s">
        <v>107</v>
      </c>
      <c r="E136" s="18">
        <v>-2356861.4399999995</v>
      </c>
      <c r="F136" s="26">
        <v>-2772412.5</v>
      </c>
      <c r="G136" s="18">
        <f t="shared" si="11"/>
        <v>-304965</v>
      </c>
      <c r="H136" s="18">
        <f t="shared" si="10"/>
        <v>-3077377.5</v>
      </c>
      <c r="I136" s="18" t="s">
        <v>161</v>
      </c>
      <c r="J136" s="17" t="s">
        <v>23</v>
      </c>
      <c r="K136" s="17" t="s">
        <v>181</v>
      </c>
    </row>
    <row r="137" spans="1:11" x14ac:dyDescent="0.35">
      <c r="A137" s="24">
        <v>30100058</v>
      </c>
      <c r="B137" s="17">
        <v>58</v>
      </c>
      <c r="C137" s="21" t="s">
        <v>133</v>
      </c>
      <c r="D137" s="21" t="s">
        <v>134</v>
      </c>
      <c r="E137" s="18">
        <v>-161343.42857142858</v>
      </c>
      <c r="F137" s="26">
        <v>-195345.61046365247</v>
      </c>
      <c r="G137" s="18">
        <f t="shared" si="11"/>
        <v>-21488</v>
      </c>
      <c r="H137" s="18">
        <f t="shared" si="10"/>
        <v>-216833.61046365247</v>
      </c>
      <c r="I137" s="18" t="s">
        <v>161</v>
      </c>
      <c r="J137" s="17" t="s">
        <v>23</v>
      </c>
      <c r="K137" s="17" t="s">
        <v>181</v>
      </c>
    </row>
    <row r="138" spans="1:11" x14ac:dyDescent="0.35">
      <c r="A138" s="24">
        <v>30100081</v>
      </c>
      <c r="B138" s="17">
        <v>81</v>
      </c>
      <c r="C138" s="21" t="s">
        <v>79</v>
      </c>
      <c r="D138" s="21" t="s">
        <v>135</v>
      </c>
      <c r="E138" s="18">
        <v>-989475.77142857132</v>
      </c>
      <c r="F138" s="26">
        <v>-1065917.2668513388</v>
      </c>
      <c r="G138" s="18">
        <f t="shared" si="11"/>
        <v>-117251</v>
      </c>
      <c r="H138" s="18">
        <f t="shared" si="10"/>
        <v>-1183168.2668513388</v>
      </c>
      <c r="I138" s="18" t="s">
        <v>161</v>
      </c>
      <c r="J138" s="17" t="s">
        <v>23</v>
      </c>
      <c r="K138" s="17" t="s">
        <v>181</v>
      </c>
    </row>
    <row r="139" spans="1:11" x14ac:dyDescent="0.35">
      <c r="A139" s="24">
        <v>30100096</v>
      </c>
      <c r="B139" s="17">
        <v>96</v>
      </c>
      <c r="C139" s="21" t="s">
        <v>81</v>
      </c>
      <c r="D139" s="21" t="s">
        <v>140</v>
      </c>
      <c r="E139" s="18">
        <v>-116075.82857142854</v>
      </c>
      <c r="F139" s="26">
        <v>0</v>
      </c>
      <c r="G139" s="18">
        <f t="shared" si="11"/>
        <v>0</v>
      </c>
      <c r="H139" s="18">
        <f t="shared" si="10"/>
        <v>0</v>
      </c>
      <c r="I139" s="18" t="s">
        <v>161</v>
      </c>
      <c r="J139" s="17" t="s">
        <v>23</v>
      </c>
      <c r="K139" s="17" t="s">
        <v>181</v>
      </c>
    </row>
    <row r="140" spans="1:11" x14ac:dyDescent="0.35">
      <c r="A140" s="24">
        <v>30105017</v>
      </c>
      <c r="B140" s="17">
        <v>17</v>
      </c>
      <c r="C140" s="21" t="s">
        <v>41</v>
      </c>
      <c r="D140" s="21" t="s">
        <v>141</v>
      </c>
      <c r="E140" s="18">
        <v>-1258690.2857142857</v>
      </c>
      <c r="F140" s="26">
        <v>-1339846.7153284671</v>
      </c>
      <c r="G140" s="18">
        <f t="shared" si="11"/>
        <v>-147383</v>
      </c>
      <c r="H140" s="18">
        <f t="shared" ref="H140" si="12">+F140+G140</f>
        <v>-1487229.7153284671</v>
      </c>
      <c r="I140" s="18" t="s">
        <v>161</v>
      </c>
      <c r="J140" s="17" t="s">
        <v>23</v>
      </c>
      <c r="K140" s="17" t="s">
        <v>181</v>
      </c>
    </row>
    <row r="141" spans="1:11" x14ac:dyDescent="0.35">
      <c r="G141" s="18">
        <f t="shared" si="11"/>
        <v>0</v>
      </c>
    </row>
    <row r="142" spans="1:11" x14ac:dyDescent="0.35">
      <c r="A142" s="24">
        <v>30150017</v>
      </c>
      <c r="B142" s="17">
        <v>17</v>
      </c>
      <c r="C142" s="21" t="s">
        <v>41</v>
      </c>
      <c r="D142" s="21" t="s">
        <v>145</v>
      </c>
      <c r="E142" s="18">
        <v>-2523.9257142857141</v>
      </c>
      <c r="F142" s="26">
        <v>0</v>
      </c>
      <c r="G142" s="18">
        <f t="shared" si="11"/>
        <v>0</v>
      </c>
      <c r="H142" s="18">
        <f>+F142+G142</f>
        <v>0</v>
      </c>
      <c r="I142" s="18" t="s">
        <v>161</v>
      </c>
      <c r="J142" s="17" t="s">
        <v>23</v>
      </c>
      <c r="K142" s="17" t="s">
        <v>181</v>
      </c>
    </row>
    <row r="143" spans="1:11" x14ac:dyDescent="0.35">
      <c r="A143" s="24">
        <v>30150025</v>
      </c>
      <c r="B143" s="17">
        <v>25</v>
      </c>
      <c r="C143" s="21" t="s">
        <v>47</v>
      </c>
      <c r="D143" s="21" t="s">
        <v>174</v>
      </c>
      <c r="E143" s="18">
        <v>-153.85714285714286</v>
      </c>
      <c r="F143" s="26">
        <v>0</v>
      </c>
      <c r="G143" s="18">
        <f t="shared" si="11"/>
        <v>0</v>
      </c>
      <c r="H143" s="18">
        <f>+F143+G143</f>
        <v>0</v>
      </c>
      <c r="I143" s="18" t="s">
        <v>161</v>
      </c>
      <c r="J143" s="17" t="s">
        <v>23</v>
      </c>
      <c r="K143" s="17" t="s">
        <v>181</v>
      </c>
    </row>
    <row r="144" spans="1:11" x14ac:dyDescent="0.35">
      <c r="A144" s="25">
        <v>30100010</v>
      </c>
      <c r="B144" s="17"/>
      <c r="C144" s="21"/>
      <c r="D144" s="29" t="s">
        <v>262</v>
      </c>
      <c r="E144" s="13"/>
      <c r="F144" s="11">
        <v>0</v>
      </c>
      <c r="G144" s="13">
        <v>1728</v>
      </c>
      <c r="H144" s="13">
        <f>+F144+G144</f>
        <v>1728</v>
      </c>
      <c r="I144" s="18"/>
      <c r="J144" s="17"/>
      <c r="K144" s="17"/>
    </row>
    <row r="145" spans="1:11" x14ac:dyDescent="0.35">
      <c r="A145" s="25"/>
      <c r="B145" s="17"/>
      <c r="C145" s="21"/>
      <c r="D145" s="21"/>
      <c r="E145" s="18"/>
      <c r="F145" s="26"/>
      <c r="G145" s="18"/>
      <c r="H145" s="18"/>
      <c r="I145" s="18"/>
      <c r="J145" s="17"/>
      <c r="K145" s="17"/>
    </row>
    <row r="146" spans="1:11" x14ac:dyDescent="0.35">
      <c r="A146" s="25"/>
      <c r="B146" s="17"/>
      <c r="C146" s="21"/>
      <c r="D146" s="21"/>
      <c r="E146" s="18"/>
      <c r="F146" s="26"/>
      <c r="G146" s="18"/>
      <c r="H146" s="18"/>
      <c r="I146" s="18"/>
      <c r="J146" s="17"/>
      <c r="K146" s="17"/>
    </row>
    <row r="147" spans="1:11" x14ac:dyDescent="0.35">
      <c r="A147" s="14"/>
      <c r="B147" s="15"/>
      <c r="C147" s="22"/>
      <c r="D147" s="96" t="s">
        <v>304</v>
      </c>
      <c r="E147" s="28">
        <f>SUM(E76:E144)</f>
        <v>-83025588.617142841</v>
      </c>
      <c r="F147" s="28">
        <f t="shared" ref="F147:H147" si="13">SUM(F76:F144)</f>
        <v>-86036924.471855193</v>
      </c>
      <c r="G147" s="28">
        <f t="shared" si="13"/>
        <v>-9462334</v>
      </c>
      <c r="H147" s="28">
        <f t="shared" si="13"/>
        <v>-95499258.471855193</v>
      </c>
      <c r="I147" s="16"/>
      <c r="J147" s="16"/>
      <c r="K147" s="16"/>
    </row>
    <row r="148" spans="1:11" x14ac:dyDescent="0.35">
      <c r="A148" s="14"/>
      <c r="B148" s="15"/>
      <c r="C148" s="22"/>
      <c r="D148" s="22"/>
      <c r="E148" s="16"/>
      <c r="F148" s="16"/>
      <c r="G148" s="16"/>
      <c r="H148" s="16"/>
      <c r="I148" s="16"/>
      <c r="J148" s="16"/>
      <c r="K148" s="16"/>
    </row>
    <row r="149" spans="1:11" x14ac:dyDescent="0.35">
      <c r="D149" t="s">
        <v>305</v>
      </c>
      <c r="E149" s="8">
        <f>+E73+E147</f>
        <v>-99845393.999999985</v>
      </c>
      <c r="F149" s="8">
        <f t="shared" ref="F149:H149" si="14">+F73+F147</f>
        <v>-107359440.72861299</v>
      </c>
      <c r="G149" s="8">
        <f t="shared" si="14"/>
        <v>-11807622</v>
      </c>
      <c r="H149" s="8">
        <f t="shared" si="14"/>
        <v>-119167062.72861297</v>
      </c>
      <c r="I149" s="16"/>
    </row>
    <row r="150" spans="1:11" x14ac:dyDescent="0.35">
      <c r="G150" s="6"/>
      <c r="H150" s="6"/>
      <c r="I150" s="1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E3172-861A-40FB-8CFB-DE6A690F404C}">
  <sheetPr>
    <tabColor rgb="FF0070C0"/>
  </sheetPr>
  <dimension ref="A1:O62"/>
  <sheetViews>
    <sheetView workbookViewId="0">
      <selection activeCell="F2" sqref="F2"/>
    </sheetView>
  </sheetViews>
  <sheetFormatPr defaultRowHeight="14.5" x14ac:dyDescent="0.35"/>
  <cols>
    <col min="1" max="1" width="10.1796875" bestFit="1" customWidth="1"/>
    <col min="2" max="2" width="9.54296875" customWidth="1"/>
    <col min="3" max="3" width="38.453125" bestFit="1" customWidth="1"/>
    <col min="4" max="4" width="37.26953125" bestFit="1" customWidth="1"/>
    <col min="5" max="5" width="14.81640625" style="6" customWidth="1"/>
    <col min="6" max="8" width="17.7265625" customWidth="1"/>
    <col min="9" max="9" width="26.7265625" bestFit="1" customWidth="1"/>
    <col min="10" max="10" width="33" bestFit="1" customWidth="1"/>
    <col min="11" max="11" width="32.81640625" bestFit="1" customWidth="1"/>
  </cols>
  <sheetData>
    <row r="1" spans="1:15" ht="25" x14ac:dyDescent="0.35">
      <c r="A1" s="14" t="s">
        <v>255</v>
      </c>
      <c r="B1" s="15" t="s">
        <v>254</v>
      </c>
      <c r="C1" s="22" t="s">
        <v>253</v>
      </c>
      <c r="D1" s="22" t="s">
        <v>252</v>
      </c>
      <c r="E1" s="16" t="s">
        <v>20</v>
      </c>
      <c r="F1" s="16" t="s">
        <v>256</v>
      </c>
      <c r="G1" s="16" t="s">
        <v>35</v>
      </c>
      <c r="I1" s="16" t="s">
        <v>37</v>
      </c>
      <c r="J1" s="16" t="s">
        <v>250</v>
      </c>
      <c r="K1" s="16" t="s">
        <v>251</v>
      </c>
      <c r="L1" s="20"/>
    </row>
    <row r="2" spans="1:15" x14ac:dyDescent="0.35">
      <c r="A2" s="9">
        <v>50001000</v>
      </c>
      <c r="B2" s="86">
        <v>0</v>
      </c>
      <c r="C2" s="9" t="e">
        <v>#N/A</v>
      </c>
      <c r="D2" s="9" t="s">
        <v>182</v>
      </c>
      <c r="E2" s="10">
        <v>74025.600000000006</v>
      </c>
      <c r="F2" s="10">
        <v>124648.83516707453</v>
      </c>
      <c r="G2" s="87">
        <v>77474.623806493546</v>
      </c>
      <c r="H2" s="18"/>
      <c r="I2" s="18" t="s">
        <v>183</v>
      </c>
      <c r="J2" s="17" t="s">
        <v>26</v>
      </c>
      <c r="K2" s="17" t="s">
        <v>184</v>
      </c>
      <c r="L2" s="17"/>
      <c r="M2" s="12"/>
      <c r="N2" s="12"/>
      <c r="O2" s="12"/>
    </row>
    <row r="3" spans="1:15" x14ac:dyDescent="0.35">
      <c r="A3" s="9">
        <v>50011000</v>
      </c>
      <c r="B3" s="86">
        <v>0</v>
      </c>
      <c r="C3" s="9" t="e">
        <v>#N/A</v>
      </c>
      <c r="D3" s="9" t="s">
        <v>185</v>
      </c>
      <c r="E3" s="10">
        <v>691496.88</v>
      </c>
      <c r="F3" s="10">
        <v>927924.36267730442</v>
      </c>
      <c r="G3" s="87">
        <v>723715.31796248886</v>
      </c>
      <c r="H3" s="18"/>
      <c r="I3" s="18" t="s">
        <v>183</v>
      </c>
      <c r="J3" s="17" t="s">
        <v>26</v>
      </c>
      <c r="K3" s="17" t="s">
        <v>184</v>
      </c>
      <c r="L3" s="17"/>
      <c r="M3" s="12"/>
      <c r="N3" s="12"/>
      <c r="O3" s="12"/>
    </row>
    <row r="4" spans="1:15" x14ac:dyDescent="0.35">
      <c r="A4" s="9">
        <v>50101000</v>
      </c>
      <c r="B4" s="86">
        <v>0</v>
      </c>
      <c r="C4" s="9" t="e">
        <v>#N/A</v>
      </c>
      <c r="D4" s="9" t="s">
        <v>186</v>
      </c>
      <c r="E4" s="10">
        <v>407561.86285714281</v>
      </c>
      <c r="F4" s="10">
        <v>414504.97608052986</v>
      </c>
      <c r="G4" s="88">
        <v>545325.44702283619</v>
      </c>
      <c r="H4" s="18"/>
      <c r="I4" s="18" t="s">
        <v>183</v>
      </c>
      <c r="J4" s="17" t="s">
        <v>26</v>
      </c>
      <c r="K4" s="17" t="s">
        <v>184</v>
      </c>
      <c r="L4" s="17"/>
      <c r="M4" s="12"/>
      <c r="N4" s="12"/>
      <c r="O4" s="12"/>
    </row>
    <row r="5" spans="1:15" x14ac:dyDescent="0.35">
      <c r="A5" s="9">
        <v>50101001</v>
      </c>
      <c r="B5" s="86">
        <v>1</v>
      </c>
      <c r="C5" s="9" t="e">
        <v>#N/A</v>
      </c>
      <c r="D5" s="9" t="s">
        <v>187</v>
      </c>
      <c r="E5" s="10">
        <v>-788.33142857142957</v>
      </c>
      <c r="F5" s="10">
        <v>54204.424561719439</v>
      </c>
      <c r="G5" s="11">
        <v>0</v>
      </c>
      <c r="H5" s="18"/>
      <c r="I5" s="18" t="s">
        <v>228</v>
      </c>
      <c r="J5" s="17" t="s">
        <v>26</v>
      </c>
      <c r="K5" s="17" t="s">
        <v>184</v>
      </c>
      <c r="L5" s="17"/>
      <c r="M5" s="12"/>
      <c r="N5" s="12"/>
      <c r="O5" s="12"/>
    </row>
    <row r="6" spans="1:15" x14ac:dyDescent="0.35">
      <c r="A6" s="9">
        <v>50102000</v>
      </c>
      <c r="B6" s="86">
        <v>0</v>
      </c>
      <c r="C6" s="9" t="e">
        <v>#N/A</v>
      </c>
      <c r="D6" s="9" t="s">
        <v>188</v>
      </c>
      <c r="E6" s="10">
        <v>4603937.6399999987</v>
      </c>
      <c r="F6" s="10">
        <v>9265583.8786429707</v>
      </c>
      <c r="G6" s="87">
        <v>2142135.9605662199</v>
      </c>
      <c r="H6" s="18"/>
      <c r="I6" s="18" t="s">
        <v>183</v>
      </c>
      <c r="J6" s="17" t="s">
        <v>26</v>
      </c>
      <c r="K6" s="17" t="s">
        <v>184</v>
      </c>
      <c r="L6" s="17"/>
      <c r="M6" s="12"/>
      <c r="N6" s="12"/>
      <c r="O6" s="12"/>
    </row>
    <row r="7" spans="1:15" x14ac:dyDescent="0.35">
      <c r="A7" s="9">
        <v>50102001</v>
      </c>
      <c r="B7" s="86">
        <v>1</v>
      </c>
      <c r="C7" s="9" t="e">
        <v>#N/A</v>
      </c>
      <c r="D7" s="9" t="s">
        <v>189</v>
      </c>
      <c r="E7" s="10">
        <v>182212.93714285715</v>
      </c>
      <c r="F7" s="10">
        <v>446979.23921394686</v>
      </c>
      <c r="G7" s="88">
        <v>1392370.1219400812</v>
      </c>
      <c r="H7" s="18"/>
      <c r="I7" s="18" t="s">
        <v>228</v>
      </c>
      <c r="J7" s="17" t="s">
        <v>26</v>
      </c>
      <c r="K7" s="17" t="s">
        <v>184</v>
      </c>
      <c r="L7" s="17"/>
      <c r="M7" s="12"/>
      <c r="N7" s="12"/>
      <c r="O7" s="12"/>
    </row>
    <row r="8" spans="1:15" x14ac:dyDescent="0.35">
      <c r="A8" s="9">
        <v>50103000</v>
      </c>
      <c r="B8" s="86">
        <v>0</v>
      </c>
      <c r="C8" s="9" t="e">
        <v>#N/A</v>
      </c>
      <c r="D8" s="9" t="s">
        <v>190</v>
      </c>
      <c r="E8" s="10">
        <v>1267167.3085714285</v>
      </c>
      <c r="F8" s="10">
        <v>1887161.6497808918</v>
      </c>
      <c r="G8" s="87">
        <v>720979.69195342564</v>
      </c>
      <c r="H8" s="18"/>
      <c r="I8" s="18" t="s">
        <v>228</v>
      </c>
      <c r="J8" s="17" t="s">
        <v>26</v>
      </c>
      <c r="K8" s="17" t="s">
        <v>184</v>
      </c>
      <c r="L8" s="17"/>
      <c r="M8" s="12"/>
      <c r="N8" s="12"/>
      <c r="O8" s="12"/>
    </row>
    <row r="9" spans="1:15" x14ac:dyDescent="0.35">
      <c r="A9" s="9">
        <v>50103001</v>
      </c>
      <c r="B9" s="86">
        <v>1</v>
      </c>
      <c r="C9" s="9" t="e">
        <v>#N/A</v>
      </c>
      <c r="D9" s="9" t="s">
        <v>191</v>
      </c>
      <c r="E9" s="10">
        <v>87623.845714285708</v>
      </c>
      <c r="F9" s="10">
        <v>463999.30448361213</v>
      </c>
      <c r="G9" s="88">
        <v>669572.79024817876</v>
      </c>
      <c r="H9" s="18"/>
      <c r="I9" s="18" t="s">
        <v>183</v>
      </c>
      <c r="J9" s="17" t="s">
        <v>26</v>
      </c>
      <c r="K9" s="17" t="s">
        <v>184</v>
      </c>
      <c r="L9" s="17"/>
      <c r="M9" s="12"/>
      <c r="N9" s="12"/>
      <c r="O9" s="12"/>
    </row>
    <row r="10" spans="1:15" x14ac:dyDescent="0.35">
      <c r="A10" s="9">
        <v>50104000</v>
      </c>
      <c r="B10" s="86">
        <v>0</v>
      </c>
      <c r="C10" s="9" t="e">
        <v>#N/A</v>
      </c>
      <c r="D10" s="9" t="s">
        <v>192</v>
      </c>
      <c r="E10" s="10">
        <v>-43822.337142857141</v>
      </c>
      <c r="F10" s="10">
        <v>-5762.262331983753</v>
      </c>
      <c r="G10" s="89">
        <v>-43822.337142857141</v>
      </c>
      <c r="H10" s="18"/>
      <c r="I10" s="18" t="s">
        <v>228</v>
      </c>
      <c r="J10" s="17" t="s">
        <v>26</v>
      </c>
      <c r="K10" s="17" t="s">
        <v>184</v>
      </c>
      <c r="L10" s="17"/>
      <c r="M10" s="12"/>
      <c r="N10" s="12"/>
      <c r="O10" s="12"/>
    </row>
    <row r="11" spans="1:15" x14ac:dyDescent="0.35">
      <c r="A11" s="9">
        <v>50107000</v>
      </c>
      <c r="B11" s="86">
        <v>0</v>
      </c>
      <c r="C11" s="9" t="e">
        <v>#N/A</v>
      </c>
      <c r="D11" s="9" t="s">
        <v>193</v>
      </c>
      <c r="E11" s="10">
        <v>2144188.8514285716</v>
      </c>
      <c r="F11" s="10">
        <v>2249575.1568567976</v>
      </c>
      <c r="G11" s="87">
        <v>1968234.4616433713</v>
      </c>
      <c r="H11" s="18"/>
      <c r="I11" s="18" t="s">
        <v>183</v>
      </c>
      <c r="J11" s="17" t="s">
        <v>26</v>
      </c>
      <c r="K11" s="17" t="s">
        <v>184</v>
      </c>
      <c r="L11" s="17"/>
      <c r="M11" s="12"/>
      <c r="N11" s="12"/>
      <c r="O11" s="12"/>
    </row>
    <row r="12" spans="1:15" x14ac:dyDescent="0.35">
      <c r="A12" s="9">
        <v>50107001</v>
      </c>
      <c r="B12" s="86">
        <v>1</v>
      </c>
      <c r="C12" s="9" t="e">
        <v>#N/A</v>
      </c>
      <c r="D12" s="9" t="s">
        <v>194</v>
      </c>
      <c r="E12" s="10">
        <v>-5739.4285714285716</v>
      </c>
      <c r="F12" s="10">
        <v>-40802.774947524951</v>
      </c>
      <c r="G12" s="89">
        <v>-5739.4285714285716</v>
      </c>
      <c r="H12" s="18"/>
      <c r="I12" s="18" t="s">
        <v>183</v>
      </c>
      <c r="J12" s="17" t="s">
        <v>25</v>
      </c>
      <c r="K12" s="17" t="s">
        <v>184</v>
      </c>
      <c r="L12" s="17"/>
      <c r="M12" s="12"/>
      <c r="N12" s="12"/>
      <c r="O12" s="12"/>
    </row>
    <row r="13" spans="1:15" x14ac:dyDescent="0.35">
      <c r="A13" s="9">
        <v>50108000</v>
      </c>
      <c r="B13" s="86">
        <v>0</v>
      </c>
      <c r="C13" s="9" t="e">
        <v>#N/A</v>
      </c>
      <c r="D13" s="9" t="s">
        <v>195</v>
      </c>
      <c r="E13" s="10">
        <v>343087.3371428572</v>
      </c>
      <c r="F13" s="10">
        <v>245008.73655397675</v>
      </c>
      <c r="G13" s="89">
        <v>343087.3371428572</v>
      </c>
      <c r="H13" s="18"/>
      <c r="I13" s="18" t="s">
        <v>183</v>
      </c>
      <c r="J13" s="17" t="s">
        <v>25</v>
      </c>
      <c r="K13" s="17" t="s">
        <v>184</v>
      </c>
      <c r="L13" s="17"/>
      <c r="M13" s="12"/>
      <c r="N13" s="12"/>
      <c r="O13" s="12"/>
    </row>
    <row r="14" spans="1:15" x14ac:dyDescent="0.35">
      <c r="A14" s="9">
        <v>50109000</v>
      </c>
      <c r="B14" s="86">
        <v>0</v>
      </c>
      <c r="C14" s="9" t="e">
        <v>#N/A</v>
      </c>
      <c r="D14" s="9" t="s">
        <v>196</v>
      </c>
      <c r="E14" s="10">
        <v>257373.41142857145</v>
      </c>
      <c r="F14" s="10">
        <v>302103.96910792048</v>
      </c>
      <c r="G14" s="89">
        <v>257373.41142857145</v>
      </c>
      <c r="H14" s="18"/>
      <c r="I14" s="18" t="s">
        <v>183</v>
      </c>
      <c r="J14" s="17" t="s">
        <v>25</v>
      </c>
      <c r="K14" s="17" t="s">
        <v>184</v>
      </c>
      <c r="L14" s="17"/>
      <c r="M14" s="12"/>
      <c r="N14" s="12"/>
      <c r="O14" s="12"/>
    </row>
    <row r="15" spans="1:15" x14ac:dyDescent="0.35">
      <c r="A15" s="9">
        <v>50111000</v>
      </c>
      <c r="B15" s="86">
        <v>0</v>
      </c>
      <c r="C15" s="9" t="e">
        <v>#N/A</v>
      </c>
      <c r="D15" s="9" t="s">
        <v>197</v>
      </c>
      <c r="E15" s="10">
        <v>3045980.3142857151</v>
      </c>
      <c r="F15" s="10">
        <v>2718963.1309277476</v>
      </c>
      <c r="G15" s="87">
        <v>3618744.6071850378</v>
      </c>
      <c r="H15" s="18"/>
      <c r="I15" s="18" t="s">
        <v>183</v>
      </c>
      <c r="J15" s="17" t="s">
        <v>25</v>
      </c>
      <c r="K15" s="17" t="s">
        <v>184</v>
      </c>
      <c r="L15" s="17"/>
      <c r="M15" s="12"/>
      <c r="N15" s="12"/>
      <c r="O15" s="12"/>
    </row>
    <row r="16" spans="1:15" x14ac:dyDescent="0.35">
      <c r="A16" s="9">
        <v>50112000</v>
      </c>
      <c r="B16" s="86">
        <v>0</v>
      </c>
      <c r="C16" s="9" t="e">
        <v>#N/A</v>
      </c>
      <c r="D16" s="9" t="s">
        <v>198</v>
      </c>
      <c r="E16" s="10">
        <v>21434881.440000005</v>
      </c>
      <c r="F16" s="10">
        <v>18388745.925108794</v>
      </c>
      <c r="G16" s="87">
        <v>19726956.465254251</v>
      </c>
      <c r="H16" s="18"/>
      <c r="I16" s="18" t="s">
        <v>183</v>
      </c>
      <c r="J16" s="17" t="s">
        <v>25</v>
      </c>
      <c r="K16" s="17" t="s">
        <v>184</v>
      </c>
      <c r="L16" s="17"/>
      <c r="M16" s="12"/>
      <c r="N16" s="12"/>
      <c r="O16" s="12"/>
    </row>
    <row r="17" spans="1:15" x14ac:dyDescent="0.35">
      <c r="A17" s="9">
        <v>50112015</v>
      </c>
      <c r="B17" s="86">
        <v>15</v>
      </c>
      <c r="C17" s="9" t="s">
        <v>104</v>
      </c>
      <c r="D17" s="9" t="s">
        <v>199</v>
      </c>
      <c r="E17" s="10">
        <v>10977.891428571429</v>
      </c>
      <c r="F17" s="10">
        <v>198374.5491972827</v>
      </c>
      <c r="G17" s="89">
        <v>10977.891428571429</v>
      </c>
      <c r="H17" s="18"/>
      <c r="I17" s="18" t="s">
        <v>183</v>
      </c>
      <c r="J17" s="17" t="s">
        <v>25</v>
      </c>
      <c r="K17" s="17" t="s">
        <v>184</v>
      </c>
      <c r="L17" s="17"/>
      <c r="M17" s="12"/>
      <c r="N17" s="12"/>
      <c r="O17" s="12"/>
    </row>
    <row r="18" spans="1:15" x14ac:dyDescent="0.35">
      <c r="A18" s="9">
        <v>50112017</v>
      </c>
      <c r="B18" s="86">
        <v>17</v>
      </c>
      <c r="C18" s="9" t="s">
        <v>41</v>
      </c>
      <c r="D18" s="9" t="s">
        <v>200</v>
      </c>
      <c r="E18" s="10">
        <v>8866.9885714285701</v>
      </c>
      <c r="F18" s="10">
        <v>964773.58246625168</v>
      </c>
      <c r="G18" s="89">
        <v>8866.9885714285701</v>
      </c>
      <c r="H18" s="18"/>
      <c r="I18" s="18" t="s">
        <v>183</v>
      </c>
      <c r="J18" s="17" t="s">
        <v>25</v>
      </c>
      <c r="K18" s="17" t="s">
        <v>184</v>
      </c>
      <c r="L18" s="17"/>
      <c r="M18" s="12"/>
      <c r="N18" s="12"/>
      <c r="O18" s="12"/>
    </row>
    <row r="19" spans="1:15" x14ac:dyDescent="0.35">
      <c r="A19" s="9">
        <v>50112025</v>
      </c>
      <c r="B19" s="86">
        <v>25</v>
      </c>
      <c r="C19" s="9" t="s">
        <v>47</v>
      </c>
      <c r="D19" s="9" t="s">
        <v>201</v>
      </c>
      <c r="E19" s="10">
        <v>669.92571428571432</v>
      </c>
      <c r="F19" s="10">
        <v>318377.71569280559</v>
      </c>
      <c r="G19" s="89">
        <v>669.92571428571432</v>
      </c>
      <c r="H19" s="18"/>
      <c r="I19" s="18" t="s">
        <v>183</v>
      </c>
      <c r="J19" s="17" t="s">
        <v>25</v>
      </c>
      <c r="K19" s="17" t="s">
        <v>184</v>
      </c>
      <c r="L19" s="17"/>
      <c r="M19" s="12"/>
      <c r="N19" s="12"/>
      <c r="O19" s="12"/>
    </row>
    <row r="20" spans="1:15" x14ac:dyDescent="0.35">
      <c r="A20" s="9">
        <v>50112037</v>
      </c>
      <c r="B20" s="86">
        <v>37</v>
      </c>
      <c r="C20" s="9" t="s">
        <v>53</v>
      </c>
      <c r="D20" s="9" t="s">
        <v>202</v>
      </c>
      <c r="E20" s="10">
        <v>618.56571428571442</v>
      </c>
      <c r="F20" s="10">
        <v>507864.99295369763</v>
      </c>
      <c r="G20" s="89">
        <v>618.56571428571442</v>
      </c>
      <c r="H20" s="18"/>
      <c r="I20" s="18" t="s">
        <v>183</v>
      </c>
      <c r="J20" s="17" t="s">
        <v>25</v>
      </c>
      <c r="K20" s="17" t="s">
        <v>184</v>
      </c>
      <c r="L20" s="17"/>
      <c r="M20" s="12"/>
      <c r="N20" s="12"/>
      <c r="O20" s="12"/>
    </row>
    <row r="21" spans="1:15" x14ac:dyDescent="0.35">
      <c r="A21" s="9">
        <v>50112058</v>
      </c>
      <c r="B21" s="86">
        <v>58</v>
      </c>
      <c r="C21" s="9" t="s">
        <v>133</v>
      </c>
      <c r="D21" s="9" t="s">
        <v>203</v>
      </c>
      <c r="E21" s="10">
        <v>621.20571428571407</v>
      </c>
      <c r="F21" s="10">
        <v>46239.567130180767</v>
      </c>
      <c r="G21" s="89">
        <v>621.20571428571407</v>
      </c>
      <c r="H21" s="18"/>
      <c r="I21" s="18" t="s">
        <v>183</v>
      </c>
      <c r="J21" s="17" t="s">
        <v>25</v>
      </c>
      <c r="K21" s="17" t="s">
        <v>184</v>
      </c>
      <c r="L21" s="17"/>
      <c r="M21" s="12"/>
      <c r="N21" s="12"/>
      <c r="O21" s="12"/>
    </row>
    <row r="22" spans="1:15" x14ac:dyDescent="0.35">
      <c r="A22" s="9">
        <v>50112081</v>
      </c>
      <c r="B22" s="86">
        <v>81</v>
      </c>
      <c r="C22" s="9" t="s">
        <v>79</v>
      </c>
      <c r="D22" s="9" t="s">
        <v>202</v>
      </c>
      <c r="E22" s="10">
        <v>515.27999999999986</v>
      </c>
      <c r="F22" s="10">
        <v>133832.19556881976</v>
      </c>
      <c r="G22" s="89">
        <v>515.27999999999986</v>
      </c>
      <c r="H22" s="18"/>
      <c r="I22" s="18" t="s">
        <v>183</v>
      </c>
      <c r="J22" s="17" t="s">
        <v>25</v>
      </c>
      <c r="K22" s="17" t="s">
        <v>184</v>
      </c>
      <c r="L22" s="17"/>
      <c r="M22" s="12"/>
      <c r="N22" s="12"/>
      <c r="O22" s="12"/>
    </row>
    <row r="23" spans="1:15" x14ac:dyDescent="0.35">
      <c r="A23" s="9">
        <v>50112096</v>
      </c>
      <c r="B23" s="86">
        <v>96</v>
      </c>
      <c r="C23" s="9" t="s">
        <v>81</v>
      </c>
      <c r="D23" s="9" t="s">
        <v>204</v>
      </c>
      <c r="E23" s="10">
        <v>76290.222857142857</v>
      </c>
      <c r="F23" s="10">
        <v>709534.5799438759</v>
      </c>
      <c r="G23" s="89">
        <v>76290.222857142857</v>
      </c>
      <c r="H23" s="18"/>
      <c r="I23" s="18" t="s">
        <v>183</v>
      </c>
      <c r="J23" s="17" t="s">
        <v>25</v>
      </c>
      <c r="K23" s="17" t="s">
        <v>184</v>
      </c>
      <c r="L23" s="17"/>
      <c r="M23" s="12"/>
      <c r="N23" s="12"/>
      <c r="O23" s="12"/>
    </row>
    <row r="24" spans="1:15" x14ac:dyDescent="0.35">
      <c r="A24" s="9">
        <v>50113000</v>
      </c>
      <c r="B24" s="86">
        <v>0</v>
      </c>
      <c r="C24" s="9" t="e">
        <v>#N/A</v>
      </c>
      <c r="D24" s="9" t="s">
        <v>205</v>
      </c>
      <c r="E24" s="10">
        <v>11362912.08</v>
      </c>
      <c r="F24" s="10">
        <v>9386438.8599103373</v>
      </c>
      <c r="G24" s="87">
        <v>12347326.472380053</v>
      </c>
      <c r="H24" s="18"/>
      <c r="I24" s="18" t="s">
        <v>183</v>
      </c>
      <c r="J24" s="17" t="s">
        <v>25</v>
      </c>
      <c r="K24" s="17" t="s">
        <v>184</v>
      </c>
      <c r="L24" s="17"/>
      <c r="M24" s="12"/>
      <c r="N24" s="12"/>
      <c r="O24" s="12"/>
    </row>
    <row r="25" spans="1:15" x14ac:dyDescent="0.35">
      <c r="A25" s="9">
        <v>50116000</v>
      </c>
      <c r="B25" s="86">
        <v>0</v>
      </c>
      <c r="C25" s="9" t="e">
        <v>#N/A</v>
      </c>
      <c r="D25" s="9" t="s">
        <v>206</v>
      </c>
      <c r="E25" s="10">
        <v>656495.94857142866</v>
      </c>
      <c r="F25" s="10">
        <v>598791.74011279631</v>
      </c>
      <c r="G25" s="89">
        <v>656495.94857142866</v>
      </c>
      <c r="H25" s="18"/>
      <c r="I25" s="18" t="s">
        <v>183</v>
      </c>
      <c r="J25" s="17" t="s">
        <v>25</v>
      </c>
      <c r="K25" s="17" t="s">
        <v>184</v>
      </c>
      <c r="L25" s="17"/>
      <c r="M25" s="12"/>
      <c r="N25" s="12"/>
      <c r="O25" s="12"/>
    </row>
    <row r="26" spans="1:15" x14ac:dyDescent="0.35">
      <c r="A26" s="9">
        <v>50117000</v>
      </c>
      <c r="B26" s="86">
        <v>0</v>
      </c>
      <c r="C26" s="9" t="e">
        <v>#N/A</v>
      </c>
      <c r="D26" s="9" t="s">
        <v>207</v>
      </c>
      <c r="E26" s="10">
        <v>5309345.6057142867</v>
      </c>
      <c r="F26" s="10">
        <v>3302602.6798246764</v>
      </c>
      <c r="G26" s="87">
        <v>10321064.139535306</v>
      </c>
      <c r="H26" s="18"/>
      <c r="I26" s="18" t="s">
        <v>183</v>
      </c>
      <c r="J26" s="17" t="s">
        <v>25</v>
      </c>
      <c r="K26" s="17" t="s">
        <v>184</v>
      </c>
      <c r="L26" s="17"/>
      <c r="M26" s="12"/>
      <c r="N26" s="12"/>
      <c r="O26" s="12"/>
    </row>
    <row r="27" spans="1:15" x14ac:dyDescent="0.35">
      <c r="A27" s="9">
        <v>50119000</v>
      </c>
      <c r="B27" s="86">
        <v>0</v>
      </c>
      <c r="C27" s="9" t="e">
        <v>#N/A</v>
      </c>
      <c r="D27" s="9" t="s">
        <v>208</v>
      </c>
      <c r="E27" s="10">
        <v>886694.53714285698</v>
      </c>
      <c r="F27" s="10">
        <v>787241.07875026192</v>
      </c>
      <c r="G27" s="89">
        <v>886694.53714285698</v>
      </c>
      <c r="H27" s="18"/>
      <c r="I27" s="18" t="s">
        <v>183</v>
      </c>
      <c r="J27" s="17" t="s">
        <v>25</v>
      </c>
      <c r="K27" s="17" t="s">
        <v>184</v>
      </c>
      <c r="L27" s="17"/>
      <c r="M27" s="12"/>
      <c r="N27" s="12"/>
      <c r="O27" s="12"/>
    </row>
    <row r="28" spans="1:15" x14ac:dyDescent="0.35">
      <c r="A28" s="9">
        <v>50165000</v>
      </c>
      <c r="B28" s="86">
        <v>0</v>
      </c>
      <c r="C28" s="9" t="e">
        <v>#N/A</v>
      </c>
      <c r="D28" s="9" t="s">
        <v>209</v>
      </c>
      <c r="E28" s="10">
        <v>22474.714285714286</v>
      </c>
      <c r="F28" s="10">
        <v>4158.5095909361307</v>
      </c>
      <c r="G28" s="89">
        <v>22474.714285714286</v>
      </c>
      <c r="H28" s="18"/>
      <c r="I28" s="18" t="s">
        <v>183</v>
      </c>
      <c r="J28" s="17" t="s">
        <v>25</v>
      </c>
      <c r="K28" s="17" t="s">
        <v>184</v>
      </c>
      <c r="L28" s="17"/>
      <c r="M28" s="12"/>
      <c r="N28" s="12"/>
      <c r="O28" s="12"/>
    </row>
    <row r="29" spans="1:15" x14ac:dyDescent="0.35">
      <c r="A29" s="9">
        <v>50201000</v>
      </c>
      <c r="B29" s="86">
        <v>0</v>
      </c>
      <c r="C29" s="9" t="e">
        <v>#N/A</v>
      </c>
      <c r="D29" s="9" t="s">
        <v>210</v>
      </c>
      <c r="E29" s="10">
        <v>49588.062857142853</v>
      </c>
      <c r="F29" s="10">
        <v>114255.32599722916</v>
      </c>
      <c r="G29" s="89">
        <v>49588.062857142853</v>
      </c>
      <c r="H29" s="18"/>
      <c r="I29" s="18" t="s">
        <v>183</v>
      </c>
      <c r="J29" s="17" t="s">
        <v>25</v>
      </c>
      <c r="K29" s="17" t="s">
        <v>184</v>
      </c>
      <c r="L29" s="17"/>
      <c r="M29" s="12"/>
      <c r="N29" s="12"/>
      <c r="O29" s="12"/>
    </row>
    <row r="30" spans="1:15" x14ac:dyDescent="0.35">
      <c r="A30" s="9">
        <v>50206000</v>
      </c>
      <c r="B30" s="86">
        <v>0</v>
      </c>
      <c r="C30" s="9" t="e">
        <v>#N/A</v>
      </c>
      <c r="D30" s="9" t="s">
        <v>211</v>
      </c>
      <c r="E30" s="10">
        <v>26393.862857142853</v>
      </c>
      <c r="F30" s="10">
        <v>669036.7408456892</v>
      </c>
      <c r="G30" s="89">
        <v>26393.862857142853</v>
      </c>
      <c r="H30" s="18"/>
      <c r="I30" s="18" t="s">
        <v>183</v>
      </c>
      <c r="J30" s="17" t="s">
        <v>25</v>
      </c>
      <c r="K30" s="17" t="s">
        <v>184</v>
      </c>
      <c r="L30" s="17"/>
      <c r="M30" s="12"/>
      <c r="N30" s="12"/>
      <c r="O30" s="12"/>
    </row>
    <row r="31" spans="1:15" x14ac:dyDescent="0.35">
      <c r="A31" s="9">
        <v>50211000</v>
      </c>
      <c r="B31" s="86">
        <v>0</v>
      </c>
      <c r="C31" s="9" t="e">
        <v>#N/A</v>
      </c>
      <c r="D31" s="9" t="s">
        <v>212</v>
      </c>
      <c r="E31" s="10">
        <v>-4985.3657142857146</v>
      </c>
      <c r="F31" s="10">
        <v>197101.76633074234</v>
      </c>
      <c r="G31" s="89">
        <v>-4985.3657142857146</v>
      </c>
      <c r="H31" s="18"/>
      <c r="I31" s="18" t="s">
        <v>183</v>
      </c>
      <c r="J31" s="17" t="s">
        <v>25</v>
      </c>
      <c r="K31" s="17" t="s">
        <v>184</v>
      </c>
      <c r="L31" s="17"/>
      <c r="M31" s="12"/>
      <c r="N31" s="12"/>
      <c r="O31" s="12"/>
    </row>
    <row r="32" spans="1:15" x14ac:dyDescent="0.35">
      <c r="A32" s="9">
        <v>50231000</v>
      </c>
      <c r="B32" s="86">
        <v>0</v>
      </c>
      <c r="C32" s="9" t="e">
        <v>#N/A</v>
      </c>
      <c r="D32" s="9" t="s">
        <v>213</v>
      </c>
      <c r="E32" s="10">
        <v>-14.537142857142857</v>
      </c>
      <c r="F32" s="10">
        <v>6.9194911901394001</v>
      </c>
      <c r="G32" s="89">
        <v>-14.537142857142857</v>
      </c>
      <c r="H32" s="18"/>
      <c r="I32" s="18" t="s">
        <v>183</v>
      </c>
      <c r="J32" s="17" t="s">
        <v>25</v>
      </c>
      <c r="K32" s="17" t="s">
        <v>184</v>
      </c>
      <c r="L32" s="17"/>
      <c r="M32" s="12"/>
      <c r="N32" s="12"/>
      <c r="O32" s="12"/>
    </row>
    <row r="33" spans="1:15" x14ac:dyDescent="0.35">
      <c r="A33" s="9">
        <v>50236000</v>
      </c>
      <c r="B33" s="86">
        <v>0</v>
      </c>
      <c r="C33" s="9" t="e">
        <v>#N/A</v>
      </c>
      <c r="D33" s="9" t="s">
        <v>214</v>
      </c>
      <c r="E33" s="10">
        <v>747.29142857142847</v>
      </c>
      <c r="F33" s="10">
        <v>7019.1886539178431</v>
      </c>
      <c r="G33" s="89">
        <v>747.29142857142847</v>
      </c>
      <c r="H33" s="18"/>
      <c r="I33" s="18" t="s">
        <v>183</v>
      </c>
      <c r="J33" s="17" t="s">
        <v>25</v>
      </c>
      <c r="K33" s="17" t="s">
        <v>184</v>
      </c>
      <c r="L33" s="17"/>
      <c r="M33" s="12"/>
      <c r="N33" s="12"/>
      <c r="O33" s="12"/>
    </row>
    <row r="34" spans="1:15" x14ac:dyDescent="0.35">
      <c r="A34" s="9">
        <v>50236001</v>
      </c>
      <c r="B34" s="86">
        <v>1</v>
      </c>
      <c r="C34" s="9" t="e">
        <v>#N/A</v>
      </c>
      <c r="D34" s="9" t="s">
        <v>215</v>
      </c>
      <c r="E34" s="10">
        <v>3.4285714285714284</v>
      </c>
      <c r="F34" s="10">
        <v>0</v>
      </c>
      <c r="G34" s="89">
        <v>0</v>
      </c>
      <c r="H34" s="18"/>
      <c r="I34" s="18" t="s">
        <v>183</v>
      </c>
      <c r="J34" s="17" t="s">
        <v>25</v>
      </c>
      <c r="K34" s="17" t="s">
        <v>184</v>
      </c>
      <c r="L34" s="17"/>
      <c r="M34" s="12"/>
      <c r="N34" s="12"/>
      <c r="O34" s="12"/>
    </row>
    <row r="35" spans="1:15" x14ac:dyDescent="0.35">
      <c r="A35" s="9">
        <v>50282000</v>
      </c>
      <c r="B35" s="86">
        <v>0</v>
      </c>
      <c r="C35" s="9" t="e">
        <v>#N/A</v>
      </c>
      <c r="D35" s="9" t="s">
        <v>216</v>
      </c>
      <c r="E35" s="10">
        <v>3104710.2857142854</v>
      </c>
      <c r="F35" s="10">
        <v>5367759.0493550971</v>
      </c>
      <c r="G35" s="87">
        <v>3118138.6840240937</v>
      </c>
      <c r="H35" s="18"/>
      <c r="I35" s="18" t="s">
        <v>183</v>
      </c>
      <c r="J35" s="17" t="s">
        <v>25</v>
      </c>
      <c r="K35" s="17" t="s">
        <v>184</v>
      </c>
      <c r="L35" s="17"/>
      <c r="M35" s="12"/>
      <c r="N35" s="12"/>
      <c r="O35" s="12"/>
    </row>
    <row r="36" spans="1:15" x14ac:dyDescent="0.35">
      <c r="A36" s="9">
        <v>50286015</v>
      </c>
      <c r="B36" s="86">
        <v>15</v>
      </c>
      <c r="C36" s="9" t="s">
        <v>104</v>
      </c>
      <c r="D36" s="9" t="s">
        <v>217</v>
      </c>
      <c r="E36" s="10">
        <v>-2524.2514285714283</v>
      </c>
      <c r="F36" s="10">
        <v>13190.343597051089</v>
      </c>
      <c r="G36" s="11">
        <v>0</v>
      </c>
      <c r="H36" s="18"/>
      <c r="I36" s="18" t="s">
        <v>228</v>
      </c>
      <c r="J36" s="17" t="s">
        <v>25</v>
      </c>
      <c r="K36" s="17" t="s">
        <v>184</v>
      </c>
      <c r="L36" s="17"/>
      <c r="M36" s="12"/>
      <c r="N36" s="12"/>
      <c r="O36" s="12"/>
    </row>
    <row r="37" spans="1:15" x14ac:dyDescent="0.35">
      <c r="A37" s="9">
        <v>50286017</v>
      </c>
      <c r="B37" s="86">
        <v>17</v>
      </c>
      <c r="C37" s="9" t="s">
        <v>41</v>
      </c>
      <c r="D37" s="9" t="s">
        <v>218</v>
      </c>
      <c r="E37" s="10">
        <v>-3647.7942857142857</v>
      </c>
      <c r="F37" s="10">
        <v>50968.404200162462</v>
      </c>
      <c r="G37" s="11">
        <v>0</v>
      </c>
      <c r="H37" s="18"/>
      <c r="I37" s="18" t="s">
        <v>183</v>
      </c>
      <c r="J37" s="17" t="s">
        <v>25</v>
      </c>
      <c r="K37" s="17" t="s">
        <v>184</v>
      </c>
      <c r="L37" s="17"/>
      <c r="M37" s="12"/>
      <c r="N37" s="12"/>
      <c r="O37" s="12"/>
    </row>
    <row r="38" spans="1:15" x14ac:dyDescent="0.35">
      <c r="A38" s="9">
        <v>50286025</v>
      </c>
      <c r="B38" s="86">
        <v>25</v>
      </c>
      <c r="C38" s="9" t="s">
        <v>47</v>
      </c>
      <c r="D38" s="9" t="s">
        <v>219</v>
      </c>
      <c r="E38" s="10">
        <v>345.56571428571425</v>
      </c>
      <c r="F38" s="10">
        <v>10946.470668841368</v>
      </c>
      <c r="G38" s="11">
        <v>0</v>
      </c>
      <c r="H38" s="18"/>
      <c r="I38" s="18" t="s">
        <v>183</v>
      </c>
      <c r="J38" s="17" t="s">
        <v>25</v>
      </c>
      <c r="K38" s="17" t="s">
        <v>184</v>
      </c>
      <c r="L38" s="17"/>
      <c r="M38" s="12"/>
      <c r="N38" s="12"/>
      <c r="O38" s="12"/>
    </row>
    <row r="39" spans="1:15" x14ac:dyDescent="0.35">
      <c r="A39" s="9">
        <v>50286037</v>
      </c>
      <c r="B39" s="86">
        <v>37</v>
      </c>
      <c r="C39" s="9" t="s">
        <v>53</v>
      </c>
      <c r="D39" s="9" t="s">
        <v>218</v>
      </c>
      <c r="E39" s="10">
        <v>-1530.4285714285716</v>
      </c>
      <c r="F39" s="10">
        <v>28450.212856169004</v>
      </c>
      <c r="G39" s="11">
        <v>0</v>
      </c>
      <c r="H39" s="18"/>
      <c r="I39" s="18" t="s">
        <v>183</v>
      </c>
      <c r="J39" s="17" t="s">
        <v>25</v>
      </c>
      <c r="K39" s="17" t="s">
        <v>184</v>
      </c>
      <c r="L39" s="17"/>
      <c r="M39" s="12"/>
      <c r="N39" s="12"/>
      <c r="O39" s="12"/>
    </row>
    <row r="40" spans="1:15" x14ac:dyDescent="0.35">
      <c r="A40" s="9">
        <v>50286058</v>
      </c>
      <c r="B40" s="86">
        <v>58</v>
      </c>
      <c r="C40" s="9" t="s">
        <v>133</v>
      </c>
      <c r="D40" s="9" t="s">
        <v>220</v>
      </c>
      <c r="E40" s="10">
        <v>-552.96</v>
      </c>
      <c r="F40" s="10">
        <v>13376.542173158965</v>
      </c>
      <c r="G40" s="11">
        <v>0</v>
      </c>
      <c r="H40" s="18"/>
      <c r="I40" s="18" t="s">
        <v>183</v>
      </c>
      <c r="J40" s="17" t="s">
        <v>25</v>
      </c>
      <c r="K40" s="17" t="s">
        <v>184</v>
      </c>
      <c r="L40" s="17"/>
      <c r="M40" s="12"/>
      <c r="N40" s="12"/>
      <c r="O40" s="12"/>
    </row>
    <row r="41" spans="1:15" x14ac:dyDescent="0.35">
      <c r="A41" s="9">
        <v>50286081</v>
      </c>
      <c r="B41" s="86">
        <v>81</v>
      </c>
      <c r="C41" s="9" t="s">
        <v>79</v>
      </c>
      <c r="D41" s="9" t="s">
        <v>221</v>
      </c>
      <c r="E41" s="10">
        <v>2682.8571428571431</v>
      </c>
      <c r="F41" s="10">
        <v>1930.9863892102408</v>
      </c>
      <c r="G41" s="11">
        <v>0</v>
      </c>
      <c r="H41" s="18"/>
      <c r="I41" s="18" t="s">
        <v>183</v>
      </c>
      <c r="J41" s="17" t="s">
        <v>25</v>
      </c>
      <c r="K41" s="17" t="s">
        <v>184</v>
      </c>
      <c r="L41" s="17"/>
      <c r="M41" s="12"/>
      <c r="N41" s="12"/>
      <c r="O41" s="12"/>
    </row>
    <row r="42" spans="1:15" x14ac:dyDescent="0.35">
      <c r="A42" s="9">
        <v>50286096</v>
      </c>
      <c r="B42" s="86">
        <v>96</v>
      </c>
      <c r="C42" s="9" t="s">
        <v>81</v>
      </c>
      <c r="D42" s="9" t="s">
        <v>222</v>
      </c>
      <c r="E42" s="10">
        <v>22229.228571428568</v>
      </c>
      <c r="F42" s="10">
        <v>13070.829188741058</v>
      </c>
      <c r="G42" s="11">
        <v>0</v>
      </c>
      <c r="H42" s="18"/>
      <c r="I42" s="18" t="s">
        <v>183</v>
      </c>
      <c r="J42" s="17" t="s">
        <v>25</v>
      </c>
      <c r="K42" s="17" t="s">
        <v>184</v>
      </c>
      <c r="L42" s="17"/>
      <c r="M42" s="12"/>
      <c r="N42" s="12"/>
      <c r="O42" s="12"/>
    </row>
    <row r="43" spans="1:15" x14ac:dyDescent="0.35">
      <c r="A43" s="9">
        <v>50295000</v>
      </c>
      <c r="B43" s="86">
        <v>0</v>
      </c>
      <c r="C43" s="9" t="e">
        <v>#N/A</v>
      </c>
      <c r="D43" s="9" t="s">
        <v>223</v>
      </c>
      <c r="E43" s="10">
        <v>-568451.46857142856</v>
      </c>
      <c r="F43" s="10">
        <v>-484238.68171062134</v>
      </c>
      <c r="G43" s="11">
        <v>0</v>
      </c>
      <c r="H43" s="18"/>
      <c r="I43" s="18" t="s">
        <v>228</v>
      </c>
      <c r="J43" s="17" t="s">
        <v>25</v>
      </c>
      <c r="K43" s="17" t="s">
        <v>184</v>
      </c>
      <c r="L43" s="17"/>
      <c r="M43" s="12"/>
      <c r="N43" s="12"/>
      <c r="O43" s="12"/>
    </row>
    <row r="44" spans="1:15" x14ac:dyDescent="0.35">
      <c r="A44" s="9">
        <v>50295001</v>
      </c>
      <c r="B44" s="86">
        <v>1</v>
      </c>
      <c r="C44" s="9" t="e">
        <v>#N/A</v>
      </c>
      <c r="D44" s="9" t="s">
        <v>224</v>
      </c>
      <c r="E44" s="10">
        <v>-7281.4457142857136</v>
      </c>
      <c r="F44" s="10">
        <v>-5228.3256975342711</v>
      </c>
      <c r="G44" s="11">
        <v>0</v>
      </c>
      <c r="H44" s="18"/>
      <c r="I44" s="18" t="s">
        <v>183</v>
      </c>
      <c r="J44" s="17" t="s">
        <v>25</v>
      </c>
      <c r="K44" s="17" t="s">
        <v>184</v>
      </c>
      <c r="L44" s="17"/>
      <c r="M44" s="12"/>
      <c r="N44" s="12"/>
      <c r="O44" s="12"/>
    </row>
    <row r="45" spans="1:15" x14ac:dyDescent="0.35">
      <c r="A45" s="9">
        <v>50774000</v>
      </c>
      <c r="B45" s="86">
        <v>0</v>
      </c>
      <c r="C45" s="9" t="e">
        <v>#N/A</v>
      </c>
      <c r="D45" s="9" t="s">
        <v>225</v>
      </c>
      <c r="E45" s="10">
        <v>-823884.3600000001</v>
      </c>
      <c r="F45" s="10">
        <v>-1008926.7810260036</v>
      </c>
      <c r="G45" s="89">
        <v>-823884.3600000001</v>
      </c>
      <c r="H45" s="18"/>
      <c r="I45" s="18" t="s">
        <v>183</v>
      </c>
      <c r="J45" s="17" t="s">
        <v>25</v>
      </c>
      <c r="K45" s="17" t="s">
        <v>184</v>
      </c>
      <c r="L45" s="17"/>
      <c r="M45" s="12"/>
      <c r="N45" s="12"/>
      <c r="O45" s="12"/>
    </row>
    <row r="46" spans="1:15" x14ac:dyDescent="0.35">
      <c r="A46" s="9">
        <v>50011096</v>
      </c>
      <c r="B46" s="86">
        <v>96</v>
      </c>
      <c r="C46" s="9" t="s">
        <v>81</v>
      </c>
      <c r="D46" s="9" t="s">
        <v>226</v>
      </c>
      <c r="E46" s="10">
        <v>-47.708571428571439</v>
      </c>
      <c r="F46" s="10">
        <v>5103.6104621525983</v>
      </c>
      <c r="G46" s="11">
        <v>0</v>
      </c>
      <c r="H46" s="18"/>
      <c r="I46" s="18"/>
      <c r="J46" s="17" t="s">
        <v>27</v>
      </c>
      <c r="K46" s="17" t="s">
        <v>184</v>
      </c>
      <c r="L46" s="17"/>
      <c r="M46" s="12"/>
      <c r="N46" s="12"/>
      <c r="O46" s="12"/>
    </row>
    <row r="47" spans="1:15" x14ac:dyDescent="0.35">
      <c r="A47" s="9">
        <v>50011081</v>
      </c>
      <c r="B47" s="86">
        <v>81</v>
      </c>
      <c r="C47" s="9" t="s">
        <v>79</v>
      </c>
      <c r="D47" s="9" t="s">
        <v>227</v>
      </c>
      <c r="E47" s="10">
        <v>0</v>
      </c>
      <c r="F47" s="10">
        <v>506.55756779649016</v>
      </c>
      <c r="G47" s="11">
        <v>0</v>
      </c>
      <c r="H47" s="18"/>
      <c r="I47" s="18"/>
      <c r="J47" s="17" t="s">
        <v>27</v>
      </c>
      <c r="K47" s="17" t="s">
        <v>184</v>
      </c>
      <c r="L47" s="17"/>
      <c r="M47" s="12"/>
      <c r="N47" s="12"/>
      <c r="O47" s="12"/>
    </row>
    <row r="48" spans="1:15" x14ac:dyDescent="0.35">
      <c r="A48" s="9">
        <v>50011058</v>
      </c>
      <c r="B48" s="86">
        <v>58</v>
      </c>
      <c r="C48" s="9" t="s">
        <v>133</v>
      </c>
      <c r="D48" s="9" t="s">
        <v>229</v>
      </c>
      <c r="E48" s="10">
        <v>-91.782857142857139</v>
      </c>
      <c r="F48" s="10">
        <v>947.1034885371572</v>
      </c>
      <c r="G48" s="11">
        <v>0</v>
      </c>
      <c r="H48" s="18"/>
      <c r="I48" s="18" t="s">
        <v>183</v>
      </c>
      <c r="J48" s="17" t="s">
        <v>27</v>
      </c>
      <c r="K48" s="17" t="s">
        <v>184</v>
      </c>
      <c r="L48" s="17"/>
      <c r="M48" s="12"/>
      <c r="N48" s="12"/>
      <c r="O48" s="12"/>
    </row>
    <row r="49" spans="1:15" x14ac:dyDescent="0.35">
      <c r="A49" s="9">
        <v>50011037</v>
      </c>
      <c r="B49" s="86">
        <v>37</v>
      </c>
      <c r="C49" s="9" t="s">
        <v>53</v>
      </c>
      <c r="D49" s="9" t="s">
        <v>230</v>
      </c>
      <c r="E49" s="10">
        <v>0</v>
      </c>
      <c r="F49" s="10">
        <v>9451.2478306507473</v>
      </c>
      <c r="G49" s="11">
        <v>0</v>
      </c>
      <c r="H49" s="18"/>
      <c r="I49" s="18"/>
      <c r="J49" s="17" t="s">
        <v>27</v>
      </c>
      <c r="K49" s="17" t="s">
        <v>184</v>
      </c>
      <c r="L49" s="17"/>
      <c r="M49" s="12"/>
      <c r="N49" s="12"/>
      <c r="O49" s="12"/>
    </row>
    <row r="50" spans="1:15" x14ac:dyDescent="0.35">
      <c r="A50" s="9">
        <v>50011025</v>
      </c>
      <c r="B50" s="86">
        <v>25</v>
      </c>
      <c r="C50" s="9" t="s">
        <v>47</v>
      </c>
      <c r="D50" s="9" t="s">
        <v>231</v>
      </c>
      <c r="E50" s="10">
        <v>0</v>
      </c>
      <c r="F50" s="10">
        <v>2808.7903515083567</v>
      </c>
      <c r="G50" s="11">
        <v>0</v>
      </c>
      <c r="H50" s="18"/>
      <c r="I50" s="18" t="s">
        <v>183</v>
      </c>
      <c r="J50" s="17" t="s">
        <v>27</v>
      </c>
      <c r="K50" s="17" t="s">
        <v>184</v>
      </c>
      <c r="L50" s="17"/>
      <c r="M50" s="12"/>
      <c r="N50" s="12"/>
      <c r="O50" s="12"/>
    </row>
    <row r="51" spans="1:15" x14ac:dyDescent="0.35">
      <c r="A51" s="9">
        <v>50011017</v>
      </c>
      <c r="B51" s="86">
        <v>17</v>
      </c>
      <c r="C51" s="9" t="s">
        <v>41</v>
      </c>
      <c r="D51" s="9" t="s">
        <v>227</v>
      </c>
      <c r="E51" s="10">
        <v>127.44000000000001</v>
      </c>
      <c r="F51" s="10">
        <v>23563.707034446525</v>
      </c>
      <c r="G51" s="11">
        <v>0</v>
      </c>
      <c r="H51" s="18"/>
      <c r="I51" s="18" t="s">
        <v>183</v>
      </c>
      <c r="J51" s="17" t="s">
        <v>27</v>
      </c>
      <c r="K51" s="17" t="s">
        <v>184</v>
      </c>
      <c r="L51" s="17"/>
      <c r="M51" s="12"/>
      <c r="N51" s="12"/>
      <c r="O51" s="12"/>
    </row>
    <row r="52" spans="1:15" x14ac:dyDescent="0.35">
      <c r="A52" s="9">
        <v>50011015</v>
      </c>
      <c r="B52" s="86">
        <v>15</v>
      </c>
      <c r="C52" s="9" t="s">
        <v>104</v>
      </c>
      <c r="D52" s="9" t="s">
        <v>232</v>
      </c>
      <c r="E52" s="10">
        <v>0</v>
      </c>
      <c r="F52" s="10">
        <v>1526.4875802419617</v>
      </c>
      <c r="G52" s="11">
        <v>0</v>
      </c>
      <c r="H52" s="18"/>
      <c r="I52" s="18" t="s">
        <v>183</v>
      </c>
      <c r="J52" s="17" t="s">
        <v>27</v>
      </c>
      <c r="K52" s="17" t="s">
        <v>184</v>
      </c>
      <c r="L52" s="17"/>
      <c r="M52" s="12"/>
      <c r="N52" s="12"/>
      <c r="O52" s="12"/>
    </row>
    <row r="53" spans="1:15" x14ac:dyDescent="0.35">
      <c r="A53" s="9">
        <v>50001001</v>
      </c>
      <c r="B53" s="86">
        <v>1</v>
      </c>
      <c r="C53" s="9" t="e">
        <v>#N/A</v>
      </c>
      <c r="D53" s="9" t="s">
        <v>233</v>
      </c>
      <c r="E53" s="10">
        <v>0</v>
      </c>
      <c r="F53" s="10">
        <v>39779.13859854568</v>
      </c>
      <c r="G53" s="11">
        <v>0</v>
      </c>
      <c r="H53" s="18"/>
      <c r="I53" s="18" t="s">
        <v>183</v>
      </c>
      <c r="J53" s="17" t="s">
        <v>27</v>
      </c>
      <c r="K53" s="17" t="s">
        <v>184</v>
      </c>
      <c r="L53" s="17"/>
      <c r="M53" s="12"/>
      <c r="N53" s="12"/>
      <c r="O53" s="12"/>
    </row>
    <row r="54" spans="1:15" x14ac:dyDescent="0.35">
      <c r="A54" s="9">
        <v>50231001</v>
      </c>
      <c r="B54" s="86">
        <v>1</v>
      </c>
      <c r="C54" s="9" t="e">
        <v>#N/A</v>
      </c>
      <c r="D54" s="9" t="s">
        <v>234</v>
      </c>
      <c r="E54" s="10">
        <v>0</v>
      </c>
      <c r="F54" s="10">
        <v>-6.4263093126564614</v>
      </c>
      <c r="G54" s="11">
        <v>0</v>
      </c>
      <c r="H54" s="18"/>
      <c r="I54" s="18" t="s">
        <v>183</v>
      </c>
      <c r="J54" s="17" t="s">
        <v>27</v>
      </c>
      <c r="K54" s="17" t="s">
        <v>184</v>
      </c>
      <c r="L54" s="17"/>
      <c r="M54" s="12"/>
      <c r="N54" s="12"/>
      <c r="O54" s="12"/>
    </row>
    <row r="55" spans="1:15" x14ac:dyDescent="0.35">
      <c r="A55" s="9">
        <v>50118000</v>
      </c>
      <c r="B55" s="86">
        <v>0</v>
      </c>
      <c r="C55" s="9" t="e">
        <v>#N/A</v>
      </c>
      <c r="D55" s="9" t="s">
        <v>235</v>
      </c>
      <c r="E55" s="10">
        <v>0</v>
      </c>
      <c r="F55" s="10">
        <v>-1122.9153554071363</v>
      </c>
      <c r="G55" s="11">
        <v>0</v>
      </c>
      <c r="H55" s="18"/>
      <c r="I55" s="18" t="s">
        <v>183</v>
      </c>
      <c r="J55" s="17" t="s">
        <v>27</v>
      </c>
      <c r="K55" s="17" t="s">
        <v>184</v>
      </c>
      <c r="L55" s="17"/>
      <c r="M55" s="12"/>
      <c r="N55" s="12"/>
      <c r="O55" s="12"/>
    </row>
    <row r="56" spans="1:15" x14ac:dyDescent="0.35">
      <c r="A56" s="9">
        <v>50106000</v>
      </c>
      <c r="B56" s="86">
        <v>0</v>
      </c>
      <c r="C56" s="9" t="e">
        <v>#N/A</v>
      </c>
      <c r="D56" s="9" t="s">
        <v>236</v>
      </c>
      <c r="E56" s="10">
        <v>13263.274285714288</v>
      </c>
      <c r="F56" s="10">
        <v>0</v>
      </c>
      <c r="G56" s="89">
        <v>13263.274285714288</v>
      </c>
      <c r="H56" s="18"/>
      <c r="I56" s="18" t="s">
        <v>183</v>
      </c>
      <c r="J56" s="17" t="s">
        <v>27</v>
      </c>
      <c r="K56" s="17" t="s">
        <v>184</v>
      </c>
      <c r="L56" s="17"/>
      <c r="M56" s="12"/>
      <c r="N56" s="12"/>
      <c r="O56" s="12"/>
    </row>
    <row r="57" spans="1:15" x14ac:dyDescent="0.35">
      <c r="B57" s="6"/>
      <c r="E57"/>
      <c r="H57" s="18"/>
      <c r="I57" s="18"/>
      <c r="J57" s="17"/>
      <c r="K57" s="17"/>
      <c r="L57" s="17"/>
      <c r="M57" s="12"/>
      <c r="N57" s="12"/>
      <c r="O57" s="12"/>
    </row>
    <row r="58" spans="1:15" ht="15.5" x14ac:dyDescent="0.35">
      <c r="B58" s="6"/>
      <c r="E58" s="90">
        <f>SUM(E2:E57)</f>
        <v>54632749.491428554</v>
      </c>
      <c r="F58" s="90">
        <f t="shared" ref="F58:G58" si="0">SUM(F2:F57)</f>
        <v>59472344.895587891</v>
      </c>
      <c r="G58" s="90">
        <f t="shared" si="0"/>
        <v>58848271.274950407</v>
      </c>
      <c r="H58" s="18"/>
      <c r="I58" s="18"/>
      <c r="J58" s="17"/>
      <c r="K58" s="17"/>
      <c r="L58" s="17"/>
      <c r="M58" s="12"/>
      <c r="N58" s="12"/>
      <c r="O58" s="12"/>
    </row>
    <row r="59" spans="1:15" x14ac:dyDescent="0.35">
      <c r="A59" s="24"/>
      <c r="B59" s="17"/>
      <c r="C59" s="21"/>
      <c r="D59" s="21"/>
      <c r="E59" s="18"/>
      <c r="F59" s="18"/>
      <c r="G59" s="18"/>
      <c r="H59" s="18"/>
      <c r="I59" s="18"/>
      <c r="J59" s="17"/>
      <c r="K59" s="17"/>
      <c r="L59" s="17"/>
      <c r="M59" s="12"/>
      <c r="N59" s="12"/>
      <c r="O59" s="12"/>
    </row>
    <row r="61" spans="1:15" x14ac:dyDescent="0.35">
      <c r="A61" s="14"/>
      <c r="B61" s="15"/>
      <c r="C61" s="22"/>
      <c r="D61" s="22"/>
      <c r="E61" s="16"/>
      <c r="F61" s="16"/>
      <c r="G61" s="16"/>
      <c r="H61" s="16"/>
      <c r="I61" s="16"/>
      <c r="J61" s="16"/>
      <c r="K61" s="16"/>
      <c r="L61" s="17"/>
      <c r="M61" s="12"/>
      <c r="N61" s="12"/>
      <c r="O61" s="12"/>
    </row>
    <row r="62" spans="1:15" x14ac:dyDescent="0.35">
      <c r="F62" s="6"/>
    </row>
  </sheetData>
  <sortState xmlns:xlrd2="http://schemas.microsoft.com/office/spreadsheetml/2017/richdata2" ref="A2:K61">
    <sortCondition ref="A2:A6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EADDC-9A20-4E9C-8881-F5552D5DA0B5}">
  <sheetPr>
    <tabColor rgb="FFFF0000"/>
  </sheetPr>
  <dimension ref="A1:P44"/>
  <sheetViews>
    <sheetView tabSelected="1" topLeftCell="A13" workbookViewId="0">
      <selection activeCell="P32" sqref="P32"/>
    </sheetView>
  </sheetViews>
  <sheetFormatPr defaultRowHeight="14.5" x14ac:dyDescent="0.35"/>
  <cols>
    <col min="3" max="3" width="51.81640625" customWidth="1"/>
    <col min="5" max="5" width="17.54296875" customWidth="1"/>
    <col min="6" max="8" width="16.7265625" customWidth="1"/>
    <col min="9" max="9" width="16.7265625" style="258" customWidth="1"/>
    <col min="10" max="10" width="18.453125" customWidth="1"/>
    <col min="11" max="11" width="15.1796875" customWidth="1"/>
    <col min="13" max="13" width="14" bestFit="1" customWidth="1"/>
    <col min="14" max="14" width="11.54296875" bestFit="1" customWidth="1"/>
    <col min="15" max="15" width="12.7265625" bestFit="1" customWidth="1"/>
    <col min="16" max="16" width="14" bestFit="1" customWidth="1"/>
    <col min="17" max="17" width="11.54296875" bestFit="1" customWidth="1"/>
  </cols>
  <sheetData>
    <row r="1" spans="1:16" ht="18" x14ac:dyDescent="0.4">
      <c r="A1" s="255"/>
      <c r="B1" s="255"/>
      <c r="C1" s="247" t="s">
        <v>270</v>
      </c>
      <c r="D1" s="255"/>
      <c r="E1" s="255"/>
      <c r="F1" s="255"/>
      <c r="G1" s="255"/>
      <c r="H1" s="255"/>
      <c r="J1" s="255"/>
      <c r="K1" s="255"/>
    </row>
    <row r="2" spans="1:16" ht="18" x14ac:dyDescent="0.4">
      <c r="A2" s="255"/>
      <c r="B2" s="247" t="s">
        <v>550</v>
      </c>
      <c r="C2" s="247" t="s">
        <v>551</v>
      </c>
      <c r="D2" s="255"/>
      <c r="E2" s="255"/>
      <c r="F2" s="255"/>
      <c r="G2" s="255"/>
      <c r="H2" s="255"/>
      <c r="J2" s="255"/>
      <c r="K2" s="255"/>
    </row>
    <row r="3" spans="1:16" ht="18" x14ac:dyDescent="0.4">
      <c r="A3" s="255"/>
      <c r="B3" s="255"/>
      <c r="C3" s="247" t="s">
        <v>549</v>
      </c>
      <c r="D3" s="255"/>
      <c r="E3" s="255"/>
      <c r="F3" s="255"/>
      <c r="G3" s="255"/>
      <c r="H3" s="255"/>
      <c r="J3" s="255"/>
      <c r="K3" s="255"/>
    </row>
    <row r="4" spans="1:16" ht="18.5" thickBot="1" x14ac:dyDescent="0.45">
      <c r="A4" s="255"/>
      <c r="B4" s="255"/>
      <c r="C4" s="247"/>
      <c r="D4" s="255"/>
      <c r="E4" s="255"/>
      <c r="F4" s="255"/>
      <c r="G4" s="255"/>
      <c r="H4" s="255"/>
      <c r="J4" s="255"/>
      <c r="K4" s="255"/>
    </row>
    <row r="5" spans="1:16" ht="18" x14ac:dyDescent="0.4">
      <c r="A5" s="255"/>
      <c r="B5" s="429"/>
      <c r="C5" s="541" t="s">
        <v>607</v>
      </c>
      <c r="D5" s="541"/>
      <c r="E5" s="541"/>
      <c r="F5" s="541"/>
      <c r="G5" s="541"/>
      <c r="H5" s="541"/>
      <c r="I5" s="541"/>
      <c r="J5" s="541"/>
      <c r="K5" s="542"/>
    </row>
    <row r="6" spans="1:16" ht="18" customHeight="1" x14ac:dyDescent="0.35">
      <c r="A6" s="255"/>
      <c r="B6" s="450">
        <v>1</v>
      </c>
      <c r="C6" s="539" t="s">
        <v>608</v>
      </c>
      <c r="D6" s="539"/>
      <c r="E6" s="539"/>
      <c r="F6" s="539"/>
      <c r="G6" s="539"/>
      <c r="H6" s="539"/>
      <c r="I6" s="539"/>
      <c r="J6" s="539"/>
      <c r="K6" s="540"/>
    </row>
    <row r="7" spans="1:16" ht="18" customHeight="1" x14ac:dyDescent="0.35">
      <c r="A7" s="255"/>
      <c r="B7" s="450">
        <v>2</v>
      </c>
      <c r="C7" s="539" t="s">
        <v>634</v>
      </c>
      <c r="D7" s="539"/>
      <c r="E7" s="539"/>
      <c r="F7" s="539"/>
      <c r="G7" s="539"/>
      <c r="H7" s="539"/>
      <c r="I7" s="539"/>
      <c r="J7" s="539"/>
      <c r="K7" s="540"/>
    </row>
    <row r="8" spans="1:16" ht="18" customHeight="1" x14ac:dyDescent="0.35">
      <c r="A8" s="255"/>
      <c r="B8" s="450">
        <v>3</v>
      </c>
      <c r="C8" s="539" t="s">
        <v>615</v>
      </c>
      <c r="D8" s="539"/>
      <c r="E8" s="539"/>
      <c r="F8" s="539"/>
      <c r="G8" s="539"/>
      <c r="H8" s="539"/>
      <c r="I8" s="539"/>
      <c r="J8" s="539"/>
      <c r="K8" s="540"/>
    </row>
    <row r="9" spans="1:16" ht="18" customHeight="1" x14ac:dyDescent="0.35">
      <c r="A9" s="255"/>
      <c r="B9" s="450">
        <v>4</v>
      </c>
      <c r="C9" s="433" t="s">
        <v>614</v>
      </c>
      <c r="D9" s="433"/>
      <c r="E9" s="433"/>
      <c r="F9" s="433"/>
      <c r="G9" s="433"/>
      <c r="H9" s="433"/>
      <c r="I9" s="433"/>
      <c r="J9" s="433"/>
      <c r="K9" s="434"/>
    </row>
    <row r="10" spans="1:16" ht="18" customHeight="1" thickBot="1" x14ac:dyDescent="0.4">
      <c r="A10" s="255"/>
      <c r="B10" s="453">
        <v>5</v>
      </c>
      <c r="C10" s="490" t="s">
        <v>616</v>
      </c>
      <c r="D10" s="448"/>
      <c r="E10" s="448"/>
      <c r="F10" s="448"/>
      <c r="G10" s="448"/>
      <c r="H10" s="448"/>
      <c r="I10" s="448"/>
      <c r="J10" s="448"/>
      <c r="K10" s="449"/>
      <c r="M10" s="528" t="s">
        <v>660</v>
      </c>
      <c r="N10" s="528"/>
      <c r="O10" s="528"/>
      <c r="P10" s="528"/>
    </row>
    <row r="11" spans="1:16" ht="15" thickBot="1" x14ac:dyDescent="0.4"/>
    <row r="12" spans="1:16" x14ac:dyDescent="0.35">
      <c r="B12" s="59"/>
      <c r="C12" s="60"/>
      <c r="D12" s="60"/>
      <c r="E12" s="61">
        <v>1</v>
      </c>
      <c r="F12" s="61">
        <v>2</v>
      </c>
      <c r="G12" s="61">
        <v>3</v>
      </c>
      <c r="H12" s="61">
        <v>4</v>
      </c>
      <c r="I12" s="61">
        <v>5</v>
      </c>
      <c r="J12" s="446">
        <v>6</v>
      </c>
      <c r="K12" s="62">
        <v>7</v>
      </c>
      <c r="M12" s="523"/>
      <c r="N12" s="524"/>
      <c r="O12" s="529"/>
      <c r="P12" s="533"/>
    </row>
    <row r="13" spans="1:16" ht="26.5" x14ac:dyDescent="0.35">
      <c r="B13" s="63"/>
      <c r="C13" s="64"/>
      <c r="D13" s="64"/>
      <c r="E13" s="437" t="s">
        <v>627</v>
      </c>
      <c r="F13" s="65" t="s">
        <v>611</v>
      </c>
      <c r="G13" s="437" t="s">
        <v>535</v>
      </c>
      <c r="H13" s="437" t="s">
        <v>612</v>
      </c>
      <c r="I13" s="437" t="s">
        <v>609</v>
      </c>
      <c r="J13" s="447" t="s">
        <v>35</v>
      </c>
      <c r="K13" s="66" t="s">
        <v>613</v>
      </c>
      <c r="M13" s="525" t="s">
        <v>659</v>
      </c>
      <c r="N13" s="437" t="s">
        <v>657</v>
      </c>
      <c r="O13" s="530" t="s">
        <v>658</v>
      </c>
      <c r="P13" s="534" t="s">
        <v>35</v>
      </c>
    </row>
    <row r="14" spans="1:16" ht="15" thickBot="1" x14ac:dyDescent="0.4">
      <c r="B14" s="67"/>
      <c r="C14" s="68"/>
      <c r="D14" s="69"/>
      <c r="E14" s="70"/>
      <c r="F14" s="73"/>
      <c r="G14" s="71" t="s">
        <v>263</v>
      </c>
      <c r="H14" s="73"/>
      <c r="I14" s="71" t="s">
        <v>264</v>
      </c>
      <c r="J14" s="439"/>
      <c r="K14" s="72" t="s">
        <v>610</v>
      </c>
      <c r="M14" s="526"/>
      <c r="N14" s="527"/>
      <c r="O14" s="531"/>
      <c r="P14" s="535"/>
    </row>
    <row r="15" spans="1:16" x14ac:dyDescent="0.35">
      <c r="B15" s="440"/>
      <c r="C15" s="441"/>
      <c r="D15" s="442"/>
      <c r="E15" s="443"/>
      <c r="F15" s="442"/>
      <c r="G15" s="442"/>
      <c r="H15" s="444"/>
      <c r="J15" s="443"/>
      <c r="K15" s="445"/>
      <c r="N15" s="430"/>
      <c r="O15" s="528"/>
      <c r="P15" s="528"/>
    </row>
    <row r="16" spans="1:16" x14ac:dyDescent="0.35">
      <c r="B16" s="74">
        <v>1</v>
      </c>
      <c r="C16" s="49" t="s">
        <v>258</v>
      </c>
      <c r="D16" s="32"/>
      <c r="E16" s="50">
        <f>15803000+85000</f>
        <v>15888000</v>
      </c>
      <c r="F16" s="33">
        <f>+G16-E16</f>
        <v>-544000</v>
      </c>
      <c r="G16" s="33">
        <v>15344000</v>
      </c>
      <c r="H16" s="34">
        <f>+J16-G16</f>
        <v>1688000</v>
      </c>
      <c r="I16" s="436">
        <f>+H16/G16</f>
        <v>0.11001042752867571</v>
      </c>
      <c r="J16" s="50">
        <v>17032000</v>
      </c>
      <c r="K16" s="438">
        <f>+J16/E16-1</f>
        <v>7.200402819738172E-2</v>
      </c>
      <c r="L16" s="115"/>
      <c r="M16" s="50">
        <f>+P16-N16-O16</f>
        <v>15888000</v>
      </c>
      <c r="N16" s="50">
        <f>+F16</f>
        <v>-544000</v>
      </c>
      <c r="O16" s="532">
        <f>+H16</f>
        <v>1688000</v>
      </c>
      <c r="P16" s="532">
        <f>+J16</f>
        <v>17032000</v>
      </c>
    </row>
    <row r="17" spans="2:16" x14ac:dyDescent="0.35">
      <c r="B17" s="74">
        <v>2</v>
      </c>
      <c r="C17" s="49" t="s">
        <v>259</v>
      </c>
      <c r="D17" s="32"/>
      <c r="E17" s="50">
        <f>1008000-85000</f>
        <v>923000</v>
      </c>
      <c r="F17" s="33">
        <f>+G17-E17</f>
        <v>3747000</v>
      </c>
      <c r="G17" s="33">
        <v>4670000</v>
      </c>
      <c r="H17" s="34">
        <f>+J17-G17</f>
        <v>514000</v>
      </c>
      <c r="I17" s="436">
        <f t="shared" ref="I17:I22" si="0">+H17/G17</f>
        <v>0.11006423982869379</v>
      </c>
      <c r="J17" s="50">
        <v>5184000</v>
      </c>
      <c r="K17" s="438">
        <f t="shared" ref="K17:K32" si="1">+J17/E17-1</f>
        <v>4.6164680390032506</v>
      </c>
      <c r="L17" s="115"/>
      <c r="M17" s="50">
        <f>+P17-N17-O17</f>
        <v>923000</v>
      </c>
      <c r="N17" s="50">
        <f>+F17</f>
        <v>3747000</v>
      </c>
      <c r="O17" s="532">
        <f>+H17</f>
        <v>514000</v>
      </c>
      <c r="P17" s="532">
        <f>+J17</f>
        <v>5184000</v>
      </c>
    </row>
    <row r="18" spans="2:16" x14ac:dyDescent="0.35">
      <c r="B18" s="74">
        <v>3</v>
      </c>
      <c r="C18" s="49" t="s">
        <v>534</v>
      </c>
      <c r="D18" s="32"/>
      <c r="E18" s="50">
        <f>+E16+E17</f>
        <v>16811000</v>
      </c>
      <c r="F18" s="37">
        <f>+F16+F17</f>
        <v>3203000</v>
      </c>
      <c r="G18" s="37">
        <f>+G16+G17</f>
        <v>20014000</v>
      </c>
      <c r="H18" s="34">
        <f>+J18-G18</f>
        <v>2202000</v>
      </c>
      <c r="I18" s="436">
        <f t="shared" si="0"/>
        <v>0.11002298391126211</v>
      </c>
      <c r="J18" s="50">
        <f>SUM(J16:J17)</f>
        <v>22216000</v>
      </c>
      <c r="K18" s="438">
        <f t="shared" si="1"/>
        <v>0.32151567426090066</v>
      </c>
      <c r="L18" s="115"/>
      <c r="M18" s="50">
        <f>+M16+M17</f>
        <v>16811000</v>
      </c>
      <c r="N18" s="50">
        <f>+N16+N17</f>
        <v>3203000</v>
      </c>
      <c r="O18" s="532">
        <f>+O16+O17</f>
        <v>2202000</v>
      </c>
      <c r="P18" s="532">
        <f>+J18</f>
        <v>22216000</v>
      </c>
    </row>
    <row r="19" spans="2:16" x14ac:dyDescent="0.35">
      <c r="B19" s="74"/>
      <c r="C19" s="49"/>
      <c r="D19" s="32"/>
      <c r="E19" s="50" t="s">
        <v>261</v>
      </c>
      <c r="F19" s="35"/>
      <c r="G19" s="35"/>
      <c r="H19" s="38"/>
      <c r="I19" s="436"/>
      <c r="J19" s="50"/>
      <c r="K19" s="438"/>
      <c r="L19" s="115"/>
      <c r="M19" s="50"/>
      <c r="N19" s="50"/>
      <c r="O19" s="532"/>
      <c r="P19" s="532"/>
    </row>
    <row r="20" spans="2:16" x14ac:dyDescent="0.35">
      <c r="B20" s="74">
        <v>4</v>
      </c>
      <c r="C20" s="49" t="s">
        <v>22</v>
      </c>
      <c r="D20" s="32"/>
      <c r="E20" s="50">
        <v>83034000</v>
      </c>
      <c r="F20" s="84">
        <f>4310000</f>
        <v>4310000</v>
      </c>
      <c r="G20" s="37">
        <f>+E20+F20</f>
        <v>87344000</v>
      </c>
      <c r="H20" s="37">
        <f>+J20-G20</f>
        <v>9608000</v>
      </c>
      <c r="I20" s="436">
        <f t="shared" si="0"/>
        <v>0.11000183183733285</v>
      </c>
      <c r="J20" s="50">
        <v>96952000</v>
      </c>
      <c r="K20" s="438">
        <f t="shared" si="1"/>
        <v>0.1676180841582966</v>
      </c>
      <c r="L20" s="115"/>
      <c r="M20" s="50">
        <f>+P20-N20-O20</f>
        <v>83034000</v>
      </c>
      <c r="N20" s="50">
        <f>+F20</f>
        <v>4310000</v>
      </c>
      <c r="O20" s="532">
        <f>+H20</f>
        <v>9608000</v>
      </c>
      <c r="P20" s="532">
        <f>+J20</f>
        <v>96952000</v>
      </c>
    </row>
    <row r="21" spans="2:16" x14ac:dyDescent="0.35">
      <c r="B21" s="74"/>
      <c r="C21" s="51"/>
      <c r="D21" s="32"/>
      <c r="E21" s="50"/>
      <c r="F21" s="35"/>
      <c r="G21" s="35"/>
      <c r="H21" s="35"/>
      <c r="I21" s="436"/>
      <c r="J21" s="50"/>
      <c r="K21" s="438"/>
      <c r="M21" s="50"/>
      <c r="N21" s="50"/>
      <c r="O21" s="532"/>
      <c r="P21" s="532"/>
    </row>
    <row r="22" spans="2:16" x14ac:dyDescent="0.35">
      <c r="B22" s="74">
        <v>5</v>
      </c>
      <c r="C22" s="49" t="s">
        <v>325</v>
      </c>
      <c r="D22" s="32"/>
      <c r="E22" s="99">
        <f>+E18+E20</f>
        <v>99845000</v>
      </c>
      <c r="F22" s="50">
        <f t="shared" ref="F22:H22" si="2">+F18+F20</f>
        <v>7513000</v>
      </c>
      <c r="G22" s="50">
        <f t="shared" si="2"/>
        <v>107358000</v>
      </c>
      <c r="H22" s="50">
        <f t="shared" si="2"/>
        <v>11810000</v>
      </c>
      <c r="I22" s="436">
        <f t="shared" si="0"/>
        <v>0.11000577507032545</v>
      </c>
      <c r="J22" s="99">
        <f>+J18+J20</f>
        <v>119168000</v>
      </c>
      <c r="K22" s="438">
        <f t="shared" si="1"/>
        <v>0.19352997145575634</v>
      </c>
      <c r="L22" s="115"/>
      <c r="M22" s="50">
        <f>+P22-N22-O22</f>
        <v>99845000</v>
      </c>
      <c r="N22" s="50">
        <f>+N18+N20</f>
        <v>7513000</v>
      </c>
      <c r="O22" s="532">
        <f>+O18+O20</f>
        <v>11810000</v>
      </c>
      <c r="P22" s="532">
        <f>+P18+P20</f>
        <v>119168000</v>
      </c>
    </row>
    <row r="23" spans="2:16" x14ac:dyDescent="0.35">
      <c r="B23" s="74"/>
      <c r="C23" s="49"/>
      <c r="D23" s="32"/>
      <c r="E23" s="32"/>
      <c r="F23" s="32"/>
      <c r="G23" s="32"/>
      <c r="H23" s="32"/>
      <c r="I23" s="35"/>
      <c r="J23" s="32"/>
      <c r="K23" s="438"/>
      <c r="M23" s="50"/>
      <c r="N23" s="50"/>
      <c r="O23" s="532"/>
      <c r="P23" s="532"/>
    </row>
    <row r="24" spans="2:16" x14ac:dyDescent="0.35">
      <c r="B24" s="74">
        <v>6</v>
      </c>
      <c r="C24" s="49" t="s">
        <v>24</v>
      </c>
      <c r="D24" s="32"/>
      <c r="E24" s="32"/>
      <c r="F24" s="32"/>
      <c r="G24" s="32"/>
      <c r="H24" s="32"/>
      <c r="I24" s="35"/>
      <c r="J24" s="32"/>
      <c r="K24" s="438"/>
      <c r="M24" s="50"/>
      <c r="N24" s="50"/>
      <c r="O24" s="532"/>
      <c r="P24" s="532"/>
    </row>
    <row r="25" spans="2:16" s="7" customFormat="1" x14ac:dyDescent="0.35">
      <c r="B25" s="74">
        <v>7</v>
      </c>
      <c r="C25" s="49" t="s">
        <v>25</v>
      </c>
      <c r="D25" s="35"/>
      <c r="E25" s="50">
        <f>ROUND(52145143.8342857,-3)</f>
        <v>52145000</v>
      </c>
      <c r="F25" s="56">
        <f>+G25-E25</f>
        <v>4211000</v>
      </c>
      <c r="G25" s="56">
        <v>56356000</v>
      </c>
      <c r="H25" s="56">
        <f>+J25-G25</f>
        <v>5355000</v>
      </c>
      <c r="I25" s="436">
        <f t="shared" ref="I25:I32" si="3">+H25/G25</f>
        <v>9.5020938320675707E-2</v>
      </c>
      <c r="J25" s="33">
        <f>ROUND(9300874+51710777-157443+912493-55371,-3)</f>
        <v>61711000</v>
      </c>
      <c r="K25" s="438">
        <f t="shared" si="1"/>
        <v>0.18344999520567651</v>
      </c>
      <c r="M25" s="50">
        <f t="shared" ref="M25:N28" si="4">+E25</f>
        <v>52145000</v>
      </c>
      <c r="N25" s="50">
        <f t="shared" si="4"/>
        <v>4211000</v>
      </c>
      <c r="O25" s="532">
        <f>+H25-'2 NPR BY PAYOR'!G51-'2 NPR BY PAYOR'!G52-'2 NPR BY PAYOR'!F53</f>
        <v>7159000</v>
      </c>
      <c r="P25" s="532">
        <f>+J25-'2 NPR BY PAYOR'!E52-'2 NPR BY PAYOR'!E53</f>
        <v>62691000</v>
      </c>
    </row>
    <row r="26" spans="2:16" s="7" customFormat="1" x14ac:dyDescent="0.35">
      <c r="B26" s="74">
        <v>8</v>
      </c>
      <c r="C26" s="49" t="s">
        <v>26</v>
      </c>
      <c r="D26" s="35"/>
      <c r="E26" s="50">
        <f>ROUND(765510.428571429,-3)</f>
        <v>766000</v>
      </c>
      <c r="F26" s="56">
        <f t="shared" ref="F26:F28" si="5">+G26-E26</f>
        <v>35000</v>
      </c>
      <c r="G26" s="56">
        <v>801000</v>
      </c>
      <c r="H26" s="56">
        <f>+J26-G26</f>
        <v>0</v>
      </c>
      <c r="I26" s="436"/>
      <c r="J26" s="33">
        <f>ROUND(77427+723750,-3)</f>
        <v>801000</v>
      </c>
      <c r="K26" s="438">
        <f t="shared" si="1"/>
        <v>4.5691906005221883E-2</v>
      </c>
      <c r="M26" s="50">
        <f t="shared" si="4"/>
        <v>766000</v>
      </c>
      <c r="N26" s="50">
        <f t="shared" si="4"/>
        <v>35000</v>
      </c>
      <c r="O26" s="532">
        <f>+H26</f>
        <v>0</v>
      </c>
      <c r="P26" s="532">
        <f>+J26</f>
        <v>801000</v>
      </c>
    </row>
    <row r="27" spans="2:16" s="7" customFormat="1" x14ac:dyDescent="0.35">
      <c r="B27" s="74">
        <v>9</v>
      </c>
      <c r="C27" s="49" t="s">
        <v>27</v>
      </c>
      <c r="D27" s="35"/>
      <c r="E27" s="50">
        <f>ROUND(2545979.58857143,-3)</f>
        <v>2546000</v>
      </c>
      <c r="F27" s="56">
        <f t="shared" si="5"/>
        <v>13000</v>
      </c>
      <c r="G27" s="56">
        <v>2559000</v>
      </c>
      <c r="H27" s="56">
        <f>+J27-G27</f>
        <v>350000</v>
      </c>
      <c r="I27" s="436">
        <f t="shared" si="3"/>
        <v>0.13677217663149668</v>
      </c>
      <c r="J27" s="33">
        <f>ROUND(861762+2047678,-3)</f>
        <v>2909000</v>
      </c>
      <c r="K27" s="438">
        <f t="shared" si="1"/>
        <v>0.14257659073055784</v>
      </c>
      <c r="M27" s="50">
        <f t="shared" si="4"/>
        <v>2546000</v>
      </c>
      <c r="N27" s="50">
        <f t="shared" si="4"/>
        <v>13000</v>
      </c>
      <c r="O27" s="532">
        <f>+H27</f>
        <v>350000</v>
      </c>
      <c r="P27" s="532">
        <f>+J27</f>
        <v>2909000</v>
      </c>
    </row>
    <row r="28" spans="2:16" s="7" customFormat="1" x14ac:dyDescent="0.35">
      <c r="B28" s="74">
        <v>10</v>
      </c>
      <c r="C28" s="49" t="s">
        <v>28</v>
      </c>
      <c r="D28" s="35"/>
      <c r="E28" s="50">
        <f>ROUND(-823884.36,-3)</f>
        <v>-824000</v>
      </c>
      <c r="F28" s="56">
        <f t="shared" si="5"/>
        <v>0</v>
      </c>
      <c r="G28" s="56">
        <v>-824000</v>
      </c>
      <c r="H28" s="56"/>
      <c r="I28" s="436"/>
      <c r="J28" s="33">
        <f>ROUND(-823884,-3)</f>
        <v>-824000</v>
      </c>
      <c r="K28" s="438">
        <f t="shared" si="1"/>
        <v>0</v>
      </c>
      <c r="M28" s="50">
        <f t="shared" si="4"/>
        <v>-824000</v>
      </c>
      <c r="N28" s="50">
        <f t="shared" si="4"/>
        <v>0</v>
      </c>
      <c r="O28" s="532">
        <f>+H28</f>
        <v>0</v>
      </c>
      <c r="P28" s="532">
        <f>+J28</f>
        <v>-824000</v>
      </c>
    </row>
    <row r="29" spans="2:16" s="7" customFormat="1" x14ac:dyDescent="0.35">
      <c r="B29" s="74">
        <v>11</v>
      </c>
      <c r="C29" s="49" t="s">
        <v>268</v>
      </c>
      <c r="D29" s="35"/>
      <c r="E29" s="50">
        <f>SUM(E25:E28)</f>
        <v>54633000</v>
      </c>
      <c r="F29" s="56">
        <f>SUM(F25:F28)</f>
        <v>4259000</v>
      </c>
      <c r="G29" s="56">
        <f>SUM(G25:G28)</f>
        <v>58892000</v>
      </c>
      <c r="H29" s="56">
        <f>SUM(H25:H28)</f>
        <v>5705000</v>
      </c>
      <c r="I29" s="436">
        <f t="shared" si="3"/>
        <v>9.6872240711811455E-2</v>
      </c>
      <c r="J29" s="50">
        <f t="shared" ref="J29" si="6">SUM(J25:J28)</f>
        <v>64597000</v>
      </c>
      <c r="K29" s="438">
        <f t="shared" si="1"/>
        <v>0.18238061245035042</v>
      </c>
      <c r="M29" s="50">
        <f>SUM(M25:M28)</f>
        <v>54633000</v>
      </c>
      <c r="N29" s="50">
        <f>SUM(N25:N28)</f>
        <v>4259000</v>
      </c>
      <c r="O29" s="532">
        <f>SUM(O25:O28)</f>
        <v>7509000</v>
      </c>
      <c r="P29" s="532">
        <f>SUM(P25:P28)</f>
        <v>65577000</v>
      </c>
    </row>
    <row r="30" spans="2:16" s="7" customFormat="1" x14ac:dyDescent="0.35">
      <c r="B30" s="74">
        <v>12</v>
      </c>
      <c r="C30" s="49" t="s">
        <v>269</v>
      </c>
      <c r="D30" s="35"/>
      <c r="E30" s="54">
        <f>+E29/E22</f>
        <v>0.54717812609544791</v>
      </c>
      <c r="F30" s="57">
        <f>+F29/F22</f>
        <v>0.56688406761613208</v>
      </c>
      <c r="G30" s="58">
        <f>+G29/G22</f>
        <v>0.54855716388159248</v>
      </c>
      <c r="H30" s="58">
        <f>+H29/H22</f>
        <v>0.48306519898391193</v>
      </c>
      <c r="I30" s="436"/>
      <c r="J30" s="54">
        <f>+J29/J22</f>
        <v>0.54206666219119226</v>
      </c>
      <c r="K30" s="438">
        <f t="shared" si="1"/>
        <v>-9.3414989753519695E-3</v>
      </c>
      <c r="M30" s="50"/>
      <c r="N30" s="50"/>
      <c r="O30" s="532"/>
      <c r="P30" s="532"/>
    </row>
    <row r="31" spans="2:16" s="7" customFormat="1" x14ac:dyDescent="0.35">
      <c r="B31" s="74"/>
      <c r="C31" s="49" t="s">
        <v>327</v>
      </c>
      <c r="D31" s="35"/>
      <c r="E31" s="54">
        <f>+(E27+E26)/E22</f>
        <v>3.3171415694326203E-2</v>
      </c>
      <c r="F31" s="54"/>
      <c r="G31" s="54">
        <f>+(G27+G26)/G22</f>
        <v>3.1297155312133236E-2</v>
      </c>
      <c r="H31" s="54"/>
      <c r="I31" s="436"/>
      <c r="J31" s="50"/>
      <c r="K31" s="438"/>
      <c r="M31" s="50"/>
      <c r="N31" s="50"/>
      <c r="O31" s="532"/>
      <c r="P31" s="532"/>
    </row>
    <row r="32" spans="2:16" s="7" customFormat="1" x14ac:dyDescent="0.35">
      <c r="B32" s="74">
        <v>13</v>
      </c>
      <c r="C32" s="49" t="s">
        <v>267</v>
      </c>
      <c r="D32" s="35"/>
      <c r="E32" s="99">
        <f>+E22-E29</f>
        <v>45212000</v>
      </c>
      <c r="F32" s="50">
        <f t="shared" ref="F32:H32" si="7">+F22-F29</f>
        <v>3254000</v>
      </c>
      <c r="G32" s="50">
        <f t="shared" si="7"/>
        <v>48466000</v>
      </c>
      <c r="H32" s="50">
        <f t="shared" si="7"/>
        <v>6105000</v>
      </c>
      <c r="I32" s="436">
        <f t="shared" si="3"/>
        <v>0.12596459373581481</v>
      </c>
      <c r="J32" s="99">
        <f>+J22-J29</f>
        <v>54571000</v>
      </c>
      <c r="K32" s="438">
        <f t="shared" si="1"/>
        <v>0.20700256569052455</v>
      </c>
      <c r="L32" s="431"/>
      <c r="M32" s="50">
        <f>+M22-M29</f>
        <v>45212000</v>
      </c>
      <c r="N32" s="50">
        <f>+N22-N29</f>
        <v>3254000</v>
      </c>
      <c r="O32" s="532">
        <f>+O22-O29</f>
        <v>4301000</v>
      </c>
      <c r="P32" s="532">
        <f>+P22-P29</f>
        <v>53591000</v>
      </c>
    </row>
    <row r="33" spans="2:11" x14ac:dyDescent="0.35">
      <c r="B33" s="74">
        <v>14</v>
      </c>
      <c r="C33" s="35" t="s">
        <v>266</v>
      </c>
      <c r="D33" s="32"/>
      <c r="E33" s="38">
        <f>+E32/E22</f>
        <v>0.45282187390455203</v>
      </c>
      <c r="F33" s="38">
        <f>+F32/F22</f>
        <v>0.43311593238386797</v>
      </c>
      <c r="G33" s="38">
        <f>+G32/G22</f>
        <v>0.45144283611840758</v>
      </c>
      <c r="H33" s="38">
        <f>+H32/H22</f>
        <v>0.51693480101608802</v>
      </c>
      <c r="I33" s="35"/>
      <c r="J33" s="38">
        <f>+J32/J22</f>
        <v>0.45793333780880774</v>
      </c>
      <c r="K33" s="92">
        <f>+J33-E33</f>
        <v>5.1114639042557086E-3</v>
      </c>
    </row>
    <row r="34" spans="2:11" x14ac:dyDescent="0.35">
      <c r="B34" s="74"/>
      <c r="C34" s="35"/>
      <c r="D34" s="32"/>
      <c r="E34" s="39"/>
      <c r="F34" s="39"/>
      <c r="G34" s="39"/>
      <c r="H34" s="39"/>
      <c r="I34" s="35"/>
      <c r="J34" s="39"/>
      <c r="K34" s="42"/>
    </row>
    <row r="35" spans="2:11" x14ac:dyDescent="0.35">
      <c r="B35" s="74">
        <v>15</v>
      </c>
      <c r="C35" s="35" t="s">
        <v>32</v>
      </c>
      <c r="D35" s="35"/>
      <c r="E35" s="33">
        <f>3669-251</f>
        <v>3418</v>
      </c>
      <c r="F35" s="44"/>
      <c r="G35" s="44"/>
      <c r="H35" s="44"/>
      <c r="I35" s="44"/>
      <c r="J35" s="33">
        <f>3828-730</f>
        <v>3098</v>
      </c>
      <c r="K35" s="36">
        <f>+J35/E35-1</f>
        <v>-9.3622001170274971E-2</v>
      </c>
    </row>
    <row r="36" spans="2:11" x14ac:dyDescent="0.35">
      <c r="B36" s="74">
        <v>16</v>
      </c>
      <c r="C36" s="35" t="s">
        <v>34</v>
      </c>
      <c r="D36" s="35"/>
      <c r="E36" s="33">
        <v>251</v>
      </c>
      <c r="F36" s="44"/>
      <c r="G36" s="44"/>
      <c r="H36" s="44"/>
      <c r="I36" s="44"/>
      <c r="J36" s="33">
        <v>730</v>
      </c>
      <c r="K36" s="36">
        <f>+J36/E36-1</f>
        <v>1.9083665338645419</v>
      </c>
    </row>
    <row r="37" spans="2:11" x14ac:dyDescent="0.35">
      <c r="B37" s="74">
        <v>17</v>
      </c>
      <c r="C37" s="35" t="s">
        <v>260</v>
      </c>
      <c r="D37" s="35"/>
      <c r="E37" s="37">
        <f>+E36+E35</f>
        <v>3669</v>
      </c>
      <c r="F37" s="45"/>
      <c r="G37" s="45"/>
      <c r="H37" s="44"/>
      <c r="I37" s="44"/>
      <c r="J37" s="37">
        <f>+J36+J35</f>
        <v>3828</v>
      </c>
      <c r="K37" s="36">
        <f>+J37/E37-1</f>
        <v>4.333605887162717E-2</v>
      </c>
    </row>
    <row r="38" spans="2:11" x14ac:dyDescent="0.35">
      <c r="B38" s="74">
        <v>18</v>
      </c>
      <c r="C38" s="35" t="s">
        <v>33</v>
      </c>
      <c r="D38" s="35"/>
      <c r="E38" s="33">
        <v>831</v>
      </c>
      <c r="F38" s="44"/>
      <c r="G38" s="44"/>
      <c r="H38" s="44"/>
      <c r="I38" s="44"/>
      <c r="J38" s="33">
        <v>2920</v>
      </c>
      <c r="K38" s="36">
        <f>+J38/E38-1</f>
        <v>2.5138387484957883</v>
      </c>
    </row>
    <row r="39" spans="2:11" x14ac:dyDescent="0.35">
      <c r="B39" s="74">
        <v>19</v>
      </c>
      <c r="C39" s="35" t="s">
        <v>36</v>
      </c>
      <c r="D39" s="35"/>
      <c r="E39" s="37">
        <f>+E37+E38</f>
        <v>4500</v>
      </c>
      <c r="F39" s="44"/>
      <c r="G39" s="44"/>
      <c r="H39" s="44"/>
      <c r="I39" s="44"/>
      <c r="J39" s="33">
        <f>+J37+J38</f>
        <v>6748</v>
      </c>
      <c r="K39" s="36">
        <f>+J39/E39-1</f>
        <v>0.49955555555555553</v>
      </c>
    </row>
    <row r="40" spans="2:11" ht="15" thickBot="1" x14ac:dyDescent="0.4">
      <c r="B40" s="75"/>
      <c r="C40" s="47"/>
      <c r="D40" s="47"/>
      <c r="E40" s="47"/>
      <c r="F40" s="44"/>
      <c r="G40" s="44"/>
      <c r="H40" s="44"/>
      <c r="I40" s="44"/>
      <c r="J40" s="47"/>
      <c r="K40" s="48"/>
    </row>
    <row r="42" spans="2:11" x14ac:dyDescent="0.35">
      <c r="C42" s="114" t="s">
        <v>328</v>
      </c>
    </row>
    <row r="43" spans="2:11" x14ac:dyDescent="0.35">
      <c r="C43" s="114"/>
    </row>
    <row r="44" spans="2:11" x14ac:dyDescent="0.35">
      <c r="B44" s="246" t="s">
        <v>536</v>
      </c>
      <c r="C44" t="s">
        <v>537</v>
      </c>
    </row>
  </sheetData>
  <mergeCells count="4">
    <mergeCell ref="C6:K6"/>
    <mergeCell ref="C5:K5"/>
    <mergeCell ref="C7:K7"/>
    <mergeCell ref="C8:K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C63A0-EBC3-462E-8FB0-EA4C963FDDE4}">
  <sheetPr>
    <tabColor rgb="FFFF0000"/>
  </sheetPr>
  <dimension ref="A1:O103"/>
  <sheetViews>
    <sheetView topLeftCell="A7" workbookViewId="0">
      <pane ySplit="11" topLeftCell="A60" activePane="bottomLeft" state="frozen"/>
      <selection activeCell="A7" sqref="A7"/>
      <selection pane="bottomLeft" activeCell="L51" sqref="L51"/>
    </sheetView>
  </sheetViews>
  <sheetFormatPr defaultRowHeight="14.5" x14ac:dyDescent="0.35"/>
  <cols>
    <col min="2" max="2" width="8.7265625" style="411"/>
    <col min="3" max="3" width="76.81640625" customWidth="1"/>
    <col min="4" max="4" width="10.1796875" bestFit="1" customWidth="1"/>
    <col min="5" max="5" width="17.54296875" customWidth="1"/>
    <col min="6" max="6" width="18.453125" customWidth="1"/>
    <col min="7" max="7" width="15.7265625" customWidth="1"/>
    <col min="8" max="8" width="18.453125" customWidth="1"/>
    <col min="9" max="9" width="21.453125" customWidth="1"/>
    <col min="10" max="12" width="18.453125" customWidth="1"/>
    <col min="13" max="13" width="12.7265625" bestFit="1" customWidth="1"/>
    <col min="14" max="14" width="12.26953125" bestFit="1" customWidth="1"/>
    <col min="15" max="16" width="11.54296875" bestFit="1" customWidth="1"/>
  </cols>
  <sheetData>
    <row r="1" spans="1:12" ht="15" customHeight="1" x14ac:dyDescent="0.4">
      <c r="A1" s="255"/>
      <c r="B1" s="412"/>
      <c r="C1" s="247" t="s">
        <v>270</v>
      </c>
      <c r="D1" s="255"/>
      <c r="E1" s="255"/>
      <c r="F1" s="255"/>
      <c r="G1" s="255"/>
      <c r="H1" s="255"/>
      <c r="I1" s="255"/>
      <c r="J1" s="255"/>
      <c r="K1" s="255"/>
      <c r="L1" s="255"/>
    </row>
    <row r="2" spans="1:12" ht="15" customHeight="1" x14ac:dyDescent="0.4">
      <c r="A2" s="255"/>
      <c r="B2" s="456" t="s">
        <v>567</v>
      </c>
      <c r="C2" s="247" t="s">
        <v>566</v>
      </c>
      <c r="D2" s="255"/>
      <c r="E2" s="255"/>
      <c r="F2" s="255"/>
      <c r="G2" s="255"/>
      <c r="H2" s="255"/>
      <c r="I2" s="255"/>
      <c r="J2" s="255"/>
      <c r="K2" s="255"/>
      <c r="L2" s="255"/>
    </row>
    <row r="3" spans="1:12" ht="15" customHeight="1" x14ac:dyDescent="0.4">
      <c r="A3" s="255"/>
      <c r="B3" s="412"/>
      <c r="C3" s="247" t="s">
        <v>271</v>
      </c>
      <c r="D3" s="255"/>
      <c r="E3" s="255"/>
      <c r="F3" s="255"/>
      <c r="G3" s="255"/>
      <c r="H3" s="255"/>
      <c r="I3" s="255"/>
      <c r="J3" s="255"/>
      <c r="K3" s="255"/>
      <c r="L3" s="255"/>
    </row>
    <row r="4" spans="1:12" ht="15" customHeight="1" thickBot="1" x14ac:dyDescent="0.45">
      <c r="A4" s="255"/>
      <c r="B4" s="412"/>
      <c r="C4" s="247"/>
      <c r="D4" s="255"/>
      <c r="E4" s="255"/>
      <c r="F4" s="255"/>
      <c r="G4" s="255"/>
      <c r="H4" s="255"/>
      <c r="I4" s="255"/>
      <c r="J4" s="255"/>
      <c r="K4" s="255"/>
      <c r="L4" s="255"/>
    </row>
    <row r="5" spans="1:12" ht="15" customHeight="1" x14ac:dyDescent="0.4">
      <c r="A5" s="255"/>
      <c r="B5" s="457"/>
      <c r="C5" s="541" t="s">
        <v>607</v>
      </c>
      <c r="D5" s="541"/>
      <c r="E5" s="541"/>
      <c r="F5" s="541"/>
      <c r="G5" s="541"/>
      <c r="H5" s="541"/>
      <c r="I5" s="541"/>
      <c r="J5" s="541"/>
      <c r="K5" s="541"/>
      <c r="L5" s="542"/>
    </row>
    <row r="6" spans="1:12" x14ac:dyDescent="0.35">
      <c r="A6" s="255"/>
      <c r="B6" s="450"/>
      <c r="C6" s="545" t="s">
        <v>617</v>
      </c>
      <c r="D6" s="545"/>
      <c r="E6" s="545"/>
      <c r="F6" s="545"/>
      <c r="G6" s="545"/>
      <c r="H6" s="545"/>
      <c r="I6" s="545"/>
      <c r="J6" s="545"/>
      <c r="K6" s="545"/>
      <c r="L6" s="546"/>
    </row>
    <row r="7" spans="1:12" x14ac:dyDescent="0.35">
      <c r="A7" s="255"/>
      <c r="B7" s="450">
        <v>1</v>
      </c>
      <c r="C7" s="547" t="s">
        <v>618</v>
      </c>
      <c r="D7" s="547"/>
      <c r="E7" s="547"/>
      <c r="F7" s="547"/>
      <c r="G7" s="547"/>
      <c r="H7" s="547"/>
      <c r="I7" s="547"/>
      <c r="J7" s="547"/>
      <c r="K7" s="547"/>
      <c r="L7" s="548"/>
    </row>
    <row r="8" spans="1:12" x14ac:dyDescent="0.35">
      <c r="A8" s="255"/>
      <c r="B8" s="450">
        <v>2</v>
      </c>
      <c r="C8" s="547" t="s">
        <v>619</v>
      </c>
      <c r="D8" s="547"/>
      <c r="E8" s="547"/>
      <c r="F8" s="547"/>
      <c r="G8" s="547"/>
      <c r="H8" s="547"/>
      <c r="I8" s="547"/>
      <c r="J8" s="547"/>
      <c r="K8" s="547"/>
      <c r="L8" s="548"/>
    </row>
    <row r="9" spans="1:12" x14ac:dyDescent="0.35">
      <c r="A9" s="255"/>
      <c r="B9" s="450">
        <v>3</v>
      </c>
      <c r="C9" s="547" t="s">
        <v>628</v>
      </c>
      <c r="D9" s="547"/>
      <c r="E9" s="547"/>
      <c r="F9" s="547"/>
      <c r="G9" s="547"/>
      <c r="H9" s="547"/>
      <c r="I9" s="547"/>
      <c r="J9" s="547"/>
      <c r="K9" s="547"/>
      <c r="L9" s="548"/>
    </row>
    <row r="10" spans="1:12" x14ac:dyDescent="0.35">
      <c r="A10" s="255"/>
      <c r="B10" s="450">
        <v>4</v>
      </c>
      <c r="C10" s="547" t="s">
        <v>620</v>
      </c>
      <c r="D10" s="547"/>
      <c r="E10" s="547"/>
      <c r="F10" s="547"/>
      <c r="G10" s="547"/>
      <c r="H10" s="547"/>
      <c r="I10" s="547"/>
      <c r="J10" s="547"/>
      <c r="K10" s="547"/>
      <c r="L10" s="548"/>
    </row>
    <row r="11" spans="1:12" x14ac:dyDescent="0.35">
      <c r="A11" s="255"/>
      <c r="B11" s="450">
        <v>5</v>
      </c>
      <c r="C11" s="547" t="s">
        <v>630</v>
      </c>
      <c r="D11" s="547"/>
      <c r="E11" s="547"/>
      <c r="F11" s="547"/>
      <c r="G11" s="547"/>
      <c r="H11" s="547"/>
      <c r="I11" s="547"/>
      <c r="J11" s="547"/>
      <c r="K11" s="547"/>
      <c r="L11" s="548"/>
    </row>
    <row r="12" spans="1:12" x14ac:dyDescent="0.35">
      <c r="A12" s="255"/>
      <c r="B12" s="450">
        <v>6</v>
      </c>
      <c r="C12" s="549" t="s">
        <v>629</v>
      </c>
      <c r="D12" s="549"/>
      <c r="E12" s="549"/>
      <c r="F12" s="549"/>
      <c r="G12" s="549"/>
      <c r="H12" s="549"/>
      <c r="I12" s="549"/>
      <c r="J12" s="549"/>
      <c r="K12" s="549"/>
      <c r="L12" s="550"/>
    </row>
    <row r="13" spans="1:12" ht="33" customHeight="1" thickBot="1" x14ac:dyDescent="0.4">
      <c r="A13" s="255"/>
      <c r="B13" s="451">
        <v>7</v>
      </c>
      <c r="C13" s="543" t="s">
        <v>631</v>
      </c>
      <c r="D13" s="543"/>
      <c r="E13" s="543"/>
      <c r="F13" s="543"/>
      <c r="G13" s="543"/>
      <c r="H13" s="543"/>
      <c r="I13" s="543"/>
      <c r="J13" s="543"/>
      <c r="K13" s="543"/>
      <c r="L13" s="544"/>
    </row>
    <row r="14" spans="1:12" ht="15" customHeight="1" thickBot="1" x14ac:dyDescent="0.4">
      <c r="A14" s="255"/>
      <c r="B14" s="412"/>
      <c r="C14" s="255" t="s">
        <v>261</v>
      </c>
      <c r="D14" s="255"/>
      <c r="E14" s="255"/>
      <c r="F14" s="255"/>
      <c r="G14" s="255"/>
      <c r="H14" s="255"/>
      <c r="I14" s="255"/>
      <c r="J14" s="255"/>
      <c r="K14" s="255"/>
      <c r="L14" s="255"/>
    </row>
    <row r="15" spans="1:12" x14ac:dyDescent="0.35">
      <c r="A15" s="255"/>
      <c r="B15" s="458"/>
      <c r="C15" s="60"/>
      <c r="D15" s="60"/>
      <c r="E15" s="61">
        <v>1</v>
      </c>
      <c r="F15" s="61">
        <v>2</v>
      </c>
      <c r="G15" s="61">
        <v>3</v>
      </c>
      <c r="H15" s="61">
        <v>4</v>
      </c>
      <c r="I15" s="61">
        <v>5</v>
      </c>
      <c r="J15" s="61">
        <v>6</v>
      </c>
      <c r="K15" s="61">
        <v>7</v>
      </c>
      <c r="L15" s="100">
        <v>8</v>
      </c>
    </row>
    <row r="16" spans="1:12" x14ac:dyDescent="0.35">
      <c r="A16" s="255"/>
      <c r="B16" s="459"/>
      <c r="C16" s="64"/>
      <c r="D16" s="64"/>
      <c r="E16" s="65" t="s">
        <v>35</v>
      </c>
      <c r="F16" s="65" t="s">
        <v>272</v>
      </c>
      <c r="G16" s="65" t="s">
        <v>273</v>
      </c>
      <c r="H16" s="65" t="s">
        <v>274</v>
      </c>
      <c r="I16" s="65" t="s">
        <v>275</v>
      </c>
      <c r="J16" s="65" t="s">
        <v>276</v>
      </c>
      <c r="K16" s="65" t="s">
        <v>277</v>
      </c>
      <c r="L16" s="101" t="s">
        <v>326</v>
      </c>
    </row>
    <row r="17" spans="1:15" ht="15" thickBot="1" x14ac:dyDescent="0.4">
      <c r="A17" s="255"/>
      <c r="B17" s="460"/>
      <c r="C17" s="68"/>
      <c r="D17" s="69"/>
      <c r="E17" s="70"/>
      <c r="F17" s="73"/>
      <c r="G17" s="71"/>
      <c r="H17" s="71"/>
      <c r="I17" s="71"/>
      <c r="J17" s="71"/>
      <c r="K17" s="71"/>
      <c r="L17" s="102"/>
    </row>
    <row r="18" spans="1:15" x14ac:dyDescent="0.35">
      <c r="A18" s="255"/>
      <c r="B18" s="461"/>
      <c r="C18" s="79"/>
      <c r="D18" s="80"/>
      <c r="E18" s="81"/>
      <c r="F18" s="80"/>
      <c r="G18" s="80"/>
      <c r="H18" s="82"/>
      <c r="I18" s="81"/>
      <c r="J18" s="80"/>
      <c r="K18" s="39"/>
      <c r="L18" s="103"/>
    </row>
    <row r="19" spans="1:15" x14ac:dyDescent="0.35">
      <c r="A19" s="255"/>
      <c r="B19" s="462" t="s">
        <v>284</v>
      </c>
      <c r="C19" s="49" t="s">
        <v>181</v>
      </c>
      <c r="D19" s="32"/>
      <c r="E19" s="41"/>
      <c r="F19" s="32"/>
      <c r="G19" s="32"/>
      <c r="H19" s="39"/>
      <c r="I19" s="41"/>
      <c r="J19" s="32"/>
      <c r="K19" s="39"/>
      <c r="L19" s="104"/>
    </row>
    <row r="20" spans="1:15" x14ac:dyDescent="0.35">
      <c r="A20" s="255"/>
      <c r="B20" s="463">
        <v>1</v>
      </c>
      <c r="C20" s="49" t="s">
        <v>279</v>
      </c>
      <c r="D20" s="32"/>
      <c r="E20" s="50">
        <f>+'1 NPR RECON'!J18</f>
        <v>22216000</v>
      </c>
      <c r="F20" s="52">
        <f>ROUND(E20-SUM(G20:K20),-3)</f>
        <v>10945000</v>
      </c>
      <c r="G20" s="52">
        <f>ROUND(G64*$E$20,-3)</f>
        <v>1897000</v>
      </c>
      <c r="H20" s="52">
        <f>ROUND(H64*$E$20,-3)</f>
        <v>2222000</v>
      </c>
      <c r="I20" s="52">
        <f>ROUND(I64*$E$20,-3)</f>
        <v>6184000</v>
      </c>
      <c r="J20" s="52">
        <f>ROUND(J64*$E$20,-3)</f>
        <v>302000</v>
      </c>
      <c r="K20" s="52">
        <f>ROUND(K64*$E$20,-3)</f>
        <v>666000</v>
      </c>
      <c r="L20" s="105"/>
      <c r="N20" s="8">
        <f>+E20</f>
        <v>22216000</v>
      </c>
    </row>
    <row r="21" spans="1:15" x14ac:dyDescent="0.35">
      <c r="A21" s="255"/>
      <c r="B21" s="463">
        <v>2</v>
      </c>
      <c r="C21" s="49" t="s">
        <v>280</v>
      </c>
      <c r="D21" s="32"/>
      <c r="E21" s="50">
        <f>+'1 NPR RECON'!J20</f>
        <v>96952000</v>
      </c>
      <c r="F21" s="52">
        <f>ROUND(E21-SUM(G21:K21),-3)</f>
        <v>34521000</v>
      </c>
      <c r="G21" s="84">
        <f>ROUND(G65*$E$21,-3)</f>
        <v>19390000</v>
      </c>
      <c r="H21" s="84">
        <f>ROUND(H65*$E$21,-3)</f>
        <v>13573000</v>
      </c>
      <c r="I21" s="84">
        <f>ROUND(I65*$E$21,-3)</f>
        <v>25242000</v>
      </c>
      <c r="J21" s="84">
        <f>ROUND(J65*$E$21,-3)</f>
        <v>1317000</v>
      </c>
      <c r="K21" s="84">
        <f>ROUND(K65*$E$21,-3)</f>
        <v>2909000</v>
      </c>
      <c r="L21" s="106"/>
      <c r="O21" s="8">
        <f>+E21</f>
        <v>96952000</v>
      </c>
    </row>
    <row r="22" spans="1:15" x14ac:dyDescent="0.35">
      <c r="A22" s="255"/>
      <c r="B22" s="463"/>
      <c r="C22" s="51"/>
      <c r="D22" s="32"/>
      <c r="E22" s="50"/>
      <c r="F22" s="76"/>
      <c r="G22" s="76"/>
      <c r="H22" s="76"/>
      <c r="I22" s="50"/>
      <c r="J22" s="76"/>
      <c r="K22" s="76"/>
      <c r="L22" s="107"/>
    </row>
    <row r="23" spans="1:15" x14ac:dyDescent="0.35">
      <c r="A23" s="255"/>
      <c r="B23" s="463">
        <v>3</v>
      </c>
      <c r="C23" s="49" t="s">
        <v>281</v>
      </c>
      <c r="D23" s="32"/>
      <c r="E23" s="50">
        <f>+E20+E21</f>
        <v>119168000</v>
      </c>
      <c r="F23" s="50">
        <f t="shared" ref="F23:K23" si="0">+F20+F21</f>
        <v>45466000</v>
      </c>
      <c r="G23" s="50">
        <f t="shared" si="0"/>
        <v>21287000</v>
      </c>
      <c r="H23" s="50">
        <f t="shared" si="0"/>
        <v>15795000</v>
      </c>
      <c r="I23" s="50">
        <f t="shared" si="0"/>
        <v>31426000</v>
      </c>
      <c r="J23" s="50">
        <f t="shared" si="0"/>
        <v>1619000</v>
      </c>
      <c r="K23" s="50">
        <f t="shared" si="0"/>
        <v>3575000</v>
      </c>
      <c r="L23" s="108"/>
    </row>
    <row r="24" spans="1:15" ht="10" customHeight="1" x14ac:dyDescent="0.35">
      <c r="A24" s="255"/>
      <c r="B24" s="464"/>
      <c r="C24" s="377"/>
      <c r="D24" s="377"/>
      <c r="E24" s="377"/>
      <c r="F24" s="377"/>
      <c r="G24" s="377"/>
      <c r="H24" s="377"/>
      <c r="I24" s="377"/>
      <c r="J24" s="377"/>
      <c r="K24" s="377"/>
      <c r="L24" s="385"/>
    </row>
    <row r="25" spans="1:15" x14ac:dyDescent="0.35">
      <c r="A25" s="255"/>
      <c r="B25" s="462" t="s">
        <v>285</v>
      </c>
      <c r="C25" s="35" t="s">
        <v>283</v>
      </c>
      <c r="D25" s="32"/>
      <c r="E25" s="32"/>
      <c r="F25" s="32"/>
      <c r="G25" s="32"/>
      <c r="H25" s="32"/>
      <c r="I25" s="32"/>
      <c r="J25" s="32"/>
      <c r="K25" s="32"/>
      <c r="L25" s="109"/>
    </row>
    <row r="26" spans="1:15" x14ac:dyDescent="0.35">
      <c r="A26" s="255"/>
      <c r="B26" s="463">
        <v>4</v>
      </c>
      <c r="C26" s="49" t="s">
        <v>288</v>
      </c>
      <c r="D26" s="32"/>
      <c r="E26" s="50">
        <f>SUM(F26:L26)</f>
        <v>9300000</v>
      </c>
      <c r="F26" s="33">
        <f>ROUND(3557217,-3)</f>
        <v>3557000</v>
      </c>
      <c r="G26" s="56">
        <f>ROUND(2338403,-3)</f>
        <v>2338000</v>
      </c>
      <c r="H26" s="33">
        <f>ROUND(734635,-3)</f>
        <v>735000</v>
      </c>
      <c r="I26" s="33">
        <f>ROUND(2301309,-3)</f>
        <v>2301000</v>
      </c>
      <c r="J26" s="33">
        <f>ROUND(369310,-3)</f>
        <v>369000</v>
      </c>
      <c r="K26" s="33">
        <v>0</v>
      </c>
      <c r="L26" s="110"/>
    </row>
    <row r="27" spans="1:15" x14ac:dyDescent="0.35">
      <c r="A27" s="255"/>
      <c r="B27" s="463">
        <v>5</v>
      </c>
      <c r="C27" s="35" t="s">
        <v>286</v>
      </c>
      <c r="D27" s="32"/>
      <c r="E27" s="50">
        <f>SUM(F27:L27)</f>
        <v>-158000</v>
      </c>
      <c r="F27" s="33">
        <f>ROUND(486949,-3)</f>
        <v>487000</v>
      </c>
      <c r="G27" s="56">
        <f>ROUND(-831516,-3)</f>
        <v>-832000</v>
      </c>
      <c r="H27" s="33">
        <f>ROUND(30696,-3)</f>
        <v>31000</v>
      </c>
      <c r="I27" s="33">
        <f>ROUND(143049,-3)</f>
        <v>143000</v>
      </c>
      <c r="J27" s="33">
        <f>ROUND(4170,-3)</f>
        <v>4000</v>
      </c>
      <c r="K27" s="33">
        <f>ROUND(9209,-3)</f>
        <v>9000</v>
      </c>
      <c r="L27" s="110"/>
    </row>
    <row r="28" spans="1:15" x14ac:dyDescent="0.35">
      <c r="A28" s="255"/>
      <c r="B28" s="463"/>
      <c r="C28" s="250" t="s">
        <v>456</v>
      </c>
      <c r="D28" s="248"/>
      <c r="E28" s="249">
        <f t="shared" ref="E28:K28" si="1">ROUND((E26+E27)/E20,4)</f>
        <v>0.41149999999999998</v>
      </c>
      <c r="F28" s="249">
        <f t="shared" si="1"/>
        <v>0.3695</v>
      </c>
      <c r="G28" s="249">
        <f t="shared" si="1"/>
        <v>0.79390000000000005</v>
      </c>
      <c r="H28" s="249">
        <f t="shared" si="1"/>
        <v>0.34470000000000001</v>
      </c>
      <c r="I28" s="249">
        <f t="shared" si="1"/>
        <v>0.3952</v>
      </c>
      <c r="J28" s="249">
        <f t="shared" si="1"/>
        <v>1.2351000000000001</v>
      </c>
      <c r="K28" s="249">
        <f t="shared" si="1"/>
        <v>1.35E-2</v>
      </c>
      <c r="L28" s="110"/>
    </row>
    <row r="29" spans="1:15" x14ac:dyDescent="0.35">
      <c r="A29" s="255"/>
      <c r="B29" s="463">
        <v>6</v>
      </c>
      <c r="C29" s="35" t="s">
        <v>289</v>
      </c>
      <c r="D29" s="32"/>
      <c r="E29" s="50">
        <f t="shared" ref="E29:E31" si="2">SUM(F29:L29)</f>
        <v>862000</v>
      </c>
      <c r="F29" s="33"/>
      <c r="G29" s="56"/>
      <c r="H29" s="33"/>
      <c r="I29" s="33"/>
      <c r="J29" s="33"/>
      <c r="K29" s="33">
        <f>ROUND(861762,-3)</f>
        <v>862000</v>
      </c>
      <c r="L29" s="110"/>
    </row>
    <row r="30" spans="1:15" x14ac:dyDescent="0.35">
      <c r="A30" s="255"/>
      <c r="B30" s="463">
        <v>7</v>
      </c>
      <c r="C30" s="35" t="s">
        <v>292</v>
      </c>
      <c r="D30" s="32"/>
      <c r="E30" s="50">
        <f t="shared" si="2"/>
        <v>77000</v>
      </c>
      <c r="F30" s="33"/>
      <c r="G30" s="56"/>
      <c r="H30" s="33"/>
      <c r="I30" s="33"/>
      <c r="J30" s="33"/>
      <c r="K30" s="33">
        <f>ROUND(77427,-3)</f>
        <v>77000</v>
      </c>
      <c r="L30" s="110"/>
    </row>
    <row r="31" spans="1:15" x14ac:dyDescent="0.35">
      <c r="A31" s="255"/>
      <c r="B31" s="519">
        <v>8</v>
      </c>
      <c r="C31" s="520" t="s">
        <v>287</v>
      </c>
      <c r="D31" s="46"/>
      <c r="E31" s="99">
        <f t="shared" si="2"/>
        <v>-824000</v>
      </c>
      <c r="F31" s="518"/>
      <c r="G31" s="518">
        <v>-824000</v>
      </c>
      <c r="H31" s="518"/>
      <c r="I31" s="518"/>
      <c r="J31" s="518"/>
      <c r="K31" s="518"/>
      <c r="L31" s="521">
        <v>0</v>
      </c>
    </row>
    <row r="32" spans="1:15" x14ac:dyDescent="0.35">
      <c r="A32" s="255"/>
      <c r="B32" s="463">
        <v>9</v>
      </c>
      <c r="C32" s="49" t="s">
        <v>294</v>
      </c>
      <c r="D32" s="32"/>
      <c r="E32" s="50">
        <f>SUM(E26:E31)</f>
        <v>9257000.4114999995</v>
      </c>
      <c r="F32" s="50">
        <f t="shared" ref="F32:K32" si="3">ROUND(SUM(F26:F31),-3)</f>
        <v>4044000</v>
      </c>
      <c r="G32" s="50">
        <f t="shared" si="3"/>
        <v>682000</v>
      </c>
      <c r="H32" s="50">
        <f t="shared" si="3"/>
        <v>766000</v>
      </c>
      <c r="I32" s="50">
        <f t="shared" si="3"/>
        <v>2444000</v>
      </c>
      <c r="J32" s="50">
        <f t="shared" si="3"/>
        <v>373000</v>
      </c>
      <c r="K32" s="50">
        <f t="shared" si="3"/>
        <v>948000</v>
      </c>
      <c r="L32" s="85">
        <f>SUM(L26:L31)</f>
        <v>0</v>
      </c>
      <c r="N32" s="8">
        <f>+E32</f>
        <v>9257000.4114999995</v>
      </c>
    </row>
    <row r="33" spans="1:15" x14ac:dyDescent="0.35">
      <c r="A33" s="255"/>
      <c r="B33" s="463">
        <v>10</v>
      </c>
      <c r="C33" s="49" t="s">
        <v>291</v>
      </c>
      <c r="D33" s="32"/>
      <c r="E33" s="50">
        <f>SUM(F33:L33)</f>
        <v>51711000</v>
      </c>
      <c r="F33" s="33">
        <f>ROUND(21903595,-3)</f>
        <v>21904000</v>
      </c>
      <c r="G33" s="56">
        <f>ROUND(13740600,-3)</f>
        <v>13741000</v>
      </c>
      <c r="H33" s="33">
        <f>ROUND(3969458,-3)</f>
        <v>3969000</v>
      </c>
      <c r="I33" s="33">
        <f>ROUND(11388337,-3)</f>
        <v>11388000</v>
      </c>
      <c r="J33" s="33">
        <f>ROUND(708787,-3)</f>
        <v>709000</v>
      </c>
      <c r="K33" s="33">
        <v>0</v>
      </c>
      <c r="L33" s="110"/>
    </row>
    <row r="34" spans="1:15" x14ac:dyDescent="0.35">
      <c r="A34" s="255"/>
      <c r="B34" s="463">
        <v>11</v>
      </c>
      <c r="C34" s="35" t="s">
        <v>286</v>
      </c>
      <c r="D34" s="32"/>
      <c r="E34" s="50">
        <f>SUM(F34:L34)</f>
        <v>857000</v>
      </c>
      <c r="F34" s="33">
        <f>ROUND(324518-58000,-3)</f>
        <v>267000</v>
      </c>
      <c r="G34" s="33">
        <f>ROUND(182618,-3)</f>
        <v>183000</v>
      </c>
      <c r="H34" s="33">
        <f>ROUND(127832+1000,-3)</f>
        <v>129000</v>
      </c>
      <c r="I34" s="33">
        <f>ROUND(237727,-3)</f>
        <v>238000</v>
      </c>
      <c r="J34" s="33">
        <f>ROUND(12405+1000,-3)</f>
        <v>13000</v>
      </c>
      <c r="K34" s="33">
        <f>ROUND(27393,-3)</f>
        <v>27000</v>
      </c>
      <c r="L34" s="93"/>
    </row>
    <row r="35" spans="1:15" x14ac:dyDescent="0.35">
      <c r="A35" s="255"/>
      <c r="B35" s="463"/>
      <c r="C35" s="250" t="s">
        <v>456</v>
      </c>
      <c r="D35" s="248"/>
      <c r="E35" s="249">
        <f t="shared" ref="E35:K35" si="4">ROUND((E33+E34)/E21,4)</f>
        <v>0.54220000000000002</v>
      </c>
      <c r="F35" s="249">
        <f t="shared" si="4"/>
        <v>0.64219999999999999</v>
      </c>
      <c r="G35" s="249">
        <f t="shared" si="4"/>
        <v>0.71809999999999996</v>
      </c>
      <c r="H35" s="249">
        <f t="shared" si="4"/>
        <v>0.3019</v>
      </c>
      <c r="I35" s="249">
        <f t="shared" si="4"/>
        <v>0.46060000000000001</v>
      </c>
      <c r="J35" s="249">
        <f t="shared" si="4"/>
        <v>0.54820000000000002</v>
      </c>
      <c r="K35" s="249">
        <f t="shared" si="4"/>
        <v>9.2999999999999992E-3</v>
      </c>
      <c r="L35" s="110"/>
    </row>
    <row r="36" spans="1:15" x14ac:dyDescent="0.35">
      <c r="A36" s="255"/>
      <c r="B36" s="463">
        <v>12</v>
      </c>
      <c r="C36" s="49" t="s">
        <v>290</v>
      </c>
      <c r="D36" s="32"/>
      <c r="E36" s="50">
        <f t="shared" ref="E36:E37" si="5">SUM(F36:L36)</f>
        <v>2048000</v>
      </c>
      <c r="F36" s="33"/>
      <c r="G36" s="33"/>
      <c r="H36" s="33"/>
      <c r="I36" s="33"/>
      <c r="J36" s="33"/>
      <c r="K36" s="33">
        <f>ROUND(2047678,-3)</f>
        <v>2048000</v>
      </c>
      <c r="L36" s="110"/>
    </row>
    <row r="37" spans="1:15" x14ac:dyDescent="0.35">
      <c r="A37" s="255"/>
      <c r="B37" s="463">
        <v>13</v>
      </c>
      <c r="C37" s="35" t="s">
        <v>293</v>
      </c>
      <c r="D37" s="32"/>
      <c r="E37" s="50">
        <f t="shared" si="5"/>
        <v>724000</v>
      </c>
      <c r="F37" s="33"/>
      <c r="G37" s="33"/>
      <c r="H37" s="33"/>
      <c r="I37" s="33"/>
      <c r="J37" s="33"/>
      <c r="K37" s="33">
        <f>ROUND(723750,-3)</f>
        <v>724000</v>
      </c>
      <c r="L37" s="110"/>
    </row>
    <row r="38" spans="1:15" x14ac:dyDescent="0.35">
      <c r="A38" s="255"/>
      <c r="B38" s="463">
        <v>14</v>
      </c>
      <c r="C38" s="35" t="s">
        <v>295</v>
      </c>
      <c r="D38" s="32"/>
      <c r="E38" s="33">
        <f t="shared" ref="E38:K38" si="6">ROUND(SUM(E33:E37),-3)</f>
        <v>55340000</v>
      </c>
      <c r="F38" s="33">
        <f t="shared" si="6"/>
        <v>22171000</v>
      </c>
      <c r="G38" s="33">
        <f t="shared" si="6"/>
        <v>13924000</v>
      </c>
      <c r="H38" s="33">
        <f t="shared" si="6"/>
        <v>4098000</v>
      </c>
      <c r="I38" s="33">
        <f t="shared" si="6"/>
        <v>11626000</v>
      </c>
      <c r="J38" s="33">
        <f t="shared" si="6"/>
        <v>722000</v>
      </c>
      <c r="K38" s="33">
        <f t="shared" si="6"/>
        <v>2799000</v>
      </c>
      <c r="L38" s="93">
        <f>SUM(L33:L37)</f>
        <v>0</v>
      </c>
      <c r="O38" s="8">
        <f>+E38</f>
        <v>55340000</v>
      </c>
    </row>
    <row r="39" spans="1:15" ht="10" customHeight="1" x14ac:dyDescent="0.35">
      <c r="A39" s="255"/>
      <c r="B39" s="464"/>
      <c r="C39" s="377"/>
      <c r="D39" s="377"/>
      <c r="E39" s="377"/>
      <c r="F39" s="377"/>
      <c r="G39" s="377"/>
      <c r="H39" s="377"/>
      <c r="I39" s="377"/>
      <c r="J39" s="377"/>
      <c r="K39" s="377"/>
      <c r="L39" s="385"/>
    </row>
    <row r="40" spans="1:15" x14ac:dyDescent="0.35">
      <c r="A40" s="255"/>
      <c r="B40" s="465" t="s">
        <v>296</v>
      </c>
      <c r="C40" s="35" t="s">
        <v>297</v>
      </c>
      <c r="D40" s="32"/>
      <c r="E40" s="33"/>
      <c r="F40" s="33"/>
      <c r="G40" s="33"/>
      <c r="H40" s="33"/>
      <c r="I40" s="33"/>
      <c r="J40" s="33"/>
      <c r="K40" s="33"/>
      <c r="L40" s="93"/>
    </row>
    <row r="41" spans="1:15" x14ac:dyDescent="0.35">
      <c r="A41" s="255"/>
      <c r="B41" s="463">
        <v>15</v>
      </c>
      <c r="C41" s="35" t="s">
        <v>279</v>
      </c>
      <c r="D41" s="32"/>
      <c r="E41" s="33">
        <f t="shared" ref="E41:L41" si="7">+E20-E32</f>
        <v>12958999.588500001</v>
      </c>
      <c r="F41" s="33">
        <f t="shared" si="7"/>
        <v>6901000</v>
      </c>
      <c r="G41" s="33">
        <f t="shared" si="7"/>
        <v>1215000</v>
      </c>
      <c r="H41" s="33">
        <f t="shared" si="7"/>
        <v>1456000</v>
      </c>
      <c r="I41" s="33">
        <f t="shared" si="7"/>
        <v>3740000</v>
      </c>
      <c r="J41" s="33">
        <f t="shared" si="7"/>
        <v>-71000</v>
      </c>
      <c r="K41" s="33">
        <f t="shared" si="7"/>
        <v>-282000</v>
      </c>
      <c r="L41" s="93">
        <f t="shared" si="7"/>
        <v>0</v>
      </c>
      <c r="N41" s="8">
        <f>+N20-N32</f>
        <v>12958999.588500001</v>
      </c>
    </row>
    <row r="42" spans="1:15" x14ac:dyDescent="0.35">
      <c r="A42" s="255"/>
      <c r="B42" s="463">
        <v>16</v>
      </c>
      <c r="C42" s="35" t="s">
        <v>280</v>
      </c>
      <c r="D42" s="32"/>
      <c r="E42" s="33">
        <f t="shared" ref="E42:K42" si="8">+E21-E38</f>
        <v>41612000</v>
      </c>
      <c r="F42" s="33">
        <f t="shared" si="8"/>
        <v>12350000</v>
      </c>
      <c r="G42" s="33">
        <f t="shared" si="8"/>
        <v>5466000</v>
      </c>
      <c r="H42" s="33">
        <f t="shared" si="8"/>
        <v>9475000</v>
      </c>
      <c r="I42" s="33">
        <f t="shared" si="8"/>
        <v>13616000</v>
      </c>
      <c r="J42" s="33">
        <f t="shared" si="8"/>
        <v>595000</v>
      </c>
      <c r="K42" s="33">
        <f t="shared" si="8"/>
        <v>110000</v>
      </c>
      <c r="L42" s="93"/>
      <c r="O42" s="8">
        <f>+O21-O38</f>
        <v>41612000</v>
      </c>
    </row>
    <row r="43" spans="1:15" x14ac:dyDescent="0.35">
      <c r="A43" s="255"/>
      <c r="B43" s="463"/>
      <c r="C43" s="32"/>
      <c r="D43" s="32"/>
      <c r="E43" s="32"/>
      <c r="F43" s="32"/>
      <c r="G43" s="32"/>
      <c r="H43" s="32"/>
      <c r="I43" s="32"/>
      <c r="J43" s="32"/>
      <c r="K43" s="32"/>
      <c r="L43" s="42"/>
    </row>
    <row r="44" spans="1:15" x14ac:dyDescent="0.35">
      <c r="A44" s="255"/>
      <c r="B44" s="466">
        <v>17</v>
      </c>
      <c r="C44" s="275" t="s">
        <v>298</v>
      </c>
      <c r="D44" s="276"/>
      <c r="E44" s="277">
        <f>ROUND(+E41+E42,-3)</f>
        <v>54571000</v>
      </c>
      <c r="F44" s="277">
        <f>ROUND(+F41+F42,-3)</f>
        <v>19251000</v>
      </c>
      <c r="G44" s="277">
        <f t="shared" ref="G44:K44" si="9">ROUND(+G41+G42,-3)</f>
        <v>6681000</v>
      </c>
      <c r="H44" s="277">
        <f t="shared" si="9"/>
        <v>10931000</v>
      </c>
      <c r="I44" s="277">
        <f t="shared" si="9"/>
        <v>17356000</v>
      </c>
      <c r="J44" s="277">
        <f t="shared" si="9"/>
        <v>524000</v>
      </c>
      <c r="K44" s="277">
        <f t="shared" si="9"/>
        <v>-172000</v>
      </c>
      <c r="L44" s="397">
        <f t="shared" ref="L44" si="10">+L41+L42</f>
        <v>0</v>
      </c>
    </row>
    <row r="45" spans="1:15" x14ac:dyDescent="0.35">
      <c r="A45" s="255"/>
      <c r="B45" s="463"/>
      <c r="C45" s="250" t="s">
        <v>299</v>
      </c>
      <c r="D45" s="248"/>
      <c r="E45" s="249">
        <f t="shared" ref="E45:K45" si="11">+E44/E23</f>
        <v>0.45793333780880774</v>
      </c>
      <c r="F45" s="249">
        <f t="shared" si="11"/>
        <v>0.42341529934456518</v>
      </c>
      <c r="G45" s="249">
        <f t="shared" si="11"/>
        <v>0.31385352562596891</v>
      </c>
      <c r="H45" s="249">
        <f t="shared" si="11"/>
        <v>0.69205444761000312</v>
      </c>
      <c r="I45" s="249">
        <f t="shared" si="11"/>
        <v>0.55228155030866166</v>
      </c>
      <c r="J45" s="249">
        <f t="shared" si="11"/>
        <v>0.32365657813465104</v>
      </c>
      <c r="K45" s="249">
        <f t="shared" si="11"/>
        <v>-4.8111888111888115E-2</v>
      </c>
      <c r="L45" s="36"/>
    </row>
    <row r="46" spans="1:15" x14ac:dyDescent="0.35">
      <c r="A46" s="255"/>
      <c r="B46" s="467" t="s">
        <v>319</v>
      </c>
      <c r="C46" s="398" t="s">
        <v>297</v>
      </c>
      <c r="D46" s="112"/>
      <c r="E46" s="112"/>
      <c r="F46" s="112"/>
      <c r="G46" s="112"/>
      <c r="H46" s="112"/>
      <c r="I46" s="112"/>
      <c r="J46" s="112"/>
      <c r="K46" s="112"/>
      <c r="L46" s="399"/>
    </row>
    <row r="47" spans="1:15" x14ac:dyDescent="0.35">
      <c r="A47" s="255"/>
      <c r="B47" s="463"/>
      <c r="C47" s="32"/>
      <c r="D47" s="32"/>
      <c r="E47" s="32"/>
      <c r="F47" s="32"/>
      <c r="G47" s="32"/>
      <c r="H47" s="32"/>
      <c r="I47" s="32"/>
      <c r="J47" s="32"/>
      <c r="K47" s="32"/>
      <c r="L47" s="42"/>
    </row>
    <row r="48" spans="1:15" x14ac:dyDescent="0.35">
      <c r="A48" s="255"/>
      <c r="B48" s="463">
        <v>18</v>
      </c>
      <c r="C48" s="35" t="s">
        <v>581</v>
      </c>
      <c r="D48" s="32"/>
      <c r="E48" s="37">
        <f>SUM(F48:L48)</f>
        <v>54571000</v>
      </c>
      <c r="F48" s="33">
        <f t="shared" ref="F48:K48" si="12">+F44</f>
        <v>19251000</v>
      </c>
      <c r="G48" s="33">
        <f t="shared" si="12"/>
        <v>6681000</v>
      </c>
      <c r="H48" s="33">
        <f t="shared" si="12"/>
        <v>10931000</v>
      </c>
      <c r="I48" s="33">
        <f t="shared" si="12"/>
        <v>17356000</v>
      </c>
      <c r="J48" s="33">
        <f t="shared" si="12"/>
        <v>524000</v>
      </c>
      <c r="K48" s="33">
        <f t="shared" si="12"/>
        <v>-172000</v>
      </c>
      <c r="L48" s="93">
        <v>0</v>
      </c>
    </row>
    <row r="49" spans="1:12" x14ac:dyDescent="0.35">
      <c r="A49" s="255"/>
      <c r="B49" s="463"/>
      <c r="C49" s="35"/>
      <c r="D49" s="32"/>
      <c r="E49" s="37"/>
      <c r="F49" s="33"/>
      <c r="G49" s="33"/>
      <c r="H49" s="33"/>
      <c r="I49" s="33"/>
      <c r="J49" s="33"/>
      <c r="K49" s="33"/>
      <c r="L49" s="93"/>
    </row>
    <row r="50" spans="1:12" x14ac:dyDescent="0.35">
      <c r="A50" s="255"/>
      <c r="B50" s="468">
        <v>19</v>
      </c>
      <c r="C50" s="228" t="s">
        <v>437</v>
      </c>
      <c r="D50" s="251"/>
      <c r="E50" s="252">
        <f t="shared" ref="E50:E53" si="13">SUM(F50:L50)</f>
        <v>0</v>
      </c>
      <c r="F50" s="217"/>
      <c r="G50" s="217"/>
      <c r="H50" s="217"/>
      <c r="I50" s="217"/>
      <c r="J50" s="217"/>
      <c r="K50" s="217"/>
      <c r="L50" s="229"/>
    </row>
    <row r="51" spans="1:12" x14ac:dyDescent="0.35">
      <c r="A51" s="255"/>
      <c r="B51" s="468" t="s">
        <v>443</v>
      </c>
      <c r="C51" s="228" t="s">
        <v>438</v>
      </c>
      <c r="D51" s="251"/>
      <c r="E51" s="252">
        <f t="shared" si="13"/>
        <v>0</v>
      </c>
      <c r="F51" s="217"/>
      <c r="G51" s="217">
        <v>-824000</v>
      </c>
      <c r="H51" s="217"/>
      <c r="I51" s="217"/>
      <c r="J51" s="217"/>
      <c r="K51" s="217"/>
      <c r="L51" s="522">
        <v>824000</v>
      </c>
    </row>
    <row r="52" spans="1:12" ht="28.5" x14ac:dyDescent="0.35">
      <c r="A52" s="255"/>
      <c r="B52" s="468" t="s">
        <v>444</v>
      </c>
      <c r="C52" s="230" t="s">
        <v>458</v>
      </c>
      <c r="D52" s="251"/>
      <c r="E52" s="252">
        <f t="shared" si="13"/>
        <v>-577000</v>
      </c>
      <c r="F52" s="217"/>
      <c r="G52" s="217">
        <f>-810000+233000</f>
        <v>-577000</v>
      </c>
      <c r="H52" s="217"/>
      <c r="I52" s="217"/>
      <c r="J52" s="217"/>
      <c r="K52" s="217"/>
      <c r="L52" s="229"/>
    </row>
    <row r="53" spans="1:12" x14ac:dyDescent="0.35">
      <c r="A53" s="255"/>
      <c r="B53" s="468" t="s">
        <v>445</v>
      </c>
      <c r="C53" s="228" t="s">
        <v>457</v>
      </c>
      <c r="D53" s="251"/>
      <c r="E53" s="252">
        <f t="shared" si="13"/>
        <v>-403000</v>
      </c>
      <c r="F53" s="217">
        <f>+F101-1526000</f>
        <v>-403000</v>
      </c>
      <c r="G53" s="217"/>
      <c r="H53" s="217"/>
      <c r="I53" s="217"/>
      <c r="J53" s="217"/>
      <c r="K53" s="217"/>
      <c r="L53" s="229"/>
    </row>
    <row r="54" spans="1:12" x14ac:dyDescent="0.35">
      <c r="A54" s="255"/>
      <c r="B54" s="469">
        <v>20</v>
      </c>
      <c r="C54" s="214" t="s">
        <v>582</v>
      </c>
      <c r="D54" s="215"/>
      <c r="E54" s="116">
        <f t="shared" ref="E54:L54" si="14">SUM(E48:E53)</f>
        <v>53591000</v>
      </c>
      <c r="F54" s="116">
        <f t="shared" si="14"/>
        <v>18848000</v>
      </c>
      <c r="G54" s="116">
        <f t="shared" si="14"/>
        <v>5280000</v>
      </c>
      <c r="H54" s="116">
        <f t="shared" si="14"/>
        <v>10931000</v>
      </c>
      <c r="I54" s="116">
        <f t="shared" si="14"/>
        <v>17356000</v>
      </c>
      <c r="J54" s="116">
        <f t="shared" si="14"/>
        <v>524000</v>
      </c>
      <c r="K54" s="116">
        <f t="shared" si="14"/>
        <v>-172000</v>
      </c>
      <c r="L54" s="522">
        <f t="shared" si="14"/>
        <v>824000</v>
      </c>
    </row>
    <row r="55" spans="1:12" x14ac:dyDescent="0.35">
      <c r="A55" s="255"/>
      <c r="B55" s="463">
        <v>21</v>
      </c>
      <c r="C55" s="35" t="s">
        <v>583</v>
      </c>
      <c r="D55" s="32"/>
      <c r="E55" s="37">
        <f>SUM(F55:L55)</f>
        <v>49290000</v>
      </c>
      <c r="F55" s="33">
        <f>ROUND(17724560,-3)</f>
        <v>17725000</v>
      </c>
      <c r="G55" s="33">
        <f>ROUND(5047214,-3)</f>
        <v>5047000</v>
      </c>
      <c r="H55" s="33">
        <f>ROUND(9773169,-3)</f>
        <v>9773000</v>
      </c>
      <c r="I55" s="33">
        <f>ROUND(15662902,-3)</f>
        <v>15663000</v>
      </c>
      <c r="J55" s="33">
        <f>ROUND(429119+1000,-3)</f>
        <v>430000</v>
      </c>
      <c r="K55" s="33">
        <f>ROUND(-172207,-3)</f>
        <v>-172000</v>
      </c>
      <c r="L55" s="522">
        <f>+L54</f>
        <v>824000</v>
      </c>
    </row>
    <row r="56" spans="1:12" x14ac:dyDescent="0.35">
      <c r="A56" s="255"/>
      <c r="B56" s="463">
        <v>22</v>
      </c>
      <c r="C56" s="76" t="s">
        <v>436</v>
      </c>
      <c r="D56" s="253"/>
      <c r="E56" s="52">
        <f t="shared" ref="E56:K56" si="15">+E54-E55</f>
        <v>4301000</v>
      </c>
      <c r="F56" s="52">
        <f t="shared" si="15"/>
        <v>1123000</v>
      </c>
      <c r="G56" s="52">
        <f t="shared" si="15"/>
        <v>233000</v>
      </c>
      <c r="H56" s="52">
        <f t="shared" si="15"/>
        <v>1158000</v>
      </c>
      <c r="I56" s="52">
        <f t="shared" si="15"/>
        <v>1693000</v>
      </c>
      <c r="J56" s="52">
        <f t="shared" si="15"/>
        <v>94000</v>
      </c>
      <c r="K56" s="52">
        <f t="shared" si="15"/>
        <v>0</v>
      </c>
      <c r="L56" s="522">
        <f>+L54-L55</f>
        <v>0</v>
      </c>
    </row>
    <row r="57" spans="1:12" x14ac:dyDescent="0.35">
      <c r="A57" s="255"/>
      <c r="B57" s="463">
        <v>23</v>
      </c>
      <c r="C57" s="35" t="s">
        <v>552</v>
      </c>
      <c r="D57" s="35"/>
      <c r="E57" s="518">
        <v>50600313</v>
      </c>
      <c r="F57" s="516">
        <v>16916698</v>
      </c>
      <c r="G57" s="516">
        <v>6373060</v>
      </c>
      <c r="H57" s="516"/>
      <c r="I57" s="516">
        <v>25791000</v>
      </c>
      <c r="J57" s="516">
        <v>0</v>
      </c>
      <c r="K57" s="516">
        <v>510628</v>
      </c>
      <c r="L57" s="517">
        <v>1008927</v>
      </c>
    </row>
    <row r="58" spans="1:12" x14ac:dyDescent="0.35">
      <c r="A58" s="255"/>
      <c r="B58" s="463">
        <v>24</v>
      </c>
      <c r="C58" s="35" t="s">
        <v>322</v>
      </c>
      <c r="D58" s="32"/>
      <c r="E58" s="33">
        <f>+E54-E57</f>
        <v>2990687</v>
      </c>
      <c r="F58" s="33">
        <f t="shared" ref="F58:L58" si="16">+F54-F57</f>
        <v>1931302</v>
      </c>
      <c r="G58" s="33">
        <f t="shared" si="16"/>
        <v>-1093060</v>
      </c>
      <c r="H58" s="33"/>
      <c r="I58" s="33">
        <f>+H54+I54-I57</f>
        <v>2496000</v>
      </c>
      <c r="J58" s="33"/>
      <c r="K58" s="33">
        <f>+J54+K54-K57</f>
        <v>-158628</v>
      </c>
      <c r="L58" s="33">
        <f t="shared" si="16"/>
        <v>-184927</v>
      </c>
    </row>
    <row r="59" spans="1:12" x14ac:dyDescent="0.35">
      <c r="A59" s="255"/>
      <c r="B59" s="463">
        <v>25</v>
      </c>
      <c r="C59" s="35" t="s">
        <v>538</v>
      </c>
      <c r="D59" s="32"/>
      <c r="E59" s="272">
        <f>+E58/E57</f>
        <v>5.9104120561467674E-2</v>
      </c>
      <c r="F59" s="37"/>
      <c r="G59" s="37"/>
      <c r="H59" s="37"/>
      <c r="I59" s="37"/>
      <c r="J59" s="37"/>
      <c r="K59" s="37"/>
      <c r="L59" s="113"/>
    </row>
    <row r="60" spans="1:12" x14ac:dyDescent="0.35">
      <c r="A60" s="255"/>
      <c r="B60" s="463">
        <v>26</v>
      </c>
      <c r="C60" s="35" t="s">
        <v>553</v>
      </c>
      <c r="D60" s="32"/>
      <c r="E60" s="272">
        <v>7.8E-2</v>
      </c>
      <c r="F60" s="37"/>
      <c r="G60" s="37"/>
      <c r="H60" s="37"/>
      <c r="I60" s="37"/>
      <c r="J60" s="37"/>
      <c r="K60" s="37"/>
      <c r="L60" s="113"/>
    </row>
    <row r="61" spans="1:12" ht="15" thickBot="1" x14ac:dyDescent="0.4">
      <c r="A61" s="255"/>
      <c r="B61" s="470">
        <v>27</v>
      </c>
      <c r="C61" s="278" t="s">
        <v>554</v>
      </c>
      <c r="D61" s="47"/>
      <c r="E61" s="279">
        <f>+E59-E60</f>
        <v>-1.8895879438532326E-2</v>
      </c>
      <c r="F61" s="280"/>
      <c r="G61" s="280"/>
      <c r="H61" s="280"/>
      <c r="I61" s="280"/>
      <c r="J61" s="280"/>
      <c r="K61" s="280"/>
      <c r="L61" s="281"/>
    </row>
    <row r="62" spans="1:12" ht="10" customHeight="1" x14ac:dyDescent="0.35">
      <c r="A62" s="255"/>
      <c r="B62" s="471"/>
      <c r="C62" s="386"/>
      <c r="D62" s="387"/>
      <c r="E62" s="388"/>
      <c r="F62" s="389"/>
      <c r="G62" s="389"/>
      <c r="H62" s="389"/>
      <c r="I62" s="389"/>
      <c r="J62" s="389"/>
      <c r="K62" s="389"/>
      <c r="L62" s="390"/>
    </row>
    <row r="63" spans="1:12" x14ac:dyDescent="0.35">
      <c r="A63" s="255"/>
      <c r="B63" s="465" t="s">
        <v>320</v>
      </c>
      <c r="C63" s="76" t="s">
        <v>435</v>
      </c>
      <c r="D63" s="32"/>
      <c r="E63" s="32"/>
      <c r="F63" s="32"/>
      <c r="G63" s="32"/>
      <c r="H63" s="32"/>
      <c r="I63" s="32"/>
      <c r="J63" s="32"/>
      <c r="K63" s="32"/>
      <c r="L63" s="109"/>
    </row>
    <row r="64" spans="1:12" x14ac:dyDescent="0.35">
      <c r="A64" s="255"/>
      <c r="B64" s="463">
        <v>28</v>
      </c>
      <c r="C64" s="35" t="s">
        <v>279</v>
      </c>
      <c r="D64" s="32"/>
      <c r="E64" s="53">
        <v>1</v>
      </c>
      <c r="F64" s="53">
        <v>0.49265278917658273</v>
      </c>
      <c r="G64" s="53">
        <v>8.5388878087421516E-2</v>
      </c>
      <c r="H64" s="53">
        <v>0.1</v>
      </c>
      <c r="I64" s="53">
        <v>0.27837252597937689</v>
      </c>
      <c r="J64" s="53">
        <v>1.3585806756618793E-2</v>
      </c>
      <c r="K64" s="53">
        <v>0.03</v>
      </c>
      <c r="L64" s="111"/>
    </row>
    <row r="65" spans="1:12" x14ac:dyDescent="0.35">
      <c r="A65" s="255"/>
      <c r="B65" s="463">
        <v>29</v>
      </c>
      <c r="C65" s="35" t="s">
        <v>280</v>
      </c>
      <c r="D65" s="32"/>
      <c r="E65" s="53">
        <v>1</v>
      </c>
      <c r="F65" s="53">
        <v>0.35605966797137523</v>
      </c>
      <c r="G65" s="53">
        <v>0.2</v>
      </c>
      <c r="H65" s="53">
        <v>0.14000000000000001</v>
      </c>
      <c r="I65" s="53">
        <v>0.26035452527200592</v>
      </c>
      <c r="J65" s="53">
        <v>1.3585806756618793E-2</v>
      </c>
      <c r="K65" s="53">
        <v>0.03</v>
      </c>
      <c r="L65" s="77"/>
    </row>
    <row r="66" spans="1:12" x14ac:dyDescent="0.35">
      <c r="A66" s="255"/>
      <c r="B66" s="463">
        <v>30</v>
      </c>
      <c r="C66" s="35" t="s">
        <v>265</v>
      </c>
      <c r="D66" s="32"/>
      <c r="E66" s="53">
        <v>0.99999998389856726</v>
      </c>
      <c r="F66" s="53">
        <v>0.38318846363644476</v>
      </c>
      <c r="G66" s="53">
        <v>0.17723704721709033</v>
      </c>
      <c r="H66" s="53">
        <v>0.13205558911112583</v>
      </c>
      <c r="I66" s="53">
        <v>0.2639330820285638</v>
      </c>
      <c r="J66" s="53">
        <v>1.3585805462221528E-2</v>
      </c>
      <c r="K66" s="53">
        <v>2.9999996443121041E-2</v>
      </c>
      <c r="L66" s="77"/>
    </row>
    <row r="67" spans="1:12" ht="10" customHeight="1" x14ac:dyDescent="0.35">
      <c r="A67" s="255"/>
      <c r="B67" s="472"/>
      <c r="C67" s="377"/>
      <c r="D67" s="377"/>
      <c r="E67" s="377"/>
      <c r="F67" s="377"/>
      <c r="G67" s="377"/>
      <c r="H67" s="377"/>
      <c r="I67" s="377"/>
      <c r="J67" s="377"/>
      <c r="K67" s="377"/>
      <c r="L67" s="391"/>
    </row>
    <row r="68" spans="1:12" x14ac:dyDescent="0.35">
      <c r="A68" s="255"/>
      <c r="B68" s="465" t="s">
        <v>321</v>
      </c>
      <c r="C68" s="76" t="s">
        <v>459</v>
      </c>
      <c r="D68" s="32"/>
      <c r="E68" s="32"/>
      <c r="F68" s="32"/>
      <c r="G68" s="32"/>
      <c r="H68" s="32"/>
      <c r="I68" s="32"/>
      <c r="J68" s="32"/>
      <c r="K68" s="32"/>
      <c r="L68" s="42"/>
    </row>
    <row r="69" spans="1:12" x14ac:dyDescent="0.35">
      <c r="A69" s="255"/>
      <c r="B69" s="463">
        <v>31</v>
      </c>
      <c r="C69" s="76" t="s">
        <v>282</v>
      </c>
      <c r="D69" s="32"/>
      <c r="E69" s="91"/>
      <c r="F69" s="57">
        <f t="shared" ref="F69:K69" si="17">+(F26+F27)/F20</f>
        <v>0.36948378254910919</v>
      </c>
      <c r="G69" s="57">
        <f t="shared" si="17"/>
        <v>0.79388508170795991</v>
      </c>
      <c r="H69" s="57">
        <f t="shared" si="17"/>
        <v>0.34473447344734476</v>
      </c>
      <c r="I69" s="57">
        <f t="shared" si="17"/>
        <v>0.39521345407503233</v>
      </c>
      <c r="J69" s="57">
        <f t="shared" si="17"/>
        <v>1.2350993377483444</v>
      </c>
      <c r="K69" s="57">
        <f t="shared" si="17"/>
        <v>1.3513513513513514E-2</v>
      </c>
      <c r="L69" s="92"/>
    </row>
    <row r="70" spans="1:12" x14ac:dyDescent="0.35">
      <c r="A70" s="255"/>
      <c r="B70" s="466">
        <v>32</v>
      </c>
      <c r="C70" s="393" t="s">
        <v>280</v>
      </c>
      <c r="D70" s="276"/>
      <c r="E70" s="394"/>
      <c r="F70" s="395">
        <f t="shared" ref="F70:K70" si="18">+(F34+F33)/F21</f>
        <v>0.64224674835607309</v>
      </c>
      <c r="G70" s="395">
        <f t="shared" si="18"/>
        <v>0.71810211449200623</v>
      </c>
      <c r="H70" s="395">
        <f t="shared" si="18"/>
        <v>0.30192293523907759</v>
      </c>
      <c r="I70" s="395">
        <f t="shared" si="18"/>
        <v>0.46058157039854214</v>
      </c>
      <c r="J70" s="395">
        <f t="shared" si="18"/>
        <v>0.54821564160971903</v>
      </c>
      <c r="K70" s="395">
        <f t="shared" si="18"/>
        <v>9.2815400481265041E-3</v>
      </c>
      <c r="L70" s="396"/>
    </row>
    <row r="71" spans="1:12" ht="10" customHeight="1" x14ac:dyDescent="0.35">
      <c r="A71" s="255"/>
      <c r="B71" s="472"/>
      <c r="C71" s="377"/>
      <c r="D71" s="377"/>
      <c r="E71" s="377"/>
      <c r="F71" s="377"/>
      <c r="G71" s="377"/>
      <c r="H71" s="377"/>
      <c r="I71" s="377"/>
      <c r="J71" s="377"/>
      <c r="K71" s="377"/>
      <c r="L71" s="391"/>
    </row>
    <row r="72" spans="1:12" ht="28.5" x14ac:dyDescent="0.35">
      <c r="A72" s="255"/>
      <c r="B72" s="465" t="s">
        <v>580</v>
      </c>
      <c r="C72" s="35" t="s">
        <v>564</v>
      </c>
      <c r="D72" s="32"/>
      <c r="E72" s="273" t="s">
        <v>561</v>
      </c>
      <c r="F72" s="37" t="s">
        <v>562</v>
      </c>
      <c r="G72" s="274" t="s">
        <v>563</v>
      </c>
      <c r="H72" s="37"/>
      <c r="I72" s="37"/>
      <c r="J72" s="37"/>
      <c r="K72" s="37"/>
      <c r="L72" s="113"/>
    </row>
    <row r="73" spans="1:12" x14ac:dyDescent="0.35">
      <c r="A73" s="255"/>
      <c r="B73" s="463"/>
      <c r="C73" s="35"/>
      <c r="D73" s="32"/>
      <c r="E73" s="38"/>
      <c r="F73" s="37"/>
      <c r="G73" s="37"/>
      <c r="H73" s="37"/>
      <c r="I73" s="37"/>
      <c r="J73" s="37"/>
      <c r="K73" s="37"/>
      <c r="L73" s="113"/>
    </row>
    <row r="74" spans="1:12" x14ac:dyDescent="0.35">
      <c r="A74" s="255"/>
      <c r="B74" s="463">
        <v>1</v>
      </c>
      <c r="C74" s="35" t="s">
        <v>556</v>
      </c>
      <c r="D74" s="32"/>
      <c r="E74" s="33">
        <f>+E23</f>
        <v>119168000</v>
      </c>
      <c r="F74" s="37"/>
      <c r="G74" s="37">
        <f>+E74+F74</f>
        <v>119168000</v>
      </c>
      <c r="H74" s="37"/>
      <c r="I74" s="37"/>
      <c r="J74" s="37"/>
      <c r="K74" s="37"/>
      <c r="L74" s="113"/>
    </row>
    <row r="75" spans="1:12" x14ac:dyDescent="0.35">
      <c r="A75" s="255"/>
      <c r="B75" s="463">
        <v>2</v>
      </c>
      <c r="C75" s="35" t="s">
        <v>557</v>
      </c>
      <c r="D75" s="32"/>
      <c r="E75" s="34">
        <f>+E32+E38</f>
        <v>64597000.411499999</v>
      </c>
      <c r="F75" s="37">
        <f>-(E51+E52+E53)</f>
        <v>980000</v>
      </c>
      <c r="G75" s="37">
        <f>+E75+F75</f>
        <v>65577000.411499999</v>
      </c>
      <c r="H75" s="37"/>
      <c r="I75" s="37"/>
      <c r="J75" s="37"/>
      <c r="K75" s="37"/>
      <c r="L75" s="113"/>
    </row>
    <row r="76" spans="1:12" x14ac:dyDescent="0.35">
      <c r="A76" s="255"/>
      <c r="B76" s="463">
        <v>3</v>
      </c>
      <c r="C76" s="35" t="s">
        <v>418</v>
      </c>
      <c r="D76" s="32"/>
      <c r="E76" s="34">
        <f>+E74-E75</f>
        <v>54570999.588500001</v>
      </c>
      <c r="F76" s="34">
        <f t="shared" ref="F76:G76" si="19">+F74-F75</f>
        <v>-980000</v>
      </c>
      <c r="G76" s="34">
        <f t="shared" si="19"/>
        <v>53590999.588500001</v>
      </c>
      <c r="H76" s="37"/>
      <c r="I76" s="37"/>
      <c r="J76" s="37"/>
      <c r="K76" s="37"/>
      <c r="L76" s="113"/>
    </row>
    <row r="77" spans="1:12" x14ac:dyDescent="0.35">
      <c r="A77" s="255"/>
      <c r="B77" s="463">
        <v>4</v>
      </c>
      <c r="C77" s="35" t="s">
        <v>558</v>
      </c>
      <c r="D77" s="32"/>
      <c r="E77" s="33">
        <v>2394000</v>
      </c>
      <c r="F77" s="37"/>
      <c r="G77" s="37">
        <f t="shared" ref="G77:G79" si="20">+E77+F77</f>
        <v>2394000</v>
      </c>
      <c r="H77" s="37"/>
      <c r="I77" s="37"/>
      <c r="J77" s="37"/>
      <c r="K77" s="37"/>
      <c r="L77" s="113"/>
    </row>
    <row r="78" spans="1:12" x14ac:dyDescent="0.35">
      <c r="A78" s="255"/>
      <c r="B78" s="463">
        <v>5</v>
      </c>
      <c r="C78" s="35" t="s">
        <v>559</v>
      </c>
      <c r="D78" s="32"/>
      <c r="E78" s="33">
        <f>ROUND(+E76+E77,-3)</f>
        <v>56965000</v>
      </c>
      <c r="F78" s="33">
        <f t="shared" ref="F78:G78" si="21">ROUND(+F76+F77,-3)</f>
        <v>-980000</v>
      </c>
      <c r="G78" s="33">
        <f t="shared" si="21"/>
        <v>55985000</v>
      </c>
      <c r="H78" s="37"/>
      <c r="I78" s="37"/>
      <c r="J78" s="37"/>
      <c r="K78" s="37"/>
      <c r="L78" s="113"/>
    </row>
    <row r="79" spans="1:12" x14ac:dyDescent="0.35">
      <c r="A79" s="255"/>
      <c r="B79" s="463">
        <v>6</v>
      </c>
      <c r="C79" s="35" t="s">
        <v>560</v>
      </c>
      <c r="D79" s="32"/>
      <c r="E79" s="33">
        <f>ROUND(55043929.2974346,-3)</f>
        <v>55044000</v>
      </c>
      <c r="F79" s="37"/>
      <c r="G79" s="37">
        <f t="shared" si="20"/>
        <v>55044000</v>
      </c>
      <c r="H79" s="37"/>
      <c r="I79" s="37"/>
      <c r="J79" s="37"/>
      <c r="K79" s="37"/>
      <c r="L79" s="113"/>
    </row>
    <row r="80" spans="1:12" x14ac:dyDescent="0.35">
      <c r="A80" s="255"/>
      <c r="B80" s="463">
        <v>7</v>
      </c>
      <c r="C80" s="35" t="s">
        <v>565</v>
      </c>
      <c r="D80" s="32"/>
      <c r="E80" s="33">
        <f>+E78-E79</f>
        <v>1921000</v>
      </c>
      <c r="F80" s="33">
        <f t="shared" ref="F80:G80" si="22">+F78-F79</f>
        <v>-980000</v>
      </c>
      <c r="G80" s="33">
        <f t="shared" si="22"/>
        <v>941000</v>
      </c>
      <c r="H80" s="37"/>
      <c r="I80" s="37"/>
      <c r="J80" s="37"/>
      <c r="K80" s="37"/>
      <c r="L80" s="113"/>
    </row>
    <row r="81" spans="1:12" ht="15" thickBot="1" x14ac:dyDescent="0.4">
      <c r="A81" s="255"/>
      <c r="B81" s="470"/>
      <c r="C81" s="392"/>
      <c r="D81" s="392"/>
      <c r="E81" s="392"/>
      <c r="F81" s="392"/>
      <c r="G81" s="392"/>
      <c r="H81" s="392"/>
      <c r="I81" s="392"/>
      <c r="J81" s="280"/>
      <c r="K81" s="280"/>
      <c r="L81" s="281"/>
    </row>
    <row r="82" spans="1:12" x14ac:dyDescent="0.35">
      <c r="A82" s="255"/>
      <c r="B82" s="473" t="s">
        <v>442</v>
      </c>
      <c r="C82" s="297" t="s">
        <v>300</v>
      </c>
      <c r="D82" s="298"/>
      <c r="E82" s="298"/>
      <c r="F82" s="298"/>
      <c r="G82" s="299"/>
      <c r="H82" s="298"/>
      <c r="I82" s="298"/>
      <c r="J82" s="298"/>
      <c r="K82" s="298"/>
      <c r="L82" s="300"/>
    </row>
    <row r="83" spans="1:12" x14ac:dyDescent="0.35">
      <c r="A83" s="255"/>
      <c r="B83" s="474"/>
      <c r="C83" s="301" t="s">
        <v>301</v>
      </c>
      <c r="D83" s="286"/>
      <c r="E83" s="286"/>
      <c r="F83" s="286"/>
      <c r="G83" s="286"/>
      <c r="H83" s="286"/>
      <c r="I83" s="286"/>
      <c r="J83" s="286"/>
      <c r="K83" s="286"/>
      <c r="L83" s="287"/>
    </row>
    <row r="84" spans="1:12" x14ac:dyDescent="0.35">
      <c r="A84" s="255"/>
      <c r="B84" s="474"/>
      <c r="C84" s="301" t="s">
        <v>302</v>
      </c>
      <c r="D84" s="286"/>
      <c r="E84" s="286"/>
      <c r="F84" s="286"/>
      <c r="G84" s="286"/>
      <c r="H84" s="286"/>
      <c r="I84" s="286"/>
      <c r="J84" s="286"/>
      <c r="K84" s="286"/>
      <c r="L84" s="287"/>
    </row>
    <row r="85" spans="1:12" x14ac:dyDescent="0.35">
      <c r="B85" s="474"/>
      <c r="C85" s="286"/>
      <c r="D85" s="286"/>
      <c r="E85" s="286"/>
      <c r="F85" s="286"/>
      <c r="G85" s="286"/>
      <c r="H85" s="286"/>
      <c r="I85" s="286"/>
      <c r="J85" s="286"/>
      <c r="K85" s="286"/>
      <c r="L85" s="287"/>
    </row>
    <row r="86" spans="1:12" x14ac:dyDescent="0.35">
      <c r="B86" s="475"/>
      <c r="C86" s="286"/>
      <c r="D86" s="286"/>
      <c r="E86" s="286"/>
      <c r="F86" s="286"/>
      <c r="G86" s="286"/>
      <c r="H86" s="286"/>
      <c r="I86" s="286"/>
      <c r="J86" s="286"/>
      <c r="K86" s="286"/>
      <c r="L86" s="287"/>
    </row>
    <row r="87" spans="1:12" ht="29" thickBot="1" x14ac:dyDescent="0.4">
      <c r="B87" s="476" t="s">
        <v>440</v>
      </c>
      <c r="C87" s="289" t="s">
        <v>439</v>
      </c>
      <c r="D87" s="286"/>
      <c r="E87" s="286"/>
      <c r="F87" s="286"/>
      <c r="G87" s="282">
        <v>233000</v>
      </c>
      <c r="H87" s="286"/>
      <c r="I87" s="286"/>
      <c r="J87" s="286"/>
      <c r="K87" s="286"/>
      <c r="L87" s="287"/>
    </row>
    <row r="88" spans="1:12" ht="15" thickTop="1" x14ac:dyDescent="0.35">
      <c r="B88" s="476"/>
      <c r="C88" s="286"/>
      <c r="D88" s="286"/>
      <c r="E88" s="286"/>
      <c r="F88" s="286"/>
      <c r="G88" s="286"/>
      <c r="H88" s="286"/>
      <c r="I88" s="286"/>
      <c r="J88" s="286"/>
      <c r="K88" s="286"/>
      <c r="L88" s="287"/>
    </row>
    <row r="89" spans="1:12" x14ac:dyDescent="0.35">
      <c r="B89" s="476"/>
      <c r="C89" s="286"/>
      <c r="D89" s="286"/>
      <c r="E89" s="286"/>
      <c r="F89" s="286"/>
      <c r="G89" s="286"/>
      <c r="H89" s="286"/>
      <c r="I89" s="286"/>
      <c r="J89" s="286"/>
      <c r="K89" s="286"/>
      <c r="L89" s="287"/>
    </row>
    <row r="90" spans="1:12" x14ac:dyDescent="0.35">
      <c r="B90" s="476" t="s">
        <v>441</v>
      </c>
      <c r="C90" s="286" t="s">
        <v>446</v>
      </c>
      <c r="D90" s="286"/>
      <c r="E90" s="286"/>
      <c r="F90" s="286"/>
      <c r="G90" s="286"/>
      <c r="H90" s="286"/>
      <c r="I90" s="286"/>
      <c r="J90" s="286"/>
      <c r="K90" s="286"/>
      <c r="L90" s="287"/>
    </row>
    <row r="91" spans="1:12" x14ac:dyDescent="0.35">
      <c r="B91" s="477"/>
      <c r="C91" s="286" t="s">
        <v>448</v>
      </c>
      <c r="D91" s="286"/>
      <c r="E91" s="286"/>
      <c r="F91" s="290">
        <f>ROUND(55043929.2974346,-3)</f>
        <v>55044000</v>
      </c>
      <c r="G91" s="286"/>
      <c r="H91" s="286"/>
      <c r="I91" s="286"/>
      <c r="J91" s="286"/>
      <c r="K91" s="286"/>
      <c r="L91" s="287"/>
    </row>
    <row r="92" spans="1:12" x14ac:dyDescent="0.35">
      <c r="B92" s="477"/>
      <c r="C92" s="286" t="s">
        <v>447</v>
      </c>
      <c r="D92" s="286"/>
      <c r="E92" s="286"/>
      <c r="F92" s="291">
        <f>ROUND(53595692.2971429,-3)</f>
        <v>53596000</v>
      </c>
      <c r="G92" s="286"/>
      <c r="H92" s="286"/>
      <c r="I92" s="286"/>
      <c r="J92" s="286"/>
      <c r="K92" s="286"/>
      <c r="L92" s="287"/>
    </row>
    <row r="93" spans="1:12" ht="15" thickBot="1" x14ac:dyDescent="0.4">
      <c r="B93" s="477"/>
      <c r="C93" s="286" t="s">
        <v>449</v>
      </c>
      <c r="D93" s="286"/>
      <c r="E93" s="286"/>
      <c r="F93" s="283">
        <f>+F91/F92-1</f>
        <v>2.7016941562803209E-2</v>
      </c>
      <c r="G93" s="286"/>
      <c r="H93" s="286"/>
      <c r="I93" s="286"/>
      <c r="J93" s="286"/>
      <c r="K93" s="286"/>
      <c r="L93" s="287"/>
    </row>
    <row r="94" spans="1:12" ht="15" thickTop="1" x14ac:dyDescent="0.35">
      <c r="B94" s="477"/>
      <c r="C94" s="286"/>
      <c r="D94" s="286"/>
      <c r="E94" s="286"/>
      <c r="F94" s="286"/>
      <c r="G94" s="286"/>
      <c r="H94" s="286"/>
      <c r="I94" s="286"/>
      <c r="J94" s="286"/>
      <c r="K94" s="286"/>
      <c r="L94" s="287"/>
    </row>
    <row r="95" spans="1:12" x14ac:dyDescent="0.35">
      <c r="B95" s="477"/>
      <c r="C95" s="286" t="s">
        <v>450</v>
      </c>
      <c r="D95" s="286"/>
      <c r="E95" s="286"/>
      <c r="F95" s="290">
        <f>F23</f>
        <v>45466000</v>
      </c>
      <c r="G95" s="286"/>
      <c r="H95" s="286"/>
      <c r="I95" s="286"/>
      <c r="J95" s="286"/>
      <c r="K95" s="286"/>
      <c r="L95" s="287"/>
    </row>
    <row r="96" spans="1:12" x14ac:dyDescent="0.35">
      <c r="B96" s="477"/>
      <c r="C96" s="286" t="s">
        <v>453</v>
      </c>
      <c r="D96" s="286" t="s">
        <v>455</v>
      </c>
      <c r="E96" s="292">
        <f>-ROUND(2315078/93130531,4)</f>
        <v>-2.4899999999999999E-2</v>
      </c>
      <c r="F96" s="293">
        <f>ROUND($F$95*E96,-3)</f>
        <v>-1132000</v>
      </c>
      <c r="G96" s="286"/>
      <c r="H96" s="286"/>
      <c r="I96" s="286"/>
      <c r="J96" s="286"/>
      <c r="K96" s="286"/>
      <c r="L96" s="287"/>
    </row>
    <row r="97" spans="2:12" x14ac:dyDescent="0.35">
      <c r="B97" s="477"/>
      <c r="C97" s="286" t="s">
        <v>454</v>
      </c>
      <c r="D97" s="286" t="s">
        <v>455</v>
      </c>
      <c r="E97" s="292">
        <f>-ROUND((374384+5320814)/93130531,4)</f>
        <v>-6.1199999999999997E-2</v>
      </c>
      <c r="F97" s="293">
        <f>ROUND($F$95*E97,-3)</f>
        <v>-2783000</v>
      </c>
      <c r="G97" s="286"/>
      <c r="H97" s="286"/>
      <c r="I97" s="286"/>
      <c r="J97" s="286"/>
      <c r="K97" s="286"/>
      <c r="L97" s="287"/>
    </row>
    <row r="98" spans="2:12" x14ac:dyDescent="0.35">
      <c r="B98" s="477"/>
      <c r="C98" s="286"/>
      <c r="D98" s="286"/>
      <c r="E98" s="286"/>
      <c r="F98" s="293"/>
      <c r="G98" s="286"/>
      <c r="H98" s="286"/>
      <c r="I98" s="286"/>
      <c r="J98" s="286"/>
      <c r="K98" s="286"/>
      <c r="L98" s="287"/>
    </row>
    <row r="99" spans="2:12" x14ac:dyDescent="0.35">
      <c r="B99" s="477"/>
      <c r="C99" s="286" t="s">
        <v>452</v>
      </c>
      <c r="D99" s="286"/>
      <c r="E99" s="286"/>
      <c r="F99" s="284">
        <f>+F95+F96+F97</f>
        <v>41551000</v>
      </c>
      <c r="G99" s="286"/>
      <c r="H99" s="286"/>
      <c r="I99" s="286"/>
      <c r="J99" s="286"/>
      <c r="K99" s="286"/>
      <c r="L99" s="287"/>
    </row>
    <row r="100" spans="2:12" x14ac:dyDescent="0.35">
      <c r="B100" s="477"/>
      <c r="C100" s="286"/>
      <c r="D100" s="286"/>
      <c r="E100" s="286"/>
      <c r="F100" s="293"/>
      <c r="G100" s="286"/>
      <c r="H100" s="286"/>
      <c r="I100" s="286"/>
      <c r="J100" s="286"/>
      <c r="K100" s="286"/>
      <c r="L100" s="287"/>
    </row>
    <row r="101" spans="2:12" ht="15" thickBot="1" x14ac:dyDescent="0.4">
      <c r="B101" s="478"/>
      <c r="C101" s="294" t="s">
        <v>451</v>
      </c>
      <c r="D101" s="294"/>
      <c r="E101" s="294"/>
      <c r="F101" s="295">
        <f>ROUND(F93*F99,-3)</f>
        <v>1123000</v>
      </c>
      <c r="G101" s="294"/>
      <c r="H101" s="294"/>
      <c r="I101" s="294"/>
      <c r="J101" s="294"/>
      <c r="K101" s="294"/>
      <c r="L101" s="296"/>
    </row>
    <row r="102" spans="2:12" x14ac:dyDescent="0.35">
      <c r="B102" s="479"/>
      <c r="C102" s="255"/>
      <c r="D102" s="255"/>
      <c r="E102" s="255"/>
      <c r="F102" s="268"/>
      <c r="G102" s="255"/>
      <c r="H102" s="255"/>
      <c r="I102" s="255"/>
      <c r="J102" s="255"/>
      <c r="K102" s="255"/>
      <c r="L102" s="255"/>
    </row>
    <row r="103" spans="2:12" x14ac:dyDescent="0.35">
      <c r="B103" s="480"/>
      <c r="C103" s="1"/>
    </row>
  </sheetData>
  <mergeCells count="9">
    <mergeCell ref="C13:L13"/>
    <mergeCell ref="C6:L6"/>
    <mergeCell ref="C7:L7"/>
    <mergeCell ref="C12:L12"/>
    <mergeCell ref="C5:L5"/>
    <mergeCell ref="C9:L9"/>
    <mergeCell ref="C10:L10"/>
    <mergeCell ref="C8:L8"/>
    <mergeCell ref="C11:L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10EFD-D775-4CC8-B214-274BC82A295B}">
  <sheetPr>
    <tabColor rgb="FFFFFF00"/>
  </sheetPr>
  <dimension ref="B1:O249"/>
  <sheetViews>
    <sheetView topLeftCell="A7" workbookViewId="0">
      <selection activeCell="G10" sqref="G10"/>
    </sheetView>
  </sheetViews>
  <sheetFormatPr defaultRowHeight="14.5" x14ac:dyDescent="0.35"/>
  <cols>
    <col min="1" max="1" width="3.453125" customWidth="1"/>
    <col min="2" max="2" width="2.81640625" customWidth="1"/>
    <col min="3" max="3" width="41.7265625" customWidth="1"/>
    <col min="4" max="4" width="24.7265625" customWidth="1"/>
    <col min="5" max="5" width="24" customWidth="1"/>
    <col min="6" max="6" width="14.1796875" hidden="1" customWidth="1"/>
    <col min="7" max="7" width="34.81640625" customWidth="1"/>
    <col min="8" max="8" width="5.453125" customWidth="1"/>
    <col min="9" max="9" width="65" bestFit="1" customWidth="1"/>
    <col min="10" max="10" width="15.453125" bestFit="1" customWidth="1"/>
    <col min="11" max="11" width="16.81640625" customWidth="1"/>
    <col min="12" max="12" width="11.54296875" bestFit="1" customWidth="1"/>
    <col min="13" max="14" width="8.81640625"/>
    <col min="15" max="15" width="16.54296875" customWidth="1"/>
  </cols>
  <sheetData>
    <row r="1" spans="2:15" ht="18" x14ac:dyDescent="0.4">
      <c r="B1" s="255"/>
      <c r="C1" s="247" t="s">
        <v>270</v>
      </c>
      <c r="D1" s="255"/>
      <c r="E1" s="255"/>
      <c r="F1" s="255"/>
      <c r="G1" s="255"/>
      <c r="H1" s="255"/>
      <c r="I1" s="255"/>
      <c r="J1" s="255"/>
      <c r="K1" s="255"/>
      <c r="L1" s="255"/>
    </row>
    <row r="2" spans="2:15" ht="18" x14ac:dyDescent="0.4">
      <c r="B2" s="302" t="s">
        <v>569</v>
      </c>
      <c r="C2" s="247" t="s">
        <v>568</v>
      </c>
      <c r="D2" s="255"/>
      <c r="E2" s="255"/>
      <c r="F2" s="255"/>
      <c r="G2" s="255"/>
      <c r="H2" s="255"/>
      <c r="I2" s="255"/>
      <c r="J2" s="255"/>
      <c r="K2" s="255"/>
      <c r="L2" s="255"/>
    </row>
    <row r="3" spans="2:15" x14ac:dyDescent="0.35">
      <c r="B3" s="255"/>
      <c r="C3" s="303" t="s">
        <v>516</v>
      </c>
      <c r="D3" s="255"/>
      <c r="E3" s="255"/>
      <c r="F3" s="255"/>
      <c r="G3" s="255"/>
      <c r="H3" s="255"/>
      <c r="I3" s="255"/>
      <c r="J3" s="255"/>
      <c r="K3" s="255"/>
      <c r="L3" s="255"/>
    </row>
    <row r="4" spans="2:15" ht="15" thickBot="1" x14ac:dyDescent="0.4">
      <c r="B4" s="255"/>
      <c r="C4" s="303"/>
      <c r="D4" s="255"/>
      <c r="E4" s="255"/>
      <c r="F4" s="255"/>
      <c r="G4" s="255"/>
      <c r="H4" s="255"/>
      <c r="I4" s="255"/>
      <c r="J4" s="255"/>
      <c r="K4" s="255"/>
      <c r="L4" s="255"/>
    </row>
    <row r="5" spans="2:15" ht="18" x14ac:dyDescent="0.4">
      <c r="B5" s="429"/>
      <c r="C5" s="541" t="s">
        <v>607</v>
      </c>
      <c r="D5" s="541"/>
      <c r="E5" s="542"/>
      <c r="F5" s="255"/>
      <c r="G5" s="255"/>
      <c r="H5" s="255"/>
      <c r="I5" s="255"/>
      <c r="J5" s="255"/>
      <c r="K5" s="255"/>
      <c r="L5" s="255"/>
    </row>
    <row r="6" spans="2:15" x14ac:dyDescent="0.35">
      <c r="B6" s="454">
        <v>1</v>
      </c>
      <c r="C6" s="560" t="s">
        <v>633</v>
      </c>
      <c r="D6" s="560"/>
      <c r="E6" s="561"/>
      <c r="F6" s="255"/>
      <c r="G6" s="255"/>
      <c r="H6" s="255"/>
      <c r="I6" s="255"/>
      <c r="J6" s="255"/>
      <c r="K6" s="255"/>
      <c r="L6" s="255"/>
    </row>
    <row r="7" spans="2:15" x14ac:dyDescent="0.35">
      <c r="B7" s="454">
        <v>2</v>
      </c>
      <c r="C7" s="560" t="s">
        <v>570</v>
      </c>
      <c r="D7" s="560"/>
      <c r="E7" s="561"/>
      <c r="F7" s="255"/>
      <c r="G7" s="255"/>
      <c r="H7" s="255"/>
      <c r="I7" s="255"/>
      <c r="J7" s="255"/>
      <c r="K7" s="255"/>
      <c r="L7" s="255"/>
    </row>
    <row r="8" spans="2:15" ht="15" thickBot="1" x14ac:dyDescent="0.4">
      <c r="B8" s="455">
        <v>3</v>
      </c>
      <c r="C8" s="562" t="s">
        <v>632</v>
      </c>
      <c r="D8" s="562"/>
      <c r="E8" s="563"/>
      <c r="F8" s="255"/>
      <c r="G8" s="255"/>
      <c r="H8" s="255"/>
      <c r="I8" s="255"/>
      <c r="J8" s="255"/>
      <c r="K8" s="255"/>
      <c r="L8" s="255"/>
    </row>
    <row r="9" spans="2:15" x14ac:dyDescent="0.35">
      <c r="B9" s="255"/>
      <c r="C9" s="255"/>
      <c r="D9" s="255"/>
      <c r="E9" s="255"/>
      <c r="F9" s="255"/>
      <c r="G9" s="255"/>
      <c r="H9" s="255"/>
      <c r="I9" s="255"/>
      <c r="J9" s="255"/>
      <c r="K9" s="255"/>
      <c r="L9" s="255"/>
    </row>
    <row r="10" spans="2:15" ht="20" x14ac:dyDescent="0.4">
      <c r="B10" s="304"/>
      <c r="C10" s="554" t="s">
        <v>512</v>
      </c>
      <c r="D10" s="555"/>
      <c r="E10" s="556"/>
      <c r="F10" s="304"/>
      <c r="G10" s="304"/>
      <c r="H10" s="304"/>
      <c r="I10" s="256"/>
      <c r="J10" s="256"/>
      <c r="K10" s="304"/>
      <c r="L10" s="304"/>
      <c r="M10" s="222"/>
    </row>
    <row r="11" spans="2:15" ht="18" x14ac:dyDescent="0.4">
      <c r="B11" s="304"/>
      <c r="C11" s="551" t="s">
        <v>513</v>
      </c>
      <c r="D11" s="552"/>
      <c r="E11" s="553"/>
      <c r="F11" s="304"/>
      <c r="G11" s="304"/>
      <c r="H11" s="304"/>
      <c r="I11" s="256"/>
      <c r="J11" s="256"/>
      <c r="K11" s="304"/>
      <c r="L11" s="304"/>
      <c r="M11" s="222"/>
    </row>
    <row r="12" spans="2:15" ht="90.75" customHeight="1" x14ac:dyDescent="0.35">
      <c r="B12" s="304"/>
      <c r="C12" s="557" t="s">
        <v>483</v>
      </c>
      <c r="D12" s="557"/>
      <c r="E12" s="557"/>
      <c r="F12" s="304"/>
      <c r="G12" s="304"/>
      <c r="H12" s="304"/>
      <c r="I12" s="256"/>
      <c r="J12" s="256"/>
      <c r="K12" s="304"/>
      <c r="L12" s="304"/>
      <c r="M12" s="222"/>
      <c r="N12" s="222"/>
      <c r="O12" s="222"/>
    </row>
    <row r="13" spans="2:15" ht="90.75" customHeight="1" x14ac:dyDescent="0.35">
      <c r="B13" s="304"/>
      <c r="C13" s="305" t="s">
        <v>488</v>
      </c>
      <c r="D13" s="306"/>
      <c r="E13" s="307">
        <v>99845000</v>
      </c>
      <c r="F13" s="308" t="s">
        <v>489</v>
      </c>
      <c r="G13" s="309" t="s">
        <v>490</v>
      </c>
      <c r="H13" s="304"/>
      <c r="I13" s="256"/>
      <c r="J13" s="256"/>
      <c r="K13" s="304"/>
      <c r="L13" s="304"/>
      <c r="M13" s="222"/>
      <c r="N13" s="222"/>
      <c r="O13" s="222"/>
    </row>
    <row r="14" spans="2:15" ht="15" thickBot="1" x14ac:dyDescent="0.4">
      <c r="B14" s="304"/>
      <c r="C14" s="304"/>
      <c r="D14" s="304"/>
      <c r="E14" s="304"/>
      <c r="F14" s="304"/>
      <c r="G14" s="304"/>
      <c r="H14" s="304"/>
      <c r="I14" s="256" t="s">
        <v>487</v>
      </c>
      <c r="J14" s="256"/>
      <c r="K14" s="304"/>
      <c r="L14" s="304"/>
      <c r="M14" s="222"/>
      <c r="N14" s="222"/>
      <c r="O14" s="222"/>
    </row>
    <row r="15" spans="2:15" ht="15" thickTop="1" x14ac:dyDescent="0.35">
      <c r="B15" s="304"/>
      <c r="C15" s="558" t="s">
        <v>484</v>
      </c>
      <c r="D15" s="559" t="s">
        <v>485</v>
      </c>
      <c r="E15" s="559" t="s">
        <v>486</v>
      </c>
      <c r="F15" s="304"/>
      <c r="G15" s="304"/>
      <c r="H15" s="304"/>
      <c r="I15" s="310"/>
      <c r="J15" s="311" t="s">
        <v>514</v>
      </c>
      <c r="K15" s="311"/>
      <c r="L15" s="312"/>
      <c r="M15" s="222"/>
      <c r="N15" s="222"/>
      <c r="O15" s="222"/>
    </row>
    <row r="16" spans="2:15" ht="43" thickBot="1" x14ac:dyDescent="0.4">
      <c r="B16" s="304"/>
      <c r="C16" s="558"/>
      <c r="D16" s="559"/>
      <c r="E16" s="559"/>
      <c r="F16" s="313"/>
      <c r="G16" s="314"/>
      <c r="H16" s="314"/>
      <c r="I16" s="315"/>
      <c r="J16" s="316" t="s">
        <v>491</v>
      </c>
      <c r="K16" s="317" t="s">
        <v>541</v>
      </c>
      <c r="L16" s="318" t="s">
        <v>515</v>
      </c>
      <c r="M16" s="222"/>
      <c r="N16" s="222"/>
      <c r="O16" s="222"/>
    </row>
    <row r="17" spans="2:15" ht="15" thickTop="1" x14ac:dyDescent="0.35">
      <c r="B17" s="304"/>
      <c r="C17" s="255"/>
      <c r="D17" s="255"/>
      <c r="E17" s="255"/>
      <c r="F17" s="255"/>
      <c r="G17" s="255"/>
      <c r="H17" s="309"/>
      <c r="I17" s="319"/>
      <c r="J17" s="320"/>
      <c r="K17" s="320"/>
      <c r="L17" s="321"/>
      <c r="M17" s="222"/>
      <c r="N17" s="222"/>
      <c r="O17" s="222"/>
    </row>
    <row r="18" spans="2:15" ht="28.5" x14ac:dyDescent="0.35">
      <c r="B18" s="304"/>
      <c r="C18" s="322" t="s">
        <v>492</v>
      </c>
      <c r="D18" s="323">
        <f>+E18/F18</f>
        <v>4.1130625686059279</v>
      </c>
      <c r="E18" s="324">
        <v>3747000</v>
      </c>
      <c r="F18" s="325">
        <v>911000</v>
      </c>
      <c r="G18" s="326" t="s">
        <v>493</v>
      </c>
      <c r="H18" s="326"/>
      <c r="I18" s="319" t="s">
        <v>540</v>
      </c>
      <c r="J18" s="327">
        <f>ROUND(15620053.7485714,-3)</f>
        <v>15620000</v>
      </c>
      <c r="K18" s="327">
        <f>ROUND(20013988.8277096,-3)</f>
        <v>20014000</v>
      </c>
      <c r="L18" s="328">
        <f>+K18-J18</f>
        <v>4394000</v>
      </c>
      <c r="M18" s="222"/>
      <c r="N18" s="222"/>
      <c r="O18" s="222"/>
    </row>
    <row r="19" spans="2:15" x14ac:dyDescent="0.35">
      <c r="B19" s="304"/>
      <c r="C19" s="322" t="s">
        <v>494</v>
      </c>
      <c r="D19" s="323">
        <f>+E19/F19</f>
        <v>6.9754253308128539E-2</v>
      </c>
      <c r="E19" s="324">
        <v>369000</v>
      </c>
      <c r="F19" s="325">
        <v>5290000</v>
      </c>
      <c r="G19" s="309"/>
      <c r="H19" s="309"/>
      <c r="I19" s="319" t="s">
        <v>22</v>
      </c>
      <c r="J19" s="329">
        <f>ROUND(73115776.8342857,-3)-1000</f>
        <v>73115000</v>
      </c>
      <c r="K19" s="327">
        <f>ROUND(75312139.1443134,-3)</f>
        <v>75312000</v>
      </c>
      <c r="L19" s="328">
        <f t="shared" ref="L19:L20" si="0">+K19-J19</f>
        <v>2197000</v>
      </c>
      <c r="M19" s="222"/>
      <c r="N19" s="222"/>
      <c r="O19" s="222"/>
    </row>
    <row r="20" spans="2:15" x14ac:dyDescent="0.35">
      <c r="B20" s="304"/>
      <c r="C20" s="322" t="s">
        <v>495</v>
      </c>
      <c r="D20" s="323">
        <f>+E20/F20</f>
        <v>0.11654135338345864</v>
      </c>
      <c r="E20" s="324">
        <v>279000</v>
      </c>
      <c r="F20" s="325">
        <v>2394000</v>
      </c>
      <c r="G20" s="309"/>
      <c r="H20" s="309"/>
      <c r="I20" s="319" t="s">
        <v>23</v>
      </c>
      <c r="J20" s="329">
        <f>ROUND(11109563.4171429,-3)</f>
        <v>11110000</v>
      </c>
      <c r="K20" s="327">
        <f>ROUND(12031584.75659,-3)</f>
        <v>12032000</v>
      </c>
      <c r="L20" s="328">
        <f t="shared" si="0"/>
        <v>922000</v>
      </c>
      <c r="M20" s="222"/>
      <c r="N20" s="222"/>
      <c r="O20" s="222"/>
    </row>
    <row r="21" spans="2:15" x14ac:dyDescent="0.35">
      <c r="B21" s="304"/>
      <c r="C21" s="322"/>
      <c r="D21" s="323"/>
      <c r="E21" s="324"/>
      <c r="F21" s="325"/>
      <c r="G21" s="309"/>
      <c r="H21" s="309"/>
      <c r="I21" s="330"/>
      <c r="J21" s="320"/>
      <c r="K21" s="320"/>
      <c r="L21" s="331"/>
      <c r="M21" s="222"/>
      <c r="N21" s="222"/>
      <c r="O21" s="222"/>
    </row>
    <row r="22" spans="2:15" ht="15" thickBot="1" x14ac:dyDescent="0.4">
      <c r="B22" s="304"/>
      <c r="C22" s="322"/>
      <c r="D22" s="323"/>
      <c r="E22" s="324"/>
      <c r="F22" s="304"/>
      <c r="G22" s="304"/>
      <c r="H22" s="304"/>
      <c r="I22" s="332" t="s">
        <v>342</v>
      </c>
      <c r="J22" s="333">
        <f>SUM(J18:J21)</f>
        <v>99845000</v>
      </c>
      <c r="K22" s="334">
        <f>SUM(K18:K21)</f>
        <v>107358000</v>
      </c>
      <c r="L22" s="335">
        <f>+K22-J22</f>
        <v>7513000</v>
      </c>
      <c r="M22" s="222"/>
      <c r="N22" s="222"/>
      <c r="O22" s="222"/>
    </row>
    <row r="23" spans="2:15" ht="15" thickTop="1" x14ac:dyDescent="0.35">
      <c r="B23" s="304"/>
      <c r="C23" s="322" t="s">
        <v>496</v>
      </c>
      <c r="D23" s="323">
        <f t="shared" ref="D23:D33" si="1">+E23/F23</f>
        <v>5.3624772313296903E-2</v>
      </c>
      <c r="E23" s="324">
        <v>736000</v>
      </c>
      <c r="F23" s="304">
        <v>13725000</v>
      </c>
      <c r="G23" s="304"/>
      <c r="H23" s="304"/>
      <c r="I23" s="256"/>
      <c r="J23" s="256"/>
      <c r="K23" s="304"/>
      <c r="L23" s="304"/>
      <c r="M23" s="222"/>
      <c r="N23" s="222"/>
      <c r="O23" s="222"/>
    </row>
    <row r="24" spans="2:15" x14ac:dyDescent="0.35">
      <c r="B24" s="304"/>
      <c r="C24" s="322" t="s">
        <v>497</v>
      </c>
      <c r="D24" s="323">
        <f t="shared" si="1"/>
        <v>5.3642914331465175E-2</v>
      </c>
      <c r="E24" s="324">
        <v>268000</v>
      </c>
      <c r="F24" s="304">
        <v>4996000</v>
      </c>
      <c r="G24" s="304"/>
      <c r="H24" s="304"/>
      <c r="I24" s="256"/>
      <c r="J24" s="256"/>
      <c r="K24" s="304"/>
      <c r="L24" s="304"/>
      <c r="M24" s="222"/>
      <c r="N24" s="222"/>
      <c r="O24" s="222"/>
    </row>
    <row r="25" spans="2:15" x14ac:dyDescent="0.35">
      <c r="B25" s="304"/>
      <c r="C25" s="322" t="s">
        <v>498</v>
      </c>
      <c r="D25" s="323">
        <f t="shared" si="1"/>
        <v>1.694461188132074E-2</v>
      </c>
      <c r="E25" s="324">
        <v>253000</v>
      </c>
      <c r="F25" s="304">
        <v>14931000</v>
      </c>
      <c r="G25" s="304"/>
      <c r="H25" s="304"/>
      <c r="I25" s="256"/>
      <c r="J25" s="256"/>
      <c r="K25" s="304"/>
      <c r="L25" s="304"/>
      <c r="M25" s="222"/>
      <c r="N25" s="222"/>
      <c r="O25" s="222"/>
    </row>
    <row r="26" spans="2:15" x14ac:dyDescent="0.35">
      <c r="B26" s="304"/>
      <c r="C26" s="322" t="s">
        <v>499</v>
      </c>
      <c r="D26" s="323">
        <f t="shared" si="1"/>
        <v>5.3465962076468761E-2</v>
      </c>
      <c r="E26" s="324">
        <v>172000</v>
      </c>
      <c r="F26" s="304">
        <v>3217000</v>
      </c>
      <c r="G26" s="304"/>
      <c r="H26" s="304"/>
      <c r="I26" s="256"/>
      <c r="J26" s="256"/>
      <c r="K26" s="304"/>
      <c r="L26" s="304"/>
      <c r="M26" s="222"/>
      <c r="N26" s="222"/>
      <c r="O26" s="222"/>
    </row>
    <row r="27" spans="2:15" x14ac:dyDescent="0.35">
      <c r="B27" s="304"/>
      <c r="C27" s="322" t="s">
        <v>500</v>
      </c>
      <c r="D27" s="323">
        <f t="shared" si="1"/>
        <v>2.0045819014891181E-2</v>
      </c>
      <c r="E27" s="324">
        <v>140000</v>
      </c>
      <c r="F27" s="304">
        <v>6984000</v>
      </c>
      <c r="G27" s="304"/>
      <c r="H27" s="304"/>
      <c r="I27" s="256"/>
      <c r="J27" s="256"/>
      <c r="K27" s="304"/>
      <c r="L27" s="304"/>
      <c r="M27" s="222"/>
      <c r="N27" s="222"/>
      <c r="O27" s="222"/>
    </row>
    <row r="28" spans="2:15" x14ac:dyDescent="0.35">
      <c r="B28" s="304"/>
      <c r="C28" s="322" t="s">
        <v>501</v>
      </c>
      <c r="D28" s="323">
        <f t="shared" si="1"/>
        <v>3.2772869763465377E-2</v>
      </c>
      <c r="E28" s="324">
        <v>115000</v>
      </c>
      <c r="F28" s="304">
        <v>3509000</v>
      </c>
      <c r="G28" s="304"/>
      <c r="H28" s="304"/>
      <c r="I28" s="256"/>
      <c r="J28" s="256"/>
      <c r="K28" s="304"/>
      <c r="L28" s="304"/>
      <c r="M28" s="222"/>
      <c r="N28" s="222"/>
      <c r="O28" s="222"/>
    </row>
    <row r="29" spans="2:15" x14ac:dyDescent="0.35">
      <c r="B29" s="304"/>
      <c r="C29" s="322" t="s">
        <v>502</v>
      </c>
      <c r="D29" s="323">
        <f t="shared" si="1"/>
        <v>-1</v>
      </c>
      <c r="E29" s="324">
        <v>-136000</v>
      </c>
      <c r="F29" s="304">
        <v>136000</v>
      </c>
      <c r="G29" s="304"/>
      <c r="H29" s="304"/>
      <c r="I29" s="256"/>
      <c r="J29" s="256"/>
      <c r="K29" s="304"/>
      <c r="L29" s="304"/>
      <c r="M29" s="222"/>
      <c r="N29" s="222"/>
      <c r="O29" s="222"/>
    </row>
    <row r="30" spans="2:15" x14ac:dyDescent="0.35">
      <c r="B30" s="304"/>
      <c r="C30" s="322" t="s">
        <v>503</v>
      </c>
      <c r="D30" s="323">
        <f t="shared" si="1"/>
        <v>7.9617834394904455E-2</v>
      </c>
      <c r="E30" s="324">
        <v>100000</v>
      </c>
      <c r="F30" s="304">
        <v>1256000</v>
      </c>
      <c r="G30" s="304"/>
      <c r="H30" s="304"/>
      <c r="I30" s="256"/>
      <c r="J30" s="256"/>
      <c r="K30" s="304"/>
      <c r="L30" s="304"/>
      <c r="M30" s="222"/>
      <c r="N30" s="222"/>
      <c r="O30" s="222"/>
    </row>
    <row r="31" spans="2:15" x14ac:dyDescent="0.35">
      <c r="B31" s="304"/>
      <c r="C31" s="322" t="s">
        <v>504</v>
      </c>
      <c r="D31" s="323">
        <f t="shared" si="1"/>
        <v>4.2935596605092365E-2</v>
      </c>
      <c r="E31" s="324">
        <v>86000</v>
      </c>
      <c r="F31" s="304">
        <v>2003000</v>
      </c>
      <c r="G31" s="304"/>
      <c r="H31" s="304"/>
      <c r="I31" s="256"/>
      <c r="J31" s="256"/>
      <c r="K31" s="304"/>
      <c r="L31" s="304"/>
      <c r="M31" s="222"/>
      <c r="N31" s="222"/>
      <c r="O31" s="222"/>
    </row>
    <row r="32" spans="2:15" x14ac:dyDescent="0.35">
      <c r="B32" s="304"/>
      <c r="C32" s="322" t="s">
        <v>505</v>
      </c>
      <c r="D32" s="323">
        <f t="shared" si="1"/>
        <v>8.1513535272214957E-3</v>
      </c>
      <c r="E32" s="324">
        <v>81000</v>
      </c>
      <c r="F32" s="304">
        <v>9937000</v>
      </c>
      <c r="G32" s="304"/>
      <c r="H32" s="304"/>
      <c r="I32" s="256"/>
      <c r="J32" s="256"/>
      <c r="K32" s="304"/>
      <c r="L32" s="304"/>
      <c r="M32" s="222"/>
      <c r="N32" s="222"/>
      <c r="O32" s="222"/>
    </row>
    <row r="33" spans="2:15" x14ac:dyDescent="0.35">
      <c r="B33" s="304"/>
      <c r="C33" s="322" t="s">
        <v>506</v>
      </c>
      <c r="D33" s="323">
        <f t="shared" si="1"/>
        <v>9.0430201931518874E-3</v>
      </c>
      <c r="E33" s="324">
        <v>103000</v>
      </c>
      <c r="F33" s="304">
        <v>11390000</v>
      </c>
      <c r="G33" s="304"/>
      <c r="H33" s="304"/>
      <c r="I33" s="256"/>
      <c r="J33" s="256"/>
      <c r="K33" s="304"/>
      <c r="L33" s="304"/>
      <c r="M33" s="222"/>
      <c r="N33" s="222"/>
      <c r="O33" s="222"/>
    </row>
    <row r="34" spans="2:15" x14ac:dyDescent="0.35">
      <c r="B34" s="304"/>
      <c r="C34" s="322"/>
      <c r="D34" s="323"/>
      <c r="E34" s="324"/>
      <c r="F34" s="304"/>
      <c r="G34" s="304"/>
      <c r="H34" s="304"/>
      <c r="I34" s="256"/>
      <c r="J34" s="256"/>
      <c r="K34" s="304"/>
      <c r="L34" s="304"/>
      <c r="M34" s="222"/>
      <c r="N34" s="222"/>
      <c r="O34" s="222"/>
    </row>
    <row r="35" spans="2:15" x14ac:dyDescent="0.35">
      <c r="B35" s="304"/>
      <c r="C35" s="322" t="s">
        <v>507</v>
      </c>
      <c r="D35" s="323"/>
      <c r="E35" s="324"/>
      <c r="F35" s="304"/>
      <c r="G35" s="304"/>
      <c r="H35" s="304"/>
      <c r="I35" s="256"/>
      <c r="J35" s="256"/>
      <c r="K35" s="304"/>
      <c r="L35" s="304"/>
      <c r="M35" s="222"/>
      <c r="N35" s="222"/>
      <c r="O35" s="222"/>
    </row>
    <row r="36" spans="2:15" x14ac:dyDescent="0.35">
      <c r="B36" s="304"/>
      <c r="C36" s="322" t="s">
        <v>53</v>
      </c>
      <c r="D36" s="323">
        <f>+E36/F36</f>
        <v>0.16889971579374746</v>
      </c>
      <c r="E36" s="324">
        <v>416000</v>
      </c>
      <c r="F36" s="304">
        <v>2463000</v>
      </c>
      <c r="G36" s="304"/>
      <c r="H36" s="304"/>
      <c r="I36" s="256"/>
      <c r="J36" s="256"/>
      <c r="K36" s="304"/>
      <c r="L36" s="304"/>
      <c r="M36" s="222"/>
      <c r="N36" s="222"/>
      <c r="O36" s="222"/>
    </row>
    <row r="37" spans="2:15" x14ac:dyDescent="0.35">
      <c r="B37" s="304"/>
      <c r="C37" s="322" t="s">
        <v>571</v>
      </c>
      <c r="D37" s="323">
        <f>+E37/F37</f>
        <v>6.395475309984773E-2</v>
      </c>
      <c r="E37" s="324">
        <v>294000</v>
      </c>
      <c r="F37" s="304">
        <v>4597000</v>
      </c>
      <c r="G37" s="304"/>
      <c r="H37" s="304"/>
      <c r="I37" s="256"/>
      <c r="J37" s="256"/>
      <c r="K37" s="304"/>
      <c r="L37" s="304"/>
      <c r="M37" s="222"/>
      <c r="N37" s="222"/>
      <c r="O37" s="222"/>
    </row>
    <row r="38" spans="2:15" x14ac:dyDescent="0.35">
      <c r="B38" s="304"/>
      <c r="C38" s="322" t="s">
        <v>47</v>
      </c>
      <c r="D38" s="323">
        <f>+E38/F38</f>
        <v>0.15440414507772021</v>
      </c>
      <c r="E38" s="324">
        <v>149000</v>
      </c>
      <c r="F38" s="304">
        <v>965000</v>
      </c>
      <c r="G38" s="304"/>
      <c r="H38" s="304"/>
      <c r="I38" s="256"/>
      <c r="J38" s="256"/>
      <c r="K38" s="304"/>
      <c r="L38" s="304"/>
      <c r="M38" s="222"/>
      <c r="N38" s="222"/>
      <c r="O38" s="222"/>
    </row>
    <row r="39" spans="2:15" ht="28.5" x14ac:dyDescent="0.35">
      <c r="B39" s="304"/>
      <c r="C39" s="322" t="s">
        <v>259</v>
      </c>
      <c r="D39" s="323">
        <f>+E39/F39</f>
        <v>2.278688524590164</v>
      </c>
      <c r="E39" s="324">
        <v>278000</v>
      </c>
      <c r="F39" s="304">
        <v>122000</v>
      </c>
      <c r="G39" s="326" t="s">
        <v>493</v>
      </c>
      <c r="H39" s="326"/>
      <c r="I39" s="256"/>
      <c r="J39" s="256"/>
      <c r="K39" s="304"/>
      <c r="L39" s="304"/>
      <c r="M39" s="222"/>
      <c r="N39" s="222"/>
      <c r="O39" s="222"/>
    </row>
    <row r="40" spans="2:15" x14ac:dyDescent="0.35">
      <c r="B40" s="304"/>
      <c r="C40" s="322"/>
      <c r="D40" s="323"/>
      <c r="E40" s="324"/>
      <c r="F40" s="304"/>
      <c r="G40" s="304"/>
      <c r="H40" s="304"/>
      <c r="I40" s="256"/>
      <c r="J40" s="256"/>
      <c r="K40" s="304"/>
      <c r="L40" s="304"/>
      <c r="M40" s="222"/>
      <c r="N40" s="222"/>
      <c r="O40" s="222"/>
    </row>
    <row r="41" spans="2:15" x14ac:dyDescent="0.35">
      <c r="B41" s="304"/>
      <c r="C41" s="322" t="s">
        <v>508</v>
      </c>
      <c r="D41" s="323">
        <f>+E41/F41</f>
        <v>2.0428015564202335E-2</v>
      </c>
      <c r="E41" s="324">
        <v>63000</v>
      </c>
      <c r="F41" s="304">
        <v>3084000</v>
      </c>
      <c r="G41" s="304"/>
      <c r="H41" s="304"/>
      <c r="I41" s="256"/>
      <c r="J41" s="256"/>
      <c r="K41" s="304"/>
      <c r="L41" s="304"/>
      <c r="M41" s="222"/>
      <c r="N41" s="222"/>
      <c r="O41" s="222"/>
    </row>
    <row r="42" spans="2:15" x14ac:dyDescent="0.35">
      <c r="B42" s="304"/>
      <c r="C42" s="322"/>
      <c r="D42" s="323"/>
      <c r="E42" s="324"/>
      <c r="F42" s="304"/>
      <c r="G42" s="304"/>
      <c r="H42" s="304"/>
      <c r="I42" s="256"/>
      <c r="J42" s="256"/>
      <c r="K42" s="304"/>
      <c r="L42" s="304"/>
      <c r="M42" s="222"/>
      <c r="N42" s="222"/>
      <c r="O42" s="222"/>
    </row>
    <row r="43" spans="2:15" x14ac:dyDescent="0.35">
      <c r="B43" s="304"/>
      <c r="C43" s="322"/>
      <c r="D43" s="323"/>
      <c r="E43" s="324"/>
      <c r="F43" s="304"/>
      <c r="G43" s="304"/>
      <c r="H43" s="304"/>
      <c r="I43" s="256"/>
      <c r="J43" s="256"/>
      <c r="K43" s="304"/>
      <c r="L43" s="304"/>
      <c r="M43" s="222"/>
      <c r="N43" s="222"/>
      <c r="O43" s="222"/>
    </row>
    <row r="44" spans="2:15" x14ac:dyDescent="0.35">
      <c r="B44" s="304"/>
      <c r="C44" s="322"/>
      <c r="D44" s="323"/>
      <c r="E44" s="324"/>
      <c r="F44" s="304"/>
      <c r="G44" s="304"/>
      <c r="H44" s="304"/>
      <c r="I44" s="256"/>
      <c r="J44" s="256"/>
      <c r="K44" s="304"/>
      <c r="L44" s="304"/>
      <c r="M44" s="222"/>
      <c r="N44" s="222"/>
      <c r="O44" s="222"/>
    </row>
    <row r="45" spans="2:15" x14ac:dyDescent="0.35">
      <c r="B45" s="304"/>
      <c r="C45" s="336"/>
      <c r="D45" s="337"/>
      <c r="E45" s="338"/>
      <c r="F45" s="304"/>
      <c r="G45" s="304"/>
      <c r="H45" s="304"/>
      <c r="I45" s="256"/>
      <c r="J45" s="256"/>
      <c r="K45" s="304"/>
      <c r="L45" s="304"/>
      <c r="M45" s="222"/>
      <c r="N45" s="222"/>
      <c r="O45" s="222"/>
    </row>
    <row r="46" spans="2:15" x14ac:dyDescent="0.35">
      <c r="B46" s="304"/>
      <c r="C46" s="305" t="s">
        <v>539</v>
      </c>
      <c r="D46" s="306"/>
      <c r="E46" s="307">
        <f>E13+SUM(E14:E45)</f>
        <v>107358000</v>
      </c>
      <c r="F46" s="256">
        <f>+ROUND(K22,-3)</f>
        <v>107358000</v>
      </c>
      <c r="G46" s="339"/>
      <c r="H46" s="339"/>
      <c r="I46" s="256"/>
      <c r="J46" s="256"/>
      <c r="K46" s="304"/>
      <c r="L46" s="304"/>
      <c r="M46" s="222"/>
      <c r="N46" s="222"/>
      <c r="O46" s="222"/>
    </row>
    <row r="47" spans="2:15" x14ac:dyDescent="0.35">
      <c r="B47" s="304"/>
      <c r="C47" s="340"/>
      <c r="D47" s="341"/>
      <c r="E47" s="341"/>
      <c r="F47" s="304"/>
      <c r="G47" s="304"/>
      <c r="H47" s="304"/>
      <c r="I47" s="256"/>
      <c r="J47" s="256"/>
      <c r="K47" s="304"/>
      <c r="L47" s="304"/>
      <c r="M47" s="222"/>
      <c r="N47" s="222"/>
      <c r="O47" s="222"/>
    </row>
    <row r="48" spans="2:15" x14ac:dyDescent="0.35">
      <c r="B48" s="304"/>
      <c r="C48" s="342" t="s">
        <v>509</v>
      </c>
      <c r="D48" s="343"/>
      <c r="E48" s="344">
        <f>+E46-E14-E13</f>
        <v>7513000</v>
      </c>
      <c r="F48" s="304"/>
      <c r="G48" s="304"/>
      <c r="H48" s="304"/>
      <c r="I48" s="256"/>
      <c r="J48" s="256"/>
      <c r="K48" s="304"/>
      <c r="L48" s="304"/>
      <c r="M48" s="222"/>
      <c r="N48" s="222"/>
      <c r="O48" s="222"/>
    </row>
    <row r="49" spans="2:15" x14ac:dyDescent="0.35">
      <c r="B49" s="304"/>
      <c r="C49" s="342" t="s">
        <v>510</v>
      </c>
      <c r="D49" s="38">
        <f>+E48/E13</f>
        <v>7.5246632280034059E-2</v>
      </c>
      <c r="E49" s="345"/>
      <c r="F49" s="304"/>
      <c r="G49" s="304"/>
      <c r="H49" s="304"/>
      <c r="I49" s="256"/>
      <c r="J49" s="256"/>
      <c r="K49" s="304"/>
      <c r="L49" s="304"/>
      <c r="M49" s="222"/>
      <c r="N49" s="222"/>
      <c r="O49" s="222"/>
    </row>
    <row r="50" spans="2:15" x14ac:dyDescent="0.35">
      <c r="B50" s="304"/>
      <c r="C50" s="340" t="s">
        <v>511</v>
      </c>
      <c r="D50" s="304"/>
      <c r="E50" s="346"/>
      <c r="F50" s="304"/>
      <c r="G50" s="304"/>
      <c r="H50" s="304"/>
      <c r="I50" s="256"/>
      <c r="J50" s="256"/>
      <c r="K50" s="304"/>
      <c r="L50" s="304"/>
      <c r="M50" s="222"/>
      <c r="N50" s="222"/>
      <c r="O50" s="222"/>
    </row>
    <row r="51" spans="2:15" x14ac:dyDescent="0.35">
      <c r="B51" s="255"/>
      <c r="C51" s="255"/>
      <c r="D51" s="255"/>
      <c r="E51" s="255"/>
      <c r="F51" s="255"/>
      <c r="G51" s="255"/>
      <c r="H51" s="255"/>
      <c r="I51" s="255"/>
      <c r="J51" s="255"/>
      <c r="K51" s="255"/>
      <c r="L51" s="255"/>
    </row>
    <row r="52" spans="2:15" x14ac:dyDescent="0.35">
      <c r="B52" s="255"/>
      <c r="C52" s="255"/>
      <c r="D52" s="255"/>
      <c r="E52" s="255"/>
      <c r="F52" s="255"/>
      <c r="G52" s="255"/>
      <c r="H52" s="255"/>
      <c r="I52" s="255"/>
      <c r="J52" s="255"/>
      <c r="K52" s="255"/>
      <c r="L52" s="255"/>
    </row>
    <row r="53" spans="2:15" x14ac:dyDescent="0.35">
      <c r="B53" s="255"/>
      <c r="C53" s="255"/>
      <c r="D53" s="255"/>
      <c r="E53" s="255"/>
      <c r="F53" s="255"/>
      <c r="G53" s="255"/>
      <c r="H53" s="255"/>
      <c r="I53" s="255"/>
      <c r="J53" s="255"/>
      <c r="K53" s="255"/>
      <c r="L53" s="255"/>
    </row>
    <row r="54" spans="2:15" x14ac:dyDescent="0.35">
      <c r="B54" s="255"/>
      <c r="C54" s="255"/>
      <c r="D54" s="255"/>
      <c r="E54" s="255"/>
      <c r="F54" s="255"/>
      <c r="G54" s="255"/>
      <c r="H54" s="255"/>
      <c r="I54" s="255"/>
      <c r="J54" s="255"/>
      <c r="K54" s="255"/>
      <c r="L54" s="255"/>
    </row>
    <row r="55" spans="2:15" x14ac:dyDescent="0.35">
      <c r="B55" s="255"/>
      <c r="C55" s="255"/>
      <c r="D55" s="255"/>
      <c r="E55" s="255"/>
      <c r="F55" s="255"/>
      <c r="G55" s="255"/>
      <c r="H55" s="255"/>
      <c r="I55" s="255"/>
      <c r="J55" s="255"/>
      <c r="K55" s="255"/>
      <c r="L55" s="255"/>
    </row>
    <row r="56" spans="2:15" x14ac:dyDescent="0.35">
      <c r="B56" s="255"/>
      <c r="C56" s="255"/>
      <c r="D56" s="255"/>
      <c r="E56" s="255"/>
      <c r="F56" s="255"/>
      <c r="G56" s="255"/>
      <c r="H56" s="255"/>
      <c r="I56" s="255"/>
      <c r="J56" s="255"/>
      <c r="K56" s="255"/>
      <c r="L56" s="255"/>
    </row>
    <row r="57" spans="2:15" x14ac:dyDescent="0.35">
      <c r="B57" s="255"/>
      <c r="C57" s="255"/>
      <c r="D57" s="255"/>
      <c r="E57" s="255"/>
      <c r="F57" s="255"/>
      <c r="G57" s="255"/>
      <c r="H57" s="255"/>
      <c r="I57" s="255"/>
      <c r="J57" s="255"/>
      <c r="K57" s="255"/>
      <c r="L57" s="255"/>
    </row>
    <row r="58" spans="2:15" x14ac:dyDescent="0.35">
      <c r="B58" s="255"/>
      <c r="C58" s="255"/>
      <c r="D58" s="255"/>
      <c r="E58" s="255"/>
      <c r="F58" s="255"/>
      <c r="G58" s="255"/>
      <c r="H58" s="255"/>
      <c r="I58" s="255"/>
      <c r="J58" s="255"/>
      <c r="K58" s="255"/>
      <c r="L58" s="255"/>
    </row>
    <row r="59" spans="2:15" x14ac:dyDescent="0.35">
      <c r="B59" s="255"/>
      <c r="C59" s="255"/>
      <c r="D59" s="255"/>
      <c r="E59" s="255"/>
      <c r="F59" s="255"/>
      <c r="G59" s="255"/>
      <c r="H59" s="255"/>
      <c r="I59" s="255"/>
      <c r="J59" s="255"/>
      <c r="K59" s="255"/>
      <c r="L59" s="255"/>
    </row>
    <row r="60" spans="2:15" x14ac:dyDescent="0.35">
      <c r="B60" s="255"/>
      <c r="C60" s="255"/>
      <c r="D60" s="255"/>
      <c r="E60" s="255"/>
      <c r="F60" s="255"/>
      <c r="G60" s="255"/>
      <c r="H60" s="255"/>
      <c r="I60" s="255"/>
      <c r="J60" s="255"/>
      <c r="K60" s="255"/>
      <c r="L60" s="255"/>
    </row>
    <row r="61" spans="2:15" x14ac:dyDescent="0.35">
      <c r="B61" s="255"/>
      <c r="C61" s="255"/>
      <c r="D61" s="255"/>
      <c r="E61" s="255"/>
      <c r="F61" s="255"/>
      <c r="G61" s="255"/>
      <c r="H61" s="255"/>
      <c r="I61" s="255"/>
      <c r="J61" s="255"/>
      <c r="K61" s="255"/>
      <c r="L61" s="255"/>
    </row>
    <row r="62" spans="2:15" x14ac:dyDescent="0.35">
      <c r="B62" s="255"/>
      <c r="C62" s="255"/>
      <c r="D62" s="255"/>
      <c r="E62" s="255"/>
      <c r="F62" s="255"/>
      <c r="G62" s="255"/>
      <c r="H62" s="255"/>
      <c r="I62" s="255"/>
      <c r="J62" s="255"/>
      <c r="K62" s="255"/>
      <c r="L62" s="255"/>
    </row>
    <row r="63" spans="2:15" x14ac:dyDescent="0.35">
      <c r="B63" s="255"/>
      <c r="C63" s="255"/>
      <c r="D63" s="255"/>
      <c r="E63" s="255"/>
      <c r="F63" s="255"/>
      <c r="G63" s="255"/>
      <c r="H63" s="255"/>
      <c r="I63" s="255"/>
      <c r="J63" s="255"/>
      <c r="K63" s="255"/>
      <c r="L63" s="255"/>
    </row>
    <row r="64" spans="2:15" x14ac:dyDescent="0.35">
      <c r="B64" s="255"/>
      <c r="C64" s="255"/>
      <c r="D64" s="255"/>
      <c r="E64" s="255"/>
      <c r="F64" s="255"/>
      <c r="G64" s="255"/>
      <c r="H64" s="255"/>
      <c r="I64" s="255"/>
      <c r="J64" s="255"/>
      <c r="K64" s="255"/>
      <c r="L64" s="255"/>
    </row>
    <row r="65" spans="2:12" x14ac:dyDescent="0.35">
      <c r="B65" s="255"/>
      <c r="C65" s="255"/>
      <c r="D65" s="255"/>
      <c r="E65" s="255"/>
      <c r="F65" s="255"/>
      <c r="G65" s="255"/>
      <c r="H65" s="255"/>
      <c r="I65" s="255"/>
      <c r="J65" s="255"/>
      <c r="K65" s="255"/>
      <c r="L65" s="255"/>
    </row>
    <row r="66" spans="2:12" x14ac:dyDescent="0.35">
      <c r="B66" s="255"/>
      <c r="C66" s="255"/>
      <c r="D66" s="255"/>
      <c r="E66" s="255"/>
      <c r="F66" s="255"/>
      <c r="G66" s="255"/>
      <c r="H66" s="255"/>
      <c r="I66" s="255"/>
      <c r="J66" s="255"/>
      <c r="K66" s="255"/>
      <c r="L66" s="255"/>
    </row>
    <row r="67" spans="2:12" x14ac:dyDescent="0.35">
      <c r="B67" s="255"/>
      <c r="C67" s="255"/>
      <c r="D67" s="255"/>
      <c r="E67" s="255"/>
      <c r="F67" s="255"/>
      <c r="G67" s="255"/>
      <c r="H67" s="255"/>
      <c r="I67" s="255"/>
      <c r="J67" s="255"/>
      <c r="K67" s="255"/>
      <c r="L67" s="255"/>
    </row>
    <row r="68" spans="2:12" x14ac:dyDescent="0.35">
      <c r="B68" s="255"/>
      <c r="C68" s="255"/>
      <c r="D68" s="255"/>
      <c r="E68" s="255"/>
      <c r="F68" s="255"/>
      <c r="G68" s="255"/>
      <c r="H68" s="255"/>
      <c r="I68" s="255"/>
      <c r="J68" s="255"/>
      <c r="K68" s="255"/>
      <c r="L68" s="255"/>
    </row>
    <row r="69" spans="2:12" x14ac:dyDescent="0.35">
      <c r="B69" s="255"/>
      <c r="C69" s="255"/>
      <c r="D69" s="255"/>
      <c r="E69" s="255"/>
      <c r="F69" s="255"/>
      <c r="G69" s="255"/>
      <c r="H69" s="255"/>
      <c r="I69" s="255"/>
      <c r="J69" s="255"/>
      <c r="K69" s="255"/>
      <c r="L69" s="255"/>
    </row>
    <row r="70" spans="2:12" x14ac:dyDescent="0.35">
      <c r="B70" s="255"/>
      <c r="C70" s="255"/>
      <c r="D70" s="255"/>
      <c r="E70" s="255"/>
      <c r="F70" s="255"/>
      <c r="G70" s="255"/>
      <c r="H70" s="255"/>
      <c r="I70" s="255"/>
      <c r="J70" s="255"/>
      <c r="K70" s="255"/>
      <c r="L70" s="255"/>
    </row>
    <row r="71" spans="2:12" x14ac:dyDescent="0.35">
      <c r="B71" s="255"/>
      <c r="C71" s="255"/>
      <c r="D71" s="255"/>
      <c r="E71" s="255"/>
      <c r="F71" s="255"/>
      <c r="G71" s="255"/>
      <c r="H71" s="255"/>
      <c r="I71" s="255"/>
      <c r="J71" s="255"/>
      <c r="K71" s="255"/>
      <c r="L71" s="255"/>
    </row>
    <row r="72" spans="2:12" x14ac:dyDescent="0.35">
      <c r="B72" s="255"/>
      <c r="C72" s="255"/>
      <c r="D72" s="255"/>
      <c r="E72" s="255"/>
      <c r="F72" s="255"/>
      <c r="G72" s="255"/>
      <c r="H72" s="255"/>
      <c r="I72" s="255"/>
      <c r="J72" s="255"/>
      <c r="K72" s="255"/>
      <c r="L72" s="255"/>
    </row>
    <row r="73" spans="2:12" x14ac:dyDescent="0.35">
      <c r="B73" s="255"/>
      <c r="C73" s="255"/>
      <c r="D73" s="255"/>
      <c r="E73" s="255"/>
      <c r="F73" s="255"/>
      <c r="G73" s="255"/>
      <c r="H73" s="255"/>
      <c r="I73" s="255"/>
      <c r="J73" s="255"/>
      <c r="K73" s="255"/>
      <c r="L73" s="255"/>
    </row>
    <row r="74" spans="2:12" x14ac:dyDescent="0.35">
      <c r="B74" s="255"/>
      <c r="C74" s="255"/>
      <c r="D74" s="255"/>
      <c r="E74" s="255"/>
      <c r="F74" s="255"/>
      <c r="G74" s="255"/>
      <c r="H74" s="255"/>
      <c r="I74" s="255"/>
      <c r="J74" s="255"/>
      <c r="K74" s="255"/>
      <c r="L74" s="255"/>
    </row>
    <row r="75" spans="2:12" x14ac:dyDescent="0.35">
      <c r="B75" s="255"/>
      <c r="C75" s="255"/>
      <c r="D75" s="255"/>
      <c r="E75" s="255"/>
      <c r="F75" s="255"/>
      <c r="G75" s="255"/>
      <c r="H75" s="255"/>
      <c r="I75" s="255"/>
      <c r="J75" s="255"/>
      <c r="K75" s="255"/>
      <c r="L75" s="255"/>
    </row>
    <row r="76" spans="2:12" x14ac:dyDescent="0.35">
      <c r="B76" s="255"/>
      <c r="C76" s="255"/>
      <c r="D76" s="255"/>
      <c r="E76" s="255"/>
      <c r="F76" s="255"/>
      <c r="G76" s="255"/>
      <c r="H76" s="255"/>
      <c r="I76" s="255"/>
      <c r="J76" s="255"/>
      <c r="K76" s="255"/>
      <c r="L76" s="255"/>
    </row>
    <row r="77" spans="2:12" x14ac:dyDescent="0.35">
      <c r="B77" s="255"/>
      <c r="C77" s="255"/>
      <c r="D77" s="255"/>
      <c r="E77" s="255"/>
      <c r="F77" s="255"/>
      <c r="G77" s="255"/>
      <c r="H77" s="255"/>
      <c r="I77" s="255"/>
      <c r="J77" s="255"/>
      <c r="K77" s="255"/>
      <c r="L77" s="255"/>
    </row>
    <row r="78" spans="2:12" x14ac:dyDescent="0.35">
      <c r="B78" s="255"/>
      <c r="C78" s="255"/>
      <c r="D78" s="255"/>
      <c r="E78" s="255"/>
      <c r="F78" s="255"/>
      <c r="G78" s="255"/>
      <c r="H78" s="255"/>
      <c r="I78" s="255"/>
      <c r="J78" s="255"/>
      <c r="K78" s="255"/>
      <c r="L78" s="255"/>
    </row>
    <row r="79" spans="2:12" x14ac:dyDescent="0.35">
      <c r="B79" s="255"/>
      <c r="C79" s="255"/>
      <c r="D79" s="255"/>
      <c r="E79" s="255"/>
      <c r="F79" s="255"/>
      <c r="G79" s="255"/>
      <c r="H79" s="255"/>
      <c r="I79" s="255"/>
      <c r="J79" s="255"/>
      <c r="K79" s="255"/>
      <c r="L79" s="255"/>
    </row>
    <row r="80" spans="2:12" x14ac:dyDescent="0.35">
      <c r="B80" s="255"/>
      <c r="C80" s="255"/>
      <c r="D80" s="255"/>
      <c r="E80" s="255"/>
      <c r="F80" s="255"/>
      <c r="G80" s="255"/>
      <c r="H80" s="255"/>
      <c r="I80" s="255"/>
      <c r="J80" s="255"/>
      <c r="K80" s="255"/>
      <c r="L80" s="255"/>
    </row>
    <row r="81" spans="2:12" x14ac:dyDescent="0.35">
      <c r="B81" s="255"/>
      <c r="C81" s="255"/>
      <c r="D81" s="255"/>
      <c r="E81" s="255"/>
      <c r="F81" s="255"/>
      <c r="G81" s="255"/>
      <c r="H81" s="255"/>
      <c r="I81" s="255"/>
      <c r="J81" s="255"/>
      <c r="K81" s="255"/>
      <c r="L81" s="255"/>
    </row>
    <row r="82" spans="2:12" x14ac:dyDescent="0.35">
      <c r="B82" s="255"/>
      <c r="C82" s="255"/>
      <c r="D82" s="255"/>
      <c r="E82" s="255"/>
      <c r="F82" s="255"/>
      <c r="G82" s="255"/>
      <c r="H82" s="255"/>
      <c r="I82" s="255"/>
      <c r="J82" s="255"/>
      <c r="K82" s="255"/>
      <c r="L82" s="255"/>
    </row>
    <row r="83" spans="2:12" x14ac:dyDescent="0.35">
      <c r="B83" s="255"/>
      <c r="C83" s="255"/>
      <c r="D83" s="255"/>
      <c r="E83" s="255"/>
      <c r="F83" s="255"/>
      <c r="G83" s="255"/>
      <c r="H83" s="255"/>
      <c r="I83" s="255"/>
      <c r="J83" s="255"/>
      <c r="K83" s="255"/>
      <c r="L83" s="255"/>
    </row>
    <row r="84" spans="2:12" x14ac:dyDescent="0.35">
      <c r="B84" s="255"/>
      <c r="C84" s="255"/>
      <c r="D84" s="255"/>
      <c r="E84" s="255"/>
      <c r="F84" s="255"/>
      <c r="G84" s="255"/>
      <c r="H84" s="255"/>
      <c r="I84" s="255"/>
      <c r="J84" s="255"/>
      <c r="K84" s="255"/>
      <c r="L84" s="255"/>
    </row>
    <row r="85" spans="2:12" x14ac:dyDescent="0.35">
      <c r="B85" s="255"/>
      <c r="C85" s="255"/>
      <c r="D85" s="255"/>
      <c r="E85" s="255"/>
      <c r="F85" s="255"/>
      <c r="G85" s="255"/>
      <c r="H85" s="255"/>
      <c r="I85" s="255"/>
      <c r="J85" s="255"/>
      <c r="K85" s="255"/>
      <c r="L85" s="255"/>
    </row>
    <row r="86" spans="2:12" x14ac:dyDescent="0.35">
      <c r="B86" s="255"/>
      <c r="C86" s="255"/>
      <c r="D86" s="255"/>
      <c r="E86" s="255"/>
      <c r="F86" s="255"/>
      <c r="G86" s="255"/>
      <c r="H86" s="255"/>
      <c r="I86" s="255"/>
      <c r="J86" s="255"/>
      <c r="K86" s="255"/>
      <c r="L86" s="255"/>
    </row>
    <row r="87" spans="2:12" x14ac:dyDescent="0.35">
      <c r="B87" s="255"/>
      <c r="C87" s="255"/>
      <c r="D87" s="255"/>
      <c r="E87" s="255"/>
      <c r="F87" s="255"/>
      <c r="G87" s="255"/>
      <c r="H87" s="255"/>
      <c r="I87" s="255"/>
      <c r="J87" s="255"/>
      <c r="K87" s="255"/>
      <c r="L87" s="255"/>
    </row>
    <row r="88" spans="2:12" x14ac:dyDescent="0.35">
      <c r="B88" s="255"/>
      <c r="C88" s="255"/>
      <c r="D88" s="255"/>
      <c r="E88" s="255"/>
      <c r="F88" s="255"/>
      <c r="G88" s="255"/>
      <c r="H88" s="255"/>
      <c r="I88" s="255"/>
      <c r="J88" s="255"/>
      <c r="K88" s="255"/>
      <c r="L88" s="255"/>
    </row>
    <row r="89" spans="2:12" x14ac:dyDescent="0.35">
      <c r="B89" s="255"/>
      <c r="C89" s="255"/>
      <c r="D89" s="255"/>
      <c r="E89" s="255"/>
      <c r="F89" s="255"/>
      <c r="G89" s="255"/>
      <c r="H89" s="255"/>
      <c r="I89" s="255"/>
      <c r="J89" s="255"/>
      <c r="K89" s="255"/>
      <c r="L89" s="255"/>
    </row>
    <row r="90" spans="2:12" x14ac:dyDescent="0.35">
      <c r="B90" s="255"/>
      <c r="C90" s="255"/>
      <c r="D90" s="255"/>
      <c r="E90" s="255"/>
      <c r="F90" s="255"/>
      <c r="G90" s="255"/>
      <c r="H90" s="255"/>
      <c r="I90" s="255"/>
      <c r="J90" s="255"/>
      <c r="K90" s="255"/>
      <c r="L90" s="255"/>
    </row>
    <row r="91" spans="2:12" x14ac:dyDescent="0.35">
      <c r="B91" s="255"/>
      <c r="C91" s="255"/>
      <c r="D91" s="255"/>
      <c r="E91" s="255"/>
      <c r="F91" s="255"/>
      <c r="G91" s="255"/>
      <c r="H91" s="255"/>
      <c r="I91" s="255"/>
      <c r="J91" s="255"/>
      <c r="K91" s="255"/>
      <c r="L91" s="255"/>
    </row>
    <row r="92" spans="2:12" x14ac:dyDescent="0.35">
      <c r="B92" s="255"/>
      <c r="C92" s="255"/>
      <c r="D92" s="255"/>
      <c r="E92" s="255"/>
      <c r="F92" s="255"/>
      <c r="G92" s="255"/>
      <c r="H92" s="255"/>
      <c r="I92" s="255"/>
      <c r="J92" s="255"/>
      <c r="K92" s="255"/>
      <c r="L92" s="255"/>
    </row>
    <row r="93" spans="2:12" x14ac:dyDescent="0.35">
      <c r="B93" s="255"/>
      <c r="C93" s="255"/>
      <c r="D93" s="255"/>
      <c r="E93" s="255"/>
      <c r="F93" s="255"/>
      <c r="G93" s="255"/>
      <c r="H93" s="255"/>
      <c r="I93" s="255"/>
      <c r="J93" s="255"/>
      <c r="K93" s="255"/>
      <c r="L93" s="255"/>
    </row>
    <row r="94" spans="2:12" x14ac:dyDescent="0.35">
      <c r="B94" s="255"/>
      <c r="C94" s="255"/>
      <c r="D94" s="255"/>
      <c r="E94" s="255"/>
      <c r="F94" s="255"/>
      <c r="G94" s="255"/>
      <c r="H94" s="255"/>
      <c r="I94" s="255"/>
      <c r="J94" s="255"/>
      <c r="K94" s="255"/>
      <c r="L94" s="255"/>
    </row>
    <row r="95" spans="2:12" x14ac:dyDescent="0.35">
      <c r="B95" s="255"/>
      <c r="C95" s="255"/>
      <c r="D95" s="255"/>
      <c r="E95" s="255"/>
      <c r="F95" s="255"/>
      <c r="G95" s="255"/>
      <c r="H95" s="255"/>
      <c r="I95" s="255"/>
      <c r="J95" s="255"/>
      <c r="K95" s="255"/>
      <c r="L95" s="255"/>
    </row>
    <row r="96" spans="2:12" x14ac:dyDescent="0.35">
      <c r="B96" s="255"/>
      <c r="C96" s="255"/>
      <c r="D96" s="255"/>
      <c r="E96" s="255"/>
      <c r="F96" s="255"/>
      <c r="G96" s="255"/>
      <c r="H96" s="255"/>
      <c r="I96" s="255"/>
      <c r="J96" s="255"/>
      <c r="K96" s="255"/>
      <c r="L96" s="255"/>
    </row>
    <row r="97" spans="2:12" x14ac:dyDescent="0.35">
      <c r="B97" s="255"/>
      <c r="C97" s="255"/>
      <c r="D97" s="255"/>
      <c r="E97" s="255"/>
      <c r="F97" s="255"/>
      <c r="G97" s="255"/>
      <c r="H97" s="255"/>
      <c r="I97" s="255"/>
      <c r="J97" s="255"/>
      <c r="K97" s="255"/>
      <c r="L97" s="255"/>
    </row>
    <row r="98" spans="2:12" x14ac:dyDescent="0.35">
      <c r="B98" s="255"/>
      <c r="C98" s="255"/>
      <c r="D98" s="255"/>
      <c r="E98" s="255"/>
      <c r="F98" s="255"/>
      <c r="G98" s="255"/>
      <c r="H98" s="255"/>
      <c r="I98" s="255"/>
      <c r="J98" s="255"/>
      <c r="K98" s="255"/>
      <c r="L98" s="255"/>
    </row>
    <row r="99" spans="2:12" x14ac:dyDescent="0.35">
      <c r="B99" s="255"/>
      <c r="C99" s="255"/>
      <c r="D99" s="255"/>
      <c r="E99" s="255"/>
      <c r="F99" s="255"/>
      <c r="G99" s="255"/>
      <c r="H99" s="255"/>
      <c r="I99" s="255"/>
      <c r="J99" s="255"/>
      <c r="K99" s="255"/>
      <c r="L99" s="255"/>
    </row>
    <row r="100" spans="2:12" x14ac:dyDescent="0.35">
      <c r="B100" s="255"/>
      <c r="C100" s="255"/>
      <c r="D100" s="255"/>
      <c r="E100" s="255"/>
      <c r="F100" s="255"/>
      <c r="G100" s="255"/>
      <c r="H100" s="255"/>
      <c r="I100" s="255"/>
      <c r="J100" s="255"/>
      <c r="K100" s="255"/>
      <c r="L100" s="255"/>
    </row>
    <row r="101" spans="2:12" x14ac:dyDescent="0.35">
      <c r="B101" s="255"/>
      <c r="C101" s="255"/>
      <c r="D101" s="255"/>
      <c r="E101" s="255"/>
      <c r="F101" s="255"/>
      <c r="G101" s="255"/>
      <c r="H101" s="255"/>
      <c r="I101" s="255"/>
      <c r="J101" s="255"/>
      <c r="K101" s="255"/>
      <c r="L101" s="255"/>
    </row>
    <row r="102" spans="2:12" x14ac:dyDescent="0.35">
      <c r="B102" s="255"/>
      <c r="C102" s="255"/>
      <c r="D102" s="255"/>
      <c r="E102" s="255"/>
      <c r="F102" s="255"/>
      <c r="G102" s="255"/>
      <c r="H102" s="255"/>
      <c r="I102" s="255"/>
      <c r="J102" s="255"/>
      <c r="K102" s="255"/>
      <c r="L102" s="255"/>
    </row>
    <row r="103" spans="2:12" x14ac:dyDescent="0.35">
      <c r="B103" s="255"/>
      <c r="C103" s="255"/>
      <c r="D103" s="255"/>
      <c r="E103" s="255"/>
      <c r="F103" s="255"/>
      <c r="G103" s="255"/>
      <c r="H103" s="255"/>
      <c r="I103" s="255"/>
      <c r="J103" s="255"/>
      <c r="K103" s="255"/>
      <c r="L103" s="255"/>
    </row>
    <row r="104" spans="2:12" x14ac:dyDescent="0.35">
      <c r="B104" s="255"/>
      <c r="C104" s="255"/>
      <c r="D104" s="255"/>
      <c r="E104" s="255"/>
      <c r="F104" s="255"/>
      <c r="G104" s="255"/>
      <c r="H104" s="255"/>
      <c r="I104" s="255"/>
      <c r="J104" s="255"/>
      <c r="K104" s="255"/>
      <c r="L104" s="255"/>
    </row>
    <row r="105" spans="2:12" x14ac:dyDescent="0.35">
      <c r="B105" s="255"/>
      <c r="C105" s="255"/>
      <c r="D105" s="255"/>
      <c r="E105" s="255"/>
      <c r="F105" s="255"/>
      <c r="G105" s="255"/>
      <c r="H105" s="255"/>
      <c r="I105" s="255"/>
      <c r="J105" s="255"/>
      <c r="K105" s="255"/>
      <c r="L105" s="255"/>
    </row>
    <row r="106" spans="2:12" x14ac:dyDescent="0.35">
      <c r="B106" s="255"/>
      <c r="C106" s="255"/>
      <c r="D106" s="255"/>
      <c r="E106" s="255"/>
      <c r="F106" s="255"/>
      <c r="G106" s="255"/>
      <c r="H106" s="255"/>
      <c r="I106" s="255"/>
      <c r="J106" s="255"/>
      <c r="K106" s="255"/>
      <c r="L106" s="255"/>
    </row>
    <row r="107" spans="2:12" x14ac:dyDescent="0.35">
      <c r="B107" s="255"/>
      <c r="C107" s="255"/>
      <c r="D107" s="255"/>
      <c r="E107" s="255"/>
      <c r="F107" s="255"/>
      <c r="G107" s="255"/>
      <c r="H107" s="255"/>
      <c r="I107" s="255"/>
      <c r="J107" s="255"/>
      <c r="K107" s="255"/>
      <c r="L107" s="255"/>
    </row>
    <row r="108" spans="2:12" x14ac:dyDescent="0.35">
      <c r="B108" s="255"/>
      <c r="C108" s="255"/>
      <c r="D108" s="255"/>
      <c r="E108" s="255"/>
      <c r="F108" s="255"/>
      <c r="G108" s="255"/>
      <c r="H108" s="255"/>
      <c r="I108" s="255"/>
      <c r="J108" s="255"/>
      <c r="K108" s="255"/>
      <c r="L108" s="255"/>
    </row>
    <row r="109" spans="2:12" x14ac:dyDescent="0.35">
      <c r="B109" s="255"/>
      <c r="C109" s="255"/>
      <c r="D109" s="255"/>
      <c r="E109" s="255"/>
      <c r="F109" s="255"/>
      <c r="G109" s="255"/>
      <c r="H109" s="255"/>
      <c r="I109" s="255"/>
      <c r="J109" s="255"/>
      <c r="K109" s="255"/>
      <c r="L109" s="255"/>
    </row>
    <row r="110" spans="2:12" x14ac:dyDescent="0.35">
      <c r="B110" s="255"/>
      <c r="C110" s="255"/>
      <c r="D110" s="255"/>
      <c r="E110" s="255"/>
      <c r="F110" s="255"/>
      <c r="G110" s="255"/>
      <c r="H110" s="255"/>
      <c r="I110" s="255"/>
      <c r="J110" s="255"/>
      <c r="K110" s="255"/>
      <c r="L110" s="255"/>
    </row>
    <row r="111" spans="2:12" x14ac:dyDescent="0.35">
      <c r="B111" s="255"/>
      <c r="C111" s="255"/>
      <c r="D111" s="255"/>
      <c r="E111" s="255"/>
      <c r="F111" s="255"/>
      <c r="G111" s="255"/>
      <c r="H111" s="255"/>
      <c r="I111" s="255"/>
      <c r="J111" s="255"/>
      <c r="K111" s="255"/>
      <c r="L111" s="255"/>
    </row>
    <row r="112" spans="2:12" x14ac:dyDescent="0.35">
      <c r="B112" s="255"/>
      <c r="C112" s="255"/>
      <c r="D112" s="255"/>
      <c r="E112" s="255"/>
      <c r="F112" s="255"/>
      <c r="G112" s="255"/>
      <c r="H112" s="255"/>
      <c r="I112" s="255"/>
      <c r="J112" s="255"/>
      <c r="K112" s="255"/>
      <c r="L112" s="255"/>
    </row>
    <row r="113" spans="2:12" x14ac:dyDescent="0.35">
      <c r="B113" s="255"/>
      <c r="C113" s="255"/>
      <c r="D113" s="255"/>
      <c r="E113" s="255"/>
      <c r="F113" s="255"/>
      <c r="G113" s="255"/>
      <c r="H113" s="255"/>
      <c r="I113" s="255"/>
      <c r="J113" s="255"/>
      <c r="K113" s="255"/>
      <c r="L113" s="255"/>
    </row>
    <row r="114" spans="2:12" x14ac:dyDescent="0.35">
      <c r="B114" s="255"/>
      <c r="C114" s="255"/>
      <c r="D114" s="255"/>
      <c r="E114" s="255"/>
      <c r="F114" s="255"/>
      <c r="G114" s="255"/>
      <c r="H114" s="255"/>
      <c r="I114" s="255"/>
      <c r="J114" s="255"/>
      <c r="K114" s="255"/>
      <c r="L114" s="255"/>
    </row>
    <row r="115" spans="2:12" x14ac:dyDescent="0.35">
      <c r="B115" s="255"/>
      <c r="C115" s="255"/>
      <c r="D115" s="255"/>
      <c r="E115" s="255"/>
      <c r="F115" s="255"/>
      <c r="G115" s="255"/>
      <c r="H115" s="255"/>
      <c r="I115" s="255"/>
      <c r="J115" s="255"/>
      <c r="K115" s="255"/>
      <c r="L115" s="255"/>
    </row>
    <row r="116" spans="2:12" x14ac:dyDescent="0.35">
      <c r="B116" s="255"/>
      <c r="C116" s="255"/>
      <c r="D116" s="255"/>
      <c r="E116" s="255"/>
      <c r="F116" s="255"/>
      <c r="G116" s="255"/>
      <c r="H116" s="255"/>
      <c r="I116" s="255"/>
      <c r="J116" s="255"/>
      <c r="K116" s="255"/>
      <c r="L116" s="255"/>
    </row>
    <row r="117" spans="2:12" x14ac:dyDescent="0.35">
      <c r="B117" s="255"/>
      <c r="C117" s="255"/>
      <c r="D117" s="255"/>
      <c r="E117" s="255"/>
      <c r="F117" s="255"/>
      <c r="G117" s="255"/>
      <c r="H117" s="255"/>
      <c r="I117" s="255"/>
      <c r="J117" s="255"/>
      <c r="K117" s="255"/>
      <c r="L117" s="255"/>
    </row>
    <row r="118" spans="2:12" x14ac:dyDescent="0.35">
      <c r="B118" s="255"/>
      <c r="C118" s="255"/>
      <c r="D118" s="255"/>
      <c r="E118" s="255"/>
      <c r="F118" s="255"/>
      <c r="G118" s="255"/>
      <c r="H118" s="255"/>
      <c r="I118" s="255"/>
      <c r="J118" s="255"/>
      <c r="K118" s="255"/>
      <c r="L118" s="255"/>
    </row>
    <row r="119" spans="2:12" x14ac:dyDescent="0.35">
      <c r="B119" s="255"/>
      <c r="C119" s="255"/>
      <c r="D119" s="255"/>
      <c r="E119" s="255"/>
      <c r="F119" s="255"/>
      <c r="G119" s="255"/>
      <c r="H119" s="255"/>
      <c r="I119" s="255"/>
      <c r="J119" s="255"/>
      <c r="K119" s="255"/>
      <c r="L119" s="255"/>
    </row>
    <row r="120" spans="2:12" x14ac:dyDescent="0.35">
      <c r="B120" s="255"/>
      <c r="C120" s="255"/>
      <c r="D120" s="255"/>
      <c r="E120" s="255"/>
      <c r="F120" s="255"/>
      <c r="G120" s="255"/>
      <c r="H120" s="255"/>
      <c r="I120" s="255"/>
      <c r="J120" s="255"/>
      <c r="K120" s="255"/>
      <c r="L120" s="255"/>
    </row>
    <row r="121" spans="2:12" x14ac:dyDescent="0.35">
      <c r="B121" s="255"/>
      <c r="C121" s="255"/>
      <c r="D121" s="255"/>
      <c r="E121" s="255"/>
      <c r="F121" s="255"/>
      <c r="G121" s="255"/>
      <c r="H121" s="255"/>
      <c r="I121" s="255"/>
      <c r="J121" s="255"/>
      <c r="K121" s="255"/>
      <c r="L121" s="255"/>
    </row>
    <row r="122" spans="2:12" x14ac:dyDescent="0.35">
      <c r="B122" s="255"/>
      <c r="C122" s="255"/>
      <c r="D122" s="255"/>
      <c r="E122" s="255"/>
      <c r="F122" s="255"/>
      <c r="G122" s="255"/>
      <c r="H122" s="255"/>
      <c r="I122" s="255"/>
      <c r="J122" s="255"/>
      <c r="K122" s="255"/>
      <c r="L122" s="255"/>
    </row>
    <row r="123" spans="2:12" x14ac:dyDescent="0.35">
      <c r="B123" s="255"/>
      <c r="C123" s="255"/>
      <c r="D123" s="255"/>
      <c r="E123" s="255"/>
      <c r="F123" s="255"/>
      <c r="G123" s="255"/>
      <c r="H123" s="255"/>
      <c r="I123" s="255"/>
      <c r="J123" s="255"/>
      <c r="K123" s="255"/>
      <c r="L123" s="255"/>
    </row>
    <row r="124" spans="2:12" x14ac:dyDescent="0.35">
      <c r="B124" s="255"/>
      <c r="C124" s="255"/>
      <c r="D124" s="255"/>
      <c r="E124" s="255"/>
      <c r="F124" s="255"/>
      <c r="G124" s="255"/>
      <c r="H124" s="255"/>
      <c r="I124" s="255"/>
      <c r="J124" s="255"/>
      <c r="K124" s="255"/>
      <c r="L124" s="255"/>
    </row>
    <row r="125" spans="2:12" x14ac:dyDescent="0.35">
      <c r="B125" s="255"/>
      <c r="C125" s="255"/>
      <c r="D125" s="255"/>
      <c r="E125" s="255"/>
      <c r="F125" s="255"/>
      <c r="G125" s="255"/>
      <c r="H125" s="255"/>
      <c r="I125" s="255"/>
      <c r="J125" s="255"/>
      <c r="K125" s="255"/>
      <c r="L125" s="255"/>
    </row>
    <row r="126" spans="2:12" x14ac:dyDescent="0.35">
      <c r="B126" s="255"/>
      <c r="C126" s="255"/>
      <c r="D126" s="255"/>
      <c r="E126" s="255"/>
      <c r="F126" s="255"/>
      <c r="G126" s="255"/>
      <c r="H126" s="255"/>
      <c r="I126" s="255"/>
      <c r="J126" s="255"/>
      <c r="K126" s="255"/>
      <c r="L126" s="255"/>
    </row>
    <row r="127" spans="2:12" x14ac:dyDescent="0.35">
      <c r="B127" s="255"/>
      <c r="C127" s="255"/>
      <c r="D127" s="255"/>
      <c r="E127" s="255"/>
      <c r="F127" s="255"/>
      <c r="G127" s="255"/>
      <c r="H127" s="255"/>
      <c r="I127" s="255"/>
      <c r="J127" s="255"/>
      <c r="K127" s="255"/>
      <c r="L127" s="255"/>
    </row>
    <row r="128" spans="2:12" x14ac:dyDescent="0.35">
      <c r="B128" s="255"/>
      <c r="C128" s="255"/>
      <c r="D128" s="255"/>
      <c r="E128" s="255"/>
      <c r="F128" s="255"/>
      <c r="G128" s="255"/>
      <c r="H128" s="255"/>
      <c r="I128" s="255"/>
      <c r="J128" s="255"/>
      <c r="K128" s="255"/>
      <c r="L128" s="255"/>
    </row>
    <row r="129" spans="2:12" x14ac:dyDescent="0.35">
      <c r="B129" s="255"/>
      <c r="C129" s="255"/>
      <c r="D129" s="255"/>
      <c r="E129" s="255"/>
      <c r="F129" s="255"/>
      <c r="G129" s="255"/>
      <c r="H129" s="255"/>
      <c r="I129" s="255"/>
      <c r="J129" s="255"/>
      <c r="K129" s="255"/>
      <c r="L129" s="255"/>
    </row>
    <row r="130" spans="2:12" x14ac:dyDescent="0.35">
      <c r="B130" s="255"/>
      <c r="C130" s="255"/>
      <c r="D130" s="255"/>
      <c r="E130" s="255"/>
      <c r="F130" s="255"/>
      <c r="G130" s="255"/>
      <c r="H130" s="255"/>
      <c r="I130" s="255"/>
      <c r="J130" s="255"/>
      <c r="K130" s="255"/>
      <c r="L130" s="255"/>
    </row>
    <row r="131" spans="2:12" x14ac:dyDescent="0.35">
      <c r="B131" s="255"/>
      <c r="C131" s="255"/>
      <c r="D131" s="255"/>
      <c r="E131" s="255"/>
      <c r="F131" s="255"/>
      <c r="G131" s="255"/>
      <c r="H131" s="255"/>
      <c r="I131" s="255"/>
      <c r="J131" s="255"/>
      <c r="K131" s="255"/>
      <c r="L131" s="255"/>
    </row>
    <row r="132" spans="2:12" x14ac:dyDescent="0.35">
      <c r="B132" s="255"/>
      <c r="C132" s="255"/>
      <c r="D132" s="255"/>
      <c r="E132" s="255"/>
      <c r="F132" s="255"/>
      <c r="G132" s="255"/>
      <c r="H132" s="255"/>
      <c r="I132" s="255"/>
      <c r="J132" s="255"/>
      <c r="K132" s="255"/>
      <c r="L132" s="255"/>
    </row>
    <row r="133" spans="2:12" x14ac:dyDescent="0.35">
      <c r="B133" s="255"/>
      <c r="C133" s="255"/>
      <c r="D133" s="255"/>
      <c r="E133" s="255"/>
      <c r="F133" s="255"/>
      <c r="G133" s="255"/>
      <c r="H133" s="255"/>
      <c r="I133" s="255"/>
      <c r="J133" s="255"/>
      <c r="K133" s="255"/>
      <c r="L133" s="255"/>
    </row>
    <row r="134" spans="2:12" x14ac:dyDescent="0.35">
      <c r="B134" s="255"/>
      <c r="C134" s="255"/>
      <c r="D134" s="255"/>
      <c r="E134" s="255"/>
      <c r="F134" s="255"/>
      <c r="G134" s="255"/>
      <c r="H134" s="255"/>
      <c r="I134" s="255"/>
      <c r="J134" s="255"/>
      <c r="K134" s="255"/>
      <c r="L134" s="255"/>
    </row>
    <row r="135" spans="2:12" x14ac:dyDescent="0.35">
      <c r="B135" s="255"/>
      <c r="C135" s="255"/>
      <c r="D135" s="255"/>
      <c r="E135" s="255"/>
      <c r="F135" s="255"/>
      <c r="G135" s="255"/>
      <c r="H135" s="255"/>
      <c r="I135" s="255"/>
      <c r="J135" s="255"/>
      <c r="K135" s="255"/>
      <c r="L135" s="255"/>
    </row>
    <row r="136" spans="2:12" x14ac:dyDescent="0.35">
      <c r="B136" s="255"/>
      <c r="C136" s="255"/>
      <c r="D136" s="255"/>
      <c r="E136" s="255"/>
      <c r="F136" s="255"/>
      <c r="G136" s="255"/>
      <c r="H136" s="255"/>
      <c r="I136" s="255"/>
      <c r="J136" s="255"/>
      <c r="K136" s="255"/>
      <c r="L136" s="255"/>
    </row>
    <row r="137" spans="2:12" x14ac:dyDescent="0.35">
      <c r="B137" s="255"/>
      <c r="C137" s="255"/>
      <c r="D137" s="255"/>
      <c r="E137" s="255"/>
      <c r="F137" s="255"/>
      <c r="G137" s="255"/>
      <c r="H137" s="255"/>
      <c r="I137" s="255"/>
      <c r="J137" s="255"/>
      <c r="K137" s="255"/>
      <c r="L137" s="255"/>
    </row>
    <row r="138" spans="2:12" x14ac:dyDescent="0.35">
      <c r="B138" s="255"/>
      <c r="C138" s="255"/>
      <c r="D138" s="255"/>
      <c r="E138" s="255"/>
      <c r="F138" s="255"/>
      <c r="G138" s="255"/>
      <c r="H138" s="255"/>
      <c r="I138" s="255"/>
      <c r="J138" s="255"/>
      <c r="K138" s="255"/>
      <c r="L138" s="255"/>
    </row>
    <row r="139" spans="2:12" x14ac:dyDescent="0.35">
      <c r="B139" s="255"/>
      <c r="C139" s="255"/>
      <c r="D139" s="255"/>
      <c r="E139" s="255"/>
      <c r="F139" s="255"/>
      <c r="G139" s="255"/>
      <c r="H139" s="255"/>
      <c r="I139" s="255"/>
      <c r="J139" s="255"/>
      <c r="K139" s="255"/>
      <c r="L139" s="255"/>
    </row>
    <row r="140" spans="2:12" x14ac:dyDescent="0.35">
      <c r="B140" s="255"/>
      <c r="C140" s="255"/>
      <c r="D140" s="255"/>
      <c r="E140" s="255"/>
      <c r="F140" s="255"/>
      <c r="G140" s="255"/>
      <c r="H140" s="255"/>
      <c r="I140" s="255"/>
      <c r="J140" s="255"/>
      <c r="K140" s="255"/>
      <c r="L140" s="255"/>
    </row>
    <row r="141" spans="2:12" x14ac:dyDescent="0.35">
      <c r="B141" s="255"/>
      <c r="C141" s="255"/>
      <c r="D141" s="255"/>
      <c r="E141" s="255"/>
      <c r="F141" s="255"/>
      <c r="G141" s="255"/>
      <c r="H141" s="255"/>
      <c r="I141" s="255"/>
      <c r="J141" s="255"/>
      <c r="K141" s="255"/>
      <c r="L141" s="255"/>
    </row>
    <row r="142" spans="2:12" x14ac:dyDescent="0.35">
      <c r="B142" s="255"/>
      <c r="C142" s="255"/>
      <c r="D142" s="255"/>
      <c r="E142" s="255"/>
      <c r="F142" s="255"/>
      <c r="G142" s="255"/>
      <c r="H142" s="255"/>
      <c r="I142" s="255"/>
      <c r="J142" s="255"/>
      <c r="K142" s="255"/>
      <c r="L142" s="255"/>
    </row>
    <row r="143" spans="2:12" x14ac:dyDescent="0.35">
      <c r="B143" s="255"/>
      <c r="C143" s="255"/>
      <c r="D143" s="255"/>
      <c r="E143" s="255"/>
      <c r="F143" s="255"/>
      <c r="G143" s="255"/>
      <c r="H143" s="255"/>
      <c r="I143" s="255"/>
      <c r="J143" s="255"/>
      <c r="K143" s="255"/>
      <c r="L143" s="255"/>
    </row>
    <row r="144" spans="2:12" x14ac:dyDescent="0.35">
      <c r="B144" s="255"/>
      <c r="C144" s="255"/>
      <c r="D144" s="255"/>
      <c r="E144" s="255"/>
      <c r="F144" s="255"/>
      <c r="G144" s="255"/>
      <c r="H144" s="255"/>
      <c r="I144" s="255"/>
      <c r="J144" s="255"/>
      <c r="K144" s="255"/>
      <c r="L144" s="255"/>
    </row>
    <row r="145" spans="2:12" x14ac:dyDescent="0.35">
      <c r="B145" s="255"/>
      <c r="C145" s="255"/>
      <c r="D145" s="255"/>
      <c r="E145" s="255"/>
      <c r="F145" s="255"/>
      <c r="G145" s="255"/>
      <c r="H145" s="255"/>
      <c r="I145" s="255"/>
      <c r="J145" s="255"/>
      <c r="K145" s="255"/>
      <c r="L145" s="255"/>
    </row>
    <row r="146" spans="2:12" x14ac:dyDescent="0.35">
      <c r="B146" s="255"/>
      <c r="C146" s="255"/>
      <c r="D146" s="255"/>
      <c r="E146" s="255"/>
      <c r="F146" s="255"/>
      <c r="G146" s="255"/>
      <c r="H146" s="255"/>
      <c r="I146" s="255"/>
      <c r="J146" s="255"/>
      <c r="K146" s="255"/>
      <c r="L146" s="255"/>
    </row>
    <row r="147" spans="2:12" x14ac:dyDescent="0.35">
      <c r="B147" s="255"/>
      <c r="C147" s="255"/>
      <c r="D147" s="255"/>
      <c r="E147" s="255"/>
      <c r="F147" s="255"/>
      <c r="G147" s="255"/>
      <c r="H147" s="255"/>
      <c r="I147" s="255"/>
      <c r="J147" s="255"/>
      <c r="K147" s="255"/>
      <c r="L147" s="255"/>
    </row>
    <row r="148" spans="2:12" x14ac:dyDescent="0.35">
      <c r="B148" s="255"/>
      <c r="C148" s="255"/>
      <c r="D148" s="255"/>
      <c r="E148" s="255"/>
      <c r="F148" s="255"/>
      <c r="G148" s="255"/>
      <c r="H148" s="255"/>
      <c r="I148" s="255"/>
      <c r="J148" s="255"/>
      <c r="K148" s="255"/>
      <c r="L148" s="255"/>
    </row>
    <row r="149" spans="2:12" x14ac:dyDescent="0.35">
      <c r="B149" s="255"/>
      <c r="C149" s="255"/>
      <c r="D149" s="255"/>
      <c r="E149" s="255"/>
      <c r="F149" s="255"/>
      <c r="G149" s="255"/>
      <c r="H149" s="255"/>
      <c r="I149" s="255"/>
      <c r="J149" s="255"/>
      <c r="K149" s="255"/>
      <c r="L149" s="255"/>
    </row>
    <row r="150" spans="2:12" x14ac:dyDescent="0.35">
      <c r="B150" s="255"/>
      <c r="C150" s="255"/>
      <c r="D150" s="255"/>
      <c r="E150" s="255"/>
      <c r="F150" s="255"/>
      <c r="G150" s="255"/>
      <c r="H150" s="255"/>
      <c r="I150" s="255"/>
      <c r="J150" s="255"/>
      <c r="K150" s="255"/>
      <c r="L150" s="255"/>
    </row>
    <row r="151" spans="2:12" x14ac:dyDescent="0.35">
      <c r="B151" s="255"/>
      <c r="C151" s="255"/>
      <c r="D151" s="255"/>
      <c r="E151" s="255"/>
      <c r="F151" s="255"/>
      <c r="G151" s="255"/>
      <c r="H151" s="255"/>
      <c r="I151" s="255"/>
      <c r="J151" s="255"/>
      <c r="K151" s="255"/>
      <c r="L151" s="255"/>
    </row>
    <row r="152" spans="2:12" x14ac:dyDescent="0.35">
      <c r="B152" s="255"/>
      <c r="C152" s="255"/>
      <c r="D152" s="255"/>
      <c r="E152" s="255"/>
      <c r="F152" s="255"/>
      <c r="G152" s="255"/>
      <c r="H152" s="255"/>
      <c r="I152" s="255"/>
      <c r="J152" s="255"/>
      <c r="K152" s="255"/>
      <c r="L152" s="255"/>
    </row>
    <row r="153" spans="2:12" x14ac:dyDescent="0.35">
      <c r="B153" s="255"/>
      <c r="C153" s="255"/>
      <c r="D153" s="255"/>
      <c r="E153" s="255"/>
      <c r="F153" s="255"/>
      <c r="G153" s="255"/>
      <c r="H153" s="255"/>
      <c r="I153" s="255"/>
      <c r="J153" s="255"/>
      <c r="K153" s="255"/>
      <c r="L153" s="255"/>
    </row>
    <row r="154" spans="2:12" x14ac:dyDescent="0.35">
      <c r="B154" s="255"/>
      <c r="C154" s="255"/>
      <c r="D154" s="255"/>
      <c r="E154" s="255"/>
      <c r="F154" s="255"/>
      <c r="G154" s="255"/>
      <c r="H154" s="255"/>
      <c r="I154" s="255"/>
      <c r="J154" s="255"/>
      <c r="K154" s="255"/>
      <c r="L154" s="255"/>
    </row>
    <row r="155" spans="2:12" x14ac:dyDescent="0.35">
      <c r="B155" s="255"/>
      <c r="C155" s="255"/>
      <c r="D155" s="255"/>
      <c r="E155" s="255"/>
      <c r="F155" s="255"/>
      <c r="G155" s="255"/>
      <c r="H155" s="255"/>
      <c r="I155" s="255"/>
      <c r="J155" s="255"/>
      <c r="K155" s="255"/>
      <c r="L155" s="255"/>
    </row>
    <row r="156" spans="2:12" x14ac:dyDescent="0.35">
      <c r="B156" s="255"/>
      <c r="C156" s="255"/>
      <c r="D156" s="255"/>
      <c r="E156" s="255"/>
      <c r="F156" s="255"/>
      <c r="G156" s="255"/>
      <c r="H156" s="255"/>
      <c r="I156" s="255"/>
      <c r="J156" s="255"/>
      <c r="K156" s="255"/>
      <c r="L156" s="255"/>
    </row>
    <row r="157" spans="2:12" x14ac:dyDescent="0.35">
      <c r="B157" s="255"/>
      <c r="C157" s="255"/>
      <c r="D157" s="255"/>
      <c r="E157" s="255"/>
      <c r="F157" s="255"/>
      <c r="G157" s="255"/>
      <c r="H157" s="255"/>
      <c r="I157" s="255"/>
      <c r="J157" s="255"/>
      <c r="K157" s="255"/>
      <c r="L157" s="255"/>
    </row>
    <row r="158" spans="2:12" x14ac:dyDescent="0.35">
      <c r="B158" s="255"/>
      <c r="C158" s="255"/>
      <c r="D158" s="255"/>
      <c r="E158" s="255"/>
      <c r="F158" s="255"/>
      <c r="G158" s="255"/>
      <c r="H158" s="255"/>
      <c r="I158" s="255"/>
      <c r="J158" s="255"/>
      <c r="K158" s="255"/>
      <c r="L158" s="255"/>
    </row>
    <row r="159" spans="2:12" x14ac:dyDescent="0.35">
      <c r="B159" s="255"/>
      <c r="C159" s="255"/>
      <c r="D159" s="255"/>
      <c r="E159" s="255"/>
      <c r="F159" s="255"/>
      <c r="G159" s="255"/>
      <c r="H159" s="255"/>
      <c r="I159" s="255"/>
      <c r="J159" s="255"/>
      <c r="K159" s="255"/>
      <c r="L159" s="255"/>
    </row>
    <row r="160" spans="2:12" x14ac:dyDescent="0.35">
      <c r="B160" s="255"/>
      <c r="C160" s="255"/>
      <c r="D160" s="255"/>
      <c r="E160" s="255"/>
      <c r="F160" s="255"/>
      <c r="G160" s="255"/>
      <c r="H160" s="255"/>
      <c r="I160" s="255"/>
      <c r="J160" s="255"/>
      <c r="K160" s="255"/>
      <c r="L160" s="255"/>
    </row>
    <row r="161" spans="2:12" x14ac:dyDescent="0.35">
      <c r="B161" s="255"/>
      <c r="C161" s="255"/>
      <c r="D161" s="255"/>
      <c r="E161" s="255"/>
      <c r="F161" s="255"/>
      <c r="G161" s="255"/>
      <c r="H161" s="255"/>
      <c r="I161" s="255"/>
      <c r="J161" s="255"/>
      <c r="K161" s="255"/>
      <c r="L161" s="255"/>
    </row>
    <row r="162" spans="2:12" x14ac:dyDescent="0.35">
      <c r="B162" s="255"/>
      <c r="C162" s="255"/>
      <c r="D162" s="255"/>
      <c r="E162" s="255"/>
      <c r="F162" s="255"/>
      <c r="G162" s="255"/>
      <c r="H162" s="255"/>
      <c r="I162" s="255"/>
      <c r="J162" s="255"/>
      <c r="K162" s="255"/>
      <c r="L162" s="255"/>
    </row>
    <row r="163" spans="2:12" x14ac:dyDescent="0.35">
      <c r="B163" s="255"/>
      <c r="C163" s="255"/>
      <c r="D163" s="255"/>
      <c r="E163" s="255"/>
      <c r="F163" s="255"/>
      <c r="G163" s="255"/>
      <c r="H163" s="255"/>
      <c r="I163" s="255"/>
      <c r="J163" s="255"/>
      <c r="K163" s="255"/>
      <c r="L163" s="255"/>
    </row>
    <row r="164" spans="2:12" x14ac:dyDescent="0.35">
      <c r="B164" s="255"/>
      <c r="C164" s="255"/>
      <c r="D164" s="255"/>
      <c r="E164" s="255"/>
      <c r="F164" s="255"/>
      <c r="G164" s="255"/>
      <c r="H164" s="255"/>
      <c r="I164" s="255"/>
      <c r="J164" s="255"/>
      <c r="K164" s="255"/>
      <c r="L164" s="255"/>
    </row>
    <row r="165" spans="2:12" x14ac:dyDescent="0.35">
      <c r="B165" s="255"/>
      <c r="C165" s="255"/>
      <c r="D165" s="255"/>
      <c r="E165" s="255"/>
      <c r="F165" s="255"/>
      <c r="G165" s="255"/>
      <c r="H165" s="255"/>
      <c r="I165" s="255"/>
      <c r="J165" s="255"/>
      <c r="K165" s="255"/>
      <c r="L165" s="255"/>
    </row>
    <row r="166" spans="2:12" x14ac:dyDescent="0.35">
      <c r="B166" s="255"/>
      <c r="C166" s="255"/>
      <c r="D166" s="255"/>
      <c r="E166" s="255"/>
      <c r="F166" s="255"/>
      <c r="G166" s="255"/>
      <c r="H166" s="255"/>
      <c r="I166" s="255"/>
      <c r="J166" s="255"/>
      <c r="K166" s="255"/>
      <c r="L166" s="255"/>
    </row>
    <row r="167" spans="2:12" x14ac:dyDescent="0.35">
      <c r="B167" s="255"/>
      <c r="C167" s="255"/>
      <c r="D167" s="255"/>
      <c r="E167" s="255"/>
      <c r="F167" s="255"/>
      <c r="G167" s="255"/>
      <c r="H167" s="255"/>
      <c r="I167" s="255"/>
      <c r="J167" s="255"/>
      <c r="K167" s="255"/>
      <c r="L167" s="255"/>
    </row>
    <row r="168" spans="2:12" x14ac:dyDescent="0.35">
      <c r="B168" s="255"/>
      <c r="C168" s="255"/>
      <c r="D168" s="255"/>
      <c r="E168" s="255"/>
      <c r="F168" s="255"/>
      <c r="G168" s="255"/>
      <c r="H168" s="255"/>
      <c r="I168" s="255"/>
      <c r="J168" s="255"/>
      <c r="K168" s="255"/>
      <c r="L168" s="255"/>
    </row>
    <row r="169" spans="2:12" x14ac:dyDescent="0.35">
      <c r="B169" s="255"/>
      <c r="C169" s="255"/>
      <c r="D169" s="255"/>
      <c r="E169" s="255"/>
      <c r="F169" s="255"/>
      <c r="G169" s="255"/>
      <c r="H169" s="255"/>
      <c r="I169" s="255"/>
      <c r="J169" s="255"/>
      <c r="K169" s="255"/>
      <c r="L169" s="255"/>
    </row>
    <row r="170" spans="2:12" x14ac:dyDescent="0.35">
      <c r="B170" s="255"/>
      <c r="C170" s="255"/>
      <c r="D170" s="255"/>
      <c r="E170" s="255"/>
      <c r="F170" s="255"/>
      <c r="G170" s="255"/>
      <c r="H170" s="255"/>
      <c r="I170" s="255"/>
      <c r="J170" s="255"/>
      <c r="K170" s="255"/>
      <c r="L170" s="255"/>
    </row>
    <row r="171" spans="2:12" x14ac:dyDescent="0.35">
      <c r="B171" s="255"/>
      <c r="C171" s="255"/>
      <c r="D171" s="255"/>
      <c r="E171" s="255"/>
      <c r="F171" s="255"/>
      <c r="G171" s="255"/>
      <c r="H171" s="255"/>
      <c r="I171" s="255"/>
      <c r="J171" s="255"/>
      <c r="K171" s="255"/>
      <c r="L171" s="255"/>
    </row>
    <row r="172" spans="2:12" x14ac:dyDescent="0.35">
      <c r="B172" s="255"/>
      <c r="C172" s="255"/>
      <c r="D172" s="255"/>
      <c r="E172" s="255"/>
      <c r="F172" s="255"/>
      <c r="G172" s="255"/>
      <c r="H172" s="255"/>
      <c r="I172" s="255"/>
      <c r="J172" s="255"/>
      <c r="K172" s="255"/>
      <c r="L172" s="255"/>
    </row>
    <row r="173" spans="2:12" x14ac:dyDescent="0.35">
      <c r="B173" s="255"/>
      <c r="C173" s="255"/>
      <c r="D173" s="255"/>
      <c r="E173" s="255"/>
      <c r="F173" s="255"/>
      <c r="G173" s="255"/>
      <c r="H173" s="255"/>
      <c r="I173" s="255"/>
      <c r="J173" s="255"/>
      <c r="K173" s="255"/>
      <c r="L173" s="255"/>
    </row>
    <row r="174" spans="2:12" x14ac:dyDescent="0.35">
      <c r="B174" s="255"/>
      <c r="C174" s="255"/>
      <c r="D174" s="255"/>
      <c r="E174" s="255"/>
      <c r="F174" s="255"/>
      <c r="G174" s="255"/>
      <c r="H174" s="255"/>
      <c r="I174" s="255"/>
      <c r="J174" s="255"/>
      <c r="K174" s="255"/>
      <c r="L174" s="255"/>
    </row>
    <row r="175" spans="2:12" x14ac:dyDescent="0.35">
      <c r="B175" s="255"/>
      <c r="C175" s="255"/>
      <c r="D175" s="255"/>
      <c r="E175" s="255"/>
      <c r="F175" s="255"/>
      <c r="G175" s="255"/>
      <c r="H175" s="255"/>
      <c r="I175" s="255"/>
      <c r="J175" s="255"/>
      <c r="K175" s="255"/>
      <c r="L175" s="255"/>
    </row>
    <row r="176" spans="2:12" x14ac:dyDescent="0.35">
      <c r="B176" s="255"/>
      <c r="C176" s="255"/>
      <c r="D176" s="255"/>
      <c r="E176" s="255"/>
      <c r="F176" s="255"/>
      <c r="G176" s="255"/>
      <c r="H176" s="255"/>
      <c r="I176" s="255"/>
      <c r="J176" s="255"/>
      <c r="K176" s="255"/>
      <c r="L176" s="255"/>
    </row>
    <row r="177" spans="2:12" x14ac:dyDescent="0.35">
      <c r="B177" s="255"/>
      <c r="C177" s="255"/>
      <c r="D177" s="255"/>
      <c r="E177" s="255"/>
      <c r="F177" s="255"/>
      <c r="G177" s="255"/>
      <c r="H177" s="255"/>
      <c r="I177" s="255"/>
      <c r="J177" s="255"/>
      <c r="K177" s="255"/>
      <c r="L177" s="255"/>
    </row>
    <row r="178" spans="2:12" x14ac:dyDescent="0.35">
      <c r="B178" s="255"/>
      <c r="C178" s="255"/>
      <c r="D178" s="255"/>
      <c r="E178" s="255"/>
      <c r="F178" s="255"/>
      <c r="G178" s="255"/>
      <c r="H178" s="255"/>
      <c r="I178" s="255"/>
      <c r="J178" s="255"/>
      <c r="K178" s="255"/>
      <c r="L178" s="255"/>
    </row>
    <row r="179" spans="2:12" x14ac:dyDescent="0.35">
      <c r="B179" s="255"/>
      <c r="C179" s="255"/>
      <c r="D179" s="255"/>
      <c r="E179" s="255"/>
      <c r="F179" s="255"/>
      <c r="G179" s="255"/>
      <c r="H179" s="255"/>
      <c r="I179" s="255"/>
      <c r="J179" s="255"/>
      <c r="K179" s="255"/>
      <c r="L179" s="255"/>
    </row>
    <row r="180" spans="2:12" x14ac:dyDescent="0.35">
      <c r="B180" s="255"/>
      <c r="C180" s="255"/>
      <c r="D180" s="255"/>
      <c r="E180" s="255"/>
      <c r="F180" s="255"/>
      <c r="G180" s="255"/>
      <c r="H180" s="255"/>
      <c r="I180" s="255"/>
      <c r="J180" s="255"/>
      <c r="K180" s="255"/>
      <c r="L180" s="255"/>
    </row>
    <row r="181" spans="2:12" x14ac:dyDescent="0.35">
      <c r="B181" s="255"/>
      <c r="C181" s="255"/>
      <c r="D181" s="255"/>
      <c r="E181" s="255"/>
      <c r="F181" s="255"/>
      <c r="G181" s="255"/>
      <c r="H181" s="255"/>
      <c r="I181" s="255"/>
      <c r="J181" s="255"/>
      <c r="K181" s="255"/>
      <c r="L181" s="255"/>
    </row>
    <row r="182" spans="2:12" x14ac:dyDescent="0.35">
      <c r="B182" s="255"/>
      <c r="C182" s="255"/>
      <c r="D182" s="255"/>
      <c r="E182" s="255"/>
      <c r="F182" s="255"/>
      <c r="G182" s="255"/>
      <c r="H182" s="255"/>
      <c r="I182" s="255"/>
      <c r="J182" s="255"/>
      <c r="K182" s="255"/>
      <c r="L182" s="255"/>
    </row>
    <row r="183" spans="2:12" x14ac:dyDescent="0.35">
      <c r="B183" s="255"/>
      <c r="C183" s="255"/>
      <c r="D183" s="255"/>
      <c r="E183" s="255"/>
      <c r="F183" s="255"/>
      <c r="G183" s="255"/>
      <c r="H183" s="255"/>
      <c r="I183" s="255"/>
      <c r="J183" s="255"/>
      <c r="K183" s="255"/>
      <c r="L183" s="255"/>
    </row>
    <row r="184" spans="2:12" x14ac:dyDescent="0.35">
      <c r="B184" s="255"/>
      <c r="C184" s="255"/>
      <c r="D184" s="255"/>
      <c r="E184" s="255"/>
      <c r="F184" s="255"/>
      <c r="G184" s="255"/>
      <c r="H184" s="255"/>
      <c r="I184" s="255"/>
      <c r="J184" s="255"/>
      <c r="K184" s="255"/>
      <c r="L184" s="255"/>
    </row>
    <row r="185" spans="2:12" x14ac:dyDescent="0.35">
      <c r="B185" s="255"/>
      <c r="C185" s="255"/>
      <c r="D185" s="255"/>
      <c r="E185" s="255"/>
      <c r="F185" s="255"/>
      <c r="G185" s="255"/>
      <c r="H185" s="255"/>
      <c r="I185" s="255"/>
      <c r="J185" s="255"/>
      <c r="K185" s="255"/>
      <c r="L185" s="255"/>
    </row>
    <row r="186" spans="2:12" x14ac:dyDescent="0.35">
      <c r="B186" s="255"/>
      <c r="C186" s="255"/>
      <c r="D186" s="255"/>
      <c r="E186" s="255"/>
      <c r="F186" s="255"/>
      <c r="G186" s="255"/>
      <c r="H186" s="255"/>
      <c r="I186" s="255"/>
      <c r="J186" s="255"/>
      <c r="K186" s="255"/>
      <c r="L186" s="255"/>
    </row>
    <row r="187" spans="2:12" x14ac:dyDescent="0.35">
      <c r="B187" s="255"/>
      <c r="C187" s="255"/>
      <c r="D187" s="255"/>
      <c r="E187" s="255"/>
      <c r="F187" s="255"/>
      <c r="G187" s="255"/>
      <c r="H187" s="255"/>
      <c r="I187" s="255"/>
      <c r="J187" s="255"/>
      <c r="K187" s="255"/>
      <c r="L187" s="255"/>
    </row>
    <row r="188" spans="2:12" x14ac:dyDescent="0.35">
      <c r="B188" s="255"/>
      <c r="C188" s="255"/>
      <c r="D188" s="255"/>
      <c r="E188" s="255"/>
      <c r="F188" s="255"/>
      <c r="G188" s="255"/>
      <c r="H188" s="255"/>
      <c r="I188" s="255"/>
      <c r="J188" s="255"/>
      <c r="K188" s="255"/>
      <c r="L188" s="255"/>
    </row>
    <row r="189" spans="2:12" x14ac:dyDescent="0.35">
      <c r="B189" s="255"/>
      <c r="C189" s="255"/>
      <c r="D189" s="255"/>
      <c r="E189" s="255"/>
      <c r="F189" s="255"/>
      <c r="G189" s="255"/>
      <c r="H189" s="255"/>
      <c r="I189" s="255"/>
      <c r="J189" s="255"/>
      <c r="K189" s="255"/>
      <c r="L189" s="255"/>
    </row>
    <row r="190" spans="2:12" x14ac:dyDescent="0.35">
      <c r="B190" s="255"/>
      <c r="C190" s="255"/>
      <c r="D190" s="255"/>
      <c r="E190" s="255"/>
      <c r="F190" s="255"/>
      <c r="G190" s="255"/>
      <c r="H190" s="255"/>
      <c r="I190" s="255"/>
      <c r="J190" s="255"/>
      <c r="K190" s="255"/>
      <c r="L190" s="255"/>
    </row>
    <row r="191" spans="2:12" x14ac:dyDescent="0.35">
      <c r="B191" s="255"/>
      <c r="C191" s="255"/>
      <c r="D191" s="255"/>
      <c r="E191" s="255"/>
      <c r="F191" s="255"/>
      <c r="G191" s="255"/>
      <c r="H191" s="255"/>
      <c r="I191" s="255"/>
      <c r="J191" s="255"/>
      <c r="K191" s="255"/>
      <c r="L191" s="255"/>
    </row>
    <row r="192" spans="2:12" x14ac:dyDescent="0.35">
      <c r="B192" s="255"/>
      <c r="C192" s="255"/>
      <c r="D192" s="255"/>
      <c r="E192" s="255"/>
      <c r="F192" s="255"/>
      <c r="G192" s="255"/>
      <c r="H192" s="255"/>
      <c r="I192" s="255"/>
      <c r="J192" s="255"/>
      <c r="K192" s="255"/>
      <c r="L192" s="255"/>
    </row>
    <row r="193" spans="2:12" x14ac:dyDescent="0.35">
      <c r="B193" s="255"/>
      <c r="C193" s="255"/>
      <c r="D193" s="255"/>
      <c r="E193" s="255"/>
      <c r="F193" s="255"/>
      <c r="G193" s="255"/>
      <c r="H193" s="255"/>
      <c r="I193" s="255"/>
      <c r="J193" s="255"/>
      <c r="K193" s="255"/>
      <c r="L193" s="255"/>
    </row>
    <row r="194" spans="2:12" x14ac:dyDescent="0.35">
      <c r="B194" s="255"/>
      <c r="C194" s="255"/>
      <c r="D194" s="255"/>
      <c r="E194" s="255"/>
      <c r="F194" s="255"/>
      <c r="G194" s="255"/>
      <c r="H194" s="255"/>
      <c r="I194" s="255"/>
      <c r="J194" s="255"/>
      <c r="K194" s="255"/>
      <c r="L194" s="255"/>
    </row>
    <row r="195" spans="2:12" x14ac:dyDescent="0.35">
      <c r="B195" s="255"/>
      <c r="C195" s="255"/>
      <c r="D195" s="255"/>
      <c r="E195" s="255"/>
      <c r="F195" s="255"/>
      <c r="G195" s="255"/>
      <c r="H195" s="255"/>
      <c r="I195" s="255"/>
      <c r="J195" s="255"/>
      <c r="K195" s="255"/>
      <c r="L195" s="255"/>
    </row>
    <row r="196" spans="2:12" x14ac:dyDescent="0.35">
      <c r="B196" s="255"/>
      <c r="C196" s="255"/>
      <c r="D196" s="255"/>
      <c r="E196" s="255"/>
      <c r="F196" s="255"/>
      <c r="G196" s="255"/>
      <c r="H196" s="255"/>
      <c r="I196" s="255"/>
      <c r="J196" s="255"/>
      <c r="K196" s="255"/>
      <c r="L196" s="255"/>
    </row>
    <row r="197" spans="2:12" x14ac:dyDescent="0.35">
      <c r="B197" s="255"/>
      <c r="C197" s="255"/>
      <c r="D197" s="255"/>
      <c r="E197" s="255"/>
      <c r="F197" s="255"/>
      <c r="G197" s="255"/>
      <c r="H197" s="255"/>
      <c r="I197" s="255"/>
      <c r="J197" s="255"/>
      <c r="K197" s="255"/>
      <c r="L197" s="255"/>
    </row>
    <row r="198" spans="2:12" x14ac:dyDescent="0.35">
      <c r="B198" s="255"/>
      <c r="C198" s="255"/>
      <c r="D198" s="255"/>
      <c r="E198" s="255"/>
      <c r="F198" s="255"/>
      <c r="G198" s="255"/>
      <c r="H198" s="255"/>
      <c r="I198" s="255"/>
      <c r="J198" s="255"/>
      <c r="K198" s="255"/>
      <c r="L198" s="255"/>
    </row>
    <row r="199" spans="2:12" x14ac:dyDescent="0.35">
      <c r="B199" s="255"/>
      <c r="C199" s="255"/>
      <c r="D199" s="255"/>
      <c r="E199" s="255"/>
      <c r="F199" s="255"/>
      <c r="G199" s="255"/>
      <c r="H199" s="255"/>
      <c r="I199" s="255"/>
      <c r="J199" s="255"/>
      <c r="K199" s="255"/>
      <c r="L199" s="255"/>
    </row>
    <row r="200" spans="2:12" x14ac:dyDescent="0.35">
      <c r="B200" s="255"/>
      <c r="C200" s="255"/>
      <c r="D200" s="255"/>
      <c r="E200" s="255"/>
      <c r="F200" s="255"/>
      <c r="G200" s="255"/>
      <c r="H200" s="255"/>
      <c r="I200" s="255"/>
      <c r="J200" s="255"/>
      <c r="K200" s="255"/>
      <c r="L200" s="255"/>
    </row>
    <row r="201" spans="2:12" x14ac:dyDescent="0.35">
      <c r="B201" s="255"/>
      <c r="C201" s="255"/>
      <c r="D201" s="255"/>
      <c r="E201" s="255"/>
      <c r="F201" s="255"/>
      <c r="G201" s="255"/>
      <c r="H201" s="255"/>
      <c r="I201" s="255"/>
      <c r="J201" s="255"/>
      <c r="K201" s="255"/>
      <c r="L201" s="255"/>
    </row>
    <row r="202" spans="2:12" x14ac:dyDescent="0.35">
      <c r="B202" s="255"/>
      <c r="C202" s="255"/>
      <c r="D202" s="255"/>
      <c r="E202" s="255"/>
      <c r="F202" s="255"/>
      <c r="G202" s="255"/>
      <c r="H202" s="255"/>
      <c r="I202" s="255"/>
      <c r="J202" s="255"/>
      <c r="K202" s="255"/>
      <c r="L202" s="255"/>
    </row>
    <row r="203" spans="2:12" x14ac:dyDescent="0.35">
      <c r="B203" s="255"/>
      <c r="C203" s="255"/>
      <c r="D203" s="255"/>
      <c r="E203" s="255"/>
      <c r="F203" s="255"/>
      <c r="G203" s="255"/>
      <c r="H203" s="255"/>
      <c r="I203" s="255"/>
      <c r="J203" s="255"/>
      <c r="K203" s="255"/>
      <c r="L203" s="255"/>
    </row>
    <row r="204" spans="2:12" x14ac:dyDescent="0.35">
      <c r="B204" s="255"/>
      <c r="C204" s="255"/>
      <c r="D204" s="255"/>
      <c r="E204" s="255"/>
      <c r="F204" s="255"/>
      <c r="G204" s="255"/>
      <c r="H204" s="255"/>
      <c r="I204" s="255"/>
      <c r="J204" s="255"/>
      <c r="K204" s="255"/>
      <c r="L204" s="255"/>
    </row>
    <row r="205" spans="2:12" x14ac:dyDescent="0.35">
      <c r="B205" s="255"/>
      <c r="C205" s="255"/>
      <c r="D205" s="255"/>
      <c r="E205" s="255"/>
      <c r="F205" s="255"/>
      <c r="G205" s="255"/>
      <c r="H205" s="255"/>
      <c r="I205" s="255"/>
      <c r="J205" s="255"/>
      <c r="K205" s="255"/>
      <c r="L205" s="255"/>
    </row>
    <row r="206" spans="2:12" x14ac:dyDescent="0.35">
      <c r="B206" s="255"/>
      <c r="C206" s="255"/>
      <c r="D206" s="255"/>
      <c r="E206" s="255"/>
      <c r="F206" s="255"/>
      <c r="G206" s="255"/>
      <c r="H206" s="255"/>
      <c r="I206" s="255"/>
      <c r="J206" s="255"/>
      <c r="K206" s="255"/>
      <c r="L206" s="255"/>
    </row>
    <row r="207" spans="2:12" x14ac:dyDescent="0.35">
      <c r="B207" s="255"/>
      <c r="C207" s="255"/>
      <c r="D207" s="255"/>
      <c r="E207" s="255"/>
      <c r="F207" s="255"/>
      <c r="G207" s="255"/>
      <c r="H207" s="255"/>
      <c r="I207" s="255"/>
      <c r="J207" s="255"/>
      <c r="K207" s="255"/>
      <c r="L207" s="255"/>
    </row>
    <row r="208" spans="2:12" x14ac:dyDescent="0.35">
      <c r="B208" s="255"/>
      <c r="C208" s="255"/>
      <c r="D208" s="255"/>
      <c r="E208" s="255"/>
      <c r="F208" s="255"/>
      <c r="G208" s="255"/>
      <c r="H208" s="255"/>
      <c r="I208" s="255"/>
      <c r="J208" s="255"/>
      <c r="K208" s="255"/>
      <c r="L208" s="255"/>
    </row>
    <row r="209" spans="2:12" x14ac:dyDescent="0.35">
      <c r="B209" s="255"/>
      <c r="C209" s="255"/>
      <c r="D209" s="255"/>
      <c r="E209" s="255"/>
      <c r="F209" s="255"/>
      <c r="G209" s="255"/>
      <c r="H209" s="255"/>
      <c r="I209" s="255"/>
      <c r="J209" s="255"/>
      <c r="K209" s="255"/>
      <c r="L209" s="255"/>
    </row>
    <row r="210" spans="2:12" x14ac:dyDescent="0.35">
      <c r="B210" s="255"/>
      <c r="C210" s="255"/>
      <c r="D210" s="255"/>
      <c r="E210" s="255"/>
      <c r="F210" s="255"/>
      <c r="G210" s="255"/>
      <c r="H210" s="255"/>
      <c r="I210" s="255"/>
      <c r="J210" s="255"/>
      <c r="K210" s="255"/>
      <c r="L210" s="255"/>
    </row>
    <row r="211" spans="2:12" x14ac:dyDescent="0.35">
      <c r="B211" s="255"/>
      <c r="C211" s="255"/>
      <c r="D211" s="255"/>
      <c r="E211" s="255"/>
      <c r="F211" s="255"/>
      <c r="G211" s="255"/>
      <c r="H211" s="255"/>
      <c r="I211" s="255"/>
      <c r="J211" s="255"/>
      <c r="K211" s="255"/>
      <c r="L211" s="255"/>
    </row>
    <row r="212" spans="2:12" x14ac:dyDescent="0.35">
      <c r="B212" s="255"/>
      <c r="C212" s="255"/>
      <c r="D212" s="255"/>
      <c r="E212" s="255"/>
      <c r="F212" s="255"/>
      <c r="G212" s="255"/>
      <c r="H212" s="255"/>
      <c r="I212" s="255"/>
      <c r="J212" s="255"/>
      <c r="K212" s="255"/>
      <c r="L212" s="255"/>
    </row>
    <row r="213" spans="2:12" x14ac:dyDescent="0.35">
      <c r="B213" s="255"/>
      <c r="C213" s="255"/>
      <c r="D213" s="255"/>
      <c r="E213" s="255"/>
      <c r="F213" s="255"/>
      <c r="G213" s="255"/>
      <c r="H213" s="255"/>
      <c r="I213" s="255"/>
      <c r="J213" s="255"/>
      <c r="K213" s="255"/>
      <c r="L213" s="255"/>
    </row>
    <row r="214" spans="2:12" x14ac:dyDescent="0.35">
      <c r="B214" s="255"/>
      <c r="C214" s="255"/>
      <c r="D214" s="255"/>
      <c r="E214" s="255"/>
      <c r="F214" s="255"/>
      <c r="G214" s="255"/>
      <c r="H214" s="255"/>
      <c r="I214" s="255"/>
      <c r="J214" s="255"/>
      <c r="K214" s="255"/>
      <c r="L214" s="255"/>
    </row>
    <row r="215" spans="2:12" x14ac:dyDescent="0.35">
      <c r="B215" s="255"/>
      <c r="C215" s="255"/>
      <c r="D215" s="255"/>
      <c r="E215" s="255"/>
      <c r="F215" s="255"/>
      <c r="G215" s="255"/>
      <c r="H215" s="255"/>
      <c r="I215" s="255"/>
      <c r="J215" s="255"/>
      <c r="K215" s="255"/>
      <c r="L215" s="255"/>
    </row>
    <row r="216" spans="2:12" x14ac:dyDescent="0.35">
      <c r="B216" s="255"/>
      <c r="C216" s="255"/>
      <c r="D216" s="255"/>
      <c r="E216" s="255"/>
      <c r="F216" s="255"/>
      <c r="G216" s="255"/>
      <c r="H216" s="255"/>
      <c r="I216" s="255"/>
      <c r="J216" s="255"/>
      <c r="K216" s="255"/>
      <c r="L216" s="255"/>
    </row>
    <row r="217" spans="2:12" x14ac:dyDescent="0.35">
      <c r="B217" s="255"/>
      <c r="C217" s="255"/>
      <c r="D217" s="255"/>
      <c r="E217" s="255"/>
      <c r="F217" s="255"/>
      <c r="G217" s="255"/>
      <c r="H217" s="255"/>
      <c r="I217" s="255"/>
      <c r="J217" s="255"/>
      <c r="K217" s="255"/>
      <c r="L217" s="255"/>
    </row>
    <row r="218" spans="2:12" x14ac:dyDescent="0.35">
      <c r="B218" s="255"/>
      <c r="C218" s="255"/>
      <c r="D218" s="255"/>
      <c r="E218" s="255"/>
      <c r="F218" s="255"/>
      <c r="G218" s="255"/>
      <c r="H218" s="255"/>
      <c r="I218" s="255"/>
      <c r="J218" s="255"/>
      <c r="K218" s="255"/>
      <c r="L218" s="255"/>
    </row>
    <row r="219" spans="2:12" x14ac:dyDescent="0.35">
      <c r="B219" s="255"/>
      <c r="C219" s="255"/>
      <c r="D219" s="255"/>
      <c r="E219" s="255"/>
      <c r="F219" s="255"/>
      <c r="G219" s="255"/>
      <c r="H219" s="255"/>
      <c r="I219" s="255"/>
      <c r="J219" s="255"/>
      <c r="K219" s="255"/>
      <c r="L219" s="255"/>
    </row>
    <row r="220" spans="2:12" x14ac:dyDescent="0.35">
      <c r="B220" s="255"/>
      <c r="C220" s="255"/>
      <c r="D220" s="255"/>
      <c r="E220" s="255"/>
      <c r="F220" s="255"/>
      <c r="G220" s="255"/>
      <c r="H220" s="255"/>
      <c r="I220" s="255"/>
      <c r="J220" s="255"/>
      <c r="K220" s="255"/>
      <c r="L220" s="255"/>
    </row>
    <row r="221" spans="2:12" x14ac:dyDescent="0.35">
      <c r="B221" s="255"/>
      <c r="C221" s="255"/>
      <c r="D221" s="255"/>
      <c r="E221" s="255"/>
      <c r="F221" s="255"/>
      <c r="G221" s="255"/>
      <c r="H221" s="255"/>
      <c r="I221" s="255"/>
      <c r="J221" s="255"/>
      <c r="K221" s="255"/>
      <c r="L221" s="255"/>
    </row>
    <row r="222" spans="2:12" x14ac:dyDescent="0.35">
      <c r="B222" s="255"/>
      <c r="C222" s="255"/>
      <c r="D222" s="255"/>
      <c r="E222" s="255"/>
      <c r="F222" s="255"/>
      <c r="G222" s="255"/>
      <c r="H222" s="255"/>
      <c r="I222" s="255"/>
      <c r="J222" s="255"/>
      <c r="K222" s="255"/>
      <c r="L222" s="255"/>
    </row>
    <row r="223" spans="2:12" x14ac:dyDescent="0.35">
      <c r="B223" s="255"/>
      <c r="C223" s="255"/>
      <c r="D223" s="255"/>
      <c r="E223" s="255"/>
      <c r="F223" s="255"/>
      <c r="G223" s="255"/>
      <c r="H223" s="255"/>
      <c r="I223" s="255"/>
      <c r="J223" s="255"/>
      <c r="K223" s="255"/>
      <c r="L223" s="255"/>
    </row>
    <row r="224" spans="2:12" x14ac:dyDescent="0.35">
      <c r="B224" s="255"/>
      <c r="C224" s="255"/>
      <c r="D224" s="255"/>
      <c r="E224" s="255"/>
      <c r="F224" s="255"/>
      <c r="G224" s="255"/>
      <c r="H224" s="255"/>
      <c r="I224" s="255"/>
      <c r="J224" s="255"/>
      <c r="K224" s="255"/>
      <c r="L224" s="255"/>
    </row>
    <row r="225" spans="2:12" x14ac:dyDescent="0.35">
      <c r="B225" s="255"/>
      <c r="C225" s="255"/>
      <c r="D225" s="255"/>
      <c r="E225" s="255"/>
      <c r="F225" s="255"/>
      <c r="G225" s="255"/>
      <c r="H225" s="255"/>
      <c r="I225" s="255"/>
      <c r="J225" s="255"/>
      <c r="K225" s="255"/>
      <c r="L225" s="255"/>
    </row>
    <row r="226" spans="2:12" x14ac:dyDescent="0.35">
      <c r="B226" s="255"/>
      <c r="C226" s="255"/>
      <c r="D226" s="255"/>
      <c r="E226" s="255"/>
      <c r="F226" s="255"/>
      <c r="G226" s="255"/>
      <c r="H226" s="255"/>
      <c r="I226" s="255"/>
      <c r="J226" s="255"/>
      <c r="K226" s="255"/>
      <c r="L226" s="255"/>
    </row>
    <row r="227" spans="2:12" x14ac:dyDescent="0.35">
      <c r="B227" s="255"/>
      <c r="C227" s="255"/>
      <c r="D227" s="255"/>
      <c r="E227" s="255"/>
      <c r="F227" s="255"/>
      <c r="G227" s="255"/>
      <c r="H227" s="255"/>
      <c r="I227" s="255"/>
      <c r="J227" s="255"/>
      <c r="K227" s="255"/>
      <c r="L227" s="255"/>
    </row>
    <row r="228" spans="2:12" x14ac:dyDescent="0.35">
      <c r="B228" s="255"/>
      <c r="C228" s="255"/>
      <c r="D228" s="255"/>
      <c r="E228" s="255"/>
      <c r="F228" s="255"/>
      <c r="G228" s="255"/>
      <c r="H228" s="255"/>
      <c r="I228" s="255"/>
      <c r="J228" s="255"/>
      <c r="K228" s="255"/>
      <c r="L228" s="255"/>
    </row>
    <row r="229" spans="2:12" x14ac:dyDescent="0.35">
      <c r="B229" s="255"/>
      <c r="C229" s="255"/>
      <c r="D229" s="255"/>
      <c r="E229" s="255"/>
      <c r="F229" s="255"/>
      <c r="G229" s="255"/>
      <c r="H229" s="255"/>
      <c r="I229" s="255"/>
      <c r="J229" s="255"/>
      <c r="K229" s="255"/>
      <c r="L229" s="255"/>
    </row>
    <row r="230" spans="2:12" x14ac:dyDescent="0.35">
      <c r="B230" s="255"/>
      <c r="C230" s="255"/>
      <c r="D230" s="255"/>
      <c r="E230" s="255"/>
      <c r="F230" s="255"/>
      <c r="G230" s="255"/>
      <c r="H230" s="255"/>
      <c r="I230" s="255"/>
      <c r="J230" s="255"/>
      <c r="K230" s="255"/>
      <c r="L230" s="255"/>
    </row>
    <row r="231" spans="2:12" x14ac:dyDescent="0.35">
      <c r="B231" s="255"/>
      <c r="C231" s="255"/>
      <c r="D231" s="255"/>
      <c r="E231" s="255"/>
      <c r="F231" s="255"/>
      <c r="G231" s="255"/>
      <c r="H231" s="255"/>
      <c r="I231" s="255"/>
      <c r="J231" s="255"/>
      <c r="K231" s="255"/>
      <c r="L231" s="255"/>
    </row>
    <row r="232" spans="2:12" x14ac:dyDescent="0.35">
      <c r="B232" s="255"/>
      <c r="C232" s="255"/>
      <c r="D232" s="255"/>
      <c r="E232" s="255"/>
      <c r="F232" s="255"/>
      <c r="G232" s="255"/>
      <c r="H232" s="255"/>
      <c r="I232" s="255"/>
      <c r="J232" s="255"/>
      <c r="K232" s="255"/>
      <c r="L232" s="255"/>
    </row>
    <row r="233" spans="2:12" x14ac:dyDescent="0.35">
      <c r="B233" s="255"/>
      <c r="C233" s="255"/>
      <c r="D233" s="255"/>
      <c r="E233" s="255"/>
      <c r="F233" s="255"/>
      <c r="G233" s="255"/>
      <c r="H233" s="255"/>
      <c r="I233" s="255"/>
      <c r="J233" s="255"/>
      <c r="K233" s="255"/>
      <c r="L233" s="255"/>
    </row>
    <row r="234" spans="2:12" x14ac:dyDescent="0.35">
      <c r="B234" s="255"/>
      <c r="C234" s="255"/>
      <c r="D234" s="255"/>
      <c r="E234" s="255"/>
      <c r="F234" s="255"/>
      <c r="G234" s="255"/>
      <c r="H234" s="255"/>
      <c r="I234" s="255"/>
      <c r="J234" s="255"/>
      <c r="K234" s="255"/>
      <c r="L234" s="255"/>
    </row>
    <row r="235" spans="2:12" x14ac:dyDescent="0.35">
      <c r="B235" s="255"/>
      <c r="C235" s="255"/>
      <c r="D235" s="255"/>
      <c r="E235" s="255"/>
      <c r="F235" s="255"/>
      <c r="G235" s="255"/>
      <c r="H235" s="255"/>
      <c r="I235" s="255"/>
      <c r="J235" s="255"/>
      <c r="K235" s="255"/>
      <c r="L235" s="255"/>
    </row>
    <row r="236" spans="2:12" x14ac:dyDescent="0.35">
      <c r="B236" s="255"/>
      <c r="C236" s="255"/>
      <c r="D236" s="255"/>
      <c r="E236" s="255"/>
      <c r="F236" s="255"/>
      <c r="G236" s="255"/>
      <c r="H236" s="255"/>
      <c r="I236" s="255"/>
      <c r="J236" s="255"/>
      <c r="K236" s="255"/>
      <c r="L236" s="255"/>
    </row>
    <row r="237" spans="2:12" x14ac:dyDescent="0.35">
      <c r="B237" s="255"/>
      <c r="C237" s="255"/>
      <c r="D237" s="255"/>
      <c r="E237" s="255"/>
      <c r="F237" s="255"/>
      <c r="G237" s="255"/>
      <c r="H237" s="255"/>
      <c r="I237" s="255"/>
      <c r="J237" s="255"/>
      <c r="K237" s="255"/>
      <c r="L237" s="255"/>
    </row>
    <row r="238" spans="2:12" x14ac:dyDescent="0.35">
      <c r="B238" s="255"/>
      <c r="C238" s="255"/>
      <c r="D238" s="255"/>
      <c r="E238" s="255"/>
      <c r="F238" s="255"/>
      <c r="G238" s="255"/>
      <c r="H238" s="255"/>
      <c r="I238" s="255"/>
      <c r="J238" s="255"/>
      <c r="K238" s="255"/>
      <c r="L238" s="255"/>
    </row>
    <row r="239" spans="2:12" x14ac:dyDescent="0.35">
      <c r="B239" s="255"/>
      <c r="C239" s="255"/>
      <c r="D239" s="255"/>
      <c r="E239" s="255"/>
      <c r="F239" s="255"/>
      <c r="G239" s="255"/>
      <c r="H239" s="255"/>
      <c r="I239" s="255"/>
      <c r="J239" s="255"/>
      <c r="K239" s="255"/>
      <c r="L239" s="255"/>
    </row>
    <row r="240" spans="2:12" x14ac:dyDescent="0.35">
      <c r="B240" s="255"/>
      <c r="C240" s="255"/>
      <c r="D240" s="255"/>
      <c r="E240" s="255"/>
      <c r="F240" s="255"/>
      <c r="G240" s="255"/>
      <c r="H240" s="255"/>
      <c r="I240" s="255"/>
      <c r="J240" s="255"/>
      <c r="K240" s="255"/>
      <c r="L240" s="255"/>
    </row>
    <row r="241" spans="2:12" x14ac:dyDescent="0.35">
      <c r="B241" s="255"/>
      <c r="C241" s="255"/>
      <c r="D241" s="255"/>
      <c r="E241" s="255"/>
      <c r="F241" s="255"/>
      <c r="G241" s="255"/>
      <c r="H241" s="255"/>
      <c r="I241" s="255"/>
      <c r="J241" s="255"/>
      <c r="K241" s="255"/>
      <c r="L241" s="255"/>
    </row>
    <row r="242" spans="2:12" x14ac:dyDescent="0.35">
      <c r="B242" s="255"/>
      <c r="C242" s="255"/>
      <c r="D242" s="255"/>
      <c r="E242" s="255"/>
      <c r="F242" s="255"/>
      <c r="G242" s="255"/>
      <c r="H242" s="255"/>
      <c r="I242" s="255"/>
      <c r="J242" s="255"/>
      <c r="K242" s="255"/>
      <c r="L242" s="255"/>
    </row>
    <row r="243" spans="2:12" x14ac:dyDescent="0.35">
      <c r="B243" s="255"/>
      <c r="C243" s="255"/>
      <c r="D243" s="255"/>
      <c r="E243" s="255"/>
      <c r="F243" s="255"/>
      <c r="G243" s="255"/>
      <c r="H243" s="255"/>
      <c r="I243" s="255"/>
      <c r="J243" s="255"/>
      <c r="K243" s="255"/>
      <c r="L243" s="255"/>
    </row>
    <row r="244" spans="2:12" x14ac:dyDescent="0.35">
      <c r="B244" s="255"/>
      <c r="C244" s="255"/>
      <c r="D244" s="255"/>
      <c r="E244" s="255"/>
      <c r="F244" s="255"/>
      <c r="G244" s="255"/>
      <c r="H244" s="255"/>
      <c r="I244" s="255"/>
      <c r="J244" s="255"/>
      <c r="K244" s="255"/>
      <c r="L244" s="255"/>
    </row>
    <row r="245" spans="2:12" x14ac:dyDescent="0.35">
      <c r="B245" s="255"/>
      <c r="C245" s="255"/>
      <c r="D245" s="255"/>
      <c r="E245" s="255"/>
      <c r="F245" s="255"/>
      <c r="G245" s="255"/>
      <c r="H245" s="255"/>
      <c r="I245" s="255"/>
      <c r="J245" s="255"/>
      <c r="K245" s="255"/>
      <c r="L245" s="255"/>
    </row>
    <row r="246" spans="2:12" x14ac:dyDescent="0.35">
      <c r="B246" s="255"/>
      <c r="C246" s="255"/>
      <c r="D246" s="255"/>
      <c r="E246" s="255"/>
      <c r="F246" s="255"/>
      <c r="G246" s="255"/>
      <c r="H246" s="255"/>
      <c r="I246" s="255"/>
      <c r="J246" s="255"/>
      <c r="K246" s="255"/>
      <c r="L246" s="255"/>
    </row>
    <row r="247" spans="2:12" x14ac:dyDescent="0.35">
      <c r="B247" s="255"/>
      <c r="C247" s="255"/>
      <c r="D247" s="255"/>
      <c r="E247" s="255"/>
      <c r="F247" s="255"/>
      <c r="G247" s="255"/>
      <c r="H247" s="255"/>
      <c r="I247" s="255"/>
      <c r="J247" s="255"/>
      <c r="K247" s="255"/>
      <c r="L247" s="255"/>
    </row>
    <row r="248" spans="2:12" x14ac:dyDescent="0.35">
      <c r="B248" s="255"/>
      <c r="C248" s="255"/>
      <c r="D248" s="255"/>
      <c r="E248" s="255"/>
      <c r="F248" s="255"/>
      <c r="G248" s="255"/>
      <c r="H248" s="255"/>
      <c r="I248" s="255"/>
      <c r="J248" s="255"/>
      <c r="K248" s="255"/>
      <c r="L248" s="255"/>
    </row>
    <row r="249" spans="2:12" x14ac:dyDescent="0.35">
      <c r="B249" s="255"/>
      <c r="C249" s="255"/>
      <c r="D249" s="255"/>
      <c r="E249" s="255"/>
      <c r="F249" s="255"/>
      <c r="G249" s="255"/>
      <c r="H249" s="255"/>
      <c r="I249" s="255"/>
      <c r="J249" s="255"/>
      <c r="K249" s="255"/>
      <c r="L249" s="255"/>
    </row>
  </sheetData>
  <mergeCells count="10">
    <mergeCell ref="C5:E5"/>
    <mergeCell ref="C11:E11"/>
    <mergeCell ref="C10:E10"/>
    <mergeCell ref="C12:E12"/>
    <mergeCell ref="C15:C16"/>
    <mergeCell ref="D15:D16"/>
    <mergeCell ref="E15:E16"/>
    <mergeCell ref="C6:E6"/>
    <mergeCell ref="C7:E7"/>
    <mergeCell ref="C8:E8"/>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7D682-0BAA-45BC-825C-A467824E7A03}">
  <sheetPr>
    <tabColor rgb="FFFF0000"/>
  </sheetPr>
  <dimension ref="B1:H31"/>
  <sheetViews>
    <sheetView workbookViewId="0">
      <selection activeCell="H12" sqref="H12"/>
    </sheetView>
  </sheetViews>
  <sheetFormatPr defaultRowHeight="14.5" x14ac:dyDescent="0.35"/>
  <cols>
    <col min="1" max="1" width="3.81640625" customWidth="1"/>
    <col min="2" max="2" width="5.1796875" customWidth="1"/>
    <col min="3" max="3" width="55" customWidth="1"/>
    <col min="4" max="4" width="14.453125" customWidth="1"/>
    <col min="5" max="6" width="16" bestFit="1" customWidth="1"/>
    <col min="8" max="8" width="82" customWidth="1"/>
  </cols>
  <sheetData>
    <row r="1" spans="2:8" ht="18" x14ac:dyDescent="0.4">
      <c r="B1" s="255"/>
      <c r="C1" s="247" t="s">
        <v>270</v>
      </c>
      <c r="D1" s="255"/>
      <c r="E1" s="255"/>
      <c r="F1" s="255"/>
      <c r="G1" s="255"/>
    </row>
    <row r="2" spans="2:8" ht="18" x14ac:dyDescent="0.4">
      <c r="B2" s="255"/>
      <c r="C2" s="247" t="s">
        <v>523</v>
      </c>
      <c r="D2" s="255"/>
      <c r="E2" s="255"/>
      <c r="F2" s="255"/>
      <c r="G2" s="255"/>
    </row>
    <row r="3" spans="2:8" ht="18" x14ac:dyDescent="0.4">
      <c r="B3" s="255"/>
      <c r="C3" s="247" t="s">
        <v>516</v>
      </c>
      <c r="D3" s="255"/>
      <c r="E3" s="255"/>
      <c r="F3" s="255"/>
      <c r="G3" s="255"/>
    </row>
    <row r="4" spans="2:8" ht="15" customHeight="1" thickBot="1" x14ac:dyDescent="0.45">
      <c r="B4" s="255"/>
      <c r="C4" s="247"/>
      <c r="D4" s="255"/>
      <c r="E4" s="255"/>
      <c r="F4" s="255"/>
      <c r="G4" s="255"/>
    </row>
    <row r="5" spans="2:8" ht="24.65" customHeight="1" x14ac:dyDescent="0.35">
      <c r="B5" s="567" t="s">
        <v>607</v>
      </c>
      <c r="C5" s="568"/>
      <c r="D5" s="568"/>
      <c r="E5" s="568"/>
      <c r="F5" s="569"/>
      <c r="G5" s="255"/>
    </row>
    <row r="6" spans="2:8" ht="31.5" customHeight="1" x14ac:dyDescent="0.35">
      <c r="B6" s="450">
        <v>1</v>
      </c>
      <c r="C6" s="570" t="s">
        <v>572</v>
      </c>
      <c r="D6" s="571"/>
      <c r="E6" s="571"/>
      <c r="F6" s="572"/>
      <c r="G6" s="255"/>
    </row>
    <row r="7" spans="2:8" ht="43" customHeight="1" x14ac:dyDescent="0.35">
      <c r="B7" s="450">
        <v>2</v>
      </c>
      <c r="C7" s="539" t="s">
        <v>589</v>
      </c>
      <c r="D7" s="571"/>
      <c r="E7" s="571"/>
      <c r="F7" s="572"/>
      <c r="G7" s="255"/>
    </row>
    <row r="8" spans="2:8" ht="49" customHeight="1" x14ac:dyDescent="0.35">
      <c r="B8" s="450">
        <v>3</v>
      </c>
      <c r="C8" s="570" t="s">
        <v>635</v>
      </c>
      <c r="D8" s="571"/>
      <c r="E8" s="571"/>
      <c r="F8" s="572"/>
      <c r="G8" s="255"/>
    </row>
    <row r="9" spans="2:8" ht="63" customHeight="1" x14ac:dyDescent="0.35">
      <c r="B9" s="450">
        <v>4</v>
      </c>
      <c r="C9" s="570" t="s">
        <v>639</v>
      </c>
      <c r="D9" s="570"/>
      <c r="E9" s="570"/>
      <c r="F9" s="573"/>
      <c r="G9" s="255"/>
      <c r="H9" s="410"/>
    </row>
    <row r="10" spans="2:8" ht="45.75" customHeight="1" x14ac:dyDescent="0.35">
      <c r="B10" s="450">
        <v>5</v>
      </c>
      <c r="C10" s="570" t="s">
        <v>621</v>
      </c>
      <c r="D10" s="570"/>
      <c r="E10" s="570"/>
      <c r="F10" s="573"/>
      <c r="G10" s="255"/>
      <c r="H10" s="262"/>
    </row>
    <row r="11" spans="2:8" ht="50.25" customHeight="1" thickBot="1" x14ac:dyDescent="0.4">
      <c r="B11" s="451">
        <v>6</v>
      </c>
      <c r="C11" s="564" t="s">
        <v>622</v>
      </c>
      <c r="D11" s="565"/>
      <c r="E11" s="565"/>
      <c r="F11" s="566"/>
      <c r="G11" s="255"/>
      <c r="H11" s="262"/>
    </row>
    <row r="12" spans="2:8" ht="15" customHeight="1" x14ac:dyDescent="0.35">
      <c r="B12" s="255"/>
      <c r="C12" s="223"/>
      <c r="D12" s="255"/>
      <c r="E12" s="255"/>
      <c r="F12" s="255"/>
      <c r="G12" s="255"/>
    </row>
    <row r="13" spans="2:8" ht="15.5" x14ac:dyDescent="0.35">
      <c r="B13" s="255"/>
      <c r="C13" s="223"/>
      <c r="D13" s="492"/>
      <c r="E13" s="493"/>
      <c r="F13" s="493"/>
      <c r="G13" s="255"/>
    </row>
    <row r="14" spans="2:8" ht="15.5" x14ac:dyDescent="0.35">
      <c r="B14" s="255"/>
      <c r="C14" s="223"/>
      <c r="D14" s="255"/>
      <c r="E14" s="497" t="s">
        <v>418</v>
      </c>
      <c r="F14" s="255"/>
      <c r="G14" s="255"/>
    </row>
    <row r="15" spans="2:8" ht="15.5" x14ac:dyDescent="0.35">
      <c r="B15" s="255"/>
      <c r="C15" s="254" t="s">
        <v>636</v>
      </c>
      <c r="D15" s="255"/>
      <c r="E15" s="494">
        <v>45212644</v>
      </c>
      <c r="G15" s="255"/>
    </row>
    <row r="16" spans="2:8" ht="15.5" x14ac:dyDescent="0.35">
      <c r="B16" s="255"/>
      <c r="C16" s="254" t="s">
        <v>637</v>
      </c>
      <c r="D16" s="257">
        <v>0.1</v>
      </c>
      <c r="E16" s="496">
        <f>+E17-E15</f>
        <v>4521264</v>
      </c>
      <c r="G16" s="255"/>
    </row>
    <row r="17" spans="2:8" ht="15.5" x14ac:dyDescent="0.35">
      <c r="B17" s="255"/>
      <c r="C17" s="491" t="s">
        <v>638</v>
      </c>
      <c r="E17" s="259">
        <f>ROUND(E15*(1+D16),0)</f>
        <v>49733908</v>
      </c>
      <c r="G17" s="255"/>
    </row>
    <row r="18" spans="2:8" ht="15.5" x14ac:dyDescent="0.35">
      <c r="B18" s="255"/>
      <c r="C18" s="254" t="s">
        <v>542</v>
      </c>
      <c r="D18" s="255"/>
      <c r="E18" s="259">
        <f>+'2 NPR BY PAYOR'!E54</f>
        <v>53591000</v>
      </c>
      <c r="G18" s="255"/>
    </row>
    <row r="19" spans="2:8" ht="16" thickBot="1" x14ac:dyDescent="0.4">
      <c r="B19" s="255"/>
      <c r="C19" s="260" t="s">
        <v>515</v>
      </c>
      <c r="D19" s="255"/>
      <c r="E19" s="495">
        <f>+E17-E18</f>
        <v>-3857092</v>
      </c>
      <c r="G19" s="255"/>
    </row>
    <row r="20" spans="2:8" ht="15" thickTop="1" x14ac:dyDescent="0.35"/>
    <row r="21" spans="2:8" ht="16.5" x14ac:dyDescent="0.35">
      <c r="C21" s="264"/>
      <c r="H21" s="223"/>
    </row>
    <row r="22" spans="2:8" x14ac:dyDescent="0.35">
      <c r="C22" s="265"/>
    </row>
    <row r="23" spans="2:8" ht="16.5" x14ac:dyDescent="0.35">
      <c r="C23" s="264"/>
    </row>
    <row r="24" spans="2:8" x14ac:dyDescent="0.35">
      <c r="C24" s="265"/>
    </row>
    <row r="26" spans="2:8" x14ac:dyDescent="0.35">
      <c r="C26" s="265"/>
    </row>
    <row r="27" spans="2:8" ht="16.5" x14ac:dyDescent="0.35">
      <c r="C27" s="264"/>
    </row>
    <row r="28" spans="2:8" x14ac:dyDescent="0.35">
      <c r="C28" s="266"/>
    </row>
    <row r="29" spans="2:8" ht="16.5" x14ac:dyDescent="0.35">
      <c r="C29" s="267"/>
    </row>
    <row r="30" spans="2:8" ht="16.5" x14ac:dyDescent="0.35">
      <c r="C30" s="262"/>
    </row>
    <row r="31" spans="2:8" ht="17" x14ac:dyDescent="0.35">
      <c r="C31" s="263"/>
    </row>
  </sheetData>
  <mergeCells count="7">
    <mergeCell ref="C11:F11"/>
    <mergeCell ref="B5:F5"/>
    <mergeCell ref="C6:F6"/>
    <mergeCell ref="C7:F7"/>
    <mergeCell ref="C8:F8"/>
    <mergeCell ref="C9:F9"/>
    <mergeCell ref="C10:F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ACF08-0627-4220-BD70-8286BEEAF9E2}">
  <sheetPr>
    <tabColor rgb="FFFFFF00"/>
  </sheetPr>
  <dimension ref="B1:S94"/>
  <sheetViews>
    <sheetView workbookViewId="0">
      <selection activeCell="C12" sqref="C12"/>
    </sheetView>
  </sheetViews>
  <sheetFormatPr defaultColWidth="9.1796875" defaultRowHeight="15.5" x14ac:dyDescent="0.35"/>
  <cols>
    <col min="1" max="1" width="3.81640625" style="218" customWidth="1"/>
    <col min="2" max="2" width="3.54296875" style="218" customWidth="1"/>
    <col min="3" max="3" width="45.54296875" style="218" customWidth="1"/>
    <col min="4" max="5" width="14.54296875" style="219" bestFit="1" customWidth="1"/>
    <col min="6" max="7" width="15.26953125" style="219" bestFit="1" customWidth="1"/>
    <col min="8" max="13" width="14.54296875" style="219" bestFit="1" customWidth="1"/>
    <col min="14" max="14" width="14.54296875" style="219" hidden="1" customWidth="1"/>
    <col min="15" max="15" width="15.7265625" style="218" hidden="1" customWidth="1"/>
    <col min="16" max="16" width="15" style="220" customWidth="1"/>
    <col min="17" max="17" width="16.81640625" style="218" bestFit="1" customWidth="1"/>
    <col min="18" max="18" width="15.1796875" style="218" customWidth="1"/>
    <col min="19" max="19" width="15.54296875" style="218" customWidth="1"/>
    <col min="20" max="16384" width="9.1796875" style="218"/>
  </cols>
  <sheetData>
    <row r="1" spans="2:19" x14ac:dyDescent="0.35">
      <c r="B1" s="255"/>
      <c r="C1" s="270" t="s">
        <v>270</v>
      </c>
      <c r="D1" s="339"/>
      <c r="E1" s="339"/>
      <c r="F1" s="339"/>
      <c r="G1" s="339"/>
      <c r="H1" s="339"/>
      <c r="I1" s="339"/>
      <c r="J1" s="339"/>
      <c r="K1" s="339"/>
      <c r="L1" s="339"/>
      <c r="M1" s="339"/>
      <c r="N1" s="339"/>
      <c r="O1" s="255"/>
      <c r="P1" s="348"/>
      <c r="Q1" s="255"/>
      <c r="R1" s="255"/>
      <c r="S1" s="255"/>
    </row>
    <row r="2" spans="2:19" ht="18" x14ac:dyDescent="0.4">
      <c r="B2" s="247" t="s">
        <v>575</v>
      </c>
      <c r="C2" s="270" t="s">
        <v>574</v>
      </c>
      <c r="D2" s="339"/>
      <c r="E2" s="339"/>
      <c r="F2" s="339"/>
      <c r="G2" s="339"/>
      <c r="H2" s="339"/>
      <c r="I2" s="339"/>
      <c r="J2" s="339"/>
      <c r="K2" s="339"/>
      <c r="L2" s="339"/>
      <c r="M2" s="339"/>
      <c r="N2" s="339"/>
      <c r="O2" s="255"/>
      <c r="P2" s="348"/>
      <c r="Q2" s="255"/>
      <c r="R2" s="255"/>
      <c r="S2" s="255"/>
    </row>
    <row r="3" spans="2:19" x14ac:dyDescent="0.35">
      <c r="B3" s="255"/>
      <c r="C3" s="270" t="s">
        <v>482</v>
      </c>
      <c r="D3" s="339"/>
      <c r="E3" s="339"/>
      <c r="F3" s="339"/>
      <c r="G3" s="339"/>
      <c r="H3" s="339"/>
      <c r="I3" s="339"/>
      <c r="J3" s="339"/>
      <c r="K3" s="339"/>
      <c r="L3" s="339"/>
      <c r="M3" s="339"/>
      <c r="N3" s="339"/>
      <c r="O3" s="255"/>
      <c r="P3" s="348"/>
      <c r="Q3" s="255"/>
      <c r="R3" s="255"/>
      <c r="S3" s="255"/>
    </row>
    <row r="4" spans="2:19" ht="16" thickBot="1" x14ac:dyDescent="0.4">
      <c r="B4" s="255"/>
      <c r="C4" s="270"/>
      <c r="D4" s="339"/>
      <c r="E4" s="339"/>
      <c r="F4" s="339"/>
      <c r="G4" s="339"/>
      <c r="H4" s="339"/>
      <c r="I4" s="339"/>
      <c r="J4" s="339"/>
      <c r="K4" s="339"/>
      <c r="L4" s="339"/>
      <c r="M4" s="339"/>
      <c r="N4" s="339"/>
      <c r="O4" s="255"/>
      <c r="P4" s="348"/>
      <c r="Q4" s="255"/>
      <c r="R4" s="255"/>
      <c r="S4" s="255"/>
    </row>
    <row r="5" spans="2:19" ht="18" x14ac:dyDescent="0.35">
      <c r="B5" s="457"/>
      <c r="C5" s="576" t="s">
        <v>607</v>
      </c>
      <c r="D5" s="576"/>
      <c r="E5" s="576"/>
      <c r="F5" s="576"/>
      <c r="G5" s="576"/>
      <c r="H5" s="576"/>
      <c r="I5" s="576"/>
      <c r="J5" s="576"/>
      <c r="K5" s="577"/>
      <c r="L5" s="339"/>
      <c r="M5" s="339"/>
      <c r="N5" s="339"/>
      <c r="O5" s="255"/>
      <c r="P5" s="348"/>
      <c r="Q5" s="255"/>
      <c r="R5" s="255"/>
      <c r="S5" s="255"/>
    </row>
    <row r="6" spans="2:19" ht="15.65" customHeight="1" x14ac:dyDescent="0.35">
      <c r="B6" s="450">
        <v>1</v>
      </c>
      <c r="C6" s="539" t="s">
        <v>640</v>
      </c>
      <c r="D6" s="539"/>
      <c r="E6" s="539"/>
      <c r="F6" s="539"/>
      <c r="G6" s="539"/>
      <c r="H6" s="539"/>
      <c r="I6" s="539"/>
      <c r="J6" s="539"/>
      <c r="K6" s="540"/>
      <c r="L6" s="339"/>
      <c r="M6" s="339"/>
      <c r="N6" s="339"/>
      <c r="O6" s="255"/>
      <c r="P6" s="348"/>
      <c r="Q6" s="255"/>
      <c r="R6" s="255"/>
      <c r="S6" s="255"/>
    </row>
    <row r="7" spans="2:19" ht="16" thickBot="1" x14ac:dyDescent="0.4">
      <c r="B7" s="450">
        <v>2</v>
      </c>
      <c r="C7" s="539" t="s">
        <v>641</v>
      </c>
      <c r="D7" s="539"/>
      <c r="E7" s="539"/>
      <c r="F7" s="539"/>
      <c r="G7" s="539"/>
      <c r="H7" s="539"/>
      <c r="I7" s="539"/>
      <c r="J7" s="539"/>
      <c r="K7" s="540"/>
      <c r="L7" s="339"/>
      <c r="M7" s="339"/>
      <c r="N7" s="339"/>
      <c r="O7" s="255"/>
      <c r="P7" s="348"/>
      <c r="Q7" s="255"/>
      <c r="R7" s="255"/>
      <c r="S7" s="255"/>
    </row>
    <row r="8" spans="2:19" ht="34" customHeight="1" thickBot="1" x14ac:dyDescent="0.4">
      <c r="B8" s="451">
        <v>3</v>
      </c>
      <c r="C8" s="543" t="s">
        <v>623</v>
      </c>
      <c r="D8" s="543"/>
      <c r="E8" s="543"/>
      <c r="F8" s="543"/>
      <c r="G8" s="543"/>
      <c r="H8" s="543"/>
      <c r="I8" s="543"/>
      <c r="J8" s="543"/>
      <c r="K8" s="544"/>
      <c r="L8" s="339"/>
      <c r="M8" s="339"/>
      <c r="N8" s="339"/>
      <c r="O8" s="255"/>
      <c r="P8" s="348"/>
      <c r="Q8" s="255"/>
      <c r="R8" s="574" t="s">
        <v>576</v>
      </c>
      <c r="S8" s="575"/>
    </row>
    <row r="9" spans="2:19" x14ac:dyDescent="0.35">
      <c r="B9" s="255"/>
      <c r="C9" s="255"/>
      <c r="D9" s="339"/>
      <c r="E9" s="339"/>
      <c r="F9" s="339"/>
      <c r="G9" s="339"/>
      <c r="H9" s="339"/>
      <c r="I9" s="339"/>
      <c r="J9" s="339"/>
      <c r="K9" s="339"/>
      <c r="L9" s="339"/>
      <c r="M9" s="339"/>
      <c r="N9" s="339"/>
      <c r="O9" s="255"/>
      <c r="P9" s="348"/>
      <c r="Q9" s="255"/>
      <c r="R9" s="288"/>
      <c r="S9" s="349"/>
    </row>
    <row r="10" spans="2:19" x14ac:dyDescent="0.35">
      <c r="B10" s="255"/>
      <c r="C10" s="350" t="s">
        <v>460</v>
      </c>
      <c r="D10" s="351" t="s">
        <v>461</v>
      </c>
      <c r="E10" s="351" t="s">
        <v>462</v>
      </c>
      <c r="F10" s="351" t="s">
        <v>463</v>
      </c>
      <c r="G10" s="351" t="s">
        <v>464</v>
      </c>
      <c r="H10" s="351" t="s">
        <v>465</v>
      </c>
      <c r="I10" s="351" t="s">
        <v>466</v>
      </c>
      <c r="J10" s="351" t="s">
        <v>467</v>
      </c>
      <c r="K10" s="351" t="s">
        <v>468</v>
      </c>
      <c r="L10" s="351" t="s">
        <v>469</v>
      </c>
      <c r="M10" s="351" t="s">
        <v>470</v>
      </c>
      <c r="N10" s="351" t="s">
        <v>471</v>
      </c>
      <c r="O10" s="351" t="s">
        <v>472</v>
      </c>
      <c r="P10" s="351" t="s">
        <v>473</v>
      </c>
      <c r="Q10" s="352" t="s">
        <v>543</v>
      </c>
      <c r="R10" s="353" t="s">
        <v>481</v>
      </c>
      <c r="S10" s="354" t="s">
        <v>573</v>
      </c>
    </row>
    <row r="11" spans="2:19" x14ac:dyDescent="0.35">
      <c r="B11" s="255"/>
      <c r="C11" s="355" t="s">
        <v>474</v>
      </c>
      <c r="D11" s="356">
        <v>8209636.2000000002</v>
      </c>
      <c r="E11" s="356">
        <v>7909816.0400000019</v>
      </c>
      <c r="F11" s="356">
        <v>8152569.0199999986</v>
      </c>
      <c r="G11" s="356">
        <v>8366974.1000000006</v>
      </c>
      <c r="H11" s="356">
        <v>7339002.8500000006</v>
      </c>
      <c r="I11" s="357">
        <v>9117539.8200000003</v>
      </c>
      <c r="J11" s="357">
        <v>9147608.4700000007</v>
      </c>
      <c r="K11" s="357">
        <v>8611188.2499999981</v>
      </c>
      <c r="L11" s="357">
        <v>9524907.120000001</v>
      </c>
      <c r="M11" s="357">
        <v>9235394.0399999991</v>
      </c>
      <c r="N11" s="339"/>
      <c r="O11" s="339"/>
      <c r="P11" s="348">
        <f>SUM(D11:O11)</f>
        <v>85614635.909999996</v>
      </c>
      <c r="Q11" s="358">
        <f>ROUND(+P11/10,0)</f>
        <v>8561464</v>
      </c>
      <c r="R11" s="359">
        <f>SUM(I11:M11)</f>
        <v>45636637.699999996</v>
      </c>
      <c r="S11" s="360">
        <f>ROUND(+R11/5,0)</f>
        <v>9127328</v>
      </c>
    </row>
    <row r="12" spans="2:19" x14ac:dyDescent="0.35">
      <c r="B12" s="255"/>
      <c r="C12" s="355" t="s">
        <v>475</v>
      </c>
      <c r="D12" s="339">
        <v>3416681.9800000014</v>
      </c>
      <c r="E12" s="339">
        <v>3335168.0500000017</v>
      </c>
      <c r="F12" s="339">
        <v>4254259.3099999987</v>
      </c>
      <c r="G12" s="339">
        <v>3140057.4000000004</v>
      </c>
      <c r="H12" s="339">
        <v>3473175.0100000012</v>
      </c>
      <c r="I12" s="361">
        <v>3682802.2100000009</v>
      </c>
      <c r="J12" s="361">
        <v>5071898.67</v>
      </c>
      <c r="K12" s="361">
        <v>3888964.9599999981</v>
      </c>
      <c r="L12" s="361">
        <v>4045944.9800000004</v>
      </c>
      <c r="M12" s="361">
        <v>4387087.7799999993</v>
      </c>
      <c r="N12" s="339"/>
      <c r="O12" s="339"/>
      <c r="P12" s="348">
        <f>SUM(D12:O12)</f>
        <v>38696040.350000001</v>
      </c>
      <c r="Q12" s="358">
        <f>ROUND(+P12/10,0)</f>
        <v>3869604</v>
      </c>
      <c r="R12" s="359">
        <f>SUM(I12:M12)</f>
        <v>21076698.600000001</v>
      </c>
      <c r="S12" s="360">
        <f>ROUND(+R12/5,0)</f>
        <v>4215340</v>
      </c>
    </row>
    <row r="13" spans="2:19" x14ac:dyDescent="0.35">
      <c r="B13" s="255"/>
      <c r="C13" s="355"/>
      <c r="D13" s="339"/>
      <c r="E13" s="339"/>
      <c r="F13" s="339"/>
      <c r="G13" s="339"/>
      <c r="H13" s="339"/>
      <c r="I13" s="339"/>
      <c r="J13" s="339"/>
      <c r="K13" s="339"/>
      <c r="L13" s="339"/>
      <c r="M13" s="339"/>
      <c r="N13" s="339"/>
      <c r="O13" s="339"/>
      <c r="P13" s="348"/>
      <c r="Q13" s="258"/>
      <c r="R13" s="288"/>
      <c r="S13" s="349"/>
    </row>
    <row r="14" spans="2:19" x14ac:dyDescent="0.35">
      <c r="B14" s="255"/>
      <c r="C14" s="362" t="s">
        <v>476</v>
      </c>
      <c r="D14" s="363"/>
      <c r="E14" s="363"/>
      <c r="F14" s="363">
        <v>642145</v>
      </c>
      <c r="G14" s="363"/>
      <c r="H14" s="363"/>
      <c r="I14" s="363"/>
      <c r="J14" s="363">
        <f>599647-250000</f>
        <v>349647</v>
      </c>
      <c r="K14" s="363"/>
      <c r="L14" s="363"/>
      <c r="M14" s="363">
        <v>500000</v>
      </c>
      <c r="N14" s="363"/>
      <c r="O14" s="363"/>
      <c r="P14" s="364">
        <f>SUM(D14:O14)</f>
        <v>1491792</v>
      </c>
      <c r="Q14" s="365"/>
      <c r="R14" s="366">
        <f t="shared" ref="R14:R15" si="0">SUM(I14:M14)</f>
        <v>849647</v>
      </c>
      <c r="S14" s="367"/>
    </row>
    <row r="15" spans="2:19" x14ac:dyDescent="0.35">
      <c r="B15" s="255"/>
      <c r="C15" s="362" t="s">
        <v>477</v>
      </c>
      <c r="D15" s="363"/>
      <c r="E15" s="363"/>
      <c r="F15" s="363"/>
      <c r="G15" s="363"/>
      <c r="H15" s="363"/>
      <c r="I15" s="363"/>
      <c r="J15" s="363">
        <v>767842</v>
      </c>
      <c r="K15" s="363"/>
      <c r="L15" s="363"/>
      <c r="M15" s="363"/>
      <c r="N15" s="363"/>
      <c r="O15" s="363"/>
      <c r="P15" s="364">
        <f>SUM(D15:O15)</f>
        <v>767842</v>
      </c>
      <c r="Q15" s="365"/>
      <c r="R15" s="366">
        <f t="shared" si="0"/>
        <v>767842</v>
      </c>
      <c r="S15" s="367"/>
    </row>
    <row r="16" spans="2:19" x14ac:dyDescent="0.35">
      <c r="B16" s="255"/>
      <c r="C16" s="355"/>
      <c r="D16" s="339"/>
      <c r="E16" s="339"/>
      <c r="F16" s="339"/>
      <c r="G16" s="339"/>
      <c r="H16" s="339"/>
      <c r="I16" s="339"/>
      <c r="J16" s="339"/>
      <c r="K16" s="339"/>
      <c r="L16" s="339"/>
      <c r="M16" s="339"/>
      <c r="N16" s="339"/>
      <c r="O16" s="339"/>
      <c r="P16" s="348"/>
      <c r="Q16" s="258"/>
      <c r="R16" s="288"/>
      <c r="S16" s="349"/>
    </row>
    <row r="17" spans="2:19" x14ac:dyDescent="0.35">
      <c r="B17" s="255"/>
      <c r="C17" s="355"/>
      <c r="D17" s="339"/>
      <c r="E17" s="339"/>
      <c r="F17" s="339"/>
      <c r="G17" s="339"/>
      <c r="H17" s="339"/>
      <c r="I17" s="339"/>
      <c r="J17" s="339"/>
      <c r="K17" s="339"/>
      <c r="L17" s="339"/>
      <c r="M17" s="339"/>
      <c r="N17" s="339"/>
      <c r="O17" s="339"/>
      <c r="P17" s="348"/>
      <c r="Q17" s="258"/>
      <c r="R17" s="288"/>
      <c r="S17" s="349"/>
    </row>
    <row r="18" spans="2:19" x14ac:dyDescent="0.35">
      <c r="B18" s="255"/>
      <c r="C18" s="350" t="s">
        <v>478</v>
      </c>
      <c r="D18" s="351" t="s">
        <v>461</v>
      </c>
      <c r="E18" s="351" t="s">
        <v>462</v>
      </c>
      <c r="F18" s="351" t="s">
        <v>463</v>
      </c>
      <c r="G18" s="351" t="s">
        <v>464</v>
      </c>
      <c r="H18" s="351" t="s">
        <v>465</v>
      </c>
      <c r="I18" s="351" t="s">
        <v>466</v>
      </c>
      <c r="J18" s="351" t="s">
        <v>467</v>
      </c>
      <c r="K18" s="351" t="s">
        <v>468</v>
      </c>
      <c r="L18" s="351" t="s">
        <v>469</v>
      </c>
      <c r="M18" s="351" t="s">
        <v>470</v>
      </c>
      <c r="N18" s="351" t="s">
        <v>471</v>
      </c>
      <c r="O18" s="351" t="s">
        <v>472</v>
      </c>
      <c r="P18" s="351" t="s">
        <v>473</v>
      </c>
      <c r="Q18" s="352" t="s">
        <v>543</v>
      </c>
      <c r="R18" s="353" t="s">
        <v>481</v>
      </c>
      <c r="S18" s="354" t="s">
        <v>573</v>
      </c>
    </row>
    <row r="19" spans="2:19" x14ac:dyDescent="0.35">
      <c r="B19" s="255"/>
      <c r="C19" s="255" t="s">
        <v>474</v>
      </c>
      <c r="D19" s="339">
        <v>9103245.8500000015</v>
      </c>
      <c r="E19" s="339">
        <v>8086083.6300000008</v>
      </c>
      <c r="F19" s="339">
        <v>8409375.0800000019</v>
      </c>
      <c r="G19" s="339">
        <v>9746099.9300000016</v>
      </c>
      <c r="H19" s="339">
        <v>8809633.7399999984</v>
      </c>
      <c r="I19" s="339">
        <v>7396883.7600000016</v>
      </c>
      <c r="J19" s="339">
        <v>5172054.99</v>
      </c>
      <c r="K19" s="339">
        <v>6059671.7100000009</v>
      </c>
      <c r="L19" s="339">
        <v>7302886.6100000013</v>
      </c>
      <c r="M19" s="339">
        <v>7656994.5</v>
      </c>
      <c r="N19" s="339"/>
      <c r="O19" s="339"/>
      <c r="P19" s="348">
        <f>SUM(D19:O19)</f>
        <v>77742929.800000012</v>
      </c>
      <c r="Q19" s="358">
        <f>ROUND(P19/10,0)</f>
        <v>7774293</v>
      </c>
      <c r="R19" s="359">
        <f>SUM(I19:M19)</f>
        <v>33588491.57</v>
      </c>
      <c r="S19" s="360">
        <f>ROUND(+R19/5,0)</f>
        <v>6717698</v>
      </c>
    </row>
    <row r="20" spans="2:19" x14ac:dyDescent="0.35">
      <c r="B20" s="255"/>
      <c r="C20" s="255" t="s">
        <v>475</v>
      </c>
      <c r="D20" s="339">
        <v>4367152.9100000029</v>
      </c>
      <c r="E20" s="339">
        <v>3533126.7600000016</v>
      </c>
      <c r="F20" s="339">
        <v>4053444.2200000025</v>
      </c>
      <c r="G20" s="339">
        <v>4494660.6300000018</v>
      </c>
      <c r="H20" s="339">
        <v>3620447.1999999974</v>
      </c>
      <c r="I20" s="339">
        <v>3062817.3900000015</v>
      </c>
      <c r="J20" s="339">
        <v>1861999.8100000005</v>
      </c>
      <c r="K20" s="339">
        <v>2022380.4000000004</v>
      </c>
      <c r="L20" s="339">
        <v>3108014.5100000016</v>
      </c>
      <c r="M20" s="339">
        <v>3267335.3600000003</v>
      </c>
      <c r="N20" s="339"/>
      <c r="O20" s="339"/>
      <c r="P20" s="348">
        <f>SUM(D20:O20)</f>
        <v>33391379.190000009</v>
      </c>
      <c r="Q20" s="358">
        <f>ROUND(P20/10,0)</f>
        <v>3339138</v>
      </c>
      <c r="R20" s="359">
        <f>SUM(I20:M20)</f>
        <v>13322547.470000003</v>
      </c>
      <c r="S20" s="360">
        <f>ROUND(+R20/5,0)</f>
        <v>2664509</v>
      </c>
    </row>
    <row r="21" spans="2:19" x14ac:dyDescent="0.35">
      <c r="B21" s="255"/>
      <c r="C21" s="255"/>
      <c r="D21" s="339"/>
      <c r="E21" s="339"/>
      <c r="F21" s="339"/>
      <c r="G21" s="339"/>
      <c r="H21" s="339"/>
      <c r="I21" s="339"/>
      <c r="J21" s="339"/>
      <c r="K21" s="339"/>
      <c r="L21" s="339"/>
      <c r="M21" s="339"/>
      <c r="N21" s="339"/>
      <c r="O21" s="339"/>
      <c r="P21" s="348"/>
      <c r="Q21" s="258"/>
      <c r="R21" s="288"/>
      <c r="S21" s="349"/>
    </row>
    <row r="22" spans="2:19" x14ac:dyDescent="0.35">
      <c r="B22" s="255"/>
      <c r="C22" s="365" t="s">
        <v>477</v>
      </c>
      <c r="D22" s="363"/>
      <c r="E22" s="363"/>
      <c r="F22" s="363"/>
      <c r="G22" s="363"/>
      <c r="H22" s="363"/>
      <c r="I22" s="363"/>
      <c r="J22" s="363"/>
      <c r="K22" s="363"/>
      <c r="L22" s="363"/>
      <c r="M22" s="363"/>
      <c r="N22" s="363"/>
      <c r="O22" s="363"/>
      <c r="P22" s="363"/>
      <c r="Q22" s="363"/>
      <c r="R22" s="368"/>
      <c r="S22" s="369"/>
    </row>
    <row r="23" spans="2:19" x14ac:dyDescent="0.35">
      <c r="B23" s="255"/>
      <c r="C23" s="255"/>
      <c r="D23" s="339"/>
      <c r="E23" s="339"/>
      <c r="F23" s="339"/>
      <c r="G23" s="339"/>
      <c r="H23" s="339"/>
      <c r="I23" s="339"/>
      <c r="J23" s="339"/>
      <c r="K23" s="339"/>
      <c r="L23" s="339"/>
      <c r="M23" s="339"/>
      <c r="N23" s="339"/>
      <c r="O23" s="339"/>
      <c r="P23" s="348"/>
      <c r="Q23" s="258"/>
      <c r="R23" s="288"/>
      <c r="S23" s="349"/>
    </row>
    <row r="24" spans="2:19" x14ac:dyDescent="0.35">
      <c r="B24" s="255"/>
      <c r="C24" s="255" t="s">
        <v>479</v>
      </c>
      <c r="D24" s="339">
        <f>+D11-D19</f>
        <v>-893609.6500000013</v>
      </c>
      <c r="E24" s="339">
        <f t="shared" ref="E24:M25" si="1">+E11-E19</f>
        <v>-176267.58999999892</v>
      </c>
      <c r="F24" s="339">
        <f t="shared" si="1"/>
        <v>-256806.06000000332</v>
      </c>
      <c r="G24" s="339">
        <f t="shared" si="1"/>
        <v>-1379125.830000001</v>
      </c>
      <c r="H24" s="339">
        <f t="shared" si="1"/>
        <v>-1470630.8899999978</v>
      </c>
      <c r="I24" s="361">
        <f t="shared" si="1"/>
        <v>1720656.0599999987</v>
      </c>
      <c r="J24" s="361">
        <f t="shared" si="1"/>
        <v>3975553.4800000004</v>
      </c>
      <c r="K24" s="361">
        <f t="shared" si="1"/>
        <v>2551516.5399999972</v>
      </c>
      <c r="L24" s="361">
        <f t="shared" si="1"/>
        <v>2222020.5099999998</v>
      </c>
      <c r="M24" s="361">
        <f t="shared" si="1"/>
        <v>1578399.5399999991</v>
      </c>
      <c r="N24" s="339"/>
      <c r="O24" s="339"/>
      <c r="P24" s="348">
        <f>SUM(D24:O24)</f>
        <v>7871706.1099999929</v>
      </c>
      <c r="Q24" s="269">
        <f t="shared" ref="Q24:S25" si="2">+Q11-Q19</f>
        <v>787171</v>
      </c>
      <c r="R24" s="370">
        <f t="shared" si="2"/>
        <v>12048146.129999995</v>
      </c>
      <c r="S24" s="371">
        <f t="shared" si="2"/>
        <v>2409630</v>
      </c>
    </row>
    <row r="25" spans="2:19" ht="16" thickBot="1" x14ac:dyDescent="0.4">
      <c r="B25" s="255"/>
      <c r="C25" s="255" t="s">
        <v>480</v>
      </c>
      <c r="D25" s="339">
        <f>+D12-D20</f>
        <v>-950470.93000000156</v>
      </c>
      <c r="E25" s="339">
        <f t="shared" si="1"/>
        <v>-197958.70999999996</v>
      </c>
      <c r="F25" s="339">
        <f t="shared" si="1"/>
        <v>200815.08999999613</v>
      </c>
      <c r="G25" s="339">
        <f t="shared" si="1"/>
        <v>-1354603.2300000014</v>
      </c>
      <c r="H25" s="339">
        <f t="shared" si="1"/>
        <v>-147272.18999999622</v>
      </c>
      <c r="I25" s="361">
        <f t="shared" si="1"/>
        <v>619984.81999999937</v>
      </c>
      <c r="J25" s="361">
        <f t="shared" si="1"/>
        <v>3209898.8599999994</v>
      </c>
      <c r="K25" s="361">
        <f t="shared" si="1"/>
        <v>1866584.5599999977</v>
      </c>
      <c r="L25" s="361">
        <f t="shared" si="1"/>
        <v>937930.46999999881</v>
      </c>
      <c r="M25" s="361">
        <f t="shared" si="1"/>
        <v>1119752.419999999</v>
      </c>
      <c r="N25" s="339"/>
      <c r="O25" s="339"/>
      <c r="P25" s="348">
        <f>SUM(D25:O25)</f>
        <v>5304661.1599999908</v>
      </c>
      <c r="Q25" s="269">
        <f t="shared" si="2"/>
        <v>530466</v>
      </c>
      <c r="R25" s="372">
        <f t="shared" si="2"/>
        <v>7754151.129999999</v>
      </c>
      <c r="S25" s="373">
        <f t="shared" si="2"/>
        <v>1550831</v>
      </c>
    </row>
    <row r="26" spans="2:19" x14ac:dyDescent="0.35">
      <c r="B26" s="255"/>
      <c r="C26" s="255"/>
      <c r="D26" s="339"/>
      <c r="E26" s="339"/>
      <c r="F26" s="339"/>
      <c r="G26" s="339"/>
      <c r="H26" s="339"/>
      <c r="I26" s="339"/>
      <c r="J26" s="339"/>
      <c r="K26" s="339"/>
      <c r="L26" s="339"/>
      <c r="M26" s="339"/>
      <c r="N26" s="339"/>
      <c r="O26" s="255"/>
      <c r="P26" s="348"/>
      <c r="Q26" s="255"/>
      <c r="R26" s="258"/>
      <c r="S26" s="255"/>
    </row>
    <row r="27" spans="2:19" x14ac:dyDescent="0.35">
      <c r="B27" s="255"/>
      <c r="C27" s="255"/>
      <c r="D27" s="374"/>
      <c r="E27" s="374"/>
      <c r="F27" s="374"/>
      <c r="G27" s="374"/>
      <c r="H27" s="374"/>
      <c r="I27" s="374"/>
      <c r="J27" s="374"/>
      <c r="K27" s="374"/>
      <c r="L27" s="374"/>
      <c r="M27" s="374"/>
      <c r="N27" s="339"/>
      <c r="O27" s="255"/>
      <c r="P27" s="348"/>
      <c r="Q27" s="255"/>
      <c r="R27" s="255"/>
      <c r="S27" s="255"/>
    </row>
    <row r="28" spans="2:19" x14ac:dyDescent="0.35">
      <c r="B28" s="255"/>
      <c r="C28" s="255"/>
      <c r="D28" s="374"/>
      <c r="E28" s="374"/>
      <c r="F28" s="374"/>
      <c r="G28" s="374"/>
      <c r="H28" s="374"/>
      <c r="I28" s="374"/>
      <c r="J28" s="374"/>
      <c r="K28" s="374"/>
      <c r="L28" s="374"/>
      <c r="M28" s="374"/>
      <c r="N28" s="339"/>
      <c r="O28" s="255"/>
      <c r="P28" s="348"/>
      <c r="Q28" s="255"/>
      <c r="R28" s="255"/>
      <c r="S28" s="255"/>
    </row>
    <row r="29" spans="2:19" x14ac:dyDescent="0.35">
      <c r="B29" s="255"/>
      <c r="C29" s="255"/>
      <c r="D29" s="339"/>
      <c r="E29" s="339"/>
      <c r="F29" s="339"/>
      <c r="G29" s="339"/>
      <c r="H29" s="339"/>
      <c r="I29" s="339"/>
      <c r="J29" s="339"/>
      <c r="K29" s="339"/>
      <c r="L29" s="339"/>
      <c r="M29" s="339"/>
      <c r="N29" s="339"/>
      <c r="O29" s="255"/>
      <c r="P29" s="348"/>
      <c r="Q29" s="255"/>
      <c r="R29" s="255"/>
      <c r="S29" s="255"/>
    </row>
    <row r="30" spans="2:19" x14ac:dyDescent="0.35">
      <c r="B30" s="255"/>
      <c r="C30" s="255"/>
      <c r="D30" s="339"/>
      <c r="E30" s="339"/>
      <c r="F30" s="339"/>
      <c r="G30" s="339"/>
      <c r="H30" s="339"/>
      <c r="I30" s="339"/>
      <c r="J30" s="339"/>
      <c r="K30" s="339"/>
      <c r="L30" s="339"/>
      <c r="M30" s="339"/>
      <c r="N30" s="339"/>
      <c r="O30" s="255"/>
      <c r="P30" s="348"/>
      <c r="Q30" s="255"/>
      <c r="R30" s="255"/>
      <c r="S30" s="255"/>
    </row>
    <row r="31" spans="2:19" x14ac:dyDescent="0.35">
      <c r="B31" s="255"/>
      <c r="C31" s="255"/>
      <c r="D31" s="339"/>
      <c r="E31" s="339"/>
      <c r="F31" s="339"/>
      <c r="G31" s="339"/>
      <c r="H31" s="339"/>
      <c r="I31" s="339"/>
      <c r="J31" s="339"/>
      <c r="K31" s="339"/>
      <c r="L31" s="339"/>
      <c r="M31" s="339"/>
      <c r="N31" s="339"/>
      <c r="O31" s="255"/>
      <c r="P31" s="348"/>
      <c r="Q31" s="255"/>
      <c r="R31" s="255"/>
      <c r="S31" s="255"/>
    </row>
    <row r="32" spans="2:19" x14ac:dyDescent="0.35">
      <c r="B32" s="255"/>
      <c r="C32" s="255"/>
      <c r="D32" s="339"/>
      <c r="E32" s="339"/>
      <c r="F32" s="339"/>
      <c r="G32" s="339"/>
      <c r="H32" s="339"/>
      <c r="I32" s="339"/>
      <c r="J32" s="339"/>
      <c r="K32" s="339"/>
      <c r="L32" s="339"/>
      <c r="M32" s="339"/>
      <c r="N32" s="339"/>
      <c r="O32" s="255"/>
      <c r="P32" s="348"/>
      <c r="Q32" s="255"/>
      <c r="R32" s="255"/>
      <c r="S32" s="255"/>
    </row>
    <row r="33" spans="2:19" x14ac:dyDescent="0.35">
      <c r="B33" s="255"/>
      <c r="C33" s="255"/>
      <c r="D33" s="339"/>
      <c r="E33" s="339"/>
      <c r="F33" s="339"/>
      <c r="G33" s="339"/>
      <c r="H33" s="339"/>
      <c r="I33" s="339"/>
      <c r="J33" s="339"/>
      <c r="K33" s="339"/>
      <c r="L33" s="339"/>
      <c r="M33" s="339"/>
      <c r="N33" s="339"/>
      <c r="O33" s="255"/>
      <c r="P33" s="348"/>
      <c r="Q33" s="255"/>
      <c r="R33" s="255"/>
      <c r="S33" s="255"/>
    </row>
    <row r="34" spans="2:19" x14ac:dyDescent="0.35">
      <c r="B34" s="255"/>
      <c r="C34" s="255"/>
      <c r="D34" s="339"/>
      <c r="E34" s="339"/>
      <c r="F34" s="339"/>
      <c r="G34" s="339"/>
      <c r="H34" s="339"/>
      <c r="I34" s="339"/>
      <c r="J34" s="339"/>
      <c r="K34" s="339"/>
      <c r="L34" s="339"/>
      <c r="M34" s="339"/>
      <c r="N34" s="339"/>
      <c r="O34" s="255"/>
      <c r="P34" s="348"/>
      <c r="Q34" s="255"/>
      <c r="R34" s="255"/>
      <c r="S34" s="255"/>
    </row>
    <row r="35" spans="2:19" x14ac:dyDescent="0.35">
      <c r="B35" s="255"/>
      <c r="C35" s="255"/>
      <c r="D35" s="339"/>
      <c r="E35" s="339"/>
      <c r="F35" s="339"/>
      <c r="G35" s="339"/>
      <c r="H35" s="339"/>
      <c r="I35" s="339"/>
      <c r="J35" s="339"/>
      <c r="K35" s="339"/>
      <c r="L35" s="339"/>
      <c r="M35" s="339"/>
      <c r="N35" s="339"/>
      <c r="O35" s="255"/>
      <c r="P35" s="348"/>
      <c r="Q35" s="255"/>
      <c r="R35" s="255"/>
      <c r="S35" s="255"/>
    </row>
    <row r="36" spans="2:19" x14ac:dyDescent="0.35">
      <c r="B36" s="255"/>
      <c r="C36" s="255"/>
      <c r="D36" s="339"/>
      <c r="E36" s="339"/>
      <c r="F36" s="339"/>
      <c r="G36" s="339"/>
      <c r="H36" s="339"/>
      <c r="I36" s="339"/>
      <c r="J36" s="339"/>
      <c r="K36" s="339"/>
      <c r="L36" s="339"/>
      <c r="M36" s="339"/>
      <c r="N36" s="339"/>
      <c r="O36" s="255"/>
      <c r="P36" s="348"/>
      <c r="Q36" s="255"/>
      <c r="R36" s="255"/>
      <c r="S36" s="255"/>
    </row>
    <row r="37" spans="2:19" x14ac:dyDescent="0.35">
      <c r="B37" s="255"/>
      <c r="C37" s="255"/>
      <c r="D37" s="339"/>
      <c r="E37" s="339"/>
      <c r="F37" s="339"/>
      <c r="G37" s="339"/>
      <c r="H37" s="339"/>
      <c r="I37" s="339"/>
      <c r="J37" s="339"/>
      <c r="K37" s="339"/>
      <c r="L37" s="339"/>
      <c r="M37" s="339"/>
      <c r="N37" s="339"/>
      <c r="O37" s="255"/>
      <c r="P37" s="348"/>
      <c r="Q37" s="255"/>
      <c r="R37" s="255"/>
      <c r="S37" s="255"/>
    </row>
    <row r="38" spans="2:19" x14ac:dyDescent="0.35">
      <c r="B38" s="255"/>
      <c r="C38" s="255"/>
      <c r="D38" s="339"/>
      <c r="E38" s="339"/>
      <c r="F38" s="339"/>
      <c r="G38" s="339"/>
      <c r="H38" s="339"/>
      <c r="I38" s="339"/>
      <c r="J38" s="339"/>
      <c r="K38" s="339"/>
      <c r="L38" s="339"/>
      <c r="M38" s="339"/>
      <c r="N38" s="339"/>
      <c r="O38" s="255"/>
      <c r="P38" s="348"/>
      <c r="Q38" s="255"/>
      <c r="R38" s="255"/>
      <c r="S38" s="255"/>
    </row>
    <row r="39" spans="2:19" x14ac:dyDescent="0.35">
      <c r="B39" s="255"/>
      <c r="C39" s="255"/>
      <c r="D39" s="339"/>
      <c r="E39" s="339"/>
      <c r="F39" s="339"/>
      <c r="G39" s="339"/>
      <c r="H39" s="339"/>
      <c r="I39" s="339"/>
      <c r="J39" s="339"/>
      <c r="K39" s="339"/>
      <c r="L39" s="339"/>
      <c r="M39" s="339"/>
      <c r="N39" s="339"/>
      <c r="O39" s="255"/>
      <c r="P39" s="348"/>
      <c r="Q39" s="255"/>
      <c r="R39" s="255"/>
      <c r="S39" s="255"/>
    </row>
    <row r="40" spans="2:19" x14ac:dyDescent="0.35">
      <c r="B40" s="255"/>
      <c r="C40" s="255"/>
      <c r="D40" s="339"/>
      <c r="E40" s="339"/>
      <c r="F40" s="339"/>
      <c r="G40" s="339"/>
      <c r="H40" s="339"/>
      <c r="I40" s="339"/>
      <c r="J40" s="339"/>
      <c r="K40" s="339"/>
      <c r="L40" s="339"/>
      <c r="M40" s="339"/>
      <c r="N40" s="339"/>
      <c r="O40" s="255"/>
      <c r="P40" s="348"/>
      <c r="Q40" s="255"/>
      <c r="R40" s="255"/>
      <c r="S40" s="255"/>
    </row>
    <row r="41" spans="2:19" x14ac:dyDescent="0.35">
      <c r="B41" s="255"/>
      <c r="C41" s="255"/>
      <c r="D41" s="339"/>
      <c r="E41" s="339"/>
      <c r="F41" s="339"/>
      <c r="G41" s="339"/>
      <c r="H41" s="339"/>
      <c r="I41" s="339"/>
      <c r="J41" s="339"/>
      <c r="K41" s="339"/>
      <c r="L41" s="339"/>
      <c r="M41" s="339"/>
      <c r="N41" s="339"/>
      <c r="O41" s="255"/>
      <c r="P41" s="348"/>
      <c r="Q41" s="255"/>
      <c r="R41" s="255"/>
      <c r="S41" s="255"/>
    </row>
    <row r="42" spans="2:19" x14ac:dyDescent="0.35">
      <c r="B42" s="255"/>
      <c r="C42" s="255"/>
      <c r="D42" s="339"/>
      <c r="E42" s="339"/>
      <c r="F42" s="339"/>
      <c r="G42" s="339"/>
      <c r="H42" s="339"/>
      <c r="I42" s="339"/>
      <c r="J42" s="339"/>
      <c r="K42" s="339"/>
      <c r="L42" s="339"/>
      <c r="M42" s="339"/>
      <c r="N42" s="339"/>
      <c r="O42" s="255"/>
      <c r="P42" s="348"/>
      <c r="Q42" s="255"/>
      <c r="R42" s="255"/>
      <c r="S42" s="255"/>
    </row>
    <row r="43" spans="2:19" x14ac:dyDescent="0.35">
      <c r="B43" s="255"/>
      <c r="C43" s="255"/>
      <c r="D43" s="339"/>
      <c r="E43" s="339"/>
      <c r="F43" s="339"/>
      <c r="G43" s="339"/>
      <c r="H43" s="339"/>
      <c r="I43" s="339"/>
      <c r="J43" s="339"/>
      <c r="K43" s="339"/>
      <c r="L43" s="339"/>
      <c r="M43" s="339"/>
      <c r="N43" s="339"/>
      <c r="O43" s="255"/>
      <c r="P43" s="348"/>
      <c r="Q43" s="255"/>
      <c r="R43" s="255"/>
      <c r="S43" s="255"/>
    </row>
    <row r="44" spans="2:19" x14ac:dyDescent="0.35">
      <c r="B44" s="255"/>
      <c r="C44" s="255"/>
      <c r="D44" s="339"/>
      <c r="E44" s="339"/>
      <c r="F44" s="339"/>
      <c r="G44" s="339"/>
      <c r="H44" s="339"/>
      <c r="I44" s="339"/>
      <c r="J44" s="339"/>
      <c r="K44" s="339"/>
      <c r="L44" s="339"/>
      <c r="M44" s="339"/>
      <c r="N44" s="339"/>
      <c r="O44" s="255"/>
      <c r="P44" s="348"/>
      <c r="Q44" s="255"/>
      <c r="R44" s="255"/>
      <c r="S44" s="255"/>
    </row>
    <row r="45" spans="2:19" x14ac:dyDescent="0.35">
      <c r="B45" s="255"/>
      <c r="C45" s="255"/>
      <c r="D45" s="339"/>
      <c r="E45" s="339"/>
      <c r="F45" s="339"/>
      <c r="G45" s="339"/>
      <c r="H45" s="339"/>
      <c r="I45" s="339"/>
      <c r="J45" s="339"/>
      <c r="K45" s="339"/>
      <c r="L45" s="339"/>
      <c r="M45" s="339"/>
      <c r="N45" s="339"/>
      <c r="O45" s="255"/>
      <c r="P45" s="348"/>
      <c r="Q45" s="255"/>
      <c r="R45" s="255"/>
      <c r="S45" s="255"/>
    </row>
    <row r="46" spans="2:19" x14ac:dyDescent="0.35">
      <c r="B46" s="255"/>
      <c r="C46" s="255"/>
      <c r="D46" s="339"/>
      <c r="E46" s="339"/>
      <c r="F46" s="339"/>
      <c r="G46" s="339"/>
      <c r="H46" s="339"/>
      <c r="I46" s="339"/>
      <c r="J46" s="339"/>
      <c r="K46" s="339"/>
      <c r="L46" s="339"/>
      <c r="M46" s="339"/>
      <c r="N46" s="339"/>
      <c r="O46" s="255"/>
      <c r="P46" s="348"/>
      <c r="Q46" s="255"/>
      <c r="R46" s="255"/>
      <c r="S46" s="255"/>
    </row>
    <row r="47" spans="2:19" x14ac:dyDescent="0.35">
      <c r="B47" s="255"/>
      <c r="C47" s="255"/>
      <c r="D47" s="339"/>
      <c r="E47" s="339"/>
      <c r="F47" s="339"/>
      <c r="G47" s="339"/>
      <c r="H47" s="339"/>
      <c r="I47" s="339"/>
      <c r="J47" s="339"/>
      <c r="K47" s="339"/>
      <c r="L47" s="339"/>
      <c r="M47" s="339"/>
      <c r="N47" s="339"/>
      <c r="O47" s="255"/>
      <c r="P47" s="348"/>
      <c r="Q47" s="255"/>
      <c r="R47" s="255"/>
      <c r="S47" s="255"/>
    </row>
    <row r="48" spans="2:19" x14ac:dyDescent="0.35">
      <c r="B48" s="255"/>
      <c r="C48" s="255"/>
      <c r="D48" s="339"/>
      <c r="E48" s="339"/>
      <c r="F48" s="339"/>
      <c r="G48" s="339"/>
      <c r="H48" s="339"/>
      <c r="I48" s="339"/>
      <c r="J48" s="339"/>
      <c r="K48" s="339"/>
      <c r="L48" s="339"/>
      <c r="M48" s="339"/>
      <c r="N48" s="339"/>
      <c r="O48" s="255"/>
      <c r="P48" s="348"/>
      <c r="Q48" s="255"/>
      <c r="R48" s="255"/>
      <c r="S48" s="255"/>
    </row>
    <row r="49" spans="2:19" x14ac:dyDescent="0.35">
      <c r="B49" s="255"/>
      <c r="C49" s="255"/>
      <c r="D49" s="339"/>
      <c r="E49" s="339"/>
      <c r="F49" s="339"/>
      <c r="G49" s="339"/>
      <c r="H49" s="339"/>
      <c r="I49" s="339"/>
      <c r="J49" s="339"/>
      <c r="K49" s="339"/>
      <c r="L49" s="339"/>
      <c r="M49" s="339"/>
      <c r="N49" s="339"/>
      <c r="O49" s="255"/>
      <c r="P49" s="348"/>
      <c r="Q49" s="255"/>
      <c r="R49" s="255"/>
      <c r="S49" s="255"/>
    </row>
    <row r="50" spans="2:19" x14ac:dyDescent="0.35">
      <c r="B50" s="255"/>
      <c r="C50" s="255"/>
      <c r="D50" s="339"/>
      <c r="E50" s="339"/>
      <c r="F50" s="339"/>
      <c r="G50" s="339"/>
      <c r="H50" s="339"/>
      <c r="I50" s="339"/>
      <c r="J50" s="339"/>
      <c r="K50" s="339"/>
      <c r="L50" s="339"/>
      <c r="M50" s="339"/>
      <c r="N50" s="339"/>
      <c r="O50" s="255"/>
      <c r="P50" s="348"/>
      <c r="Q50" s="255"/>
      <c r="R50" s="255"/>
      <c r="S50" s="255"/>
    </row>
    <row r="51" spans="2:19" x14ac:dyDescent="0.35">
      <c r="B51" s="255"/>
      <c r="C51" s="255"/>
      <c r="D51" s="339"/>
      <c r="E51" s="339"/>
      <c r="F51" s="339"/>
      <c r="G51" s="339"/>
      <c r="H51" s="339"/>
      <c r="I51" s="339"/>
      <c r="J51" s="339"/>
      <c r="K51" s="339"/>
      <c r="L51" s="339"/>
      <c r="M51" s="339"/>
      <c r="N51" s="339"/>
      <c r="O51" s="255"/>
      <c r="P51" s="348"/>
      <c r="Q51" s="255"/>
      <c r="R51" s="255"/>
      <c r="S51" s="255"/>
    </row>
    <row r="52" spans="2:19" x14ac:dyDescent="0.35">
      <c r="B52" s="255"/>
      <c r="C52" s="255"/>
      <c r="D52" s="339"/>
      <c r="E52" s="339"/>
      <c r="F52" s="339"/>
      <c r="G52" s="339"/>
      <c r="H52" s="339"/>
      <c r="I52" s="339"/>
      <c r="J52" s="339"/>
      <c r="K52" s="339"/>
      <c r="L52" s="339"/>
      <c r="M52" s="339"/>
      <c r="N52" s="339"/>
      <c r="O52" s="255"/>
      <c r="P52" s="348"/>
      <c r="Q52" s="255"/>
      <c r="R52" s="255"/>
      <c r="S52" s="255"/>
    </row>
    <row r="53" spans="2:19" x14ac:dyDescent="0.35">
      <c r="B53" s="255"/>
      <c r="C53" s="255"/>
      <c r="D53" s="339"/>
      <c r="E53" s="339"/>
      <c r="F53" s="339"/>
      <c r="G53" s="339"/>
      <c r="H53" s="339"/>
      <c r="I53" s="339"/>
      <c r="J53" s="339"/>
      <c r="K53" s="339"/>
      <c r="L53" s="339"/>
      <c r="M53" s="339"/>
      <c r="N53" s="339"/>
      <c r="O53" s="255"/>
      <c r="P53" s="348"/>
      <c r="Q53" s="255"/>
      <c r="R53" s="255"/>
      <c r="S53" s="255"/>
    </row>
    <row r="54" spans="2:19" x14ac:dyDescent="0.35">
      <c r="B54" s="255"/>
      <c r="C54" s="255"/>
      <c r="D54" s="339"/>
      <c r="E54" s="339"/>
      <c r="F54" s="339"/>
      <c r="G54" s="339"/>
      <c r="H54" s="339"/>
      <c r="I54" s="339"/>
      <c r="J54" s="339"/>
      <c r="K54" s="339"/>
      <c r="L54" s="339"/>
      <c r="M54" s="339"/>
      <c r="N54" s="339"/>
      <c r="O54" s="255"/>
      <c r="P54" s="348"/>
      <c r="Q54" s="255"/>
      <c r="R54" s="255"/>
      <c r="S54" s="255"/>
    </row>
    <row r="55" spans="2:19" x14ac:dyDescent="0.35">
      <c r="B55" s="255"/>
      <c r="C55" s="255"/>
      <c r="D55" s="339"/>
      <c r="E55" s="339"/>
      <c r="F55" s="339"/>
      <c r="G55" s="339"/>
      <c r="H55" s="339"/>
      <c r="I55" s="339"/>
      <c r="J55" s="339"/>
      <c r="K55" s="339"/>
      <c r="L55" s="339"/>
      <c r="M55" s="339"/>
      <c r="N55" s="339"/>
      <c r="O55" s="255"/>
      <c r="P55" s="348"/>
      <c r="Q55" s="255"/>
      <c r="R55" s="255"/>
      <c r="S55" s="255"/>
    </row>
    <row r="56" spans="2:19" x14ac:dyDescent="0.35">
      <c r="B56" s="255"/>
      <c r="C56" s="255"/>
      <c r="D56" s="339"/>
      <c r="E56" s="339"/>
      <c r="F56" s="339"/>
      <c r="G56" s="339"/>
      <c r="H56" s="339"/>
      <c r="I56" s="339"/>
      <c r="J56" s="339"/>
      <c r="K56" s="339"/>
      <c r="L56" s="339"/>
      <c r="M56" s="339"/>
      <c r="N56" s="339"/>
      <c r="O56" s="255"/>
      <c r="P56" s="348"/>
      <c r="Q56" s="255"/>
      <c r="R56" s="255"/>
      <c r="S56" s="255"/>
    </row>
    <row r="57" spans="2:19" x14ac:dyDescent="0.35">
      <c r="B57" s="255"/>
      <c r="C57" s="255"/>
      <c r="D57" s="339"/>
      <c r="E57" s="339"/>
      <c r="F57" s="339"/>
      <c r="G57" s="339"/>
      <c r="H57" s="339"/>
      <c r="I57" s="339"/>
      <c r="J57" s="339"/>
      <c r="K57" s="339"/>
      <c r="L57" s="339"/>
      <c r="M57" s="339"/>
      <c r="N57" s="339"/>
      <c r="O57" s="255"/>
      <c r="P57" s="348"/>
      <c r="Q57" s="255"/>
      <c r="R57" s="255"/>
      <c r="S57" s="255"/>
    </row>
    <row r="58" spans="2:19" x14ac:dyDescent="0.35">
      <c r="B58" s="255"/>
      <c r="C58" s="255"/>
      <c r="D58" s="339"/>
      <c r="E58" s="339"/>
      <c r="F58" s="339"/>
      <c r="G58" s="339"/>
      <c r="H58" s="339"/>
      <c r="I58" s="339"/>
      <c r="J58" s="339"/>
      <c r="K58" s="339"/>
      <c r="L58" s="339"/>
      <c r="M58" s="339"/>
      <c r="N58" s="339"/>
      <c r="O58" s="255"/>
      <c r="P58" s="348"/>
      <c r="Q58" s="255"/>
      <c r="R58" s="255"/>
      <c r="S58" s="255"/>
    </row>
    <row r="59" spans="2:19" x14ac:dyDescent="0.35">
      <c r="B59" s="255"/>
      <c r="C59" s="255"/>
      <c r="D59" s="339"/>
      <c r="E59" s="339"/>
      <c r="F59" s="339"/>
      <c r="G59" s="339"/>
      <c r="H59" s="339"/>
      <c r="I59" s="339"/>
      <c r="J59" s="339"/>
      <c r="K59" s="339"/>
      <c r="L59" s="339"/>
      <c r="M59" s="339"/>
      <c r="N59" s="339"/>
      <c r="O59" s="255"/>
      <c r="P59" s="348"/>
      <c r="Q59" s="255"/>
      <c r="R59" s="255"/>
      <c r="S59" s="255"/>
    </row>
    <row r="60" spans="2:19" x14ac:dyDescent="0.35">
      <c r="B60" s="255"/>
      <c r="C60" s="255"/>
      <c r="D60" s="339"/>
      <c r="E60" s="339"/>
      <c r="F60" s="339"/>
      <c r="G60" s="339"/>
      <c r="H60" s="339"/>
      <c r="I60" s="339"/>
      <c r="J60" s="339"/>
      <c r="K60" s="339"/>
      <c r="L60" s="339"/>
      <c r="M60" s="339"/>
      <c r="N60" s="339"/>
      <c r="O60" s="255"/>
      <c r="P60" s="348"/>
      <c r="Q60" s="255"/>
      <c r="R60" s="255"/>
      <c r="S60" s="255"/>
    </row>
    <row r="61" spans="2:19" x14ac:dyDescent="0.35">
      <c r="B61" s="255"/>
      <c r="C61" s="255"/>
      <c r="D61" s="339"/>
      <c r="E61" s="339"/>
      <c r="F61" s="339"/>
      <c r="G61" s="339"/>
      <c r="H61" s="339"/>
      <c r="I61" s="339"/>
      <c r="J61" s="339"/>
      <c r="K61" s="339"/>
      <c r="L61" s="339"/>
      <c r="M61" s="339"/>
      <c r="N61" s="339"/>
      <c r="O61" s="255"/>
      <c r="P61" s="348"/>
      <c r="Q61" s="255"/>
      <c r="R61" s="255"/>
      <c r="S61" s="255"/>
    </row>
    <row r="62" spans="2:19" x14ac:dyDescent="0.35">
      <c r="B62" s="255"/>
      <c r="C62" s="255"/>
      <c r="D62" s="339"/>
      <c r="E62" s="339"/>
      <c r="F62" s="339"/>
      <c r="G62" s="339"/>
      <c r="H62" s="339"/>
      <c r="I62" s="339"/>
      <c r="J62" s="339"/>
      <c r="K62" s="339"/>
      <c r="L62" s="339"/>
      <c r="M62" s="339"/>
      <c r="N62" s="339"/>
      <c r="O62" s="255"/>
      <c r="P62" s="348"/>
      <c r="Q62" s="255"/>
      <c r="R62" s="255"/>
      <c r="S62" s="255"/>
    </row>
    <row r="63" spans="2:19" x14ac:dyDescent="0.35">
      <c r="B63" s="255"/>
      <c r="C63" s="255"/>
      <c r="D63" s="339"/>
      <c r="E63" s="339"/>
      <c r="F63" s="339"/>
      <c r="G63" s="339"/>
      <c r="H63" s="339"/>
      <c r="I63" s="339"/>
      <c r="J63" s="339"/>
      <c r="K63" s="339"/>
      <c r="L63" s="339"/>
      <c r="M63" s="339"/>
      <c r="N63" s="339"/>
      <c r="O63" s="255"/>
      <c r="P63" s="348"/>
      <c r="Q63" s="255"/>
      <c r="R63" s="255"/>
      <c r="S63" s="255"/>
    </row>
    <row r="64" spans="2:19" x14ac:dyDescent="0.35">
      <c r="B64" s="255"/>
      <c r="C64" s="255"/>
      <c r="D64" s="339"/>
      <c r="E64" s="339"/>
      <c r="F64" s="339"/>
      <c r="G64" s="339"/>
      <c r="H64" s="339"/>
      <c r="I64" s="339"/>
      <c r="J64" s="339"/>
      <c r="K64" s="339"/>
      <c r="L64" s="339"/>
      <c r="M64" s="339"/>
      <c r="N64" s="339"/>
      <c r="O64" s="255"/>
      <c r="P64" s="348"/>
      <c r="Q64" s="255"/>
      <c r="R64" s="255"/>
      <c r="S64" s="255"/>
    </row>
    <row r="65" spans="2:19" x14ac:dyDescent="0.35">
      <c r="B65" s="255"/>
      <c r="C65" s="255"/>
      <c r="D65" s="339"/>
      <c r="E65" s="339"/>
      <c r="F65" s="339"/>
      <c r="G65" s="339"/>
      <c r="H65" s="339"/>
      <c r="I65" s="339"/>
      <c r="J65" s="339"/>
      <c r="K65" s="339"/>
      <c r="L65" s="339"/>
      <c r="M65" s="339"/>
      <c r="N65" s="339"/>
      <c r="O65" s="255"/>
      <c r="P65" s="348"/>
      <c r="Q65" s="255"/>
      <c r="R65" s="255"/>
      <c r="S65" s="255"/>
    </row>
    <row r="66" spans="2:19" x14ac:dyDescent="0.35">
      <c r="B66" s="255"/>
      <c r="C66" s="255"/>
      <c r="D66" s="339"/>
      <c r="E66" s="339"/>
      <c r="F66" s="339"/>
      <c r="G66" s="339"/>
      <c r="H66" s="339"/>
      <c r="I66" s="339"/>
      <c r="J66" s="339"/>
      <c r="K66" s="339"/>
      <c r="L66" s="339"/>
      <c r="M66" s="339"/>
      <c r="N66" s="339"/>
      <c r="O66" s="255"/>
      <c r="P66" s="348"/>
      <c r="Q66" s="255"/>
      <c r="R66" s="255"/>
      <c r="S66" s="255"/>
    </row>
    <row r="67" spans="2:19" x14ac:dyDescent="0.35">
      <c r="B67" s="255"/>
      <c r="C67" s="255"/>
      <c r="D67" s="339"/>
      <c r="E67" s="339"/>
      <c r="F67" s="339"/>
      <c r="G67" s="339"/>
      <c r="H67" s="339"/>
      <c r="I67" s="339"/>
      <c r="J67" s="339"/>
      <c r="K67" s="339"/>
      <c r="L67" s="339"/>
      <c r="M67" s="339"/>
      <c r="N67" s="339"/>
      <c r="O67" s="255"/>
      <c r="P67" s="348"/>
      <c r="Q67" s="255"/>
      <c r="R67" s="255"/>
      <c r="S67" s="255"/>
    </row>
    <row r="68" spans="2:19" x14ac:dyDescent="0.35">
      <c r="B68" s="255"/>
      <c r="C68" s="255"/>
      <c r="D68" s="339"/>
      <c r="E68" s="339"/>
      <c r="F68" s="339"/>
      <c r="G68" s="339"/>
      <c r="H68" s="339"/>
      <c r="I68" s="339"/>
      <c r="J68" s="339"/>
      <c r="K68" s="339"/>
      <c r="L68" s="339"/>
      <c r="M68" s="339"/>
      <c r="N68" s="339"/>
      <c r="O68" s="255"/>
      <c r="P68" s="348"/>
      <c r="Q68" s="255"/>
      <c r="R68" s="255"/>
      <c r="S68" s="255"/>
    </row>
    <row r="69" spans="2:19" x14ac:dyDescent="0.35">
      <c r="B69" s="255"/>
      <c r="C69" s="255"/>
      <c r="D69" s="339"/>
      <c r="E69" s="339"/>
      <c r="F69" s="339"/>
      <c r="G69" s="339"/>
      <c r="H69" s="339"/>
      <c r="I69" s="339"/>
      <c r="J69" s="339"/>
      <c r="K69" s="339"/>
      <c r="L69" s="339"/>
      <c r="M69" s="339"/>
      <c r="N69" s="339"/>
      <c r="O69" s="255"/>
      <c r="P69" s="348"/>
      <c r="Q69" s="255"/>
      <c r="R69" s="255"/>
      <c r="S69" s="255"/>
    </row>
    <row r="70" spans="2:19" x14ac:dyDescent="0.35">
      <c r="B70" s="255"/>
      <c r="C70" s="255"/>
      <c r="D70" s="339"/>
      <c r="E70" s="339"/>
      <c r="F70" s="339"/>
      <c r="G70" s="339"/>
      <c r="H70" s="339"/>
      <c r="I70" s="339"/>
      <c r="J70" s="339"/>
      <c r="K70" s="339"/>
      <c r="L70" s="339"/>
      <c r="M70" s="339"/>
      <c r="N70" s="339"/>
      <c r="O70" s="255"/>
      <c r="P70" s="348"/>
      <c r="Q70" s="255"/>
      <c r="R70" s="255"/>
      <c r="S70" s="255"/>
    </row>
    <row r="71" spans="2:19" x14ac:dyDescent="0.35">
      <c r="B71" s="255"/>
      <c r="C71" s="255"/>
      <c r="D71" s="339"/>
      <c r="E71" s="339"/>
      <c r="F71" s="339"/>
      <c r="G71" s="339"/>
      <c r="H71" s="339"/>
      <c r="I71" s="339"/>
      <c r="J71" s="339"/>
      <c r="K71" s="339"/>
      <c r="L71" s="339"/>
      <c r="M71" s="339"/>
      <c r="N71" s="339"/>
      <c r="O71" s="255"/>
      <c r="P71" s="348"/>
      <c r="Q71" s="255"/>
      <c r="R71" s="255"/>
      <c r="S71" s="255"/>
    </row>
    <row r="72" spans="2:19" x14ac:dyDescent="0.35">
      <c r="B72" s="255"/>
      <c r="C72" s="255"/>
      <c r="D72" s="339"/>
      <c r="E72" s="339"/>
      <c r="F72" s="339"/>
      <c r="G72" s="339"/>
      <c r="H72" s="339"/>
      <c r="I72" s="339"/>
      <c r="J72" s="339"/>
      <c r="K72" s="339"/>
      <c r="L72" s="339"/>
      <c r="M72" s="339"/>
      <c r="N72" s="339"/>
      <c r="O72" s="255"/>
      <c r="P72" s="348"/>
      <c r="Q72" s="255"/>
      <c r="R72" s="255"/>
      <c r="S72" s="255"/>
    </row>
    <row r="73" spans="2:19" x14ac:dyDescent="0.35">
      <c r="B73" s="255"/>
      <c r="C73" s="255"/>
      <c r="D73" s="339"/>
      <c r="E73" s="339"/>
      <c r="F73" s="339"/>
      <c r="G73" s="339"/>
      <c r="H73" s="339"/>
      <c r="I73" s="339"/>
      <c r="J73" s="339"/>
      <c r="K73" s="339"/>
      <c r="L73" s="339"/>
      <c r="M73" s="339"/>
      <c r="N73" s="339"/>
      <c r="O73" s="255"/>
      <c r="P73" s="348"/>
      <c r="Q73" s="255"/>
      <c r="R73" s="255"/>
      <c r="S73" s="255"/>
    </row>
    <row r="74" spans="2:19" x14ac:dyDescent="0.35">
      <c r="B74" s="255"/>
      <c r="C74" s="255"/>
      <c r="D74" s="339"/>
      <c r="E74" s="339"/>
      <c r="F74" s="339"/>
      <c r="G74" s="339"/>
      <c r="H74" s="339"/>
      <c r="I74" s="339"/>
      <c r="J74" s="339"/>
      <c r="K74" s="339"/>
      <c r="L74" s="339"/>
      <c r="M74" s="339"/>
      <c r="N74" s="339"/>
      <c r="O74" s="255"/>
      <c r="P74" s="348"/>
      <c r="Q74" s="255"/>
      <c r="R74" s="255"/>
      <c r="S74" s="255"/>
    </row>
    <row r="75" spans="2:19" x14ac:dyDescent="0.35">
      <c r="B75" s="255"/>
      <c r="C75" s="255"/>
      <c r="D75" s="339"/>
      <c r="E75" s="339"/>
      <c r="F75" s="339"/>
      <c r="G75" s="339"/>
      <c r="H75" s="339"/>
      <c r="I75" s="339"/>
      <c r="J75" s="339"/>
      <c r="K75" s="339"/>
      <c r="L75" s="339"/>
      <c r="M75" s="339"/>
      <c r="N75" s="339"/>
      <c r="O75" s="255"/>
      <c r="P75" s="348"/>
      <c r="Q75" s="255"/>
      <c r="R75" s="255"/>
      <c r="S75" s="255"/>
    </row>
    <row r="76" spans="2:19" x14ac:dyDescent="0.35">
      <c r="B76" s="255"/>
      <c r="C76" s="255"/>
      <c r="D76" s="339"/>
      <c r="E76" s="339"/>
      <c r="F76" s="339"/>
      <c r="G76" s="339"/>
      <c r="H76" s="339"/>
      <c r="I76" s="339"/>
      <c r="J76" s="339"/>
      <c r="K76" s="339"/>
      <c r="L76" s="339"/>
      <c r="M76" s="339"/>
      <c r="N76" s="339"/>
      <c r="O76" s="255"/>
      <c r="P76" s="348"/>
      <c r="Q76" s="255"/>
      <c r="R76" s="255"/>
      <c r="S76" s="255"/>
    </row>
    <row r="77" spans="2:19" x14ac:dyDescent="0.35">
      <c r="B77" s="255"/>
      <c r="C77" s="255"/>
      <c r="D77" s="339"/>
      <c r="E77" s="339"/>
      <c r="F77" s="339"/>
      <c r="G77" s="339"/>
      <c r="H77" s="339"/>
      <c r="I77" s="339"/>
      <c r="J77" s="339"/>
      <c r="K77" s="339"/>
      <c r="L77" s="339"/>
      <c r="M77" s="339"/>
      <c r="N77" s="339"/>
      <c r="O77" s="255"/>
      <c r="P77" s="348"/>
      <c r="Q77" s="255"/>
      <c r="R77" s="255"/>
      <c r="S77" s="255"/>
    </row>
    <row r="78" spans="2:19" x14ac:dyDescent="0.35">
      <c r="B78" s="255"/>
      <c r="C78" s="255"/>
      <c r="D78" s="339"/>
      <c r="E78" s="339"/>
      <c r="F78" s="339"/>
      <c r="G78" s="339"/>
      <c r="H78" s="339"/>
      <c r="I78" s="339"/>
      <c r="J78" s="339"/>
      <c r="K78" s="339"/>
      <c r="L78" s="339"/>
      <c r="M78" s="339"/>
      <c r="N78" s="339"/>
      <c r="O78" s="255"/>
      <c r="P78" s="348"/>
      <c r="Q78" s="255"/>
      <c r="R78" s="255"/>
      <c r="S78" s="255"/>
    </row>
    <row r="79" spans="2:19" x14ac:dyDescent="0.35">
      <c r="B79" s="255"/>
      <c r="C79" s="255"/>
      <c r="D79" s="339"/>
      <c r="E79" s="339"/>
      <c r="F79" s="339"/>
      <c r="G79" s="339"/>
      <c r="H79" s="339"/>
      <c r="I79" s="339"/>
      <c r="J79" s="339"/>
      <c r="K79" s="339"/>
      <c r="L79" s="339"/>
      <c r="M79" s="339"/>
      <c r="N79" s="339"/>
      <c r="O79" s="255"/>
      <c r="P79" s="348"/>
      <c r="Q79" s="255"/>
      <c r="R79" s="255"/>
      <c r="S79" s="255"/>
    </row>
    <row r="80" spans="2:19" x14ac:dyDescent="0.35">
      <c r="B80" s="255"/>
      <c r="C80" s="255"/>
      <c r="D80" s="339"/>
      <c r="E80" s="339"/>
      <c r="F80" s="339"/>
      <c r="G80" s="339"/>
      <c r="H80" s="339"/>
      <c r="I80" s="339"/>
      <c r="J80" s="339"/>
      <c r="K80" s="339"/>
      <c r="L80" s="339"/>
      <c r="M80" s="339"/>
      <c r="N80" s="339"/>
      <c r="O80" s="255"/>
      <c r="P80" s="348"/>
      <c r="Q80" s="255"/>
      <c r="R80" s="255"/>
      <c r="S80" s="255"/>
    </row>
    <row r="81" spans="2:19" x14ac:dyDescent="0.35">
      <c r="B81" s="255"/>
      <c r="C81" s="255"/>
      <c r="D81" s="339"/>
      <c r="E81" s="339"/>
      <c r="F81" s="339"/>
      <c r="G81" s="339"/>
      <c r="H81" s="339"/>
      <c r="I81" s="339"/>
      <c r="J81" s="339"/>
      <c r="K81" s="339"/>
      <c r="L81" s="339"/>
      <c r="M81" s="339"/>
      <c r="N81" s="339"/>
      <c r="O81" s="255"/>
      <c r="P81" s="348"/>
      <c r="Q81" s="255"/>
      <c r="R81" s="255"/>
      <c r="S81" s="255"/>
    </row>
    <row r="82" spans="2:19" x14ac:dyDescent="0.35">
      <c r="B82" s="255"/>
      <c r="C82" s="255"/>
      <c r="D82" s="339"/>
      <c r="E82" s="339"/>
      <c r="F82" s="339"/>
      <c r="G82" s="339"/>
      <c r="H82" s="339"/>
      <c r="I82" s="339"/>
      <c r="J82" s="339"/>
      <c r="K82" s="339"/>
      <c r="L82" s="339"/>
      <c r="M82" s="339"/>
      <c r="N82" s="339"/>
      <c r="O82" s="255"/>
      <c r="P82" s="348"/>
      <c r="Q82" s="255"/>
      <c r="R82" s="255"/>
      <c r="S82" s="255"/>
    </row>
    <row r="83" spans="2:19" x14ac:dyDescent="0.35">
      <c r="B83" s="255"/>
      <c r="C83" s="255"/>
      <c r="D83" s="339"/>
      <c r="E83" s="339"/>
      <c r="F83" s="339"/>
      <c r="G83" s="339"/>
      <c r="H83" s="339"/>
      <c r="I83" s="339"/>
      <c r="J83" s="339"/>
      <c r="K83" s="339"/>
      <c r="L83" s="339"/>
      <c r="M83" s="339"/>
      <c r="N83" s="339"/>
      <c r="O83" s="255"/>
      <c r="P83" s="348"/>
      <c r="Q83" s="255"/>
      <c r="R83" s="255"/>
      <c r="S83" s="255"/>
    </row>
    <row r="84" spans="2:19" x14ac:dyDescent="0.35">
      <c r="B84" s="255"/>
      <c r="C84" s="255"/>
      <c r="D84" s="339"/>
      <c r="E84" s="339"/>
      <c r="F84" s="339"/>
      <c r="G84" s="339"/>
      <c r="H84" s="339"/>
      <c r="I84" s="339"/>
      <c r="J84" s="339"/>
      <c r="K84" s="339"/>
      <c r="L84" s="339"/>
      <c r="M84" s="339"/>
      <c r="N84" s="339"/>
      <c r="O84" s="255"/>
      <c r="P84" s="348"/>
      <c r="Q84" s="255"/>
      <c r="R84" s="255"/>
      <c r="S84" s="255"/>
    </row>
    <row r="85" spans="2:19" x14ac:dyDescent="0.35">
      <c r="B85" s="255"/>
      <c r="C85" s="255"/>
      <c r="D85" s="339"/>
      <c r="E85" s="339"/>
      <c r="F85" s="339"/>
      <c r="G85" s="339"/>
      <c r="H85" s="339"/>
      <c r="I85" s="339"/>
      <c r="J85" s="339"/>
      <c r="K85" s="339"/>
      <c r="L85" s="339"/>
      <c r="M85" s="339"/>
      <c r="N85" s="339"/>
      <c r="O85" s="255"/>
      <c r="P85" s="348"/>
      <c r="Q85" s="255"/>
      <c r="R85" s="255"/>
      <c r="S85" s="255"/>
    </row>
    <row r="86" spans="2:19" x14ac:dyDescent="0.35">
      <c r="B86" s="255"/>
      <c r="C86" s="255"/>
      <c r="D86" s="339"/>
      <c r="E86" s="339"/>
      <c r="F86" s="339"/>
      <c r="G86" s="339"/>
      <c r="H86" s="339"/>
      <c r="I86" s="339"/>
      <c r="J86" s="339"/>
      <c r="K86" s="339"/>
      <c r="L86" s="339"/>
      <c r="M86" s="339"/>
      <c r="N86" s="339"/>
      <c r="O86" s="255"/>
      <c r="P86" s="348"/>
      <c r="Q86" s="255"/>
      <c r="R86" s="255"/>
      <c r="S86" s="255"/>
    </row>
    <row r="87" spans="2:19" x14ac:dyDescent="0.35">
      <c r="B87" s="255"/>
      <c r="C87" s="255"/>
      <c r="D87" s="339"/>
      <c r="E87" s="339"/>
      <c r="F87" s="339"/>
      <c r="G87" s="339"/>
      <c r="H87" s="339"/>
      <c r="I87" s="339"/>
      <c r="J87" s="339"/>
      <c r="K87" s="339"/>
      <c r="L87" s="339"/>
      <c r="M87" s="339"/>
      <c r="N87" s="339"/>
      <c r="O87" s="255"/>
      <c r="P87" s="348"/>
      <c r="Q87" s="255"/>
      <c r="R87" s="255"/>
      <c r="S87" s="255"/>
    </row>
    <row r="88" spans="2:19" x14ac:dyDescent="0.35">
      <c r="B88" s="255"/>
      <c r="C88" s="255"/>
      <c r="D88" s="339"/>
      <c r="E88" s="339"/>
      <c r="F88" s="339"/>
      <c r="G88" s="339"/>
      <c r="H88" s="339"/>
      <c r="I88" s="339"/>
      <c r="J88" s="339"/>
      <c r="K88" s="339"/>
      <c r="L88" s="339"/>
      <c r="M88" s="339"/>
      <c r="N88" s="339"/>
      <c r="O88" s="255"/>
      <c r="P88" s="348"/>
      <c r="Q88" s="255"/>
      <c r="R88" s="255"/>
      <c r="S88" s="255"/>
    </row>
    <row r="89" spans="2:19" x14ac:dyDescent="0.35">
      <c r="B89" s="255"/>
      <c r="C89" s="255"/>
      <c r="D89" s="339"/>
      <c r="E89" s="339"/>
      <c r="F89" s="339"/>
      <c r="G89" s="339"/>
      <c r="H89" s="339"/>
      <c r="I89" s="339"/>
      <c r="J89" s="339"/>
      <c r="K89" s="339"/>
      <c r="L89" s="339"/>
      <c r="M89" s="339"/>
      <c r="N89" s="339"/>
      <c r="O89" s="255"/>
      <c r="P89" s="348"/>
      <c r="Q89" s="255"/>
      <c r="R89" s="255"/>
      <c r="S89" s="255"/>
    </row>
    <row r="90" spans="2:19" x14ac:dyDescent="0.35">
      <c r="B90" s="255"/>
      <c r="C90" s="255"/>
      <c r="D90" s="339"/>
      <c r="E90" s="339"/>
      <c r="F90" s="339"/>
      <c r="G90" s="339"/>
      <c r="H90" s="339"/>
      <c r="I90" s="339"/>
      <c r="J90" s="339"/>
      <c r="K90" s="339"/>
      <c r="L90" s="339"/>
      <c r="M90" s="339"/>
      <c r="N90" s="339"/>
      <c r="O90" s="255"/>
      <c r="P90" s="348"/>
      <c r="Q90" s="255"/>
      <c r="R90" s="255"/>
      <c r="S90" s="255"/>
    </row>
    <row r="91" spans="2:19" x14ac:dyDescent="0.35">
      <c r="B91" s="255"/>
      <c r="C91" s="255"/>
      <c r="D91" s="339"/>
      <c r="E91" s="339"/>
      <c r="F91" s="339"/>
      <c r="G91" s="339"/>
      <c r="H91" s="339"/>
      <c r="I91" s="339"/>
      <c r="J91" s="339"/>
      <c r="K91" s="339"/>
      <c r="L91" s="339"/>
      <c r="M91" s="339"/>
      <c r="N91" s="339"/>
      <c r="O91" s="255"/>
      <c r="P91" s="348"/>
      <c r="Q91" s="255"/>
      <c r="R91" s="255"/>
      <c r="S91" s="255"/>
    </row>
    <row r="92" spans="2:19" x14ac:dyDescent="0.35">
      <c r="B92" s="255"/>
      <c r="C92" s="255"/>
      <c r="D92" s="339"/>
      <c r="E92" s="339"/>
      <c r="F92" s="339"/>
      <c r="G92" s="339"/>
      <c r="H92" s="339"/>
      <c r="I92" s="339"/>
      <c r="J92" s="339"/>
      <c r="K92" s="339"/>
      <c r="L92" s="339"/>
      <c r="M92" s="339"/>
      <c r="N92" s="339"/>
      <c r="O92" s="255"/>
      <c r="P92" s="348"/>
      <c r="Q92" s="255"/>
      <c r="R92" s="255"/>
      <c r="S92" s="255"/>
    </row>
    <row r="93" spans="2:19" x14ac:dyDescent="0.35">
      <c r="B93" s="255"/>
      <c r="C93" s="255"/>
      <c r="D93" s="339"/>
      <c r="E93" s="339"/>
      <c r="F93" s="339"/>
      <c r="G93" s="339"/>
      <c r="H93" s="339"/>
      <c r="I93" s="339"/>
      <c r="J93" s="339"/>
      <c r="K93" s="339"/>
      <c r="L93" s="339"/>
      <c r="M93" s="339"/>
      <c r="N93" s="339"/>
      <c r="O93" s="255"/>
      <c r="P93" s="348"/>
      <c r="Q93" s="255"/>
      <c r="R93" s="255"/>
      <c r="S93" s="255"/>
    </row>
    <row r="94" spans="2:19" x14ac:dyDescent="0.35">
      <c r="B94" s="255"/>
      <c r="C94" s="255"/>
      <c r="D94" s="339"/>
      <c r="E94" s="339"/>
      <c r="F94" s="339"/>
      <c r="G94" s="339"/>
      <c r="H94" s="339"/>
      <c r="I94" s="339"/>
      <c r="J94" s="339"/>
      <c r="K94" s="339"/>
      <c r="L94" s="339"/>
      <c r="M94" s="339"/>
      <c r="N94" s="339"/>
      <c r="O94" s="255"/>
      <c r="P94" s="348"/>
      <c r="Q94" s="255"/>
      <c r="R94" s="255"/>
      <c r="S94" s="255"/>
    </row>
  </sheetData>
  <mergeCells count="5">
    <mergeCell ref="R8:S8"/>
    <mergeCell ref="C7:K7"/>
    <mergeCell ref="C8:K8"/>
    <mergeCell ref="C5:K5"/>
    <mergeCell ref="C6:K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7A8C8-D2DD-46EB-9A8D-D3FD09C7A89F}">
  <sheetPr>
    <tabColor rgb="FFFF0000"/>
  </sheetPr>
  <dimension ref="B1:K58"/>
  <sheetViews>
    <sheetView workbookViewId="0">
      <pane ySplit="12" topLeftCell="A46" activePane="bottomLeft" state="frozen"/>
      <selection pane="bottomLeft" activeCell="F59" sqref="F59"/>
    </sheetView>
  </sheetViews>
  <sheetFormatPr defaultRowHeight="14.5" x14ac:dyDescent="0.35"/>
  <cols>
    <col min="1" max="1" width="2.7265625" customWidth="1"/>
    <col min="3" max="3" width="58.1796875" customWidth="1"/>
    <col min="5" max="5" width="17.54296875" customWidth="1"/>
    <col min="6" max="11" width="18.453125" customWidth="1"/>
    <col min="13" max="13" width="11.54296875" bestFit="1" customWidth="1"/>
  </cols>
  <sheetData>
    <row r="1" spans="2:11" ht="18" x14ac:dyDescent="0.4">
      <c r="B1" s="255"/>
      <c r="C1" s="247" t="s">
        <v>270</v>
      </c>
      <c r="D1" s="255"/>
      <c r="E1" s="255"/>
      <c r="F1" s="255"/>
      <c r="G1" s="255"/>
      <c r="H1" s="255"/>
      <c r="I1" s="255"/>
      <c r="J1" s="255"/>
      <c r="K1" s="255"/>
    </row>
    <row r="2" spans="2:11" ht="18" x14ac:dyDescent="0.4">
      <c r="B2" s="407" t="s">
        <v>586</v>
      </c>
      <c r="C2" s="247" t="s">
        <v>585</v>
      </c>
      <c r="D2" s="255"/>
      <c r="E2" s="255"/>
      <c r="F2" s="255"/>
      <c r="G2" s="255"/>
      <c r="H2" s="255"/>
      <c r="I2" s="255"/>
      <c r="J2" s="255"/>
      <c r="K2" s="255"/>
    </row>
    <row r="3" spans="2:11" ht="18" x14ac:dyDescent="0.4">
      <c r="B3" s="255"/>
      <c r="C3" s="247" t="s">
        <v>271</v>
      </c>
      <c r="D3" s="255"/>
      <c r="E3" s="255"/>
      <c r="F3" s="255"/>
      <c r="G3" s="255"/>
      <c r="H3" s="255"/>
      <c r="I3" s="255"/>
      <c r="J3" s="255"/>
      <c r="K3" s="255"/>
    </row>
    <row r="4" spans="2:11" ht="15" customHeight="1" thickBot="1" x14ac:dyDescent="0.45">
      <c r="B4" s="255"/>
      <c r="C4" s="247"/>
      <c r="D4" s="255"/>
      <c r="E4" s="255"/>
      <c r="F4" s="255"/>
      <c r="G4" s="255"/>
      <c r="H4" s="255"/>
      <c r="I4" s="255"/>
      <c r="J4" s="255"/>
      <c r="K4" s="255"/>
    </row>
    <row r="5" spans="2:11" ht="15" customHeight="1" x14ac:dyDescent="0.4">
      <c r="B5" s="578" t="s">
        <v>607</v>
      </c>
      <c r="C5" s="541"/>
      <c r="D5" s="541"/>
      <c r="E5" s="541"/>
      <c r="F5" s="541"/>
      <c r="G5" s="541"/>
      <c r="H5" s="541"/>
      <c r="I5" s="541"/>
      <c r="J5" s="541"/>
      <c r="K5" s="542"/>
    </row>
    <row r="6" spans="2:11" ht="15" customHeight="1" x14ac:dyDescent="0.35">
      <c r="B6" s="450">
        <v>1</v>
      </c>
      <c r="C6" s="549" t="s">
        <v>626</v>
      </c>
      <c r="D6" s="549"/>
      <c r="E6" s="549"/>
      <c r="F6" s="549"/>
      <c r="G6" s="549"/>
      <c r="H6" s="549"/>
      <c r="I6" s="549"/>
      <c r="J6" s="549"/>
      <c r="K6" s="550"/>
    </row>
    <row r="7" spans="2:11" ht="15" customHeight="1" x14ac:dyDescent="0.35">
      <c r="B7" s="450">
        <v>2</v>
      </c>
      <c r="C7" s="579" t="s">
        <v>624</v>
      </c>
      <c r="D7" s="579"/>
      <c r="E7" s="579"/>
      <c r="F7" s="579"/>
      <c r="G7" s="579"/>
      <c r="H7" s="579"/>
      <c r="I7" s="579"/>
      <c r="J7" s="579"/>
      <c r="K7" s="580"/>
    </row>
    <row r="8" spans="2:11" ht="15" customHeight="1" thickBot="1" x14ac:dyDescent="0.4">
      <c r="B8" s="451">
        <v>3</v>
      </c>
      <c r="C8" s="482" t="s">
        <v>625</v>
      </c>
      <c r="D8" s="200"/>
      <c r="E8" s="200"/>
      <c r="F8" s="482"/>
      <c r="G8" s="482"/>
      <c r="H8" s="482"/>
      <c r="I8" s="482"/>
      <c r="J8" s="482"/>
      <c r="K8" s="483"/>
    </row>
    <row r="9" spans="2:11" ht="15" customHeight="1" thickBot="1" x14ac:dyDescent="0.4">
      <c r="B9" s="255"/>
      <c r="C9" s="255"/>
      <c r="D9" s="255"/>
      <c r="E9" s="255"/>
      <c r="F9" s="255"/>
      <c r="G9" s="255"/>
      <c r="H9" s="255"/>
      <c r="I9" s="255"/>
      <c r="J9" s="255"/>
      <c r="K9" s="255"/>
    </row>
    <row r="10" spans="2:11" ht="15" customHeight="1" x14ac:dyDescent="0.35">
      <c r="B10" s="59"/>
      <c r="C10" s="60"/>
      <c r="D10" s="60"/>
      <c r="E10" s="61">
        <v>1</v>
      </c>
      <c r="F10" s="61">
        <v>2</v>
      </c>
      <c r="G10" s="61">
        <v>3</v>
      </c>
      <c r="H10" s="61">
        <v>4</v>
      </c>
      <c r="I10" s="61">
        <v>5</v>
      </c>
      <c r="J10" s="61">
        <v>6</v>
      </c>
      <c r="K10" s="62">
        <v>7</v>
      </c>
    </row>
    <row r="11" spans="2:11" ht="15" customHeight="1" x14ac:dyDescent="0.35">
      <c r="B11" s="63"/>
      <c r="C11" s="64"/>
      <c r="D11" s="64"/>
      <c r="E11" s="65" t="s">
        <v>35</v>
      </c>
      <c r="F11" s="65" t="s">
        <v>272</v>
      </c>
      <c r="G11" s="65" t="s">
        <v>273</v>
      </c>
      <c r="H11" s="65" t="s">
        <v>274</v>
      </c>
      <c r="I11" s="65" t="s">
        <v>275</v>
      </c>
      <c r="J11" s="65" t="s">
        <v>276</v>
      </c>
      <c r="K11" s="66" t="s">
        <v>277</v>
      </c>
    </row>
    <row r="12" spans="2:11" ht="15" customHeight="1" thickBot="1" x14ac:dyDescent="0.4">
      <c r="B12" s="67"/>
      <c r="C12" s="68"/>
      <c r="D12" s="69"/>
      <c r="E12" s="70"/>
      <c r="F12" s="73"/>
      <c r="G12" s="71"/>
      <c r="H12" s="71"/>
      <c r="I12" s="71"/>
      <c r="J12" s="71"/>
      <c r="K12" s="72"/>
    </row>
    <row r="13" spans="2:11" ht="15" customHeight="1" x14ac:dyDescent="0.35">
      <c r="B13" s="78"/>
      <c r="C13" s="79"/>
      <c r="D13" s="80"/>
      <c r="E13" s="81"/>
      <c r="F13" s="80"/>
      <c r="G13" s="80"/>
      <c r="H13" s="82"/>
      <c r="I13" s="81"/>
      <c r="J13" s="80"/>
      <c r="K13" s="83"/>
    </row>
    <row r="14" spans="2:11" x14ac:dyDescent="0.35">
      <c r="B14" s="94" t="s">
        <v>284</v>
      </c>
      <c r="C14" s="35" t="s">
        <v>435</v>
      </c>
      <c r="D14" s="112"/>
      <c r="E14" s="404"/>
      <c r="F14" s="112"/>
      <c r="G14" s="112"/>
      <c r="H14" s="405"/>
      <c r="I14" s="404"/>
      <c r="J14" s="112"/>
      <c r="K14" s="406"/>
    </row>
    <row r="15" spans="2:11" x14ac:dyDescent="0.35">
      <c r="B15" s="74">
        <v>1</v>
      </c>
      <c r="C15" s="35" t="s">
        <v>309</v>
      </c>
      <c r="D15" s="32"/>
      <c r="E15" s="53">
        <f>+'2 NPR BY PAYOR'!E64</f>
        <v>1</v>
      </c>
      <c r="F15" s="53">
        <f>+'2 NPR BY PAYOR'!F64</f>
        <v>0.49265278917658273</v>
      </c>
      <c r="G15" s="53">
        <f>+'2 NPR BY PAYOR'!G64</f>
        <v>8.5388878087421516E-2</v>
      </c>
      <c r="H15" s="53">
        <f>+'2 NPR BY PAYOR'!H64</f>
        <v>0.1</v>
      </c>
      <c r="I15" s="53">
        <f>+'2 NPR BY PAYOR'!I64</f>
        <v>0.27837252597937689</v>
      </c>
      <c r="J15" s="53">
        <f>+'2 NPR BY PAYOR'!J64</f>
        <v>1.3585806756618793E-2</v>
      </c>
      <c r="K15" s="77">
        <f>+'2 NPR BY PAYOR'!K64</f>
        <v>0.03</v>
      </c>
    </row>
    <row r="16" spans="2:11" x14ac:dyDescent="0.35">
      <c r="B16" s="74">
        <v>2</v>
      </c>
      <c r="C16" s="35" t="s">
        <v>318</v>
      </c>
      <c r="D16" s="32"/>
      <c r="E16" s="53">
        <f>+'2 NPR BY PAYOR'!E65</f>
        <v>1</v>
      </c>
      <c r="F16" s="53">
        <f>+'2 NPR BY PAYOR'!F65</f>
        <v>0.35605966797137523</v>
      </c>
      <c r="G16" s="53">
        <f>+'2 NPR BY PAYOR'!G65</f>
        <v>0.2</v>
      </c>
      <c r="H16" s="53">
        <f>+'2 NPR BY PAYOR'!H65</f>
        <v>0.14000000000000001</v>
      </c>
      <c r="I16" s="53">
        <f>+'2 NPR BY PAYOR'!I65</f>
        <v>0.26035452527200592</v>
      </c>
      <c r="J16" s="53">
        <f>+'2 NPR BY PAYOR'!J65</f>
        <v>1.3585806756618793E-2</v>
      </c>
      <c r="K16" s="77">
        <f>+'2 NPR BY PAYOR'!K65</f>
        <v>0.03</v>
      </c>
    </row>
    <row r="17" spans="2:11" ht="10" customHeight="1" x14ac:dyDescent="0.35">
      <c r="B17" s="375"/>
      <c r="C17" s="376"/>
      <c r="D17" s="377"/>
      <c r="E17" s="378"/>
      <c r="F17" s="378"/>
      <c r="G17" s="378"/>
      <c r="H17" s="378"/>
      <c r="I17" s="378"/>
      <c r="J17" s="378"/>
      <c r="K17" s="379"/>
    </row>
    <row r="18" spans="2:11" x14ac:dyDescent="0.35">
      <c r="B18" s="43" t="s">
        <v>285</v>
      </c>
      <c r="C18" s="49" t="s">
        <v>577</v>
      </c>
      <c r="D18" s="32"/>
      <c r="E18" s="41"/>
      <c r="F18" s="32"/>
      <c r="G18" s="32"/>
      <c r="H18" s="39"/>
      <c r="I18" s="41"/>
      <c r="J18" s="32"/>
      <c r="K18" s="40"/>
    </row>
    <row r="19" spans="2:11" x14ac:dyDescent="0.35">
      <c r="B19" s="74">
        <v>1</v>
      </c>
      <c r="C19" s="49" t="s">
        <v>279</v>
      </c>
      <c r="D19" s="32"/>
      <c r="E19" s="50">
        <f>+'2 NPR BY PAYOR'!E20</f>
        <v>22216000</v>
      </c>
      <c r="F19" s="50">
        <f>+'2 NPR BY PAYOR'!F20</f>
        <v>10945000</v>
      </c>
      <c r="G19" s="50">
        <f>+'2 NPR BY PAYOR'!G20</f>
        <v>1897000</v>
      </c>
      <c r="H19" s="50">
        <f>+'2 NPR BY PAYOR'!H20</f>
        <v>2222000</v>
      </c>
      <c r="I19" s="50">
        <f>+'2 NPR BY PAYOR'!I20</f>
        <v>6184000</v>
      </c>
      <c r="J19" s="50">
        <f>+'2 NPR BY PAYOR'!J20</f>
        <v>302000</v>
      </c>
      <c r="K19" s="85">
        <f>+'2 NPR BY PAYOR'!K20</f>
        <v>666000</v>
      </c>
    </row>
    <row r="20" spans="2:11" x14ac:dyDescent="0.35">
      <c r="B20" s="74">
        <v>2</v>
      </c>
      <c r="C20" s="49" t="s">
        <v>280</v>
      </c>
      <c r="D20" s="32"/>
      <c r="E20" s="50">
        <f>+'2 NPR BY PAYOR'!E21</f>
        <v>96952000</v>
      </c>
      <c r="F20" s="50">
        <f>+'2 NPR BY PAYOR'!F21</f>
        <v>34521000</v>
      </c>
      <c r="G20" s="50">
        <f>+'2 NPR BY PAYOR'!G21</f>
        <v>19390000</v>
      </c>
      <c r="H20" s="50">
        <f>+'2 NPR BY PAYOR'!H21</f>
        <v>13573000</v>
      </c>
      <c r="I20" s="50">
        <f>+'2 NPR BY PAYOR'!I21</f>
        <v>25242000</v>
      </c>
      <c r="J20" s="50">
        <f>+'2 NPR BY PAYOR'!J21</f>
        <v>1317000</v>
      </c>
      <c r="K20" s="85">
        <f>+'2 NPR BY PAYOR'!K21</f>
        <v>2909000</v>
      </c>
    </row>
    <row r="21" spans="2:11" x14ac:dyDescent="0.35">
      <c r="B21" s="74">
        <v>3</v>
      </c>
      <c r="C21" s="49" t="s">
        <v>281</v>
      </c>
      <c r="D21" s="32"/>
      <c r="E21" s="50">
        <f t="shared" ref="E21:K21" si="0">+E19+E20</f>
        <v>119168000</v>
      </c>
      <c r="F21" s="50">
        <f t="shared" si="0"/>
        <v>45466000</v>
      </c>
      <c r="G21" s="50">
        <f t="shared" si="0"/>
        <v>21287000</v>
      </c>
      <c r="H21" s="50">
        <f t="shared" si="0"/>
        <v>15795000</v>
      </c>
      <c r="I21" s="50">
        <f t="shared" si="0"/>
        <v>31426000</v>
      </c>
      <c r="J21" s="50">
        <f t="shared" si="0"/>
        <v>1619000</v>
      </c>
      <c r="K21" s="85">
        <f t="shared" si="0"/>
        <v>3575000</v>
      </c>
    </row>
    <row r="22" spans="2:11" ht="10" customHeight="1" x14ac:dyDescent="0.35">
      <c r="B22" s="383"/>
      <c r="C22" s="380"/>
      <c r="D22" s="377"/>
      <c r="E22" s="381"/>
      <c r="F22" s="381"/>
      <c r="G22" s="381"/>
      <c r="H22" s="381"/>
      <c r="I22" s="381"/>
      <c r="J22" s="381"/>
      <c r="K22" s="382"/>
    </row>
    <row r="23" spans="2:11" x14ac:dyDescent="0.35">
      <c r="B23" s="94" t="s">
        <v>296</v>
      </c>
      <c r="C23" s="98" t="s">
        <v>316</v>
      </c>
      <c r="D23" s="32"/>
      <c r="E23" s="32"/>
      <c r="F23" s="32"/>
      <c r="G23" s="32"/>
      <c r="H23" s="32"/>
      <c r="I23" s="32"/>
      <c r="J23" s="32"/>
      <c r="K23" s="42"/>
    </row>
    <row r="24" spans="2:11" x14ac:dyDescent="0.35">
      <c r="B24" s="74">
        <v>1</v>
      </c>
      <c r="C24" s="98" t="s">
        <v>308</v>
      </c>
      <c r="D24" s="32"/>
      <c r="E24" s="50">
        <f>+'1 NPR RECON'!E18</f>
        <v>16811000</v>
      </c>
      <c r="F24" s="50">
        <f t="shared" ref="F24:K24" si="1">+ROUND(F15*$E$24,-3)</f>
        <v>8282000</v>
      </c>
      <c r="G24" s="50">
        <f t="shared" si="1"/>
        <v>1435000</v>
      </c>
      <c r="H24" s="50">
        <f t="shared" si="1"/>
        <v>1681000</v>
      </c>
      <c r="I24" s="50">
        <f t="shared" si="1"/>
        <v>4680000</v>
      </c>
      <c r="J24" s="50">
        <f t="shared" si="1"/>
        <v>228000</v>
      </c>
      <c r="K24" s="85">
        <f t="shared" si="1"/>
        <v>504000</v>
      </c>
    </row>
    <row r="25" spans="2:11" x14ac:dyDescent="0.35">
      <c r="B25" s="74">
        <v>2</v>
      </c>
      <c r="C25" s="216" t="s">
        <v>306</v>
      </c>
      <c r="D25" s="46"/>
      <c r="E25" s="99">
        <f>+'1 NPR RECON'!F18</f>
        <v>3203000</v>
      </c>
      <c r="F25" s="99">
        <f t="shared" ref="F25:K25" si="2">+ROUND(F15*$E$25,-3)</f>
        <v>1578000</v>
      </c>
      <c r="G25" s="99">
        <f t="shared" si="2"/>
        <v>274000</v>
      </c>
      <c r="H25" s="99">
        <f t="shared" si="2"/>
        <v>320000</v>
      </c>
      <c r="I25" s="99">
        <f t="shared" si="2"/>
        <v>892000</v>
      </c>
      <c r="J25" s="99">
        <f t="shared" si="2"/>
        <v>44000</v>
      </c>
      <c r="K25" s="224">
        <f t="shared" si="2"/>
        <v>96000</v>
      </c>
    </row>
    <row r="26" spans="2:11" x14ac:dyDescent="0.35">
      <c r="B26" s="74">
        <v>3</v>
      </c>
      <c r="C26" s="216" t="s">
        <v>307</v>
      </c>
      <c r="D26" s="46"/>
      <c r="E26" s="99">
        <f>+'1 NPR RECON'!H18</f>
        <v>2202000</v>
      </c>
      <c r="F26" s="99">
        <f t="shared" ref="F26:K26" si="3">+F19-F24-F25</f>
        <v>1085000</v>
      </c>
      <c r="G26" s="99">
        <f t="shared" si="3"/>
        <v>188000</v>
      </c>
      <c r="H26" s="99">
        <f t="shared" si="3"/>
        <v>221000</v>
      </c>
      <c r="I26" s="99">
        <f t="shared" si="3"/>
        <v>612000</v>
      </c>
      <c r="J26" s="99">
        <f t="shared" si="3"/>
        <v>30000</v>
      </c>
      <c r="K26" s="224">
        <f t="shared" si="3"/>
        <v>66000</v>
      </c>
    </row>
    <row r="27" spans="2:11" x14ac:dyDescent="0.35">
      <c r="B27" s="74">
        <v>4</v>
      </c>
      <c r="C27" s="98" t="s">
        <v>310</v>
      </c>
      <c r="D27" s="32"/>
      <c r="E27" s="50">
        <f t="shared" ref="E27:K27" si="4">SUM(E24:E26)</f>
        <v>22216000</v>
      </c>
      <c r="F27" s="50">
        <f t="shared" si="4"/>
        <v>10945000</v>
      </c>
      <c r="G27" s="50">
        <f t="shared" si="4"/>
        <v>1897000</v>
      </c>
      <c r="H27" s="50">
        <f t="shared" si="4"/>
        <v>2222000</v>
      </c>
      <c r="I27" s="50">
        <f t="shared" si="4"/>
        <v>6184000</v>
      </c>
      <c r="J27" s="50">
        <f t="shared" si="4"/>
        <v>302000</v>
      </c>
      <c r="K27" s="85">
        <f t="shared" si="4"/>
        <v>666000</v>
      </c>
    </row>
    <row r="28" spans="2:11" x14ac:dyDescent="0.35">
      <c r="B28" s="74">
        <v>5</v>
      </c>
      <c r="C28" s="49" t="s">
        <v>313</v>
      </c>
      <c r="D28" s="32"/>
      <c r="E28" s="50">
        <f>SUM(F28:K28)</f>
        <v>9257000</v>
      </c>
      <c r="F28" s="50">
        <f>+'2 NPR BY PAYOR'!F32</f>
        <v>4044000</v>
      </c>
      <c r="G28" s="50">
        <f>+'2 NPR BY PAYOR'!G32</f>
        <v>682000</v>
      </c>
      <c r="H28" s="50">
        <f>+'2 NPR BY PAYOR'!H32</f>
        <v>766000</v>
      </c>
      <c r="I28" s="50">
        <f>+'2 NPR BY PAYOR'!I32</f>
        <v>2444000</v>
      </c>
      <c r="J28" s="50">
        <f>+'2 NPR BY PAYOR'!J32</f>
        <v>373000</v>
      </c>
      <c r="K28" s="85">
        <f>+'2 NPR BY PAYOR'!K32</f>
        <v>948000</v>
      </c>
    </row>
    <row r="29" spans="2:11" x14ac:dyDescent="0.35">
      <c r="B29" s="74">
        <v>6</v>
      </c>
      <c r="C29" s="228" t="s">
        <v>437</v>
      </c>
      <c r="D29" s="251"/>
      <c r="E29" s="217">
        <f>SUM(F29:K29)</f>
        <v>0</v>
      </c>
      <c r="F29" s="217"/>
      <c r="G29" s="217"/>
      <c r="H29" s="217"/>
      <c r="I29" s="217"/>
      <c r="J29" s="217"/>
      <c r="K29" s="229"/>
    </row>
    <row r="30" spans="2:11" x14ac:dyDescent="0.35">
      <c r="B30" s="74">
        <v>7</v>
      </c>
      <c r="C30" s="228" t="s">
        <v>438</v>
      </c>
      <c r="D30" s="251"/>
      <c r="E30" s="217">
        <f t="shared" ref="E30:E32" si="5">SUM(F30:K30)</f>
        <v>824000</v>
      </c>
      <c r="F30" s="217"/>
      <c r="G30" s="217">
        <f>-'2 NPR BY PAYOR'!G51</f>
        <v>824000</v>
      </c>
      <c r="H30" s="217"/>
      <c r="I30" s="217"/>
      <c r="J30" s="217"/>
      <c r="K30" s="229"/>
    </row>
    <row r="31" spans="2:11" ht="28.5" x14ac:dyDescent="0.35">
      <c r="B31" s="74">
        <v>8</v>
      </c>
      <c r="C31" s="230" t="s">
        <v>517</v>
      </c>
      <c r="D31" s="251"/>
      <c r="E31" s="217">
        <f t="shared" si="5"/>
        <v>105000</v>
      </c>
      <c r="F31" s="408"/>
      <c r="G31" s="217">
        <f>-ROUND('2 NPR BY PAYOR'!G41/'2 NPR BY PAYOR'!G44*'2 NPR BY PAYOR'!G52,-3)</f>
        <v>105000</v>
      </c>
      <c r="H31" s="217"/>
      <c r="I31" s="217"/>
      <c r="J31" s="217"/>
      <c r="K31" s="229"/>
    </row>
    <row r="32" spans="2:11" x14ac:dyDescent="0.35">
      <c r="B32" s="74">
        <v>9</v>
      </c>
      <c r="C32" s="228" t="s">
        <v>518</v>
      </c>
      <c r="D32" s="251"/>
      <c r="E32" s="217">
        <f t="shared" si="5"/>
        <v>144000</v>
      </c>
      <c r="F32" s="217">
        <f>-ROUND('2 NPR BY PAYOR'!F41/'2 NPR BY PAYOR'!F44*'2 NPR BY PAYOR'!F53,-3)</f>
        <v>144000</v>
      </c>
      <c r="G32" s="217"/>
      <c r="H32" s="217"/>
      <c r="I32" s="217"/>
      <c r="J32" s="217"/>
      <c r="K32" s="229"/>
    </row>
    <row r="33" spans="2:11" x14ac:dyDescent="0.35">
      <c r="B33" s="74">
        <v>10</v>
      </c>
      <c r="C33" s="49" t="s">
        <v>519</v>
      </c>
      <c r="D33" s="32"/>
      <c r="E33" s="50">
        <f>SUM(E28:E32)</f>
        <v>10330000</v>
      </c>
      <c r="F33" s="50">
        <f t="shared" ref="F33:K33" si="6">SUM(F28:F32)</f>
        <v>4188000</v>
      </c>
      <c r="G33" s="50">
        <f t="shared" si="6"/>
        <v>1611000</v>
      </c>
      <c r="H33" s="50">
        <f t="shared" si="6"/>
        <v>766000</v>
      </c>
      <c r="I33" s="50">
        <f t="shared" si="6"/>
        <v>2444000</v>
      </c>
      <c r="J33" s="50">
        <f t="shared" si="6"/>
        <v>373000</v>
      </c>
      <c r="K33" s="85">
        <f t="shared" si="6"/>
        <v>948000</v>
      </c>
    </row>
    <row r="34" spans="2:11" x14ac:dyDescent="0.35">
      <c r="B34" s="74">
        <v>11</v>
      </c>
      <c r="C34" s="98" t="s">
        <v>311</v>
      </c>
      <c r="D34" s="32"/>
      <c r="E34" s="50">
        <f t="shared" ref="E34:K34" si="7">+E27-E33</f>
        <v>11886000</v>
      </c>
      <c r="F34" s="50">
        <f t="shared" si="7"/>
        <v>6757000</v>
      </c>
      <c r="G34" s="50">
        <f t="shared" si="7"/>
        <v>286000</v>
      </c>
      <c r="H34" s="50">
        <f t="shared" si="7"/>
        <v>1456000</v>
      </c>
      <c r="I34" s="50">
        <f t="shared" si="7"/>
        <v>3740000</v>
      </c>
      <c r="J34" s="50">
        <f t="shared" si="7"/>
        <v>-71000</v>
      </c>
      <c r="K34" s="85">
        <f t="shared" si="7"/>
        <v>-282000</v>
      </c>
    </row>
    <row r="35" spans="2:11" x14ac:dyDescent="0.35">
      <c r="B35" s="74">
        <v>12</v>
      </c>
      <c r="C35" s="98" t="s">
        <v>314</v>
      </c>
      <c r="D35" s="32"/>
      <c r="E35" s="50">
        <f>+'2 NPR BY PAYOR'!E41-SUM('6 NPR RATE &amp; UTILIZATION'!E29:E32)</f>
        <v>11885999.588500001</v>
      </c>
      <c r="F35" s="50">
        <f>+'2 NPR BY PAYOR'!F41-SUM('6 NPR RATE &amp; UTILIZATION'!F29:F32)</f>
        <v>6757000</v>
      </c>
      <c r="G35" s="50">
        <f>+'2 NPR BY PAYOR'!G41-SUM('6 NPR RATE &amp; UTILIZATION'!G29:G32)</f>
        <v>286000</v>
      </c>
      <c r="H35" s="50">
        <f>+'2 NPR BY PAYOR'!H41-SUM('6 NPR RATE &amp; UTILIZATION'!H29:H32)</f>
        <v>1456000</v>
      </c>
      <c r="I35" s="50">
        <f>+'2 NPR BY PAYOR'!I41-SUM('6 NPR RATE &amp; UTILIZATION'!I29:I32)</f>
        <v>3740000</v>
      </c>
      <c r="J35" s="50">
        <f>+'2 NPR BY PAYOR'!J41-SUM('6 NPR RATE &amp; UTILIZATION'!J29:J32)</f>
        <v>-71000</v>
      </c>
      <c r="K35" s="85">
        <f>+'2 NPR BY PAYOR'!K41-SUM('6 NPR RATE &amp; UTILIZATION'!K29:K32)</f>
        <v>-282000</v>
      </c>
    </row>
    <row r="36" spans="2:11" x14ac:dyDescent="0.35">
      <c r="B36" s="74">
        <v>13</v>
      </c>
      <c r="C36" s="98" t="s">
        <v>315</v>
      </c>
      <c r="D36" s="32"/>
      <c r="E36" s="50">
        <f>+E34-E35</f>
        <v>0.4114999994635582</v>
      </c>
      <c r="F36" s="50">
        <f t="shared" ref="F36:K36" si="8">+F34-F35</f>
        <v>0</v>
      </c>
      <c r="G36" s="50">
        <f t="shared" si="8"/>
        <v>0</v>
      </c>
      <c r="H36" s="50">
        <f t="shared" si="8"/>
        <v>0</v>
      </c>
      <c r="I36" s="50">
        <f t="shared" si="8"/>
        <v>0</v>
      </c>
      <c r="J36" s="50">
        <f t="shared" si="8"/>
        <v>0</v>
      </c>
      <c r="K36" s="85">
        <f t="shared" si="8"/>
        <v>0</v>
      </c>
    </row>
    <row r="37" spans="2:11" ht="10" customHeight="1" x14ac:dyDescent="0.35">
      <c r="B37" s="409"/>
      <c r="C37" s="377"/>
      <c r="D37" s="377"/>
      <c r="E37" s="377"/>
      <c r="F37" s="377"/>
      <c r="G37" s="377"/>
      <c r="H37" s="377"/>
      <c r="I37" s="377"/>
      <c r="J37" s="377"/>
      <c r="K37" s="391"/>
    </row>
    <row r="38" spans="2:11" x14ac:dyDescent="0.35">
      <c r="B38" s="94" t="s">
        <v>319</v>
      </c>
      <c r="C38" s="98" t="s">
        <v>317</v>
      </c>
      <c r="D38" s="32"/>
      <c r="E38" s="32"/>
      <c r="F38" s="32"/>
      <c r="G38" s="32"/>
      <c r="H38" s="32"/>
      <c r="I38" s="32"/>
      <c r="J38" s="32"/>
      <c r="K38" s="42"/>
    </row>
    <row r="39" spans="2:11" x14ac:dyDescent="0.35">
      <c r="B39" s="74">
        <v>1</v>
      </c>
      <c r="C39" s="98" t="s">
        <v>312</v>
      </c>
      <c r="D39" s="32"/>
      <c r="E39" s="50">
        <f>+'1 NPR RECON'!E20</f>
        <v>83034000</v>
      </c>
      <c r="F39" s="50">
        <f t="shared" ref="F39:K40" si="9">ROUND($E39*F$16,-3)</f>
        <v>29565000</v>
      </c>
      <c r="G39" s="50">
        <f t="shared" si="9"/>
        <v>16607000</v>
      </c>
      <c r="H39" s="50">
        <f t="shared" si="9"/>
        <v>11625000</v>
      </c>
      <c r="I39" s="50">
        <f t="shared" si="9"/>
        <v>21618000</v>
      </c>
      <c r="J39" s="50">
        <f t="shared" si="9"/>
        <v>1128000</v>
      </c>
      <c r="K39" s="85">
        <f t="shared" si="9"/>
        <v>2491000</v>
      </c>
    </row>
    <row r="40" spans="2:11" x14ac:dyDescent="0.35">
      <c r="B40" s="74">
        <v>2</v>
      </c>
      <c r="C40" s="216" t="s">
        <v>306</v>
      </c>
      <c r="D40" s="46"/>
      <c r="E40" s="99">
        <f>+'1 NPR RECON'!F20</f>
        <v>4310000</v>
      </c>
      <c r="F40" s="99">
        <f t="shared" si="9"/>
        <v>1535000</v>
      </c>
      <c r="G40" s="99">
        <f t="shared" si="9"/>
        <v>862000</v>
      </c>
      <c r="H40" s="99">
        <f t="shared" si="9"/>
        <v>603000</v>
      </c>
      <c r="I40" s="99">
        <f t="shared" si="9"/>
        <v>1122000</v>
      </c>
      <c r="J40" s="99">
        <f t="shared" si="9"/>
        <v>59000</v>
      </c>
      <c r="K40" s="224">
        <f t="shared" si="9"/>
        <v>129000</v>
      </c>
    </row>
    <row r="41" spans="2:11" x14ac:dyDescent="0.35">
      <c r="B41" s="74">
        <v>3</v>
      </c>
      <c r="C41" s="216" t="s">
        <v>307</v>
      </c>
      <c r="D41" s="46"/>
      <c r="E41" s="99">
        <f>+'1 NPR RECON'!H20</f>
        <v>9608000</v>
      </c>
      <c r="F41" s="99">
        <f t="shared" ref="F41:K41" si="10">+F20-F39-F40</f>
        <v>3421000</v>
      </c>
      <c r="G41" s="99">
        <f t="shared" si="10"/>
        <v>1921000</v>
      </c>
      <c r="H41" s="99">
        <f t="shared" si="10"/>
        <v>1345000</v>
      </c>
      <c r="I41" s="99">
        <f t="shared" si="10"/>
        <v>2502000</v>
      </c>
      <c r="J41" s="99">
        <f t="shared" si="10"/>
        <v>130000</v>
      </c>
      <c r="K41" s="224">
        <f t="shared" si="10"/>
        <v>289000</v>
      </c>
    </row>
    <row r="42" spans="2:11" x14ac:dyDescent="0.35">
      <c r="B42" s="74">
        <v>4</v>
      </c>
      <c r="C42" s="98" t="s">
        <v>310</v>
      </c>
      <c r="D42" s="32"/>
      <c r="E42" s="50">
        <f>SUM(E39:E41)</f>
        <v>96952000</v>
      </c>
      <c r="F42" s="50">
        <f>SUM(F39:F41)</f>
        <v>34521000</v>
      </c>
      <c r="G42" s="50">
        <f t="shared" ref="G42:K42" si="11">SUM(G39:G41)</f>
        <v>19390000</v>
      </c>
      <c r="H42" s="50">
        <f t="shared" si="11"/>
        <v>13573000</v>
      </c>
      <c r="I42" s="50">
        <f t="shared" si="11"/>
        <v>25242000</v>
      </c>
      <c r="J42" s="50">
        <f t="shared" si="11"/>
        <v>1317000</v>
      </c>
      <c r="K42" s="85">
        <f t="shared" si="11"/>
        <v>2909000</v>
      </c>
    </row>
    <row r="43" spans="2:11" x14ac:dyDescent="0.35">
      <c r="B43" s="74">
        <v>5</v>
      </c>
      <c r="C43" s="49" t="s">
        <v>323</v>
      </c>
      <c r="D43" s="32"/>
      <c r="E43" s="50">
        <f>SUM(F43:K43)</f>
        <v>55340000</v>
      </c>
      <c r="F43" s="50">
        <f>'2 NPR BY PAYOR'!F38</f>
        <v>22171000</v>
      </c>
      <c r="G43" s="50">
        <f>'2 NPR BY PAYOR'!G38</f>
        <v>13924000</v>
      </c>
      <c r="H43" s="50">
        <f>'2 NPR BY PAYOR'!H38</f>
        <v>4098000</v>
      </c>
      <c r="I43" s="50">
        <f>'2 NPR BY PAYOR'!I38</f>
        <v>11626000</v>
      </c>
      <c r="J43" s="50">
        <f>'2 NPR BY PAYOR'!J38</f>
        <v>722000</v>
      </c>
      <c r="K43" s="85">
        <f>'2 NPR BY PAYOR'!K38</f>
        <v>2799000</v>
      </c>
    </row>
    <row r="44" spans="2:11" x14ac:dyDescent="0.35">
      <c r="B44" s="74">
        <v>6</v>
      </c>
      <c r="C44" s="228" t="s">
        <v>437</v>
      </c>
      <c r="D44" s="32"/>
      <c r="E44" s="50"/>
      <c r="F44" s="50"/>
      <c r="G44" s="50"/>
      <c r="H44" s="50"/>
      <c r="I44" s="50"/>
      <c r="J44" s="50"/>
      <c r="K44" s="85"/>
    </row>
    <row r="45" spans="2:11" ht="28.5" x14ac:dyDescent="0.35">
      <c r="B45" s="74">
        <v>7</v>
      </c>
      <c r="C45" s="230" t="s">
        <v>517</v>
      </c>
      <c r="D45" s="251"/>
      <c r="E45" s="217">
        <f t="shared" ref="E45:E46" si="12">SUM(F45:K45)</f>
        <v>472000</v>
      </c>
      <c r="F45" s="217"/>
      <c r="G45" s="217">
        <f>-ROUND('2 NPR BY PAYOR'!G42/'2 NPR BY PAYOR'!G44*'2 NPR BY PAYOR'!G52,-3)</f>
        <v>472000</v>
      </c>
      <c r="H45" s="217"/>
      <c r="I45" s="217"/>
      <c r="J45" s="217"/>
      <c r="K45" s="229"/>
    </row>
    <row r="46" spans="2:11" x14ac:dyDescent="0.35">
      <c r="B46" s="74">
        <v>8</v>
      </c>
      <c r="C46" s="228" t="s">
        <v>518</v>
      </c>
      <c r="D46" s="251"/>
      <c r="E46" s="217">
        <f t="shared" si="12"/>
        <v>259000</v>
      </c>
      <c r="F46" s="217">
        <f>-ROUND('2 NPR BY PAYOR'!F42/'2 NPR BY PAYOR'!F44*'2 NPR BY PAYOR'!F53,-3)</f>
        <v>259000</v>
      </c>
      <c r="G46" s="217"/>
      <c r="H46" s="217"/>
      <c r="I46" s="217"/>
      <c r="J46" s="217"/>
      <c r="K46" s="229"/>
    </row>
    <row r="47" spans="2:11" x14ac:dyDescent="0.35">
      <c r="B47" s="74">
        <v>9</v>
      </c>
      <c r="C47" s="49" t="s">
        <v>520</v>
      </c>
      <c r="D47" s="32"/>
      <c r="E47" s="50">
        <f>SUM(E43:E46)</f>
        <v>56071000</v>
      </c>
      <c r="F47" s="50">
        <f t="shared" ref="F47:K47" si="13">SUM(F43:F46)</f>
        <v>22430000</v>
      </c>
      <c r="G47" s="50">
        <f t="shared" si="13"/>
        <v>14396000</v>
      </c>
      <c r="H47" s="50">
        <f t="shared" si="13"/>
        <v>4098000</v>
      </c>
      <c r="I47" s="50">
        <f t="shared" si="13"/>
        <v>11626000</v>
      </c>
      <c r="J47" s="50">
        <f t="shared" si="13"/>
        <v>722000</v>
      </c>
      <c r="K47" s="85">
        <f t="shared" si="13"/>
        <v>2799000</v>
      </c>
    </row>
    <row r="48" spans="2:11" x14ac:dyDescent="0.35">
      <c r="B48" s="74">
        <v>10</v>
      </c>
      <c r="C48" s="98" t="s">
        <v>324</v>
      </c>
      <c r="D48" s="32"/>
      <c r="E48" s="50">
        <f t="shared" ref="E48:K48" si="14">+E42-E47</f>
        <v>40881000</v>
      </c>
      <c r="F48" s="50">
        <f t="shared" si="14"/>
        <v>12091000</v>
      </c>
      <c r="G48" s="50">
        <f t="shared" si="14"/>
        <v>4994000</v>
      </c>
      <c r="H48" s="50">
        <f t="shared" si="14"/>
        <v>9475000</v>
      </c>
      <c r="I48" s="50">
        <f t="shared" si="14"/>
        <v>13616000</v>
      </c>
      <c r="J48" s="50">
        <f t="shared" si="14"/>
        <v>595000</v>
      </c>
      <c r="K48" s="85">
        <f t="shared" si="14"/>
        <v>110000</v>
      </c>
    </row>
    <row r="49" spans="2:11" x14ac:dyDescent="0.35">
      <c r="B49" s="74">
        <v>11</v>
      </c>
      <c r="C49" s="98" t="s">
        <v>314</v>
      </c>
      <c r="D49" s="32"/>
      <c r="E49" s="50">
        <f>'2 NPR BY PAYOR'!E42-E45-E46</f>
        <v>40881000</v>
      </c>
      <c r="F49" s="50">
        <f>'2 NPR BY PAYOR'!F42-F45-F46</f>
        <v>12091000</v>
      </c>
      <c r="G49" s="50">
        <f>'2 NPR BY PAYOR'!G42-G45-G46</f>
        <v>4994000</v>
      </c>
      <c r="H49" s="50">
        <f>'2 NPR BY PAYOR'!H42-H45-H46</f>
        <v>9475000</v>
      </c>
      <c r="I49" s="50">
        <f>'2 NPR BY PAYOR'!I42-I45-I46</f>
        <v>13616000</v>
      </c>
      <c r="J49" s="50">
        <f>'2 NPR BY PAYOR'!J42-J45-J46</f>
        <v>595000</v>
      </c>
      <c r="K49" s="85">
        <f>'2 NPR BY PAYOR'!K42-K45-K46</f>
        <v>110000</v>
      </c>
    </row>
    <row r="50" spans="2:11" x14ac:dyDescent="0.35">
      <c r="B50" s="74">
        <v>12</v>
      </c>
      <c r="C50" s="98" t="s">
        <v>315</v>
      </c>
      <c r="D50" s="32"/>
      <c r="E50" s="50">
        <f>+E48-E49</f>
        <v>0</v>
      </c>
      <c r="F50" s="50">
        <f t="shared" ref="F50:J50" si="15">+F48-F49</f>
        <v>0</v>
      </c>
      <c r="G50" s="50">
        <f t="shared" si="15"/>
        <v>0</v>
      </c>
      <c r="H50" s="50">
        <f t="shared" si="15"/>
        <v>0</v>
      </c>
      <c r="I50" s="50">
        <f t="shared" si="15"/>
        <v>0</v>
      </c>
      <c r="J50" s="50">
        <f t="shared" si="15"/>
        <v>0</v>
      </c>
      <c r="K50" s="85">
        <f>+K48-K49</f>
        <v>0</v>
      </c>
    </row>
    <row r="51" spans="2:11" ht="10" customHeight="1" x14ac:dyDescent="0.35">
      <c r="B51" s="375"/>
      <c r="C51" s="384"/>
      <c r="D51" s="387"/>
      <c r="E51" s="378"/>
      <c r="F51" s="378"/>
      <c r="G51" s="378"/>
      <c r="H51" s="378"/>
      <c r="I51" s="378"/>
      <c r="J51" s="378"/>
      <c r="K51" s="379"/>
    </row>
    <row r="52" spans="2:11" x14ac:dyDescent="0.35">
      <c r="B52" s="94" t="s">
        <v>320</v>
      </c>
      <c r="C52" s="261" t="s">
        <v>579</v>
      </c>
      <c r="D52" s="276"/>
      <c r="E52" s="50"/>
      <c r="F52" s="50"/>
      <c r="G52" s="50"/>
      <c r="H52" s="50"/>
      <c r="I52" s="50"/>
      <c r="J52" s="50"/>
      <c r="K52" s="85"/>
    </row>
    <row r="53" spans="2:11" x14ac:dyDescent="0.35">
      <c r="B53" s="74">
        <v>1</v>
      </c>
      <c r="C53" s="261" t="s">
        <v>279</v>
      </c>
      <c r="D53" s="276"/>
      <c r="E53" s="50">
        <f>+E34</f>
        <v>11886000</v>
      </c>
      <c r="F53" s="50">
        <f t="shared" ref="F53:K53" si="16">+F34</f>
        <v>6757000</v>
      </c>
      <c r="G53" s="50">
        <f t="shared" si="16"/>
        <v>286000</v>
      </c>
      <c r="H53" s="50">
        <f t="shared" si="16"/>
        <v>1456000</v>
      </c>
      <c r="I53" s="50">
        <f t="shared" si="16"/>
        <v>3740000</v>
      </c>
      <c r="J53" s="50">
        <f t="shared" si="16"/>
        <v>-71000</v>
      </c>
      <c r="K53" s="85">
        <f t="shared" si="16"/>
        <v>-282000</v>
      </c>
    </row>
    <row r="54" spans="2:11" x14ac:dyDescent="0.35">
      <c r="B54" s="74">
        <v>2</v>
      </c>
      <c r="C54" s="261" t="s">
        <v>280</v>
      </c>
      <c r="D54" s="276"/>
      <c r="E54" s="50">
        <f>+E48</f>
        <v>40881000</v>
      </c>
      <c r="F54" s="50">
        <f t="shared" ref="F54:K54" si="17">+F48</f>
        <v>12091000</v>
      </c>
      <c r="G54" s="50">
        <f t="shared" si="17"/>
        <v>4994000</v>
      </c>
      <c r="H54" s="50">
        <f t="shared" si="17"/>
        <v>9475000</v>
      </c>
      <c r="I54" s="50">
        <f t="shared" si="17"/>
        <v>13616000</v>
      </c>
      <c r="J54" s="50">
        <f t="shared" si="17"/>
        <v>595000</v>
      </c>
      <c r="K54" s="85">
        <f t="shared" si="17"/>
        <v>110000</v>
      </c>
    </row>
    <row r="55" spans="2:11" x14ac:dyDescent="0.35">
      <c r="B55" s="536">
        <v>3</v>
      </c>
      <c r="C55" s="537" t="s">
        <v>326</v>
      </c>
      <c r="D55" s="538"/>
      <c r="E55" s="532">
        <v>824000</v>
      </c>
      <c r="F55" s="532"/>
      <c r="G55" s="532"/>
      <c r="H55" s="532"/>
      <c r="I55" s="532"/>
      <c r="J55" s="532"/>
      <c r="K55" s="522"/>
    </row>
    <row r="56" spans="2:11" x14ac:dyDescent="0.35">
      <c r="B56" s="74">
        <v>4</v>
      </c>
      <c r="C56" s="261" t="s">
        <v>578</v>
      </c>
      <c r="D56" s="276"/>
      <c r="E56" s="50">
        <f>+E53+E54+E55</f>
        <v>53591000</v>
      </c>
      <c r="F56" s="50">
        <f t="shared" ref="F56:K56" si="18">+F53+F54</f>
        <v>18848000</v>
      </c>
      <c r="G56" s="50">
        <f t="shared" si="18"/>
        <v>5280000</v>
      </c>
      <c r="H56" s="50">
        <f t="shared" si="18"/>
        <v>10931000</v>
      </c>
      <c r="I56" s="50">
        <f t="shared" si="18"/>
        <v>17356000</v>
      </c>
      <c r="J56" s="50">
        <f t="shared" si="18"/>
        <v>524000</v>
      </c>
      <c r="K56" s="85">
        <f t="shared" si="18"/>
        <v>-172000</v>
      </c>
    </row>
    <row r="57" spans="2:11" x14ac:dyDescent="0.35">
      <c r="B57" s="74">
        <v>5</v>
      </c>
      <c r="C57" s="98" t="s">
        <v>544</v>
      </c>
      <c r="D57" s="276"/>
      <c r="E57" s="50">
        <f>'2 NPR BY PAYOR'!E54</f>
        <v>53591000</v>
      </c>
      <c r="F57" s="50">
        <f>'2 NPR BY PAYOR'!F54</f>
        <v>18848000</v>
      </c>
      <c r="G57" s="50">
        <f>'2 NPR BY PAYOR'!G54</f>
        <v>5280000</v>
      </c>
      <c r="H57" s="50">
        <f>'2 NPR BY PAYOR'!H54</f>
        <v>10931000</v>
      </c>
      <c r="I57" s="50">
        <f>'2 NPR BY PAYOR'!I54</f>
        <v>17356000</v>
      </c>
      <c r="J57" s="50">
        <f>'2 NPR BY PAYOR'!J54</f>
        <v>524000</v>
      </c>
      <c r="K57" s="85">
        <f>'2 NPR BY PAYOR'!K54</f>
        <v>-172000</v>
      </c>
    </row>
    <row r="58" spans="2:11" ht="15" thickBot="1" x14ac:dyDescent="0.4">
      <c r="B58" s="75">
        <v>6</v>
      </c>
      <c r="C58" s="400" t="s">
        <v>584</v>
      </c>
      <c r="D58" s="47"/>
      <c r="E58" s="401">
        <f>+E56-E57</f>
        <v>0</v>
      </c>
      <c r="F58" s="401">
        <f t="shared" ref="F58:K58" si="19">+F56-F57</f>
        <v>0</v>
      </c>
      <c r="G58" s="401">
        <f t="shared" si="19"/>
        <v>0</v>
      </c>
      <c r="H58" s="401">
        <f t="shared" si="19"/>
        <v>0</v>
      </c>
      <c r="I58" s="401">
        <f t="shared" si="19"/>
        <v>0</v>
      </c>
      <c r="J58" s="401">
        <f t="shared" si="19"/>
        <v>0</v>
      </c>
      <c r="K58" s="402">
        <f t="shared" si="19"/>
        <v>0</v>
      </c>
    </row>
  </sheetData>
  <mergeCells count="3">
    <mergeCell ref="B5:K5"/>
    <mergeCell ref="C6:K6"/>
    <mergeCell ref="C7:K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F995A-6A3D-40CF-B813-BC4B651B7B08}">
  <sheetPr>
    <tabColor rgb="FFFFFF00"/>
  </sheetPr>
  <dimension ref="B1:C14"/>
  <sheetViews>
    <sheetView topLeftCell="A4" workbookViewId="0">
      <selection activeCell="F9" sqref="F9"/>
    </sheetView>
  </sheetViews>
  <sheetFormatPr defaultRowHeight="14.5" x14ac:dyDescent="0.35"/>
  <cols>
    <col min="1" max="1" width="3.453125" customWidth="1"/>
    <col min="2" max="2" width="5.26953125" customWidth="1"/>
    <col min="3" max="3" width="77.1796875" customWidth="1"/>
  </cols>
  <sheetData>
    <row r="1" spans="2:3" ht="18" x14ac:dyDescent="0.4">
      <c r="B1" s="255"/>
      <c r="C1" s="247" t="s">
        <v>270</v>
      </c>
    </row>
    <row r="2" spans="2:3" ht="18" x14ac:dyDescent="0.4">
      <c r="B2" s="407" t="s">
        <v>587</v>
      </c>
      <c r="C2" s="247" t="s">
        <v>588</v>
      </c>
    </row>
    <row r="3" spans="2:3" ht="18" x14ac:dyDescent="0.4">
      <c r="B3" s="255"/>
      <c r="C3" s="247" t="s">
        <v>271</v>
      </c>
    </row>
    <row r="4" spans="2:3" ht="15" thickBot="1" x14ac:dyDescent="0.4">
      <c r="B4" s="255"/>
      <c r="C4" s="255"/>
    </row>
    <row r="5" spans="2:3" ht="25.5" customHeight="1" x14ac:dyDescent="0.35">
      <c r="B5" s="429"/>
      <c r="C5" s="498" t="s">
        <v>607</v>
      </c>
    </row>
    <row r="6" spans="2:3" ht="33.65" customHeight="1" x14ac:dyDescent="0.35">
      <c r="B6" s="450">
        <v>1</v>
      </c>
      <c r="C6" s="434" t="s">
        <v>643</v>
      </c>
    </row>
    <row r="7" spans="2:3" ht="19" customHeight="1" x14ac:dyDescent="0.35">
      <c r="B7" s="450">
        <v>2</v>
      </c>
      <c r="C7" s="434" t="s">
        <v>642</v>
      </c>
    </row>
    <row r="8" spans="2:3" ht="37" customHeight="1" x14ac:dyDescent="0.35">
      <c r="B8" s="450">
        <v>3</v>
      </c>
      <c r="C8" s="434" t="s">
        <v>590</v>
      </c>
    </row>
    <row r="9" spans="2:3" ht="144" customHeight="1" x14ac:dyDescent="0.35">
      <c r="B9" s="450">
        <v>4</v>
      </c>
      <c r="C9" s="434" t="s">
        <v>645</v>
      </c>
    </row>
    <row r="10" spans="2:3" ht="36" customHeight="1" thickBot="1" x14ac:dyDescent="0.4">
      <c r="B10" s="451">
        <v>5</v>
      </c>
      <c r="C10" s="449" t="s">
        <v>644</v>
      </c>
    </row>
    <row r="11" spans="2:3" x14ac:dyDescent="0.35">
      <c r="B11" s="255"/>
      <c r="C11" s="255"/>
    </row>
    <row r="12" spans="2:3" x14ac:dyDescent="0.35">
      <c r="B12" s="255"/>
      <c r="C12" s="255"/>
    </row>
    <row r="13" spans="2:3" x14ac:dyDescent="0.35">
      <c r="B13" s="255"/>
      <c r="C13" s="255"/>
    </row>
    <row r="14" spans="2:3" x14ac:dyDescent="0.35">
      <c r="B14" s="255"/>
      <c r="C14" s="25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A3CE1-1314-47B0-9FF4-16BBCBABE13D}">
  <sheetPr>
    <tabColor rgb="FFFFFF00"/>
  </sheetPr>
  <dimension ref="B1:C31"/>
  <sheetViews>
    <sheetView zoomScale="140" zoomScaleNormal="140" workbookViewId="0">
      <selection activeCell="A9" sqref="A9"/>
    </sheetView>
  </sheetViews>
  <sheetFormatPr defaultRowHeight="14.5" x14ac:dyDescent="0.35"/>
  <cols>
    <col min="2" max="2" width="5.54296875" customWidth="1"/>
    <col min="3" max="3" width="86" bestFit="1" customWidth="1"/>
    <col min="4" max="4" width="12.453125" bestFit="1" customWidth="1"/>
  </cols>
  <sheetData>
    <row r="1" spans="2:3" ht="18" x14ac:dyDescent="0.4">
      <c r="B1" s="255"/>
      <c r="C1" s="247" t="s">
        <v>270</v>
      </c>
    </row>
    <row r="2" spans="2:3" ht="18" x14ac:dyDescent="0.4">
      <c r="B2" s="247" t="s">
        <v>521</v>
      </c>
      <c r="C2" s="247" t="s">
        <v>522</v>
      </c>
    </row>
    <row r="3" spans="2:3" ht="18.5" thickBot="1" x14ac:dyDescent="0.45">
      <c r="B3" s="255"/>
      <c r="C3" s="247" t="s">
        <v>271</v>
      </c>
    </row>
    <row r="4" spans="2:3" ht="18" x14ac:dyDescent="0.4">
      <c r="B4" s="429"/>
      <c r="C4" s="432" t="s">
        <v>607</v>
      </c>
    </row>
    <row r="5" spans="2:3" ht="19" customHeight="1" x14ac:dyDescent="0.35">
      <c r="B5" s="450">
        <v>1</v>
      </c>
      <c r="C5" s="484" t="s">
        <v>646</v>
      </c>
    </row>
    <row r="6" spans="2:3" ht="22.5" customHeight="1" x14ac:dyDescent="0.35">
      <c r="B6" s="450">
        <v>2</v>
      </c>
      <c r="C6" s="435" t="s">
        <v>647</v>
      </c>
    </row>
    <row r="7" spans="2:3" ht="33" customHeight="1" thickBot="1" x14ac:dyDescent="0.4">
      <c r="B7" s="451">
        <v>3</v>
      </c>
      <c r="C7" s="485" t="s">
        <v>648</v>
      </c>
    </row>
    <row r="8" spans="2:3" ht="18.649999999999999" customHeight="1" x14ac:dyDescent="0.35">
      <c r="B8" s="452"/>
      <c r="C8" s="500"/>
    </row>
    <row r="9" spans="2:3" ht="17.149999999999999" customHeight="1" x14ac:dyDescent="0.35">
      <c r="B9" s="452"/>
      <c r="C9" s="500"/>
    </row>
    <row r="10" spans="2:3" s="499" customFormat="1" x14ac:dyDescent="0.35">
      <c r="B10" s="501"/>
      <c r="C10" s="502"/>
    </row>
    <row r="11" spans="2:3" s="499" customFormat="1" x14ac:dyDescent="0.35"/>
    <row r="12" spans="2:3" s="499" customFormat="1" x14ac:dyDescent="0.35"/>
    <row r="13" spans="2:3" ht="18.5" x14ac:dyDescent="0.45">
      <c r="C13" s="55"/>
    </row>
    <row r="14" spans="2:3" ht="18.5" x14ac:dyDescent="0.45">
      <c r="C14" s="55"/>
    </row>
    <row r="15" spans="2:3" ht="18.5" x14ac:dyDescent="0.45">
      <c r="C15" s="55"/>
    </row>
    <row r="16" spans="2:3" ht="18.5" x14ac:dyDescent="0.45">
      <c r="C16" s="55"/>
    </row>
    <row r="17" spans="3:3" ht="18.5" x14ac:dyDescent="0.45">
      <c r="C17" s="55"/>
    </row>
    <row r="18" spans="3:3" ht="18.5" x14ac:dyDescent="0.45">
      <c r="C18" s="55"/>
    </row>
    <row r="19" spans="3:3" ht="18.5" x14ac:dyDescent="0.45">
      <c r="C19" s="55"/>
    </row>
    <row r="20" spans="3:3" ht="18.5" x14ac:dyDescent="0.45">
      <c r="C20" s="55"/>
    </row>
    <row r="21" spans="3:3" ht="18.5" x14ac:dyDescent="0.45">
      <c r="C21" s="55"/>
    </row>
    <row r="22" spans="3:3" ht="18.5" x14ac:dyDescent="0.45">
      <c r="C22" s="55"/>
    </row>
    <row r="23" spans="3:3" ht="18.5" x14ac:dyDescent="0.45">
      <c r="C23" s="55"/>
    </row>
    <row r="24" spans="3:3" ht="18.5" x14ac:dyDescent="0.45">
      <c r="C24" s="55"/>
    </row>
    <row r="25" spans="3:3" ht="18.5" x14ac:dyDescent="0.45">
      <c r="C25" s="55"/>
    </row>
    <row r="26" spans="3:3" ht="18.5" x14ac:dyDescent="0.45">
      <c r="C26" s="55"/>
    </row>
    <row r="27" spans="3:3" ht="18.5" x14ac:dyDescent="0.45">
      <c r="C27" s="55"/>
    </row>
    <row r="28" spans="3:3" ht="18.5" x14ac:dyDescent="0.45">
      <c r="C28" s="55"/>
    </row>
    <row r="29" spans="3:3" ht="18.5" x14ac:dyDescent="0.45">
      <c r="C29" s="55"/>
    </row>
    <row r="30" spans="3:3" ht="18.5" x14ac:dyDescent="0.45">
      <c r="C30" s="55"/>
    </row>
    <row r="31" spans="3:3" ht="18.5" x14ac:dyDescent="0.45">
      <c r="C31" s="5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CONTENTS</vt:lpstr>
      <vt:lpstr>1 NPR RECON</vt:lpstr>
      <vt:lpstr>2 NPR BY PAYOR</vt:lpstr>
      <vt:lpstr>3 UTILIZATION INCREASE</vt:lpstr>
      <vt:lpstr>4 10% NPR INCREASE</vt:lpstr>
      <vt:lpstr>5 YoY NPR INCREASES FY21-22</vt:lpstr>
      <vt:lpstr>6 NPR RATE &amp; UTILIZATION</vt:lpstr>
      <vt:lpstr>7 BAD DEBT &amp; FREE CARE</vt:lpstr>
      <vt:lpstr>8 PSYCH &amp; ADULT DAY</vt:lpstr>
      <vt:lpstr>9 OTHER UTILIZATION INCREASES</vt:lpstr>
      <vt:lpstr>10 FQHC </vt:lpstr>
      <vt:lpstr> 11 IP PSYCH - COVID &amp; NOW</vt:lpstr>
      <vt:lpstr>SUPPORTING WORKPAPERS =&gt;</vt:lpstr>
      <vt:lpstr>INCOME STATMENT 0% INCR</vt:lpstr>
      <vt:lpstr>INCOME STATMENT 8% INCR</vt:lpstr>
      <vt:lpstr>REVIEW BY GL ACCOUNT</vt:lpstr>
      <vt:lpstr>CONTRACTUALS 0% INCR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Rooney, Patrick</dc:creator>
  <cp:lastModifiedBy>Connolly, Abigail</cp:lastModifiedBy>
  <dcterms:created xsi:type="dcterms:W3CDTF">2021-08-25T19:56:39Z</dcterms:created>
  <dcterms:modified xsi:type="dcterms:W3CDTF">2021-09-09T18:33:15Z</dcterms:modified>
</cp:coreProperties>
</file>