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vermontgov.sharepoint.com/teams/GMCB-BusinessOfficeTeam/Shared Documents/Hospital Budget Team/FY25 Brattleboro Retreat/Final (12-9)/CONFIDENTIAL/"/>
    </mc:Choice>
  </mc:AlternateContent>
  <xr:revisionPtr revIDLastSave="7" documentId="8_{EC60E65C-1927-4808-BE3A-A0AAA3559061}" xr6:coauthVersionLast="47" xr6:coauthVersionMax="47" xr10:uidLastSave="{12DC8C01-BF90-4CA9-9837-B1583065474C}"/>
  <bookViews>
    <workbookView xWindow="28680" yWindow="-120" windowWidth="29040" windowHeight="15720" activeTab="2" xr2:uid="{3E383E9D-F3A5-45BC-BAF6-A284A79713F8}"/>
  </bookViews>
  <sheets>
    <sheet name="Staff Turnover and Vacancies" sheetId="3" r:id="rId1"/>
    <sheet name="Comm Rate Decomp - Dummy" sheetId="9" state="hidden" r:id="rId2"/>
    <sheet name="Comm Rate Decomp - BR" sheetId="10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72" i="10" l="1"/>
  <c r="N72" i="10"/>
  <c r="P91" i="10"/>
  <c r="H91" i="10"/>
  <c r="P60" i="10"/>
  <c r="L72" i="10"/>
  <c r="M55" i="10"/>
  <c r="M37" i="10"/>
  <c r="I39" i="9"/>
  <c r="I38" i="9"/>
  <c r="O60" i="10"/>
  <c r="V60" i="10"/>
  <c r="P68" i="10"/>
  <c r="M43" i="10"/>
  <c r="M35" i="10"/>
  <c r="O35" i="10" l="1"/>
  <c r="Q36" i="10"/>
  <c r="P84" i="10"/>
  <c r="V47" i="10" l="1"/>
  <c r="M72" i="10"/>
  <c r="O72" i="10"/>
  <c r="H72" i="10"/>
  <c r="F60" i="10"/>
  <c r="O47" i="10" l="1"/>
  <c r="V35" i="10" l="1"/>
  <c r="V36" i="10"/>
  <c r="F36" i="10"/>
  <c r="F35" i="10"/>
  <c r="Q35" i="10"/>
  <c r="H35" i="10" l="1"/>
  <c r="I35" i="10" l="1"/>
  <c r="S35" i="10" s="1"/>
  <c r="T35" i="10" s="1"/>
  <c r="E69" i="10" l="1"/>
  <c r="AP37" i="10" l="1"/>
  <c r="E92" i="10" l="1"/>
  <c r="C92" i="10"/>
  <c r="V91" i="10"/>
  <c r="Q91" i="10"/>
  <c r="O91" i="10"/>
  <c r="M91" i="10"/>
  <c r="I91" i="10"/>
  <c r="S91" i="10" s="1"/>
  <c r="E88" i="10"/>
  <c r="C88" i="10"/>
  <c r="E86" i="10"/>
  <c r="C86" i="10"/>
  <c r="E84" i="10"/>
  <c r="C84" i="10"/>
  <c r="E81" i="10"/>
  <c r="C81" i="10"/>
  <c r="G80" i="10" s="1"/>
  <c r="V80" i="10"/>
  <c r="P80" i="10"/>
  <c r="L80" i="10"/>
  <c r="M80" i="10" s="1"/>
  <c r="H80" i="10"/>
  <c r="I80" i="10" s="1"/>
  <c r="S80" i="10" s="1"/>
  <c r="F80" i="10"/>
  <c r="N80" i="10"/>
  <c r="O80" i="10" s="1"/>
  <c r="V79" i="10"/>
  <c r="Q79" i="10"/>
  <c r="O79" i="10"/>
  <c r="M79" i="10"/>
  <c r="I79" i="10"/>
  <c r="S79" i="10" s="1"/>
  <c r="V78" i="10"/>
  <c r="N78" i="10"/>
  <c r="O78" i="10" s="1"/>
  <c r="F78" i="10"/>
  <c r="V77" i="10"/>
  <c r="N77" i="10"/>
  <c r="O77" i="10" s="1"/>
  <c r="F77" i="10"/>
  <c r="V76" i="10"/>
  <c r="P76" i="10"/>
  <c r="P78" i="10" s="1"/>
  <c r="Q78" i="10" s="1"/>
  <c r="O76" i="10"/>
  <c r="L76" i="10"/>
  <c r="H76" i="10"/>
  <c r="H78" i="10" s="1"/>
  <c r="I78" i="10" s="1"/>
  <c r="S78" i="10" s="1"/>
  <c r="F76" i="10"/>
  <c r="V74" i="10"/>
  <c r="P74" i="10"/>
  <c r="Q74" i="10" s="1"/>
  <c r="L74" i="10"/>
  <c r="M74" i="10" s="1"/>
  <c r="H74" i="10"/>
  <c r="I74" i="10" s="1"/>
  <c r="S74" i="10" s="1"/>
  <c r="F74" i="10"/>
  <c r="N74" i="10"/>
  <c r="O74" i="10" s="1"/>
  <c r="V73" i="10"/>
  <c r="P73" i="10"/>
  <c r="Q73" i="10" s="1"/>
  <c r="L73" i="10"/>
  <c r="M73" i="10" s="1"/>
  <c r="H73" i="10"/>
  <c r="I73" i="10" s="1"/>
  <c r="S73" i="10" s="1"/>
  <c r="F73" i="10"/>
  <c r="N73" i="10"/>
  <c r="O73" i="10" s="1"/>
  <c r="V72" i="10"/>
  <c r="Q72" i="10"/>
  <c r="I72" i="10"/>
  <c r="F72" i="10"/>
  <c r="C69" i="10"/>
  <c r="G67" i="10" s="1"/>
  <c r="V68" i="10"/>
  <c r="Q68" i="10"/>
  <c r="M68" i="10"/>
  <c r="I68" i="10"/>
  <c r="S68" i="10" s="1"/>
  <c r="F68" i="10"/>
  <c r="N68" i="10"/>
  <c r="O68" i="10" s="1"/>
  <c r="V67" i="10"/>
  <c r="Q67" i="10"/>
  <c r="O67" i="10"/>
  <c r="M67" i="10"/>
  <c r="I67" i="10"/>
  <c r="S67" i="10" s="1"/>
  <c r="V66" i="10"/>
  <c r="F66" i="10"/>
  <c r="V65" i="10"/>
  <c r="F65" i="10"/>
  <c r="V64" i="10"/>
  <c r="P64" i="10"/>
  <c r="P66" i="10" s="1"/>
  <c r="Q66" i="10" s="1"/>
  <c r="M65" i="10"/>
  <c r="I66" i="10"/>
  <c r="S66" i="10" s="1"/>
  <c r="F64" i="10"/>
  <c r="V62" i="10"/>
  <c r="P62" i="10"/>
  <c r="Q62" i="10" s="1"/>
  <c r="M62" i="10"/>
  <c r="H62" i="10"/>
  <c r="I62" i="10" s="1"/>
  <c r="S62" i="10" s="1"/>
  <c r="F62" i="10"/>
  <c r="O61" i="10"/>
  <c r="V61" i="10"/>
  <c r="P61" i="10"/>
  <c r="M61" i="10"/>
  <c r="H61" i="10"/>
  <c r="I61" i="10" s="1"/>
  <c r="S61" i="10" s="1"/>
  <c r="F61" i="10"/>
  <c r="Q60" i="10"/>
  <c r="M60" i="10"/>
  <c r="H60" i="10"/>
  <c r="I60" i="10" s="1"/>
  <c r="V55" i="10"/>
  <c r="Q55" i="10"/>
  <c r="I55" i="10"/>
  <c r="S55" i="10" s="1"/>
  <c r="F55" i="10"/>
  <c r="O55" i="10"/>
  <c r="B55" i="10"/>
  <c r="B68" i="10" s="1"/>
  <c r="B80" i="10" s="1"/>
  <c r="B92" i="10" s="1"/>
  <c r="V54" i="10"/>
  <c r="Q54" i="10"/>
  <c r="O54" i="10"/>
  <c r="M54" i="10"/>
  <c r="I54" i="10"/>
  <c r="S54" i="10" s="1"/>
  <c r="B53" i="10"/>
  <c r="B66" i="10" s="1"/>
  <c r="B78" i="10" s="1"/>
  <c r="B90" i="10" s="1"/>
  <c r="B52" i="10"/>
  <c r="B65" i="10" s="1"/>
  <c r="B77" i="10" s="1"/>
  <c r="B89" i="10" s="1"/>
  <c r="V51" i="10"/>
  <c r="I51" i="10"/>
  <c r="S51" i="10" s="1"/>
  <c r="F51" i="10"/>
  <c r="B51" i="10"/>
  <c r="B64" i="10" s="1"/>
  <c r="B76" i="10" s="1"/>
  <c r="B88" i="10" s="1"/>
  <c r="E56" i="10"/>
  <c r="B50" i="10"/>
  <c r="B63" i="10" s="1"/>
  <c r="B75" i="10" s="1"/>
  <c r="B87" i="10" s="1"/>
  <c r="V49" i="10"/>
  <c r="Q49" i="10"/>
  <c r="M49" i="10"/>
  <c r="I49" i="10"/>
  <c r="S49" i="10" s="1"/>
  <c r="F49" i="10"/>
  <c r="O49" i="10"/>
  <c r="B49" i="10"/>
  <c r="B62" i="10" s="1"/>
  <c r="B74" i="10" s="1"/>
  <c r="B86" i="10" s="1"/>
  <c r="O48" i="10"/>
  <c r="B48" i="10"/>
  <c r="B61" i="10" s="1"/>
  <c r="B73" i="10" s="1"/>
  <c r="B85" i="10" s="1"/>
  <c r="Q47" i="10"/>
  <c r="M47" i="10"/>
  <c r="F47" i="10"/>
  <c r="B47" i="10"/>
  <c r="B60" i="10" s="1"/>
  <c r="B72" i="10" s="1"/>
  <c r="B84" i="10" s="1"/>
  <c r="W46" i="10"/>
  <c r="W59" i="10" s="1"/>
  <c r="W71" i="10" s="1"/>
  <c r="W83" i="10" s="1"/>
  <c r="V46" i="10"/>
  <c r="V59" i="10" s="1"/>
  <c r="V71" i="10" s="1"/>
  <c r="V83" i="10" s="1"/>
  <c r="U46" i="10"/>
  <c r="U59" i="10" s="1"/>
  <c r="U71" i="10" s="1"/>
  <c r="U83" i="10" s="1"/>
  <c r="T46" i="10"/>
  <c r="T59" i="10" s="1"/>
  <c r="T71" i="10" s="1"/>
  <c r="T83" i="10" s="1"/>
  <c r="S46" i="10"/>
  <c r="S59" i="10" s="1"/>
  <c r="S71" i="10" s="1"/>
  <c r="S83" i="10" s="1"/>
  <c r="R46" i="10"/>
  <c r="R59" i="10" s="1"/>
  <c r="R71" i="10" s="1"/>
  <c r="R83" i="10" s="1"/>
  <c r="Q46" i="10"/>
  <c r="Q59" i="10" s="1"/>
  <c r="Q71" i="10" s="1"/>
  <c r="Q83" i="10" s="1"/>
  <c r="P46" i="10"/>
  <c r="P59" i="10" s="1"/>
  <c r="P71" i="10" s="1"/>
  <c r="P83" i="10" s="1"/>
  <c r="O46" i="10"/>
  <c r="O59" i="10" s="1"/>
  <c r="O71" i="10" s="1"/>
  <c r="O83" i="10" s="1"/>
  <c r="N46" i="10"/>
  <c r="N59" i="10" s="1"/>
  <c r="N71" i="10" s="1"/>
  <c r="N83" i="10" s="1"/>
  <c r="M46" i="10"/>
  <c r="M59" i="10" s="1"/>
  <c r="M71" i="10" s="1"/>
  <c r="M83" i="10" s="1"/>
  <c r="L46" i="10"/>
  <c r="L59" i="10" s="1"/>
  <c r="L71" i="10" s="1"/>
  <c r="L83" i="10" s="1"/>
  <c r="K46" i="10"/>
  <c r="K59" i="10" s="1"/>
  <c r="K71" i="10" s="1"/>
  <c r="K83" i="10" s="1"/>
  <c r="J46" i="10"/>
  <c r="J59" i="10" s="1"/>
  <c r="J71" i="10" s="1"/>
  <c r="J83" i="10" s="1"/>
  <c r="I46" i="10"/>
  <c r="I59" i="10" s="1"/>
  <c r="I71" i="10" s="1"/>
  <c r="I83" i="10" s="1"/>
  <c r="H46" i="10"/>
  <c r="H59" i="10" s="1"/>
  <c r="H71" i="10" s="1"/>
  <c r="H83" i="10" s="1"/>
  <c r="G46" i="10"/>
  <c r="G59" i="10" s="1"/>
  <c r="G71" i="10" s="1"/>
  <c r="G83" i="10" s="1"/>
  <c r="F46" i="10"/>
  <c r="F59" i="10" s="1"/>
  <c r="F71" i="10" s="1"/>
  <c r="F83" i="10" s="1"/>
  <c r="E46" i="10"/>
  <c r="E59" i="10" s="1"/>
  <c r="E71" i="10" s="1"/>
  <c r="E83" i="10" s="1"/>
  <c r="D46" i="10"/>
  <c r="D59" i="10" s="1"/>
  <c r="D71" i="10" s="1"/>
  <c r="D83" i="10" s="1"/>
  <c r="C46" i="10"/>
  <c r="C59" i="10" s="1"/>
  <c r="C71" i="10" s="1"/>
  <c r="C83" i="10" s="1"/>
  <c r="AP44" i="10"/>
  <c r="AP43" i="10"/>
  <c r="V43" i="10"/>
  <c r="Q43" i="10"/>
  <c r="O43" i="10"/>
  <c r="F43" i="10"/>
  <c r="V42" i="10"/>
  <c r="Q42" i="10"/>
  <c r="O42" i="10"/>
  <c r="M42" i="10"/>
  <c r="I42" i="10"/>
  <c r="S42" i="10" s="1"/>
  <c r="AP41" i="10"/>
  <c r="E90" i="10"/>
  <c r="AP40" i="10"/>
  <c r="E89" i="10"/>
  <c r="AP39" i="10"/>
  <c r="V39" i="10"/>
  <c r="Q39" i="10"/>
  <c r="O39" i="10"/>
  <c r="F39" i="10"/>
  <c r="AP38" i="10"/>
  <c r="V37" i="10"/>
  <c r="H37" i="10"/>
  <c r="F37" i="10"/>
  <c r="H36" i="10"/>
  <c r="C85" i="10"/>
  <c r="R79" i="10" l="1"/>
  <c r="P77" i="10"/>
  <c r="Q77" i="10" s="1"/>
  <c r="R54" i="10"/>
  <c r="M52" i="10"/>
  <c r="R91" i="10"/>
  <c r="R42" i="10"/>
  <c r="Q76" i="10"/>
  <c r="Q80" i="10"/>
  <c r="R80" i="10" s="1"/>
  <c r="P92" i="10"/>
  <c r="R72" i="10"/>
  <c r="U67" i="10"/>
  <c r="Q61" i="10"/>
  <c r="R61" i="10" s="1"/>
  <c r="P85" i="10"/>
  <c r="Q85" i="10" s="1"/>
  <c r="I47" i="10"/>
  <c r="S47" i="10" s="1"/>
  <c r="H84" i="10"/>
  <c r="I84" i="10" s="1"/>
  <c r="S84" i="10" s="1"/>
  <c r="Q37" i="10"/>
  <c r="P86" i="10"/>
  <c r="Q86" i="10" s="1"/>
  <c r="I36" i="10"/>
  <c r="S36" i="10" s="1"/>
  <c r="T36" i="10" s="1"/>
  <c r="P88" i="10"/>
  <c r="H88" i="10"/>
  <c r="I88" i="10" s="1"/>
  <c r="S88" i="10" s="1"/>
  <c r="T88" i="10" s="1"/>
  <c r="I43" i="10"/>
  <c r="S43" i="10" s="1"/>
  <c r="T43" i="10" s="1"/>
  <c r="H92" i="10"/>
  <c r="I92" i="10" s="1"/>
  <c r="S92" i="10" s="1"/>
  <c r="T92" i="10" s="1"/>
  <c r="I37" i="10"/>
  <c r="S37" i="10" s="1"/>
  <c r="T37" i="10" s="1"/>
  <c r="H86" i="10"/>
  <c r="I86" i="10" s="1"/>
  <c r="S86" i="10" s="1"/>
  <c r="T86" i="10" s="1"/>
  <c r="R60" i="10"/>
  <c r="O62" i="10"/>
  <c r="L56" i="10"/>
  <c r="W80" i="10"/>
  <c r="G72" i="10"/>
  <c r="W72" i="10" s="1"/>
  <c r="G74" i="10"/>
  <c r="W74" i="10" s="1"/>
  <c r="G77" i="10"/>
  <c r="W77" i="10" s="1"/>
  <c r="G73" i="10"/>
  <c r="W73" i="10" s="1"/>
  <c r="G79" i="10"/>
  <c r="W79" i="10" s="1"/>
  <c r="G76" i="10"/>
  <c r="G78" i="10"/>
  <c r="W78" i="10" s="1"/>
  <c r="I65" i="10"/>
  <c r="S65" i="10" s="1"/>
  <c r="T65" i="10" s="1"/>
  <c r="I64" i="10"/>
  <c r="S64" i="10" s="1"/>
  <c r="T64" i="10" s="1"/>
  <c r="M64" i="10"/>
  <c r="D69" i="10"/>
  <c r="G61" i="10"/>
  <c r="W61" i="10" s="1"/>
  <c r="F69" i="10"/>
  <c r="G62" i="10"/>
  <c r="W62" i="10" s="1"/>
  <c r="G66" i="10"/>
  <c r="W66" i="10" s="1"/>
  <c r="V69" i="10"/>
  <c r="G64" i="10"/>
  <c r="G68" i="10"/>
  <c r="W68" i="10" s="1"/>
  <c r="W67" i="10"/>
  <c r="G65" i="10"/>
  <c r="G60" i="10"/>
  <c r="W60" i="10" s="1"/>
  <c r="D92" i="10"/>
  <c r="R55" i="10"/>
  <c r="Q53" i="10"/>
  <c r="M51" i="10"/>
  <c r="F52" i="10"/>
  <c r="N86" i="10"/>
  <c r="O86" i="10" s="1"/>
  <c r="D86" i="10"/>
  <c r="L84" i="10"/>
  <c r="M84" i="10" s="1"/>
  <c r="F86" i="10"/>
  <c r="O37" i="10"/>
  <c r="V84" i="10"/>
  <c r="V92" i="10"/>
  <c r="Q92" i="10"/>
  <c r="F88" i="10"/>
  <c r="T49" i="10"/>
  <c r="T80" i="10"/>
  <c r="T61" i="10"/>
  <c r="N88" i="10"/>
  <c r="O88" i="10" s="1"/>
  <c r="O66" i="10"/>
  <c r="O65" i="10"/>
  <c r="T74" i="10"/>
  <c r="T42" i="10"/>
  <c r="C44" i="10"/>
  <c r="V53" i="10"/>
  <c r="T66" i="10"/>
  <c r="T79" i="10"/>
  <c r="T91" i="10"/>
  <c r="F53" i="10"/>
  <c r="L78" i="10"/>
  <c r="M78" i="10" s="1"/>
  <c r="R78" i="10" s="1"/>
  <c r="L77" i="10"/>
  <c r="M77" i="10" s="1"/>
  <c r="V41" i="10"/>
  <c r="M53" i="10"/>
  <c r="R68" i="10"/>
  <c r="M76" i="10"/>
  <c r="S60" i="10"/>
  <c r="C90" i="10"/>
  <c r="V90" i="10" s="1"/>
  <c r="D90" i="10"/>
  <c r="L86" i="10"/>
  <c r="M86" i="10" s="1"/>
  <c r="I39" i="10"/>
  <c r="S39" i="10" s="1"/>
  <c r="F41" i="10"/>
  <c r="I48" i="10"/>
  <c r="S48" i="10" s="1"/>
  <c r="Q48" i="10"/>
  <c r="F48" i="10"/>
  <c r="M48" i="10"/>
  <c r="V48" i="10"/>
  <c r="C56" i="10"/>
  <c r="T68" i="10"/>
  <c r="T78" i="10"/>
  <c r="V86" i="10"/>
  <c r="T55" i="10"/>
  <c r="R35" i="10"/>
  <c r="D84" i="10"/>
  <c r="I53" i="10"/>
  <c r="S53" i="10" s="1"/>
  <c r="V81" i="10"/>
  <c r="F81" i="10"/>
  <c r="Q52" i="10"/>
  <c r="Q51" i="10"/>
  <c r="M41" i="10"/>
  <c r="T51" i="10"/>
  <c r="T54" i="10"/>
  <c r="R62" i="10"/>
  <c r="S72" i="10"/>
  <c r="R73" i="10"/>
  <c r="E85" i="10"/>
  <c r="E44" i="10"/>
  <c r="T62" i="10"/>
  <c r="M40" i="10"/>
  <c r="M36" i="10"/>
  <c r="D85" i="10"/>
  <c r="C89" i="10"/>
  <c r="V89" i="10" s="1"/>
  <c r="Q40" i="10"/>
  <c r="F40" i="10"/>
  <c r="R49" i="10"/>
  <c r="O64" i="10"/>
  <c r="R74" i="10"/>
  <c r="I52" i="10"/>
  <c r="S52" i="10" s="1"/>
  <c r="P65" i="10"/>
  <c r="Q65" i="10" s="1"/>
  <c r="Q64" i="10"/>
  <c r="M66" i="10"/>
  <c r="T67" i="10"/>
  <c r="H77" i="10"/>
  <c r="I77" i="10" s="1"/>
  <c r="S77" i="10" s="1"/>
  <c r="I76" i="10"/>
  <c r="S76" i="10" s="1"/>
  <c r="V88" i="10"/>
  <c r="V40" i="10"/>
  <c r="R67" i="10"/>
  <c r="L88" i="10"/>
  <c r="M88" i="10" s="1"/>
  <c r="L92" i="10"/>
  <c r="M92" i="10" s="1"/>
  <c r="V52" i="10"/>
  <c r="F84" i="10"/>
  <c r="M39" i="10"/>
  <c r="T73" i="10"/>
  <c r="D81" i="10"/>
  <c r="U80" i="10"/>
  <c r="N92" i="10"/>
  <c r="O92" i="10" s="1"/>
  <c r="F92" i="10"/>
  <c r="Q84" i="10"/>
  <c r="D103" i="9"/>
  <c r="E103" i="9"/>
  <c r="F103" i="9"/>
  <c r="G103" i="9"/>
  <c r="H103" i="9"/>
  <c r="I103" i="9"/>
  <c r="J51" i="9"/>
  <c r="J69" i="9"/>
  <c r="J86" i="9"/>
  <c r="J103" i="9"/>
  <c r="K103" i="9"/>
  <c r="L103" i="9"/>
  <c r="M103" i="9"/>
  <c r="N103" i="9"/>
  <c r="O103" i="9"/>
  <c r="P103" i="9"/>
  <c r="Q103" i="9"/>
  <c r="R103" i="9"/>
  <c r="S103" i="9"/>
  <c r="T103" i="9"/>
  <c r="U103" i="9"/>
  <c r="V103" i="9"/>
  <c r="W103" i="9"/>
  <c r="C103" i="9"/>
  <c r="D86" i="9"/>
  <c r="E86" i="9"/>
  <c r="F86" i="9"/>
  <c r="G86" i="9"/>
  <c r="H86" i="9"/>
  <c r="I86" i="9"/>
  <c r="K86" i="9"/>
  <c r="L86" i="9"/>
  <c r="M86" i="9"/>
  <c r="N86" i="9"/>
  <c r="O86" i="9"/>
  <c r="P86" i="9"/>
  <c r="Q86" i="9"/>
  <c r="R86" i="9"/>
  <c r="S86" i="9"/>
  <c r="T86" i="9"/>
  <c r="U86" i="9"/>
  <c r="V86" i="9"/>
  <c r="W86" i="9"/>
  <c r="C86" i="9"/>
  <c r="D69" i="9"/>
  <c r="E69" i="9"/>
  <c r="F69" i="9"/>
  <c r="G69" i="9"/>
  <c r="H69" i="9"/>
  <c r="I69" i="9"/>
  <c r="K69" i="9"/>
  <c r="L69" i="9"/>
  <c r="M69" i="9"/>
  <c r="N69" i="9"/>
  <c r="O69" i="9"/>
  <c r="P69" i="9"/>
  <c r="Q69" i="9"/>
  <c r="R69" i="9"/>
  <c r="S69" i="9"/>
  <c r="T69" i="9"/>
  <c r="U69" i="9"/>
  <c r="V69" i="9"/>
  <c r="W69" i="9"/>
  <c r="C69" i="9"/>
  <c r="D51" i="9"/>
  <c r="E51" i="9"/>
  <c r="F51" i="9"/>
  <c r="G51" i="9"/>
  <c r="H51" i="9"/>
  <c r="I51" i="9"/>
  <c r="K51" i="9"/>
  <c r="L51" i="9"/>
  <c r="M51" i="9"/>
  <c r="N51" i="9"/>
  <c r="O51" i="9"/>
  <c r="P51" i="9"/>
  <c r="Q51" i="9"/>
  <c r="R51" i="9"/>
  <c r="S51" i="9"/>
  <c r="T51" i="9"/>
  <c r="U51" i="9"/>
  <c r="V51" i="9"/>
  <c r="W51" i="9"/>
  <c r="C117" i="9"/>
  <c r="P117" i="9"/>
  <c r="C113" i="9"/>
  <c r="P113" i="9"/>
  <c r="P115" i="9"/>
  <c r="P114" i="9"/>
  <c r="C112" i="9"/>
  <c r="P112" i="9"/>
  <c r="C111" i="9"/>
  <c r="P111" i="9"/>
  <c r="C110" i="9"/>
  <c r="P110" i="9"/>
  <c r="C109" i="9"/>
  <c r="P109" i="9"/>
  <c r="C108" i="9"/>
  <c r="P108" i="9"/>
  <c r="P107" i="9"/>
  <c r="C106" i="9"/>
  <c r="P106" i="9"/>
  <c r="C36" i="9"/>
  <c r="C53" i="9"/>
  <c r="C105" i="9"/>
  <c r="P105" i="9"/>
  <c r="C104" i="9"/>
  <c r="P104" i="9"/>
  <c r="P100" i="9"/>
  <c r="P96" i="9"/>
  <c r="P98" i="9"/>
  <c r="P97" i="9"/>
  <c r="P95" i="9"/>
  <c r="P94" i="9"/>
  <c r="P93" i="9"/>
  <c r="P92" i="9"/>
  <c r="P91" i="9"/>
  <c r="P90" i="9"/>
  <c r="P89" i="9"/>
  <c r="P88" i="9"/>
  <c r="P87" i="9"/>
  <c r="P83" i="9"/>
  <c r="P79" i="9"/>
  <c r="P81" i="9"/>
  <c r="P80" i="9"/>
  <c r="P78" i="9"/>
  <c r="P77" i="9"/>
  <c r="P76" i="9"/>
  <c r="P75" i="9"/>
  <c r="P74" i="9"/>
  <c r="P73" i="9"/>
  <c r="P72" i="9"/>
  <c r="P71" i="9"/>
  <c r="P70" i="9"/>
  <c r="P65" i="9"/>
  <c r="P61" i="9"/>
  <c r="P63" i="9"/>
  <c r="P62" i="9"/>
  <c r="P60" i="9"/>
  <c r="P59" i="9"/>
  <c r="P58" i="9"/>
  <c r="P57" i="9"/>
  <c r="P56" i="9"/>
  <c r="P55" i="9"/>
  <c r="P54" i="9"/>
  <c r="P53" i="9"/>
  <c r="P52" i="9"/>
  <c r="L35" i="9"/>
  <c r="L52" i="9"/>
  <c r="L70" i="9"/>
  <c r="L87" i="9"/>
  <c r="L104" i="9"/>
  <c r="M104" i="9"/>
  <c r="L36" i="9"/>
  <c r="L53" i="9"/>
  <c r="L71" i="9"/>
  <c r="L88" i="9"/>
  <c r="L105" i="9"/>
  <c r="L37" i="9"/>
  <c r="L54" i="9"/>
  <c r="L72" i="9"/>
  <c r="L89" i="9"/>
  <c r="L106" i="9"/>
  <c r="L39" i="9"/>
  <c r="L40" i="9"/>
  <c r="L41" i="9"/>
  <c r="L42" i="9"/>
  <c r="L43" i="9"/>
  <c r="L38" i="9"/>
  <c r="L56" i="9"/>
  <c r="L57" i="9"/>
  <c r="L58" i="9"/>
  <c r="L59" i="9"/>
  <c r="L60" i="9"/>
  <c r="L55" i="9"/>
  <c r="L74" i="9"/>
  <c r="L75" i="9"/>
  <c r="L76" i="9"/>
  <c r="L77" i="9"/>
  <c r="L78" i="9"/>
  <c r="L73" i="9"/>
  <c r="L91" i="9"/>
  <c r="L92" i="9"/>
  <c r="L93" i="9"/>
  <c r="L94" i="9"/>
  <c r="L95" i="9"/>
  <c r="L90" i="9"/>
  <c r="L107" i="9"/>
  <c r="L108" i="9"/>
  <c r="L109" i="9"/>
  <c r="L110" i="9"/>
  <c r="L111" i="9"/>
  <c r="L112" i="9"/>
  <c r="L44" i="9"/>
  <c r="L61" i="9"/>
  <c r="L79" i="9"/>
  <c r="L96" i="9"/>
  <c r="L113" i="9"/>
  <c r="L45" i="9"/>
  <c r="L62" i="9"/>
  <c r="L80" i="9"/>
  <c r="L97" i="9"/>
  <c r="L114" i="9"/>
  <c r="L46" i="9"/>
  <c r="L63" i="9"/>
  <c r="L81" i="9"/>
  <c r="L98" i="9"/>
  <c r="L115" i="9"/>
  <c r="L48" i="9"/>
  <c r="L65" i="9"/>
  <c r="L83" i="9"/>
  <c r="L100" i="9"/>
  <c r="L117" i="9"/>
  <c r="C46" i="9"/>
  <c r="C63" i="9"/>
  <c r="C115" i="9"/>
  <c r="H115" i="9"/>
  <c r="C45" i="9"/>
  <c r="C62" i="9"/>
  <c r="C114" i="9"/>
  <c r="H114" i="9"/>
  <c r="H117" i="9"/>
  <c r="H113" i="9"/>
  <c r="H112" i="9"/>
  <c r="H111" i="9"/>
  <c r="H110" i="9"/>
  <c r="H109" i="9"/>
  <c r="H108" i="9"/>
  <c r="H107" i="9"/>
  <c r="H106" i="9"/>
  <c r="H105" i="9"/>
  <c r="H104" i="9"/>
  <c r="H100" i="9"/>
  <c r="H96" i="9"/>
  <c r="H98" i="9"/>
  <c r="H97" i="9"/>
  <c r="H95" i="9"/>
  <c r="H94" i="9"/>
  <c r="H93" i="9"/>
  <c r="H92" i="9"/>
  <c r="H91" i="9"/>
  <c r="H90" i="9"/>
  <c r="H89" i="9"/>
  <c r="H88" i="9"/>
  <c r="H87" i="9"/>
  <c r="H83" i="9"/>
  <c r="H79" i="9"/>
  <c r="H81" i="9"/>
  <c r="H80" i="9"/>
  <c r="H78" i="9"/>
  <c r="H77" i="9"/>
  <c r="H76" i="9"/>
  <c r="H75" i="9"/>
  <c r="H74" i="9"/>
  <c r="H73" i="9"/>
  <c r="H72" i="9"/>
  <c r="H71" i="9"/>
  <c r="H70" i="9"/>
  <c r="H65" i="9"/>
  <c r="H61" i="9"/>
  <c r="H63" i="9"/>
  <c r="H62" i="9"/>
  <c r="H60" i="9"/>
  <c r="H59" i="9"/>
  <c r="H58" i="9"/>
  <c r="H57" i="9"/>
  <c r="H56" i="9"/>
  <c r="H55" i="9"/>
  <c r="H54" i="9"/>
  <c r="H53" i="9"/>
  <c r="H52" i="9"/>
  <c r="H35" i="9"/>
  <c r="H36" i="9"/>
  <c r="H37" i="9"/>
  <c r="H39" i="9"/>
  <c r="H40" i="9"/>
  <c r="H41" i="9"/>
  <c r="H42" i="9"/>
  <c r="H43" i="9"/>
  <c r="H38" i="9"/>
  <c r="H44" i="9"/>
  <c r="H45" i="9"/>
  <c r="H46" i="9"/>
  <c r="H48" i="9"/>
  <c r="D35" i="9"/>
  <c r="D52" i="9"/>
  <c r="D70" i="9"/>
  <c r="D87" i="9"/>
  <c r="D104" i="9"/>
  <c r="D36" i="9"/>
  <c r="D53" i="9"/>
  <c r="D71" i="9"/>
  <c r="D88" i="9"/>
  <c r="D105" i="9"/>
  <c r="D37" i="9"/>
  <c r="D54" i="9"/>
  <c r="D72" i="9"/>
  <c r="D89" i="9"/>
  <c r="D106" i="9"/>
  <c r="D39" i="9"/>
  <c r="D40" i="9"/>
  <c r="D41" i="9"/>
  <c r="D42" i="9"/>
  <c r="D43" i="9"/>
  <c r="D38" i="9"/>
  <c r="D56" i="9"/>
  <c r="D57" i="9"/>
  <c r="D58" i="9"/>
  <c r="D59" i="9"/>
  <c r="D60" i="9"/>
  <c r="D55" i="9"/>
  <c r="D74" i="9"/>
  <c r="D75" i="9"/>
  <c r="D76" i="9"/>
  <c r="D77" i="9"/>
  <c r="D78" i="9"/>
  <c r="D73" i="9"/>
  <c r="D91" i="9"/>
  <c r="D92" i="9"/>
  <c r="D93" i="9"/>
  <c r="D94" i="9"/>
  <c r="D95" i="9"/>
  <c r="D90" i="9"/>
  <c r="D107" i="9"/>
  <c r="D108" i="9"/>
  <c r="D109" i="9"/>
  <c r="D110" i="9"/>
  <c r="D111" i="9"/>
  <c r="D112" i="9"/>
  <c r="D45" i="9"/>
  <c r="D46" i="9"/>
  <c r="D44" i="9"/>
  <c r="D62" i="9"/>
  <c r="D63" i="9"/>
  <c r="D61" i="9"/>
  <c r="D80" i="9"/>
  <c r="D81" i="9"/>
  <c r="D79" i="9"/>
  <c r="D97" i="9"/>
  <c r="D98" i="9"/>
  <c r="D96" i="9"/>
  <c r="D113" i="9"/>
  <c r="D114" i="9"/>
  <c r="D115" i="9"/>
  <c r="D48" i="9"/>
  <c r="D65" i="9"/>
  <c r="D83" i="9"/>
  <c r="D100" i="9"/>
  <c r="D117" i="9"/>
  <c r="I52" i="9"/>
  <c r="I108" i="9"/>
  <c r="K108" i="9"/>
  <c r="I109" i="9"/>
  <c r="K109" i="9"/>
  <c r="I110" i="9"/>
  <c r="K110" i="9"/>
  <c r="I111" i="9"/>
  <c r="K111" i="9"/>
  <c r="I112" i="9"/>
  <c r="K112" i="9"/>
  <c r="K118" i="9"/>
  <c r="J108" i="9"/>
  <c r="J109" i="9"/>
  <c r="J110" i="9"/>
  <c r="J111" i="9"/>
  <c r="J112" i="9"/>
  <c r="J118" i="9"/>
  <c r="C38" i="9"/>
  <c r="C55" i="9"/>
  <c r="C107" i="9"/>
  <c r="I107" i="9"/>
  <c r="K107" i="9"/>
  <c r="J107" i="9"/>
  <c r="I91" i="9"/>
  <c r="K91" i="9"/>
  <c r="I92" i="9"/>
  <c r="K92" i="9"/>
  <c r="I93" i="9"/>
  <c r="K93" i="9"/>
  <c r="I94" i="9"/>
  <c r="K94" i="9"/>
  <c r="I95" i="9"/>
  <c r="K95" i="9"/>
  <c r="K101" i="9"/>
  <c r="J91" i="9"/>
  <c r="J92" i="9"/>
  <c r="J93" i="9"/>
  <c r="J94" i="9"/>
  <c r="J95" i="9"/>
  <c r="J101" i="9"/>
  <c r="I90" i="9"/>
  <c r="K90" i="9"/>
  <c r="J90" i="9"/>
  <c r="I74" i="9"/>
  <c r="K74" i="9"/>
  <c r="I75" i="9"/>
  <c r="K75" i="9"/>
  <c r="I76" i="9"/>
  <c r="K76" i="9"/>
  <c r="I77" i="9"/>
  <c r="K77" i="9"/>
  <c r="I78" i="9"/>
  <c r="K78" i="9"/>
  <c r="K84" i="9"/>
  <c r="J74" i="9"/>
  <c r="J75" i="9"/>
  <c r="J76" i="9"/>
  <c r="J77" i="9"/>
  <c r="J78" i="9"/>
  <c r="J84" i="9"/>
  <c r="I73" i="9"/>
  <c r="K73" i="9"/>
  <c r="J73" i="9"/>
  <c r="I56" i="9"/>
  <c r="K56" i="9"/>
  <c r="I57" i="9"/>
  <c r="K57" i="9"/>
  <c r="I58" i="9"/>
  <c r="K58" i="9"/>
  <c r="I59" i="9"/>
  <c r="K59" i="9"/>
  <c r="I60" i="9"/>
  <c r="K60" i="9"/>
  <c r="K66" i="9"/>
  <c r="J56" i="9"/>
  <c r="J57" i="9"/>
  <c r="J58" i="9"/>
  <c r="J59" i="9"/>
  <c r="J60" i="9"/>
  <c r="J66" i="9"/>
  <c r="I55" i="9"/>
  <c r="K55" i="9"/>
  <c r="J55" i="9"/>
  <c r="K39" i="9"/>
  <c r="I40" i="9"/>
  <c r="K40" i="9"/>
  <c r="I41" i="9"/>
  <c r="K41" i="9"/>
  <c r="I42" i="9"/>
  <c r="K42" i="9"/>
  <c r="I43" i="9"/>
  <c r="K43" i="9"/>
  <c r="K49" i="9"/>
  <c r="J39" i="9"/>
  <c r="J40" i="9"/>
  <c r="J41" i="9"/>
  <c r="J42" i="9"/>
  <c r="J43" i="9"/>
  <c r="J49" i="9"/>
  <c r="J38" i="9"/>
  <c r="K38" i="9"/>
  <c r="E117" i="9"/>
  <c r="F117" i="9"/>
  <c r="P48" i="9"/>
  <c r="Q117" i="9"/>
  <c r="N48" i="9"/>
  <c r="N65" i="9"/>
  <c r="N83" i="9"/>
  <c r="N100" i="9"/>
  <c r="N117" i="9"/>
  <c r="O117" i="9"/>
  <c r="M117" i="9"/>
  <c r="I117" i="9"/>
  <c r="R117" i="9"/>
  <c r="Q116" i="9"/>
  <c r="O116" i="9"/>
  <c r="M116" i="9"/>
  <c r="I116" i="9"/>
  <c r="R116" i="9"/>
  <c r="E46" i="9"/>
  <c r="E63" i="9"/>
  <c r="E115" i="9"/>
  <c r="F115" i="9"/>
  <c r="P44" i="9"/>
  <c r="P46" i="9"/>
  <c r="Q115" i="9"/>
  <c r="N44" i="9"/>
  <c r="N46" i="9"/>
  <c r="N61" i="9"/>
  <c r="N63" i="9"/>
  <c r="N79" i="9"/>
  <c r="N81" i="9"/>
  <c r="N98" i="9"/>
  <c r="N115" i="9"/>
  <c r="O115" i="9"/>
  <c r="M115" i="9"/>
  <c r="I115" i="9"/>
  <c r="R115" i="9"/>
  <c r="E45" i="9"/>
  <c r="E62" i="9"/>
  <c r="E114" i="9"/>
  <c r="F114" i="9"/>
  <c r="P45" i="9"/>
  <c r="Q114" i="9"/>
  <c r="N45" i="9"/>
  <c r="N62" i="9"/>
  <c r="N80" i="9"/>
  <c r="N97" i="9"/>
  <c r="N114" i="9"/>
  <c r="O114" i="9"/>
  <c r="M114" i="9"/>
  <c r="I114" i="9"/>
  <c r="R114" i="9"/>
  <c r="E113" i="9"/>
  <c r="F113" i="9"/>
  <c r="Q113" i="9"/>
  <c r="N113" i="9"/>
  <c r="O113" i="9"/>
  <c r="M113" i="9"/>
  <c r="I113" i="9"/>
  <c r="R113" i="9"/>
  <c r="E112" i="9"/>
  <c r="F112" i="9"/>
  <c r="P43" i="9"/>
  <c r="Q112" i="9"/>
  <c r="N43" i="9"/>
  <c r="N60" i="9"/>
  <c r="N78" i="9"/>
  <c r="N95" i="9"/>
  <c r="N112" i="9"/>
  <c r="O112" i="9"/>
  <c r="M112" i="9"/>
  <c r="R112" i="9"/>
  <c r="E111" i="9"/>
  <c r="F111" i="9"/>
  <c r="P42" i="9"/>
  <c r="Q111" i="9"/>
  <c r="N42" i="9"/>
  <c r="N59" i="9"/>
  <c r="N77" i="9"/>
  <c r="N94" i="9"/>
  <c r="N111" i="9"/>
  <c r="O111" i="9"/>
  <c r="M111" i="9"/>
  <c r="R111" i="9"/>
  <c r="E110" i="9"/>
  <c r="F110" i="9"/>
  <c r="P41" i="9"/>
  <c r="Q110" i="9"/>
  <c r="N41" i="9"/>
  <c r="N58" i="9"/>
  <c r="N76" i="9"/>
  <c r="N93" i="9"/>
  <c r="N110" i="9"/>
  <c r="O110" i="9"/>
  <c r="M110" i="9"/>
  <c r="R110" i="9"/>
  <c r="E109" i="9"/>
  <c r="F109" i="9"/>
  <c r="P40" i="9"/>
  <c r="Q109" i="9"/>
  <c r="N40" i="9"/>
  <c r="N57" i="9"/>
  <c r="N75" i="9"/>
  <c r="N92" i="9"/>
  <c r="N109" i="9"/>
  <c r="O109" i="9"/>
  <c r="M109" i="9"/>
  <c r="R109" i="9"/>
  <c r="E108" i="9"/>
  <c r="F108" i="9"/>
  <c r="P39" i="9"/>
  <c r="Q108" i="9"/>
  <c r="N39" i="9"/>
  <c r="N56" i="9"/>
  <c r="N74" i="9"/>
  <c r="N91" i="9"/>
  <c r="N108" i="9"/>
  <c r="O108" i="9"/>
  <c r="M108" i="9"/>
  <c r="R108" i="9"/>
  <c r="E38" i="9"/>
  <c r="E55" i="9"/>
  <c r="E107" i="9"/>
  <c r="F107" i="9"/>
  <c r="P38" i="9"/>
  <c r="Q107" i="9"/>
  <c r="N38" i="9"/>
  <c r="N55" i="9"/>
  <c r="N73" i="9"/>
  <c r="N90" i="9"/>
  <c r="N107" i="9"/>
  <c r="O107" i="9"/>
  <c r="M107" i="9"/>
  <c r="R107" i="9"/>
  <c r="E106" i="9"/>
  <c r="F106" i="9"/>
  <c r="P37" i="9"/>
  <c r="Q106" i="9"/>
  <c r="N37" i="9"/>
  <c r="N54" i="9"/>
  <c r="N72" i="9"/>
  <c r="N89" i="9"/>
  <c r="N106" i="9"/>
  <c r="O106" i="9"/>
  <c r="M106" i="9"/>
  <c r="I106" i="9"/>
  <c r="R106" i="9"/>
  <c r="E36" i="9"/>
  <c r="E53" i="9"/>
  <c r="E105" i="9"/>
  <c r="F105" i="9"/>
  <c r="P36" i="9"/>
  <c r="Q105" i="9"/>
  <c r="N36" i="9"/>
  <c r="N53" i="9"/>
  <c r="N71" i="9"/>
  <c r="N88" i="9"/>
  <c r="N105" i="9"/>
  <c r="O105" i="9"/>
  <c r="M105" i="9"/>
  <c r="I105" i="9"/>
  <c r="R105" i="9"/>
  <c r="E104" i="9"/>
  <c r="F104" i="9"/>
  <c r="P35" i="9"/>
  <c r="Q104" i="9"/>
  <c r="N35" i="9"/>
  <c r="N52" i="9"/>
  <c r="N70" i="9"/>
  <c r="N87" i="9"/>
  <c r="N104" i="9"/>
  <c r="O104" i="9"/>
  <c r="I104" i="9"/>
  <c r="R104" i="9"/>
  <c r="F100" i="9"/>
  <c r="Q100" i="9"/>
  <c r="O100" i="9"/>
  <c r="M100" i="9"/>
  <c r="I100" i="9"/>
  <c r="R100" i="9"/>
  <c r="Q99" i="9"/>
  <c r="O99" i="9"/>
  <c r="M99" i="9"/>
  <c r="I99" i="9"/>
  <c r="R99" i="9"/>
  <c r="F98" i="9"/>
  <c r="Q98" i="9"/>
  <c r="O98" i="9"/>
  <c r="M98" i="9"/>
  <c r="I98" i="9"/>
  <c r="R98" i="9"/>
  <c r="F97" i="9"/>
  <c r="Q97" i="9"/>
  <c r="O97" i="9"/>
  <c r="M97" i="9"/>
  <c r="I97" i="9"/>
  <c r="R97" i="9"/>
  <c r="F96" i="9"/>
  <c r="Q96" i="9"/>
  <c r="O96" i="9"/>
  <c r="M96" i="9"/>
  <c r="I96" i="9"/>
  <c r="R96" i="9"/>
  <c r="F95" i="9"/>
  <c r="Q95" i="9"/>
  <c r="O95" i="9"/>
  <c r="M95" i="9"/>
  <c r="R95" i="9"/>
  <c r="F94" i="9"/>
  <c r="Q94" i="9"/>
  <c r="O94" i="9"/>
  <c r="M94" i="9"/>
  <c r="R94" i="9"/>
  <c r="F93" i="9"/>
  <c r="Q93" i="9"/>
  <c r="O93" i="9"/>
  <c r="M93" i="9"/>
  <c r="R93" i="9"/>
  <c r="F92" i="9"/>
  <c r="Q92" i="9"/>
  <c r="O92" i="9"/>
  <c r="M92" i="9"/>
  <c r="R92" i="9"/>
  <c r="F91" i="9"/>
  <c r="Q91" i="9"/>
  <c r="O91" i="9"/>
  <c r="M91" i="9"/>
  <c r="R91" i="9"/>
  <c r="F90" i="9"/>
  <c r="Q90" i="9"/>
  <c r="O90" i="9"/>
  <c r="M90" i="9"/>
  <c r="R90" i="9"/>
  <c r="F89" i="9"/>
  <c r="Q89" i="9"/>
  <c r="O89" i="9"/>
  <c r="M89" i="9"/>
  <c r="I89" i="9"/>
  <c r="R89" i="9"/>
  <c r="F88" i="9"/>
  <c r="Q88" i="9"/>
  <c r="O88" i="9"/>
  <c r="M88" i="9"/>
  <c r="I88" i="9"/>
  <c r="R88" i="9"/>
  <c r="F87" i="9"/>
  <c r="Q87" i="9"/>
  <c r="O87" i="9"/>
  <c r="M87" i="9"/>
  <c r="I87" i="9"/>
  <c r="R87" i="9"/>
  <c r="F83" i="9"/>
  <c r="Q83" i="9"/>
  <c r="O83" i="9"/>
  <c r="M83" i="9"/>
  <c r="I83" i="9"/>
  <c r="R83" i="9"/>
  <c r="Q82" i="9"/>
  <c r="O82" i="9"/>
  <c r="M82" i="9"/>
  <c r="I82" i="9"/>
  <c r="R82" i="9"/>
  <c r="F81" i="9"/>
  <c r="Q81" i="9"/>
  <c r="O81" i="9"/>
  <c r="M81" i="9"/>
  <c r="I81" i="9"/>
  <c r="R81" i="9"/>
  <c r="F80" i="9"/>
  <c r="Q80" i="9"/>
  <c r="O80" i="9"/>
  <c r="M80" i="9"/>
  <c r="I80" i="9"/>
  <c r="R80" i="9"/>
  <c r="F79" i="9"/>
  <c r="Q79" i="9"/>
  <c r="O79" i="9"/>
  <c r="M79" i="9"/>
  <c r="I79" i="9"/>
  <c r="R79" i="9"/>
  <c r="F78" i="9"/>
  <c r="Q78" i="9"/>
  <c r="O78" i="9"/>
  <c r="M78" i="9"/>
  <c r="R78" i="9"/>
  <c r="F77" i="9"/>
  <c r="Q77" i="9"/>
  <c r="O77" i="9"/>
  <c r="M77" i="9"/>
  <c r="R77" i="9"/>
  <c r="F76" i="9"/>
  <c r="Q76" i="9"/>
  <c r="O76" i="9"/>
  <c r="M76" i="9"/>
  <c r="R76" i="9"/>
  <c r="F75" i="9"/>
  <c r="Q75" i="9"/>
  <c r="O75" i="9"/>
  <c r="M75" i="9"/>
  <c r="R75" i="9"/>
  <c r="F74" i="9"/>
  <c r="Q74" i="9"/>
  <c r="O74" i="9"/>
  <c r="M74" i="9"/>
  <c r="R74" i="9"/>
  <c r="F73" i="9"/>
  <c r="Q73" i="9"/>
  <c r="O73" i="9"/>
  <c r="M73" i="9"/>
  <c r="R73" i="9"/>
  <c r="F72" i="9"/>
  <c r="Q72" i="9"/>
  <c r="O72" i="9"/>
  <c r="M72" i="9"/>
  <c r="I72" i="9"/>
  <c r="R72" i="9"/>
  <c r="F71" i="9"/>
  <c r="Q71" i="9"/>
  <c r="O71" i="9"/>
  <c r="M71" i="9"/>
  <c r="I71" i="9"/>
  <c r="R71" i="9"/>
  <c r="F70" i="9"/>
  <c r="Q70" i="9"/>
  <c r="O70" i="9"/>
  <c r="M70" i="9"/>
  <c r="I70" i="9"/>
  <c r="R70" i="9"/>
  <c r="F65" i="9"/>
  <c r="Q65" i="9"/>
  <c r="O65" i="9"/>
  <c r="M65" i="9"/>
  <c r="I65" i="9"/>
  <c r="R65" i="9"/>
  <c r="Q64" i="9"/>
  <c r="O64" i="9"/>
  <c r="M64" i="9"/>
  <c r="I64" i="9"/>
  <c r="R64" i="9"/>
  <c r="F63" i="9"/>
  <c r="Q63" i="9"/>
  <c r="O63" i="9"/>
  <c r="M63" i="9"/>
  <c r="I63" i="9"/>
  <c r="R63" i="9"/>
  <c r="F62" i="9"/>
  <c r="Q62" i="9"/>
  <c r="O62" i="9"/>
  <c r="M62" i="9"/>
  <c r="I62" i="9"/>
  <c r="R62" i="9"/>
  <c r="F61" i="9"/>
  <c r="Q61" i="9"/>
  <c r="O61" i="9"/>
  <c r="M61" i="9"/>
  <c r="I61" i="9"/>
  <c r="R61" i="9"/>
  <c r="F60" i="9"/>
  <c r="Q60" i="9"/>
  <c r="O60" i="9"/>
  <c r="M60" i="9"/>
  <c r="R60" i="9"/>
  <c r="F59" i="9"/>
  <c r="Q59" i="9"/>
  <c r="O59" i="9"/>
  <c r="M59" i="9"/>
  <c r="R59" i="9"/>
  <c r="F58" i="9"/>
  <c r="Q58" i="9"/>
  <c r="O58" i="9"/>
  <c r="M58" i="9"/>
  <c r="R58" i="9"/>
  <c r="F57" i="9"/>
  <c r="Q57" i="9"/>
  <c r="O57" i="9"/>
  <c r="M57" i="9"/>
  <c r="R57" i="9"/>
  <c r="F56" i="9"/>
  <c r="Q56" i="9"/>
  <c r="O56" i="9"/>
  <c r="M56" i="9"/>
  <c r="R56" i="9"/>
  <c r="F55" i="9"/>
  <c r="Q55" i="9"/>
  <c r="O55" i="9"/>
  <c r="M55" i="9"/>
  <c r="R55" i="9"/>
  <c r="F54" i="9"/>
  <c r="Q54" i="9"/>
  <c r="O54" i="9"/>
  <c r="M54" i="9"/>
  <c r="I54" i="9"/>
  <c r="R54" i="9"/>
  <c r="F53" i="9"/>
  <c r="Q53" i="9"/>
  <c r="O53" i="9"/>
  <c r="M53" i="9"/>
  <c r="I53" i="9"/>
  <c r="R53" i="9"/>
  <c r="F52" i="9"/>
  <c r="Q52" i="9"/>
  <c r="O52" i="9"/>
  <c r="M52" i="9"/>
  <c r="R52" i="9"/>
  <c r="F36" i="9"/>
  <c r="Q36" i="9"/>
  <c r="O36" i="9"/>
  <c r="M36" i="9"/>
  <c r="I36" i="9"/>
  <c r="R36" i="9"/>
  <c r="F37" i="9"/>
  <c r="Q37" i="9"/>
  <c r="O37" i="9"/>
  <c r="M37" i="9"/>
  <c r="I37" i="9"/>
  <c r="R37" i="9"/>
  <c r="F38" i="9"/>
  <c r="Q38" i="9"/>
  <c r="O38" i="9"/>
  <c r="M38" i="9"/>
  <c r="R38" i="9"/>
  <c r="F39" i="9"/>
  <c r="Q39" i="9"/>
  <c r="O39" i="9"/>
  <c r="M39" i="9"/>
  <c r="R39" i="9"/>
  <c r="F40" i="9"/>
  <c r="Q40" i="9"/>
  <c r="O40" i="9"/>
  <c r="M40" i="9"/>
  <c r="R40" i="9"/>
  <c r="F41" i="9"/>
  <c r="Q41" i="9"/>
  <c r="O41" i="9"/>
  <c r="M41" i="9"/>
  <c r="R41" i="9"/>
  <c r="F42" i="9"/>
  <c r="Q42" i="9"/>
  <c r="O42" i="9"/>
  <c r="M42" i="9"/>
  <c r="R42" i="9"/>
  <c r="F43" i="9"/>
  <c r="Q43" i="9"/>
  <c r="O43" i="9"/>
  <c r="M43" i="9"/>
  <c r="R43" i="9"/>
  <c r="F44" i="9"/>
  <c r="Q44" i="9"/>
  <c r="O44" i="9"/>
  <c r="M44" i="9"/>
  <c r="I44" i="9"/>
  <c r="R44" i="9"/>
  <c r="F45" i="9"/>
  <c r="Q45" i="9"/>
  <c r="O45" i="9"/>
  <c r="M45" i="9"/>
  <c r="I45" i="9"/>
  <c r="R45" i="9"/>
  <c r="F46" i="9"/>
  <c r="Q46" i="9"/>
  <c r="O46" i="9"/>
  <c r="M46" i="9"/>
  <c r="I46" i="9"/>
  <c r="R46" i="9"/>
  <c r="Q47" i="9"/>
  <c r="O47" i="9"/>
  <c r="M47" i="9"/>
  <c r="I47" i="9"/>
  <c r="R47" i="9"/>
  <c r="F48" i="9"/>
  <c r="Q48" i="9"/>
  <c r="O48" i="9"/>
  <c r="M48" i="9"/>
  <c r="I48" i="9"/>
  <c r="R48" i="9"/>
  <c r="F35" i="9"/>
  <c r="Q35" i="9"/>
  <c r="O35" i="9"/>
  <c r="M35" i="9"/>
  <c r="I35" i="9"/>
  <c r="R35" i="9"/>
  <c r="C66" i="9"/>
  <c r="G64" i="9"/>
  <c r="C84" i="9"/>
  <c r="G82" i="9"/>
  <c r="C101" i="9"/>
  <c r="G99" i="9"/>
  <c r="C118" i="9"/>
  <c r="G116" i="9"/>
  <c r="V116" i="9"/>
  <c r="W116" i="9"/>
  <c r="S116" i="9"/>
  <c r="U116" i="9"/>
  <c r="AO40" i="9"/>
  <c r="AP40" i="9"/>
  <c r="E32" i="9"/>
  <c r="T116" i="9"/>
  <c r="V99" i="9"/>
  <c r="W99" i="9"/>
  <c r="S99" i="9"/>
  <c r="U99" i="9"/>
  <c r="T99" i="9"/>
  <c r="V82" i="9"/>
  <c r="W82" i="9"/>
  <c r="S82" i="9"/>
  <c r="U82" i="9"/>
  <c r="T82" i="9"/>
  <c r="V64" i="9"/>
  <c r="W64" i="9"/>
  <c r="S64" i="9"/>
  <c r="U64" i="9"/>
  <c r="T64" i="9"/>
  <c r="S47" i="9"/>
  <c r="T47" i="9"/>
  <c r="C49" i="9"/>
  <c r="G47" i="9"/>
  <c r="U47" i="9"/>
  <c r="V47" i="9"/>
  <c r="W47" i="9"/>
  <c r="G105" i="9"/>
  <c r="G106" i="9"/>
  <c r="G107" i="9"/>
  <c r="G108" i="9"/>
  <c r="G109" i="9"/>
  <c r="G110" i="9"/>
  <c r="G111" i="9"/>
  <c r="G112" i="9"/>
  <c r="G113" i="9"/>
  <c r="G114" i="9"/>
  <c r="G115" i="9"/>
  <c r="G117" i="9"/>
  <c r="G104" i="9"/>
  <c r="G88" i="9"/>
  <c r="G89" i="9"/>
  <c r="G90" i="9"/>
  <c r="G91" i="9"/>
  <c r="G92" i="9"/>
  <c r="G93" i="9"/>
  <c r="G94" i="9"/>
  <c r="G95" i="9"/>
  <c r="G96" i="9"/>
  <c r="G97" i="9"/>
  <c r="G98" i="9"/>
  <c r="G100" i="9"/>
  <c r="G87" i="9"/>
  <c r="G71" i="9"/>
  <c r="G72" i="9"/>
  <c r="G73" i="9"/>
  <c r="G74" i="9"/>
  <c r="G75" i="9"/>
  <c r="G76" i="9"/>
  <c r="G77" i="9"/>
  <c r="G78" i="9"/>
  <c r="G79" i="9"/>
  <c r="G80" i="9"/>
  <c r="G81" i="9"/>
  <c r="G83" i="9"/>
  <c r="G70" i="9"/>
  <c r="G53" i="9"/>
  <c r="G54" i="9"/>
  <c r="G55" i="9"/>
  <c r="G56" i="9"/>
  <c r="G57" i="9"/>
  <c r="G58" i="9"/>
  <c r="G59" i="9"/>
  <c r="G60" i="9"/>
  <c r="G61" i="9"/>
  <c r="G62" i="9"/>
  <c r="G63" i="9"/>
  <c r="G65" i="9"/>
  <c r="G52" i="9"/>
  <c r="G118" i="9"/>
  <c r="V104" i="9"/>
  <c r="W104" i="9"/>
  <c r="V105" i="9"/>
  <c r="W105" i="9"/>
  <c r="V106" i="9"/>
  <c r="W106" i="9"/>
  <c r="V107" i="9"/>
  <c r="W107" i="9"/>
  <c r="V117" i="9"/>
  <c r="W117" i="9"/>
  <c r="S104" i="9"/>
  <c r="U104" i="9"/>
  <c r="S105" i="9"/>
  <c r="U105" i="9"/>
  <c r="S106" i="9"/>
  <c r="U106" i="9"/>
  <c r="S107" i="9"/>
  <c r="U107" i="9"/>
  <c r="S113" i="9"/>
  <c r="U113" i="9"/>
  <c r="S117" i="9"/>
  <c r="U117" i="9"/>
  <c r="U118" i="9"/>
  <c r="I118" i="9"/>
  <c r="S118" i="9"/>
  <c r="T118" i="9"/>
  <c r="T117" i="9"/>
  <c r="S115" i="9"/>
  <c r="U115" i="9"/>
  <c r="T115" i="9"/>
  <c r="S114" i="9"/>
  <c r="U114" i="9"/>
  <c r="T114" i="9"/>
  <c r="T113" i="9"/>
  <c r="V112" i="9"/>
  <c r="W112" i="9"/>
  <c r="S112" i="9"/>
  <c r="U112" i="9"/>
  <c r="T112" i="9"/>
  <c r="V111" i="9"/>
  <c r="W111" i="9"/>
  <c r="S111" i="9"/>
  <c r="U111" i="9"/>
  <c r="T111" i="9"/>
  <c r="V110" i="9"/>
  <c r="W110" i="9"/>
  <c r="S110" i="9"/>
  <c r="U110" i="9"/>
  <c r="T110" i="9"/>
  <c r="V109" i="9"/>
  <c r="W109" i="9"/>
  <c r="S109" i="9"/>
  <c r="U109" i="9"/>
  <c r="T109" i="9"/>
  <c r="V108" i="9"/>
  <c r="W108" i="9"/>
  <c r="S108" i="9"/>
  <c r="U108" i="9"/>
  <c r="T108" i="9"/>
  <c r="T107" i="9"/>
  <c r="T106" i="9"/>
  <c r="T105" i="9"/>
  <c r="T104" i="9"/>
  <c r="V87" i="9"/>
  <c r="W87" i="9"/>
  <c r="V88" i="9"/>
  <c r="W88" i="9"/>
  <c r="V89" i="9"/>
  <c r="W89" i="9"/>
  <c r="V90" i="9"/>
  <c r="W90" i="9"/>
  <c r="V96" i="9"/>
  <c r="W96" i="9"/>
  <c r="V100" i="9"/>
  <c r="W100" i="9"/>
  <c r="W101" i="9"/>
  <c r="E101" i="9"/>
  <c r="V101" i="9"/>
  <c r="S87" i="9"/>
  <c r="U87" i="9"/>
  <c r="S88" i="9"/>
  <c r="U88" i="9"/>
  <c r="S89" i="9"/>
  <c r="U89" i="9"/>
  <c r="S90" i="9"/>
  <c r="U90" i="9"/>
  <c r="S96" i="9"/>
  <c r="U96" i="9"/>
  <c r="S100" i="9"/>
  <c r="U100" i="9"/>
  <c r="U101" i="9"/>
  <c r="I101" i="9"/>
  <c r="S101" i="9"/>
  <c r="T101" i="9"/>
  <c r="T100" i="9"/>
  <c r="V98" i="9"/>
  <c r="W98" i="9"/>
  <c r="S98" i="9"/>
  <c r="U98" i="9"/>
  <c r="T98" i="9"/>
  <c r="V97" i="9"/>
  <c r="W97" i="9"/>
  <c r="S97" i="9"/>
  <c r="U97" i="9"/>
  <c r="T97" i="9"/>
  <c r="T96" i="9"/>
  <c r="V95" i="9"/>
  <c r="W95" i="9"/>
  <c r="S95" i="9"/>
  <c r="U95" i="9"/>
  <c r="T95" i="9"/>
  <c r="V94" i="9"/>
  <c r="W94" i="9"/>
  <c r="S94" i="9"/>
  <c r="U94" i="9"/>
  <c r="T94" i="9"/>
  <c r="V93" i="9"/>
  <c r="W93" i="9"/>
  <c r="S93" i="9"/>
  <c r="U93" i="9"/>
  <c r="T93" i="9"/>
  <c r="V92" i="9"/>
  <c r="W92" i="9"/>
  <c r="S92" i="9"/>
  <c r="U92" i="9"/>
  <c r="T92" i="9"/>
  <c r="V91" i="9"/>
  <c r="W91" i="9"/>
  <c r="S91" i="9"/>
  <c r="U91" i="9"/>
  <c r="T91" i="9"/>
  <c r="T90" i="9"/>
  <c r="T89" i="9"/>
  <c r="T88" i="9"/>
  <c r="T87" i="9"/>
  <c r="V70" i="9"/>
  <c r="W70" i="9"/>
  <c r="V71" i="9"/>
  <c r="W71" i="9"/>
  <c r="V72" i="9"/>
  <c r="W72" i="9"/>
  <c r="V73" i="9"/>
  <c r="W73" i="9"/>
  <c r="V79" i="9"/>
  <c r="W79" i="9"/>
  <c r="V83" i="9"/>
  <c r="W83" i="9"/>
  <c r="W84" i="9"/>
  <c r="E84" i="9"/>
  <c r="V84" i="9"/>
  <c r="S70" i="9"/>
  <c r="U70" i="9"/>
  <c r="S71" i="9"/>
  <c r="U71" i="9"/>
  <c r="S72" i="9"/>
  <c r="U72" i="9"/>
  <c r="S73" i="9"/>
  <c r="U73" i="9"/>
  <c r="S79" i="9"/>
  <c r="U79" i="9"/>
  <c r="S83" i="9"/>
  <c r="U83" i="9"/>
  <c r="U84" i="9"/>
  <c r="I84" i="9"/>
  <c r="S84" i="9"/>
  <c r="T84" i="9"/>
  <c r="T83" i="9"/>
  <c r="V81" i="9"/>
  <c r="W81" i="9"/>
  <c r="S81" i="9"/>
  <c r="U81" i="9"/>
  <c r="T81" i="9"/>
  <c r="V80" i="9"/>
  <c r="W80" i="9"/>
  <c r="S80" i="9"/>
  <c r="U80" i="9"/>
  <c r="T80" i="9"/>
  <c r="T79" i="9"/>
  <c r="V78" i="9"/>
  <c r="W78" i="9"/>
  <c r="S78" i="9"/>
  <c r="U78" i="9"/>
  <c r="T78" i="9"/>
  <c r="V77" i="9"/>
  <c r="W77" i="9"/>
  <c r="S77" i="9"/>
  <c r="U77" i="9"/>
  <c r="T77" i="9"/>
  <c r="V76" i="9"/>
  <c r="W76" i="9"/>
  <c r="S76" i="9"/>
  <c r="U76" i="9"/>
  <c r="T76" i="9"/>
  <c r="V75" i="9"/>
  <c r="W75" i="9"/>
  <c r="S75" i="9"/>
  <c r="U75" i="9"/>
  <c r="T75" i="9"/>
  <c r="V74" i="9"/>
  <c r="W74" i="9"/>
  <c r="S74" i="9"/>
  <c r="U74" i="9"/>
  <c r="T74" i="9"/>
  <c r="T73" i="9"/>
  <c r="T72" i="9"/>
  <c r="T71" i="9"/>
  <c r="T70" i="9"/>
  <c r="V52" i="9"/>
  <c r="W52" i="9"/>
  <c r="V53" i="9"/>
  <c r="W53" i="9"/>
  <c r="V54" i="9"/>
  <c r="W54" i="9"/>
  <c r="V55" i="9"/>
  <c r="W55" i="9"/>
  <c r="V61" i="9"/>
  <c r="W61" i="9"/>
  <c r="V65" i="9"/>
  <c r="W65" i="9"/>
  <c r="W66" i="9"/>
  <c r="E66" i="9"/>
  <c r="V66" i="9"/>
  <c r="S52" i="9"/>
  <c r="U52" i="9"/>
  <c r="S53" i="9"/>
  <c r="U53" i="9"/>
  <c r="S54" i="9"/>
  <c r="U54" i="9"/>
  <c r="S55" i="9"/>
  <c r="U55" i="9"/>
  <c r="S61" i="9"/>
  <c r="U61" i="9"/>
  <c r="S65" i="9"/>
  <c r="U65" i="9"/>
  <c r="U66" i="9"/>
  <c r="I66" i="9"/>
  <c r="S66" i="9"/>
  <c r="T66" i="9"/>
  <c r="T65" i="9"/>
  <c r="V63" i="9"/>
  <c r="W63" i="9"/>
  <c r="S63" i="9"/>
  <c r="U63" i="9"/>
  <c r="T63" i="9"/>
  <c r="V62" i="9"/>
  <c r="W62" i="9"/>
  <c r="S62" i="9"/>
  <c r="U62" i="9"/>
  <c r="T62" i="9"/>
  <c r="T61" i="9"/>
  <c r="V60" i="9"/>
  <c r="W60" i="9"/>
  <c r="S60" i="9"/>
  <c r="U60" i="9"/>
  <c r="T60" i="9"/>
  <c r="V59" i="9"/>
  <c r="W59" i="9"/>
  <c r="S59" i="9"/>
  <c r="U59" i="9"/>
  <c r="T59" i="9"/>
  <c r="V58" i="9"/>
  <c r="W58" i="9"/>
  <c r="S58" i="9"/>
  <c r="U58" i="9"/>
  <c r="T58" i="9"/>
  <c r="V57" i="9"/>
  <c r="W57" i="9"/>
  <c r="S57" i="9"/>
  <c r="U57" i="9"/>
  <c r="T57" i="9"/>
  <c r="V56" i="9"/>
  <c r="W56" i="9"/>
  <c r="S56" i="9"/>
  <c r="U56" i="9"/>
  <c r="T56" i="9"/>
  <c r="T55" i="9"/>
  <c r="T54" i="9"/>
  <c r="T53" i="9"/>
  <c r="T52" i="9"/>
  <c r="I49" i="9"/>
  <c r="S49" i="9"/>
  <c r="S36" i="9"/>
  <c r="T36" i="9"/>
  <c r="G36" i="9"/>
  <c r="U36" i="9"/>
  <c r="V36" i="9"/>
  <c r="W36" i="9"/>
  <c r="S37" i="9"/>
  <c r="T37" i="9"/>
  <c r="G37" i="9"/>
  <c r="U37" i="9"/>
  <c r="V37" i="9"/>
  <c r="W37" i="9"/>
  <c r="S38" i="9"/>
  <c r="T38" i="9"/>
  <c r="G38" i="9"/>
  <c r="U38" i="9"/>
  <c r="V38" i="9"/>
  <c r="W38" i="9"/>
  <c r="S39" i="9"/>
  <c r="T39" i="9"/>
  <c r="G39" i="9"/>
  <c r="U39" i="9"/>
  <c r="V39" i="9"/>
  <c r="W39" i="9"/>
  <c r="S40" i="9"/>
  <c r="T40" i="9"/>
  <c r="G40" i="9"/>
  <c r="U40" i="9"/>
  <c r="V40" i="9"/>
  <c r="W40" i="9"/>
  <c r="S41" i="9"/>
  <c r="T41" i="9"/>
  <c r="G41" i="9"/>
  <c r="U41" i="9"/>
  <c r="V41" i="9"/>
  <c r="W41" i="9"/>
  <c r="S42" i="9"/>
  <c r="T42" i="9"/>
  <c r="G42" i="9"/>
  <c r="U42" i="9"/>
  <c r="V42" i="9"/>
  <c r="W42" i="9"/>
  <c r="S43" i="9"/>
  <c r="T43" i="9"/>
  <c r="G43" i="9"/>
  <c r="U43" i="9"/>
  <c r="V43" i="9"/>
  <c r="W43" i="9"/>
  <c r="S44" i="9"/>
  <c r="T44" i="9"/>
  <c r="G44" i="9"/>
  <c r="U44" i="9"/>
  <c r="S45" i="9"/>
  <c r="T45" i="9"/>
  <c r="G45" i="9"/>
  <c r="U45" i="9"/>
  <c r="S46" i="9"/>
  <c r="T46" i="9"/>
  <c r="G46" i="9"/>
  <c r="U46" i="9"/>
  <c r="S48" i="9"/>
  <c r="T48" i="9"/>
  <c r="G48" i="9"/>
  <c r="U48" i="9"/>
  <c r="V48" i="9"/>
  <c r="W48" i="9"/>
  <c r="V35" i="9"/>
  <c r="G35" i="9"/>
  <c r="W35" i="9"/>
  <c r="S35" i="9"/>
  <c r="U35" i="9"/>
  <c r="Q118" i="9"/>
  <c r="P118" i="9"/>
  <c r="O118" i="9"/>
  <c r="N118" i="9"/>
  <c r="M118" i="9"/>
  <c r="L118" i="9"/>
  <c r="H118" i="9"/>
  <c r="D118" i="9"/>
  <c r="R101" i="9"/>
  <c r="Q101" i="9"/>
  <c r="P101" i="9"/>
  <c r="O101" i="9"/>
  <c r="N101" i="9"/>
  <c r="M101" i="9"/>
  <c r="L101" i="9"/>
  <c r="H101" i="9"/>
  <c r="G101" i="9"/>
  <c r="F101" i="9"/>
  <c r="D101" i="9"/>
  <c r="R84" i="9"/>
  <c r="Q84" i="9"/>
  <c r="P84" i="9"/>
  <c r="O84" i="9"/>
  <c r="N84" i="9"/>
  <c r="M84" i="9"/>
  <c r="L84" i="9"/>
  <c r="H84" i="9"/>
  <c r="G84" i="9"/>
  <c r="F84" i="9"/>
  <c r="D84" i="9"/>
  <c r="R66" i="9"/>
  <c r="Q66" i="9"/>
  <c r="P66" i="9"/>
  <c r="O66" i="9"/>
  <c r="N66" i="9"/>
  <c r="M66" i="9"/>
  <c r="L66" i="9"/>
  <c r="H66" i="9"/>
  <c r="G66" i="9"/>
  <c r="F66" i="9"/>
  <c r="D66" i="9"/>
  <c r="U49" i="9"/>
  <c r="T35" i="9"/>
  <c r="M49" i="9"/>
  <c r="O49" i="9"/>
  <c r="Q49" i="9"/>
  <c r="P49" i="9"/>
  <c r="N49" i="9"/>
  <c r="H49" i="9"/>
  <c r="G49" i="9"/>
  <c r="T49" i="9"/>
  <c r="AO49" i="9"/>
  <c r="AP49" i="9"/>
  <c r="AO48" i="9"/>
  <c r="AP48" i="9"/>
  <c r="AO46" i="9"/>
  <c r="AP46" i="9"/>
  <c r="AO45" i="9"/>
  <c r="AP45" i="9"/>
  <c r="AO44" i="9"/>
  <c r="AP44" i="9"/>
  <c r="AO43" i="9"/>
  <c r="AP43" i="9"/>
  <c r="AO42" i="9"/>
  <c r="AP42" i="9"/>
  <c r="AO41" i="9"/>
  <c r="AP41" i="9"/>
  <c r="AO39" i="9"/>
  <c r="AP39" i="9"/>
  <c r="AO38" i="9"/>
  <c r="AP38" i="9"/>
  <c r="AO37" i="9"/>
  <c r="AP37" i="9"/>
  <c r="C51" i="9"/>
  <c r="B65" i="9"/>
  <c r="B83" i="9"/>
  <c r="B100" i="9"/>
  <c r="B117" i="9"/>
  <c r="B63" i="9"/>
  <c r="B81" i="9"/>
  <c r="B98" i="9"/>
  <c r="B115" i="9"/>
  <c r="B62" i="9"/>
  <c r="B80" i="9"/>
  <c r="B97" i="9"/>
  <c r="B114" i="9"/>
  <c r="B61" i="9"/>
  <c r="B79" i="9"/>
  <c r="B96" i="9"/>
  <c r="B113" i="9"/>
  <c r="B60" i="9"/>
  <c r="B78" i="9"/>
  <c r="B95" i="9"/>
  <c r="B112" i="9"/>
  <c r="B59" i="9"/>
  <c r="B77" i="9"/>
  <c r="B94" i="9"/>
  <c r="B111" i="9"/>
  <c r="B58" i="9"/>
  <c r="B76" i="9"/>
  <c r="B93" i="9"/>
  <c r="B110" i="9"/>
  <c r="B57" i="9"/>
  <c r="B75" i="9"/>
  <c r="B92" i="9"/>
  <c r="B109" i="9"/>
  <c r="B56" i="9"/>
  <c r="B74" i="9"/>
  <c r="B91" i="9"/>
  <c r="B108" i="9"/>
  <c r="B55" i="9"/>
  <c r="B73" i="9"/>
  <c r="B90" i="9"/>
  <c r="B107" i="9"/>
  <c r="B54" i="9"/>
  <c r="B72" i="9"/>
  <c r="B89" i="9"/>
  <c r="B106" i="9"/>
  <c r="B53" i="9"/>
  <c r="B71" i="9"/>
  <c r="B88" i="9"/>
  <c r="B105" i="9"/>
  <c r="B52" i="9"/>
  <c r="B70" i="9"/>
  <c r="B87" i="9"/>
  <c r="B104" i="9"/>
  <c r="L49" i="9"/>
  <c r="D49" i="9"/>
  <c r="E118" i="9"/>
  <c r="V118" i="9"/>
  <c r="W118" i="9"/>
  <c r="V113" i="9"/>
  <c r="W113" i="9"/>
  <c r="V115" i="9"/>
  <c r="W115" i="9"/>
  <c r="V114" i="9"/>
  <c r="W114" i="9"/>
  <c r="E49" i="9"/>
  <c r="V49" i="9"/>
  <c r="V45" i="9"/>
  <c r="W45" i="9"/>
  <c r="V46" i="9"/>
  <c r="W46" i="9"/>
  <c r="R118" i="9"/>
  <c r="F118" i="9"/>
  <c r="V44" i="9"/>
  <c r="W44" i="9"/>
  <c r="W49" i="9"/>
  <c r="F49" i="9"/>
  <c r="R49" i="9"/>
  <c r="R64" i="10" l="1"/>
  <c r="R43" i="10"/>
  <c r="U65" i="10"/>
  <c r="L89" i="10"/>
  <c r="M89" i="10" s="1"/>
  <c r="J81" i="10"/>
  <c r="M81" i="10"/>
  <c r="U64" i="10"/>
  <c r="H69" i="10"/>
  <c r="P89" i="10"/>
  <c r="Q89" i="10" s="1"/>
  <c r="H85" i="10"/>
  <c r="I85" i="10" s="1"/>
  <c r="S85" i="10" s="1"/>
  <c r="T85" i="10" s="1"/>
  <c r="Q44" i="10"/>
  <c r="I41" i="10"/>
  <c r="S41" i="10" s="1"/>
  <c r="T41" i="10" s="1"/>
  <c r="H90" i="10"/>
  <c r="I90" i="10" s="1"/>
  <c r="S90" i="10" s="1"/>
  <c r="I40" i="10"/>
  <c r="S40" i="10" s="1"/>
  <c r="T40" i="10" s="1"/>
  <c r="H89" i="10"/>
  <c r="I89" i="10" s="1"/>
  <c r="S89" i="10" s="1"/>
  <c r="E93" i="10"/>
  <c r="E94" i="10" s="1"/>
  <c r="R39" i="10"/>
  <c r="R37" i="10"/>
  <c r="Q41" i="10"/>
  <c r="P90" i="10"/>
  <c r="Q90" i="10" s="1"/>
  <c r="H44" i="10"/>
  <c r="M56" i="10"/>
  <c r="G36" i="10"/>
  <c r="U36" i="10" s="1"/>
  <c r="G35" i="10"/>
  <c r="W35" i="10" s="1"/>
  <c r="C93" i="10"/>
  <c r="U73" i="10"/>
  <c r="K81" i="10"/>
  <c r="U74" i="10"/>
  <c r="U79" i="10"/>
  <c r="L81" i="10"/>
  <c r="G81" i="10"/>
  <c r="W76" i="10"/>
  <c r="W81" i="10" s="1"/>
  <c r="U78" i="10"/>
  <c r="U68" i="10"/>
  <c r="W64" i="10"/>
  <c r="U66" i="10"/>
  <c r="U62" i="10"/>
  <c r="U61" i="10"/>
  <c r="J44" i="10"/>
  <c r="R66" i="10"/>
  <c r="W65" i="10"/>
  <c r="G69" i="10"/>
  <c r="D56" i="10"/>
  <c r="Q56" i="10"/>
  <c r="G48" i="10"/>
  <c r="U48" i="10" s="1"/>
  <c r="L85" i="10"/>
  <c r="M85" i="10" s="1"/>
  <c r="R48" i="10"/>
  <c r="V56" i="10"/>
  <c r="R86" i="10"/>
  <c r="G40" i="10"/>
  <c r="P44" i="10"/>
  <c r="K69" i="10"/>
  <c r="J69" i="10"/>
  <c r="T47" i="10"/>
  <c r="R77" i="10"/>
  <c r="T52" i="10"/>
  <c r="N85" i="10"/>
  <c r="O85" i="10" s="1"/>
  <c r="O36" i="10"/>
  <c r="R36" i="10" s="1"/>
  <c r="G51" i="10"/>
  <c r="G55" i="10"/>
  <c r="G54" i="10"/>
  <c r="G52" i="10"/>
  <c r="W52" i="10" s="1"/>
  <c r="G47" i="10"/>
  <c r="W47" i="10" s="1"/>
  <c r="G49" i="10"/>
  <c r="I56" i="10"/>
  <c r="S56" i="10" s="1"/>
  <c r="T56" i="10" s="1"/>
  <c r="R76" i="10"/>
  <c r="N44" i="10"/>
  <c r="F56" i="10"/>
  <c r="F89" i="10"/>
  <c r="U77" i="10"/>
  <c r="T77" i="10"/>
  <c r="V44" i="10"/>
  <c r="F44" i="10"/>
  <c r="U72" i="10"/>
  <c r="T72" i="10"/>
  <c r="T53" i="10"/>
  <c r="T84" i="10"/>
  <c r="T48" i="10"/>
  <c r="G41" i="10"/>
  <c r="K56" i="10"/>
  <c r="P56" i="10"/>
  <c r="P81" i="10"/>
  <c r="P69" i="10"/>
  <c r="L69" i="10"/>
  <c r="M69" i="10"/>
  <c r="K44" i="10"/>
  <c r="V85" i="10"/>
  <c r="F85" i="10"/>
  <c r="J56" i="10"/>
  <c r="G42" i="10"/>
  <c r="G43" i="10"/>
  <c r="G39" i="10"/>
  <c r="W39" i="10" s="1"/>
  <c r="G37" i="10"/>
  <c r="L44" i="10"/>
  <c r="M44" i="10"/>
  <c r="R47" i="10"/>
  <c r="H56" i="10"/>
  <c r="T39" i="10"/>
  <c r="T76" i="10"/>
  <c r="U76" i="10"/>
  <c r="L90" i="10"/>
  <c r="M90" i="10" s="1"/>
  <c r="O40" i="10"/>
  <c r="D89" i="10"/>
  <c r="H81" i="10"/>
  <c r="F90" i="10"/>
  <c r="O52" i="10"/>
  <c r="R52" i="10" s="1"/>
  <c r="O53" i="10"/>
  <c r="R53" i="10" s="1"/>
  <c r="O51" i="10"/>
  <c r="R51" i="10" s="1"/>
  <c r="Q88" i="10"/>
  <c r="R88" i="10" s="1"/>
  <c r="O41" i="10"/>
  <c r="R92" i="10"/>
  <c r="R65" i="10"/>
  <c r="O69" i="10"/>
  <c r="N69" i="10"/>
  <c r="N84" i="10"/>
  <c r="O84" i="10" s="1"/>
  <c r="R84" i="10" s="1"/>
  <c r="U60" i="10"/>
  <c r="T60" i="10"/>
  <c r="G53" i="10"/>
  <c r="W53" i="10" s="1"/>
  <c r="R56" i="10" l="1"/>
  <c r="U40" i="10"/>
  <c r="R40" i="10"/>
  <c r="H93" i="10"/>
  <c r="C33" i="10"/>
  <c r="C94" i="10"/>
  <c r="R41" i="10"/>
  <c r="U41" i="10"/>
  <c r="E33" i="10"/>
  <c r="W40" i="10"/>
  <c r="W48" i="10"/>
  <c r="W69" i="10"/>
  <c r="O56" i="10"/>
  <c r="R85" i="10"/>
  <c r="G90" i="10"/>
  <c r="W90" i="10" s="1"/>
  <c r="G91" i="10"/>
  <c r="W91" i="10" s="1"/>
  <c r="F93" i="10"/>
  <c r="V93" i="10"/>
  <c r="G89" i="10"/>
  <c r="W89" i="10" s="1"/>
  <c r="W41" i="10"/>
  <c r="U35" i="10"/>
  <c r="G92" i="10"/>
  <c r="G84" i="10"/>
  <c r="G88" i="10"/>
  <c r="G86" i="10"/>
  <c r="G85" i="10"/>
  <c r="U85" i="10" s="1"/>
  <c r="U39" i="10"/>
  <c r="U52" i="10"/>
  <c r="N89" i="10"/>
  <c r="O89" i="10" s="1"/>
  <c r="R89" i="10" s="1"/>
  <c r="K93" i="10"/>
  <c r="J93" i="10"/>
  <c r="I81" i="10"/>
  <c r="S81" i="10" s="1"/>
  <c r="T81" i="10" s="1"/>
  <c r="W42" i="10"/>
  <c r="U42" i="10"/>
  <c r="T90" i="10"/>
  <c r="W51" i="10"/>
  <c r="U51" i="10"/>
  <c r="U47" i="10"/>
  <c r="N90" i="10"/>
  <c r="O90" i="10" s="1"/>
  <c r="R90" i="10" s="1"/>
  <c r="P93" i="10"/>
  <c r="W37" i="10"/>
  <c r="U37" i="10"/>
  <c r="T89" i="10"/>
  <c r="I44" i="10"/>
  <c r="S44" i="10" s="1"/>
  <c r="T44" i="10" s="1"/>
  <c r="D88" i="10"/>
  <c r="D93" i="10" s="1"/>
  <c r="D44" i="10"/>
  <c r="N56" i="10"/>
  <c r="M93" i="10"/>
  <c r="L93" i="10"/>
  <c r="G44" i="10"/>
  <c r="W43" i="10"/>
  <c r="U43" i="10"/>
  <c r="U53" i="10"/>
  <c r="N81" i="10"/>
  <c r="O81" i="10"/>
  <c r="I69" i="10"/>
  <c r="R69" i="10"/>
  <c r="Q69" i="10"/>
  <c r="Q81" i="10"/>
  <c r="G56" i="10"/>
  <c r="W55" i="10"/>
  <c r="U55" i="10"/>
  <c r="U54" i="10"/>
  <c r="W54" i="10"/>
  <c r="W36" i="10"/>
  <c r="W49" i="10"/>
  <c r="U49" i="10"/>
  <c r="O44" i="10"/>
  <c r="F94" i="10" l="1"/>
  <c r="K94" i="10"/>
  <c r="J94" i="10"/>
  <c r="H94" i="10"/>
  <c r="P94" i="10"/>
  <c r="L94" i="10"/>
  <c r="M94" i="10"/>
  <c r="D94" i="10"/>
  <c r="D33" i="10"/>
  <c r="S69" i="10"/>
  <c r="T69" i="10" s="1"/>
  <c r="R81" i="10"/>
  <c r="W56" i="10"/>
  <c r="U90" i="10"/>
  <c r="U91" i="10"/>
  <c r="U89" i="10"/>
  <c r="W44" i="10"/>
  <c r="U86" i="10"/>
  <c r="W86" i="10"/>
  <c r="U88" i="10"/>
  <c r="W88" i="10"/>
  <c r="W84" i="10"/>
  <c r="U84" i="10"/>
  <c r="W92" i="10"/>
  <c r="U92" i="10"/>
  <c r="W85" i="10"/>
  <c r="G93" i="10"/>
  <c r="R44" i="10"/>
  <c r="N93" i="10"/>
  <c r="O93" i="10"/>
  <c r="U44" i="10"/>
  <c r="U56" i="10"/>
  <c r="U81" i="10"/>
  <c r="I93" i="10"/>
  <c r="S93" i="10" s="1"/>
  <c r="T93" i="10" s="1"/>
  <c r="Q93" i="10"/>
  <c r="U69" i="10"/>
  <c r="N94" i="10" l="1"/>
  <c r="Q94" i="10"/>
  <c r="O94" i="10"/>
  <c r="W93" i="10"/>
  <c r="G94" i="10"/>
  <c r="I94" i="10"/>
  <c r="R93" i="10"/>
  <c r="U93" i="10"/>
  <c r="R94" i="10" l="1"/>
</calcChain>
</file>

<file path=xl/sharedStrings.xml><?xml version="1.0" encoding="utf-8"?>
<sst xmlns="http://schemas.openxmlformats.org/spreadsheetml/2006/main" count="227" uniqueCount="106">
  <si>
    <t xml:space="preserve">Note: If you are unable to answer the question in full, please provide GMCB with a written explanation of your limitations and answer the question to the best of your ability. 				</t>
  </si>
  <si>
    <t>Staff Turnover</t>
  </si>
  <si>
    <t>Table Eight: Staff Turnover and Vacancies</t>
  </si>
  <si>
    <t>FTE physicians</t>
  </si>
  <si>
    <t>FTE mid-level providers</t>
  </si>
  <si>
    <t>FTE nurses</t>
  </si>
  <si>
    <t>Commercial Rate Decomposition - NPR due to Price Changes</t>
  </si>
  <si>
    <t>CONFIDENTIAL - FOR BOARD REVIEW</t>
  </si>
  <si>
    <t>Inpatient</t>
  </si>
  <si>
    <t>NPR FY25</t>
  </si>
  <si>
    <t>NPR YOY</t>
  </si>
  <si>
    <t>W</t>
  </si>
  <si>
    <t>Medicaid</t>
  </si>
  <si>
    <t>Medicare - Traditional</t>
  </si>
  <si>
    <t>Medicare - Advantage</t>
  </si>
  <si>
    <t>Commercial</t>
  </si>
  <si>
    <t>Major Payer #1</t>
  </si>
  <si>
    <t>Major Payer #2</t>
  </si>
  <si>
    <t>Major Payer #3</t>
  </si>
  <si>
    <t>Major Payer #4</t>
  </si>
  <si>
    <t>All other Commercial</t>
  </si>
  <si>
    <t>Overall Inpatient</t>
  </si>
  <si>
    <t>Outpatient</t>
  </si>
  <si>
    <t>Overall Outpatient</t>
  </si>
  <si>
    <t>Professional Services</t>
  </si>
  <si>
    <t>Overall Professional Services</t>
  </si>
  <si>
    <t>Other Services</t>
  </si>
  <si>
    <t>Overall Other Services</t>
  </si>
  <si>
    <t>TOTAL</t>
  </si>
  <si>
    <t>FY25 NPR Growth</t>
  </si>
  <si>
    <t>Fixed Prospective Payments</t>
  </si>
  <si>
    <t>Overall Total</t>
  </si>
  <si>
    <t>FPP - Medicare</t>
  </si>
  <si>
    <t>FPP - Medicaid</t>
  </si>
  <si>
    <t>NPR FY24
Proj.</t>
  </si>
  <si>
    <t>NPR FY24
Budget</t>
  </si>
  <si>
    <t>Other (Bad Debt, Free Care, DSH)</t>
  </si>
  <si>
    <t>Month of Commercial Rate Implementation</t>
  </si>
  <si>
    <t>January</t>
  </si>
  <si>
    <t>October</t>
  </si>
  <si>
    <t>November</t>
  </si>
  <si>
    <t>December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</si>
  <si>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</si>
  <si>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</si>
  <si>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</si>
  <si>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</si>
  <si>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</si>
  <si>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</si>
  <si>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</si>
  <si>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</si>
  <si>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NPR FY24 Budget</t>
  </si>
  <si>
    <t>NPR FY24 Projected</t>
  </si>
  <si>
    <t>Calculated</t>
  </si>
  <si>
    <t>Description</t>
  </si>
  <si>
    <t>FY25
Comm Rate NPR Impact</t>
  </si>
  <si>
    <t>FY25
Estimated AnnualizedComm Rate</t>
  </si>
  <si>
    <t>FY25 Comm Rate (WAvg)</t>
  </si>
  <si>
    <t>FY25 NPR Growth
(WAvg)</t>
  </si>
  <si>
    <t>NPR YOY 
(Budget to Budget)</t>
  </si>
  <si>
    <t>Column</t>
  </si>
  <si>
    <t>*each value is collected or calculated by payer and core service line</t>
  </si>
  <si>
    <t>FY25 Comm Rate NPR Impact</t>
  </si>
  <si>
    <t>FY25 Estimated Annualized Comm Rate</t>
  </si>
  <si>
    <t>FY25 NPR due to changes in Commercial Price; estimate FY24 @ FY25 commercial prices, holding all else constant.</t>
  </si>
  <si>
    <t>Difference of FY25 NPR and FY24 Budgeted NPR that can be attributed to changes in commercial price.</t>
  </si>
  <si>
    <t>Difference of FY25 NPR and FY24 Budgeted NPR that can be attributed to changes in utilization.</t>
  </si>
  <si>
    <t>FY25 NPR due to changes in utilization; estimate FY24 @ FY25 utilization, holding all else constant.</t>
  </si>
  <si>
    <t>FY25 NPR due to changes in public payer prices; estimate FY24 @ FY25 public payer prices, holding all else constant.</t>
  </si>
  <si>
    <t>Difference of FY25 NPR and FY24 Budgeted NPR that can be attributed to changes in public payer prices.</t>
  </si>
  <si>
    <t>FY25 NPR due to changes in payer mix; estimate FY24 @ FY25 payer mix, holding all else constant.</t>
  </si>
  <si>
    <t>Difference of FY25 NPR and FY24 Budgeted NPR that can be attributed to changes in payer mix.</t>
  </si>
  <si>
    <t>Difference of FY25 NPR and FY24 Budgeted NPR that can be attributed to any other changes not captured elsewhere.</t>
  </si>
  <si>
    <t>Uses the month of implementation for rate changes to estimate an annualized increase.</t>
  </si>
  <si>
    <t>NPR FY25
Budget</t>
  </si>
  <si>
    <t>Weighted average commercial rate changes for FY25 by payer and core service line; ie the contribution of the commercial price changes for a payer and core service line on a hospital's total NPR.</t>
  </si>
  <si>
    <t>FY24 Approved Budget for Net Patient Revenue and Fixed Prospective Payments (NPR).</t>
  </si>
  <si>
    <t>FY24 Annual Projected NPR.</t>
  </si>
  <si>
    <t>FY25 Proposed Budget for NPR.</t>
  </si>
  <si>
    <t>FY25 Proposed Budget for NPR less FY24 Budgeted NPR.</t>
  </si>
  <si>
    <t>Weight of line item relative to total NPR YOY.</t>
  </si>
  <si>
    <t>The estimated commercial price growth as measured by impact on NPR.</t>
  </si>
  <si>
    <t>FY25 Budgeted NPR to FY24 Budgeted NPR.</t>
  </si>
  <si>
    <t>Weighted average growth in NPR by payer and core service line; i.e. the contribution of the volume and price increase, net of payer mix shifts, on the hospital's total NPR.</t>
  </si>
  <si>
    <t>Risk/Reserves</t>
  </si>
  <si>
    <t>Notes</t>
  </si>
  <si>
    <t>NPR FY25 due to Comm. Price
(FY25 Budget to FY24 Proj.)</t>
  </si>
  <si>
    <t>NPR FY25 due to Comm. Price</t>
  </si>
  <si>
    <t>NPR FY24 @FY25 Comm. Prices</t>
  </si>
  <si>
    <t>NPR FY24 @FY25 Utiliz.</t>
  </si>
  <si>
    <t>NPR FY24 @FY25 Public Payer Prices</t>
  </si>
  <si>
    <t>NPR FY25 due to Utiliz.</t>
  </si>
  <si>
    <t>NPR FY25 due to Public Payer Prices</t>
  </si>
  <si>
    <t>NPR FY24 @FY25 Payer Mix</t>
  </si>
  <si>
    <t>NPR FY25 due to Payer Mix</t>
  </si>
  <si>
    <t>NPR FY25 due to all other</t>
  </si>
  <si>
    <t>Hospital to Provide - Currently Filled with Example Data.</t>
  </si>
  <si>
    <t>Please report IP Psych consistently with prior years, and indicate in your narrative whether it is included in "inpatient" or "other services".</t>
  </si>
  <si>
    <t>Identify the component of "NPR FY25 due to Comm. Price" that is associated with differences between FY25 proposed budget and FY24 projected.</t>
  </si>
  <si>
    <t>Identify the component of "NPR FY25 due to Comm. Price" that is associated with differences between FY24 projected and FY24 actual.</t>
  </si>
  <si>
    <t>NPR FY25 due to Comm. Price (FY24 Proj. to Budget)</t>
  </si>
  <si>
    <t>NPR FY25 due to Comm. Price (FY25 Budget to FY24 Proj.)</t>
  </si>
  <si>
    <t>NPR FY25 due to Comm. Price
(FY24 Proj. to FY24 Budget)</t>
  </si>
  <si>
    <t>Terminated employment between November 1, 2023 and October 31, 2024</t>
  </si>
  <si>
    <t>Employed as of October 31, 2024</t>
  </si>
  <si>
    <t>Vacancies as of October 31, 2024</t>
  </si>
  <si>
    <t>Other Services- Residential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</si>
</sst>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9.9978637043366805E-2"/>
        <bgColor indexed="64"/>
      </patternFill>
    </fill>
  </fills>
  <borders count="18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medium">
        <color rgb="FF000000"/>
      </bottom>
      <diagonal/>
    </border>
  </borders>
  <cellStyleXfs count="7">
    <xf numFmtId="0" fontId="0" fillId="0" borderId="0"/>
    <xf numFmtId="0" fontId="2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97">
    <xf numFmtId="0" fontId="0" fillId="0" borderId="0" xfId="0"/>
    <xf numFmtId="0" fontId="0" fillId="0" borderId="4" xfId="0" applyBorder="1"/>
    <xf numFmtId="0" fontId="0" fillId="0" borderId="0" xfId="0" applyAlignment="1">
      <alignment wrapText="1"/>
    </xf>
    <xf numFmtId="0" fontId="0" fillId="0" borderId="6" xfId="0" applyBorder="1"/>
    <xf numFmtId="0" fontId="0" fillId="0" borderId="5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2" fillId="0" borderId="0" xfId="1"/>
    <xf numFmtId="0" fontId="2" fillId="0" borderId="0" xfId="1" applyAlignment="1">
      <alignment horizontal="center"/>
    </xf>
    <xf numFmtId="164" fontId="2" fillId="0" borderId="0" xfId="1" applyNumberFormat="1" applyAlignment="1">
      <alignment horizontal="center"/>
    </xf>
    <xf numFmtId="164" fontId="2" fillId="0" borderId="0" xfId="2" applyNumberFormat="1" applyFont="1" applyFill="1" applyBorder="1" applyAlignment="1">
      <alignment horizontal="center"/>
    </xf>
    <xf numFmtId="44" fontId="2" fillId="0" borderId="0" xfId="3" applyFont="1" applyBorder="1" applyAlignment="1">
      <alignment horizontal="center"/>
    </xf>
    <xf numFmtId="2" fontId="2" fillId="0" borderId="0" xfId="3" applyNumberFormat="1" applyFont="1" applyBorder="1" applyAlignment="1">
      <alignment horizontal="center"/>
    </xf>
    <xf numFmtId="0" fontId="1" fillId="0" borderId="0" xfId="1" applyFont="1"/>
    <xf numFmtId="164" fontId="2" fillId="0" borderId="10" xfId="1" applyNumberFormat="1" applyBorder="1" applyAlignment="1">
      <alignment horizontal="center"/>
    </xf>
    <xf numFmtId="164" fontId="1" fillId="4" borderId="11" xfId="2" applyNumberFormat="1" applyFont="1" applyFill="1" applyBorder="1" applyAlignment="1">
      <alignment horizontal="center" wrapText="1"/>
    </xf>
    <xf numFmtId="164" fontId="1" fillId="4" borderId="10" xfId="2" applyNumberFormat="1" applyFont="1" applyFill="1" applyBorder="1" applyAlignment="1">
      <alignment horizontal="center" wrapText="1"/>
    </xf>
    <xf numFmtId="2" fontId="1" fillId="4" borderId="10" xfId="4" applyNumberFormat="1" applyFont="1" applyFill="1" applyBorder="1" applyAlignment="1">
      <alignment horizontal="center"/>
    </xf>
    <xf numFmtId="0" fontId="1" fillId="0" borderId="13" xfId="1" applyFont="1" applyBorder="1" applyAlignment="1">
      <alignment horizontal="left"/>
    </xf>
    <xf numFmtId="164" fontId="2" fillId="4" borderId="10" xfId="2" applyNumberFormat="1" applyFont="1" applyFill="1" applyBorder="1" applyAlignment="1">
      <alignment horizontal="center" wrapText="1"/>
    </xf>
    <xf numFmtId="0" fontId="1" fillId="0" borderId="13" xfId="1" applyFont="1" applyBorder="1" applyAlignment="1">
      <alignment horizontal="center" wrapText="1"/>
    </xf>
    <xf numFmtId="0" fontId="1" fillId="0" borderId="11" xfId="1" applyFont="1" applyBorder="1" applyAlignment="1">
      <alignment horizontal="center" wrapText="1"/>
    </xf>
    <xf numFmtId="0" fontId="1" fillId="0" borderId="13" xfId="1" applyFont="1" applyBorder="1" applyAlignment="1">
      <alignment wrapText="1"/>
    </xf>
    <xf numFmtId="164" fontId="2" fillId="0" borderId="10" xfId="2" applyNumberFormat="1" applyFont="1" applyFill="1" applyBorder="1" applyAlignment="1">
      <alignment horizontal="center"/>
    </xf>
    <xf numFmtId="44" fontId="0" fillId="0" borderId="10" xfId="3" applyFont="1" applyBorder="1" applyAlignment="1">
      <alignment horizontal="center"/>
    </xf>
    <xf numFmtId="2" fontId="0" fillId="0" borderId="10" xfId="3" applyNumberFormat="1" applyFont="1" applyBorder="1" applyAlignment="1">
      <alignment horizontal="center"/>
    </xf>
    <xf numFmtId="44" fontId="2" fillId="0" borderId="0" xfId="1" applyNumberFormat="1"/>
    <xf numFmtId="0" fontId="1" fillId="2" borderId="0" xfId="1" applyFont="1" applyFill="1"/>
    <xf numFmtId="0" fontId="2" fillId="0" borderId="0" xfId="1" applyAlignment="1">
      <alignment horizontal="left"/>
    </xf>
    <xf numFmtId="0" fontId="3" fillId="0" borderId="0" xfId="1" applyFont="1"/>
    <xf numFmtId="0" fontId="1" fillId="0" borderId="0" xfId="1" applyFont="1" applyAlignment="1">
      <alignment horizontal="left"/>
    </xf>
    <xf numFmtId="164" fontId="1" fillId="4" borderId="0" xfId="1" applyNumberFormat="1" applyFont="1" applyFill="1" applyAlignment="1">
      <alignment horizontal="center"/>
    </xf>
    <xf numFmtId="164" fontId="1" fillId="4" borderId="0" xfId="2" applyNumberFormat="1" applyFont="1" applyFill="1" applyBorder="1" applyAlignment="1">
      <alignment horizontal="center" wrapText="1"/>
    </xf>
    <xf numFmtId="0" fontId="2" fillId="0" borderId="0" xfId="1" applyAlignment="1">
      <alignment horizontal="left" indent="1"/>
    </xf>
    <xf numFmtId="165" fontId="1" fillId="2" borderId="10" xfId="5" applyNumberFormat="1" applyFont="1" applyFill="1" applyBorder="1" applyAlignment="1">
      <alignment horizontal="center"/>
    </xf>
    <xf numFmtId="165" fontId="2" fillId="2" borderId="10" xfId="5" applyNumberFormat="1" applyFont="1" applyFill="1" applyBorder="1" applyAlignment="1">
      <alignment horizontal="center"/>
    </xf>
    <xf numFmtId="165" fontId="2" fillId="0" borderId="10" xfId="5" applyNumberFormat="1" applyFont="1" applyBorder="1" applyAlignment="1">
      <alignment horizontal="center"/>
    </xf>
    <xf numFmtId="165" fontId="2" fillId="0" borderId="0" xfId="5" applyNumberFormat="1" applyAlignment="1">
      <alignment horizontal="center"/>
    </xf>
    <xf numFmtId="165" fontId="1" fillId="4" borderId="10" xfId="5" applyNumberFormat="1" applyFont="1" applyFill="1" applyBorder="1" applyAlignment="1">
      <alignment horizontal="center"/>
    </xf>
    <xf numFmtId="165" fontId="2" fillId="4" borderId="10" xfId="5" applyNumberFormat="1" applyFont="1" applyFill="1" applyBorder="1" applyAlignment="1">
      <alignment horizontal="center"/>
    </xf>
    <xf numFmtId="165" fontId="1" fillId="2" borderId="10" xfId="5" applyNumberFormat="1" applyFont="1" applyFill="1" applyBorder="1" applyAlignment="1">
      <alignment horizontal="center" wrapText="1"/>
    </xf>
    <xf numFmtId="165" fontId="1" fillId="4" borderId="10" xfId="5" applyNumberFormat="1" applyFont="1" applyFill="1" applyBorder="1" applyAlignment="1">
      <alignment horizontal="center" wrapText="1"/>
    </xf>
    <xf numFmtId="165" fontId="2" fillId="4" borderId="10" xfId="5" applyNumberFormat="1" applyFont="1" applyFill="1" applyBorder="1" applyAlignment="1">
      <alignment horizontal="center" wrapText="1"/>
    </xf>
    <xf numFmtId="0" fontId="1" fillId="2" borderId="0" xfId="1" applyFont="1" applyFill="1" applyAlignment="1">
      <alignment horizontal="center"/>
    </xf>
    <xf numFmtId="0" fontId="1" fillId="0" borderId="0" xfId="1" applyFont="1" applyAlignment="1">
      <alignment wrapText="1"/>
    </xf>
    <xf numFmtId="164" fontId="2" fillId="4" borderId="0" xfId="2" applyNumberFormat="1" applyFont="1" applyFill="1" applyBorder="1" applyAlignment="1">
      <alignment horizontal="center" wrapText="1"/>
    </xf>
    <xf numFmtId="164" fontId="2" fillId="4" borderId="0" xfId="1" applyNumberFormat="1" applyFill="1" applyAlignment="1">
      <alignment horizontal="center"/>
    </xf>
    <xf numFmtId="164" fontId="1" fillId="4" borderId="13" xfId="2" applyNumberFormat="1" applyFont="1" applyFill="1" applyBorder="1" applyAlignment="1">
      <alignment horizontal="center" wrapText="1"/>
    </xf>
    <xf numFmtId="164" fontId="1" fillId="4" borderId="13" xfId="1" applyNumberFormat="1" applyFont="1" applyFill="1" applyBorder="1" applyAlignment="1">
      <alignment horizontal="center"/>
    </xf>
    <xf numFmtId="165" fontId="1" fillId="2" borderId="11" xfId="5" applyNumberFormat="1" applyFont="1" applyFill="1" applyBorder="1" applyAlignment="1">
      <alignment horizontal="center"/>
    </xf>
    <xf numFmtId="165" fontId="1" fillId="4" borderId="11" xfId="5" applyNumberFormat="1" applyFont="1" applyFill="1" applyBorder="1" applyAlignment="1">
      <alignment horizontal="center"/>
    </xf>
    <xf numFmtId="165" fontId="2" fillId="2" borderId="11" xfId="5" applyNumberFormat="1" applyFont="1" applyFill="1" applyBorder="1" applyAlignment="1">
      <alignment horizontal="center"/>
    </xf>
    <xf numFmtId="165" fontId="1" fillId="4" borderId="11" xfId="5" applyNumberFormat="1" applyFont="1" applyFill="1" applyBorder="1" applyAlignment="1">
      <alignment horizontal="center" wrapText="1"/>
    </xf>
    <xf numFmtId="2" fontId="1" fillId="0" borderId="10" xfId="4" applyNumberFormat="1" applyFont="1" applyFill="1" applyBorder="1" applyAlignment="1">
      <alignment horizontal="center"/>
    </xf>
    <xf numFmtId="44" fontId="0" fillId="0" borderId="0" xfId="3" applyFont="1" applyBorder="1" applyAlignment="1">
      <alignment horizontal="center"/>
    </xf>
    <xf numFmtId="2" fontId="0" fillId="0" borderId="0" xfId="3" applyNumberFormat="1" applyFont="1" applyBorder="1" applyAlignment="1">
      <alignment horizontal="center"/>
    </xf>
    <xf numFmtId="164" fontId="2" fillId="0" borderId="10" xfId="2" applyNumberFormat="1" applyFont="1" applyFill="1" applyBorder="1" applyAlignment="1">
      <alignment horizontal="center" wrapText="1"/>
    </xf>
    <xf numFmtId="0" fontId="1" fillId="0" borderId="0" xfId="1" applyFont="1" applyAlignment="1">
      <alignment horizontal="center"/>
    </xf>
    <xf numFmtId="2" fontId="1" fillId="4" borderId="12" xfId="4" applyNumberFormat="1" applyFont="1" applyFill="1" applyBorder="1" applyAlignment="1">
      <alignment horizontal="center"/>
    </xf>
    <xf numFmtId="164" fontId="2" fillId="0" borderId="0" xfId="2" applyNumberFormat="1" applyFont="1" applyFill="1" applyBorder="1" applyAlignment="1">
      <alignment horizontal="center" wrapText="1"/>
    </xf>
    <xf numFmtId="9" fontId="2" fillId="0" borderId="0" xfId="6" applyAlignment="1">
      <alignment horizontal="center"/>
    </xf>
    <xf numFmtId="2" fontId="2" fillId="4" borderId="10" xfId="4" applyNumberFormat="1" applyFont="1" applyFill="1" applyBorder="1" applyAlignment="1">
      <alignment horizontal="center"/>
    </xf>
    <xf numFmtId="0" fontId="1" fillId="6" borderId="0" xfId="1" applyFont="1" applyFill="1"/>
    <xf numFmtId="165" fontId="2" fillId="0" borderId="0" xfId="1" applyNumberFormat="1" applyAlignment="1">
      <alignment horizontal="center"/>
    </xf>
    <xf numFmtId="0" fontId="2" fillId="6" borderId="0" xfId="1" applyFill="1"/>
    <xf numFmtId="0" fontId="2" fillId="6" borderId="0" xfId="1" applyFill="1" applyAlignment="1">
      <alignment horizontal="left" wrapText="1"/>
    </xf>
    <xf numFmtId="0" fontId="4" fillId="0" borderId="0" xfId="1" applyFont="1"/>
    <xf numFmtId="165" fontId="2" fillId="2" borderId="10" xfId="5" applyNumberFormat="1" applyFont="1" applyFill="1" applyBorder="1" applyAlignment="1">
      <alignment horizontal="center" wrapText="1"/>
    </xf>
    <xf numFmtId="165" fontId="1" fillId="2" borderId="11" xfId="5" applyNumberFormat="1" applyFont="1" applyFill="1" applyBorder="1" applyAlignment="1">
      <alignment horizontal="center" wrapText="1"/>
    </xf>
    <xf numFmtId="0" fontId="2" fillId="0" borderId="0" xfId="1" applyAlignment="1">
      <alignment wrapText="1"/>
    </xf>
    <xf numFmtId="0" fontId="2" fillId="0" borderId="0" xfId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5" xfId="0" applyBorder="1" applyAlignment="1">
      <alignment horizontal="center" vertical="center" wrapText="1"/>
    </xf>
    <xf numFmtId="165" fontId="2" fillId="4" borderId="11" xfId="5" applyNumberFormat="1" applyFont="1" applyFill="1" applyBorder="1" applyAlignment="1">
      <alignment horizontal="center"/>
    </xf>
    <xf numFmtId="2" fontId="2" fillId="4" borderId="12" xfId="4" applyNumberFormat="1" applyFont="1" applyFill="1" applyBorder="1" applyAlignment="1">
      <alignment horizontal="center"/>
    </xf>
    <xf numFmtId="165" fontId="2" fillId="4" borderId="11" xfId="5" applyNumberFormat="1" applyFont="1" applyFill="1" applyBorder="1" applyAlignment="1">
      <alignment horizontal="center" wrapText="1"/>
    </xf>
    <xf numFmtId="165" fontId="2" fillId="2" borderId="11" xfId="5" applyNumberFormat="1" applyFont="1" applyFill="1" applyBorder="1" applyAlignment="1">
      <alignment horizontal="center" wrapText="1"/>
    </xf>
    <xf numFmtId="164" fontId="2" fillId="4" borderId="11" xfId="2" applyNumberFormat="1" applyFont="1" applyFill="1" applyBorder="1" applyAlignment="1">
      <alignment horizontal="center" wrapText="1"/>
    </xf>
    <xf numFmtId="164" fontId="2" fillId="4" borderId="13" xfId="2" applyNumberFormat="1" applyFont="1" applyFill="1" applyBorder="1" applyAlignment="1">
      <alignment horizontal="center" wrapText="1"/>
    </xf>
    <xf numFmtId="164" fontId="2" fillId="4" borderId="13" xfId="1" applyNumberFormat="1" applyFill="1" applyBorder="1" applyAlignment="1">
      <alignment horizontal="center"/>
    </xf>
    <xf numFmtId="2" fontId="2" fillId="0" borderId="10" xfId="4" applyNumberFormat="1" applyFont="1" applyFill="1" applyBorder="1" applyAlignment="1">
      <alignment horizontal="center"/>
    </xf>
    <xf numFmtId="165" fontId="2" fillId="0" borderId="0" xfId="5" applyNumberFormat="1" applyFont="1" applyAlignment="1">
      <alignment horizontal="center"/>
    </xf>
    <xf numFmtId="0" fontId="2" fillId="0" borderId="11" xfId="1" applyBorder="1" applyAlignment="1">
      <alignment horizontal="center" wrapText="1"/>
    </xf>
    <xf numFmtId="0" fontId="2" fillId="0" borderId="13" xfId="1" applyBorder="1" applyAlignment="1">
      <alignment horizontal="center" wrapText="1"/>
    </xf>
    <xf numFmtId="165" fontId="2" fillId="0" borderId="0" xfId="1" applyNumberFormat="1"/>
    <xf numFmtId="10" fontId="2" fillId="0" borderId="0" xfId="6" applyNumberFormat="1"/>
    <xf numFmtId="0" fontId="1" fillId="3" borderId="1" xfId="0" applyFont="1" applyFill="1" applyBorder="1" applyAlignment="1">
      <alignment horizontal="center" wrapText="1"/>
    </xf>
    <xf numFmtId="0" fontId="1" fillId="3" borderId="2" xfId="0" applyFont="1" applyFill="1" applyBorder="1" applyAlignment="1">
      <alignment horizontal="center" wrapText="1"/>
    </xf>
    <xf numFmtId="0" fontId="1" fillId="3" borderId="3" xfId="0" applyFont="1" applyFill="1" applyBorder="1" applyAlignment="1">
      <alignment horizontal="center" wrapText="1"/>
    </xf>
    <xf numFmtId="0" fontId="3" fillId="0" borderId="17" xfId="0" applyFont="1" applyBorder="1" applyAlignment="1">
      <alignment horizontal="center"/>
    </xf>
    <xf numFmtId="0" fontId="0" fillId="0" borderId="9" xfId="0" applyBorder="1" applyAlignment="1">
      <alignment horizontal="left" wrapText="1"/>
    </xf>
    <xf numFmtId="0" fontId="2" fillId="6" borderId="0" xfId="1" applyFill="1" applyAlignment="1">
      <alignment horizontal="left" wrapText="1"/>
    </xf>
    <xf numFmtId="0" fontId="3" fillId="0" borderId="17" xfId="1" applyFont="1" applyBorder="1" applyAlignment="1">
      <alignment horizontal="center"/>
    </xf>
    <xf numFmtId="0" fontId="1" fillId="5" borderId="16" xfId="1" applyFont="1" applyFill="1" applyBorder="1" applyAlignment="1">
      <alignment horizontal="center"/>
    </xf>
    <xf numFmtId="0" fontId="1" fillId="5" borderId="15" xfId="1" applyFont="1" applyFill="1" applyBorder="1" applyAlignment="1">
      <alignment horizontal="center"/>
    </xf>
    <xf numFmtId="0" fontId="1" fillId="5" borderId="14" xfId="1" applyFont="1" applyFill="1" applyBorder="1" applyAlignment="1">
      <alignment horizontal="center"/>
    </xf>
    <xf numFmtId="0" fontId="2" fillId="0" borderId="0" xfId="1" applyAlignment="1">
      <alignment horizontal="left" wrapText="1"/>
    </xf>
  </cellXfs>
  <cellStyles count="7">
    <cellStyle name="Comma" xfId="5" builtinId="3"/>
    <cellStyle name="Comma 2" xfId="4" xr:uid="{BCCB4611-88B4-4629-9CCD-28C87A9F96D4}"/>
    <cellStyle name="Currency 2" xfId="3" xr:uid="{80ED0DD0-A084-4250-A760-18441829E639}"/>
    <cellStyle name="Normal" xfId="0" builtinId="0"/>
    <cellStyle name="Normal 2" xfId="1" xr:uid="{D881DFC9-184C-452A-9C09-5FE17124989E}"/>
    <cellStyle name="Percent" xfId="6" builtinId="5"/>
    <cellStyle name="Percent 2" xfId="2" xr:uid="{C26549EF-DB31-4181-B9C7-62F47CBD9132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47625</xdr:colOff>
      <xdr:row>28</xdr:row>
      <xdr:rowOff>47625</xdr:rowOff>
    </xdr:from>
    <xdr:to>
      <xdr:col>11</xdr:col>
      <xdr:colOff>916781</xdr:colOff>
      <xdr:row>32</xdr:row>
      <xdr:rowOff>83344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2D49C3B3-E795-F07E-FD0B-F12574F31D23}"/>
            </a:ext>
          </a:extLst>
        </xdr:cNvPr>
        <xdr:cNvSpPr txBox="1"/>
      </xdr:nvSpPr>
      <xdr:spPr>
        <a:xfrm>
          <a:off x="6226969" y="1321594"/>
          <a:ext cx="4917281" cy="797719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2000" b="1">
              <a:solidFill>
                <a:sysClr val="windowText" lastClr="000000"/>
              </a:solidFill>
            </a:rPr>
            <a:t>DUMMY FIGURES PROVIDED</a:t>
          </a:r>
          <a:r>
            <a:rPr lang="en-US" sz="2000" b="1" baseline="0">
              <a:solidFill>
                <a:sysClr val="windowText" lastClr="000000"/>
              </a:solidFill>
            </a:rPr>
            <a:t> TO CHECK FORMULAS, PROVIDE EXAMPLE</a:t>
          </a:r>
          <a:endParaRPr lang="en-US" sz="2000" b="1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47625</xdr:colOff>
      <xdr:row>28</xdr:row>
      <xdr:rowOff>47625</xdr:rowOff>
    </xdr:from>
    <xdr:to>
      <xdr:col>11</xdr:col>
      <xdr:colOff>916781</xdr:colOff>
      <xdr:row>32</xdr:row>
      <xdr:rowOff>83344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E9CE977B-B2DD-40BE-9AE8-891546E0894D}"/>
            </a:ext>
          </a:extLst>
        </xdr:cNvPr>
        <xdr:cNvSpPr txBox="1"/>
      </xdr:nvSpPr>
      <xdr:spPr>
        <a:xfrm>
          <a:off x="6972300" y="10515600"/>
          <a:ext cx="5041106" cy="797719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en-US" sz="2000" b="1">
            <a:solidFill>
              <a:sysClr val="windowText" lastClr="000000"/>
            </a:solidFill>
          </a:endParaRPr>
        </a:p>
        <a:p>
          <a:pPr algn="ctr"/>
          <a:endParaRPr lang="en-US" sz="2000" b="1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0143AE-8DC2-4371-88EE-2507C79013EA}">
  <dimension ref="B2:E9"/>
  <sheetViews>
    <sheetView workbookViewId="0">
      <selection activeCell="C20" sqref="C20"/>
    </sheetView>
  </sheetViews>
  <sheetFormatPr defaultRowHeight="15" x14ac:dyDescent="0.25"/>
  <cols>
    <col min="2" max="2" width="23.42578125" customWidth="1"/>
    <col min="3" max="3" width="26.85546875" style="2" customWidth="1"/>
    <col min="4" max="4" width="33.28515625" style="2" customWidth="1"/>
    <col min="5" max="5" width="26.42578125" style="2" customWidth="1"/>
  </cols>
  <sheetData>
    <row r="2" spans="2:5" ht="23.25" x14ac:dyDescent="0.35">
      <c r="B2" s="89" t="s">
        <v>1</v>
      </c>
      <c r="C2" s="89"/>
      <c r="D2" s="89"/>
      <c r="E2" s="89"/>
    </row>
    <row r="3" spans="2:5" ht="27.75" customHeight="1" x14ac:dyDescent="0.25">
      <c r="B3" s="90" t="s">
        <v>0</v>
      </c>
      <c r="C3" s="90"/>
      <c r="D3" s="90"/>
      <c r="E3" s="90"/>
    </row>
    <row r="5" spans="2:5" x14ac:dyDescent="0.25">
      <c r="B5" s="86" t="s">
        <v>2</v>
      </c>
      <c r="C5" s="87"/>
      <c r="D5" s="87"/>
      <c r="E5" s="88"/>
    </row>
    <row r="6" spans="2:5" ht="45" x14ac:dyDescent="0.25">
      <c r="B6" s="1"/>
      <c r="C6" s="71" t="s">
        <v>103</v>
      </c>
      <c r="D6" s="71" t="s">
        <v>102</v>
      </c>
      <c r="E6" s="72" t="s">
        <v>104</v>
      </c>
    </row>
    <row r="7" spans="2:5" x14ac:dyDescent="0.25">
      <c r="B7" s="1" t="s">
        <v>3</v>
      </c>
      <c r="C7" s="2">
        <v>18</v>
      </c>
      <c r="D7" s="2">
        <v>0</v>
      </c>
      <c r="E7" s="4">
        <v>3</v>
      </c>
    </row>
    <row r="8" spans="2:5" x14ac:dyDescent="0.25">
      <c r="B8" s="1" t="s">
        <v>4</v>
      </c>
      <c r="C8" s="2">
        <v>19</v>
      </c>
      <c r="D8" s="2">
        <v>4</v>
      </c>
      <c r="E8" s="4">
        <v>5</v>
      </c>
    </row>
    <row r="9" spans="2:5" x14ac:dyDescent="0.25">
      <c r="B9" s="3" t="s">
        <v>5</v>
      </c>
      <c r="C9" s="5">
        <v>53</v>
      </c>
      <c r="D9" s="5">
        <v>13</v>
      </c>
      <c r="E9" s="6">
        <v>17</v>
      </c>
    </row>
  </sheetData>
  <mergeCells count="3">
    <mergeCell ref="B5:E5"/>
    <mergeCell ref="B2:E2"/>
    <mergeCell ref="B3:E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C76A08-1F41-4F2A-B8BB-7A0241AA0A65}">
  <sheetPr>
    <pageSetUpPr fitToPage="1"/>
  </sheetPr>
  <dimension ref="B1:AP122"/>
  <sheetViews>
    <sheetView workbookViewId="0"/>
  </sheetViews>
  <sheetFormatPr defaultColWidth="9.140625" defaultRowHeight="15" outlineLevelRow="1" x14ac:dyDescent="0.25"/>
  <cols>
    <col min="1" max="1" width="7.85546875" style="7" customWidth="1"/>
    <col min="2" max="2" width="50.5703125" style="7" customWidth="1"/>
    <col min="3" max="3" width="22.85546875" style="7" customWidth="1"/>
    <col min="4" max="4" width="11.28515625" style="8" bestFit="1" customWidth="1"/>
    <col min="5" max="5" width="11.28515625" style="7" bestFit="1" customWidth="1"/>
    <col min="6" max="6" width="9.140625" style="7" bestFit="1" customWidth="1"/>
    <col min="7" max="7" width="5" style="8" bestFit="1" customWidth="1"/>
    <col min="8" max="8" width="11.28515625" style="7" bestFit="1" customWidth="1"/>
    <col min="9" max="9" width="9.85546875" style="7" bestFit="1" customWidth="1"/>
    <col min="10" max="11" width="14.85546875" style="7" bestFit="1" customWidth="1"/>
    <col min="12" max="12" width="11.28515625" style="7" bestFit="1" customWidth="1"/>
    <col min="13" max="13" width="8.5703125" style="7" bestFit="1" customWidth="1"/>
    <col min="14" max="15" width="12" style="7" bestFit="1" customWidth="1"/>
    <col min="16" max="16" width="11.28515625" style="7" bestFit="1" customWidth="1"/>
    <col min="17" max="18" width="9.28515625" style="7" bestFit="1" customWidth="1"/>
    <col min="19" max="19" width="9.5703125" style="7" bestFit="1" customWidth="1"/>
    <col min="20" max="20" width="11.5703125" style="7" bestFit="1" customWidth="1"/>
    <col min="21" max="21" width="8" style="7" bestFit="1" customWidth="1"/>
    <col min="22" max="22" width="6.7109375" style="7" bestFit="1" customWidth="1"/>
    <col min="23" max="23" width="8" style="7" bestFit="1" customWidth="1"/>
    <col min="24" max="24" width="4.85546875" style="7" customWidth="1"/>
    <col min="25" max="25" width="21" style="7" customWidth="1"/>
    <col min="26" max="26" width="10.28515625" style="7" bestFit="1" customWidth="1"/>
    <col min="27" max="38" width="9.140625" style="7"/>
    <col min="39" max="42" width="0" style="7" hidden="1" customWidth="1"/>
    <col min="43" max="16384" width="9.140625" style="7"/>
  </cols>
  <sheetData>
    <row r="1" spans="2:23" ht="32.25" customHeight="1" x14ac:dyDescent="0.25">
      <c r="B1" s="13" t="s">
        <v>59</v>
      </c>
      <c r="C1" s="13" t="s">
        <v>53</v>
      </c>
    </row>
    <row r="2" spans="2:23" ht="32.25" customHeight="1" x14ac:dyDescent="0.25">
      <c r="B2" s="7" t="s">
        <v>50</v>
      </c>
      <c r="C2" s="96" t="s">
        <v>75</v>
      </c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</row>
    <row r="3" spans="2:23" ht="32.25" customHeight="1" x14ac:dyDescent="0.25">
      <c r="B3" s="7" t="s">
        <v>51</v>
      </c>
      <c r="C3" s="96" t="s">
        <v>76</v>
      </c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96"/>
      <c r="V3" s="96"/>
      <c r="W3" s="96"/>
    </row>
    <row r="4" spans="2:23" ht="32.25" customHeight="1" x14ac:dyDescent="0.25">
      <c r="B4" s="7" t="s">
        <v>9</v>
      </c>
      <c r="C4" s="69" t="s">
        <v>77</v>
      </c>
      <c r="D4" s="70"/>
      <c r="E4" s="69"/>
      <c r="F4" s="69"/>
      <c r="G4" s="70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</row>
    <row r="5" spans="2:23" ht="32.25" customHeight="1" x14ac:dyDescent="0.25">
      <c r="B5" s="64" t="s">
        <v>10</v>
      </c>
      <c r="C5" s="91" t="s">
        <v>78</v>
      </c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  <c r="P5" s="91"/>
      <c r="Q5" s="91"/>
      <c r="R5" s="91"/>
      <c r="S5" s="91"/>
      <c r="T5" s="91"/>
      <c r="U5" s="91"/>
      <c r="V5" s="91"/>
      <c r="W5" s="91"/>
    </row>
    <row r="6" spans="2:23" ht="32.25" customHeight="1" x14ac:dyDescent="0.25">
      <c r="B6" s="64" t="s">
        <v>11</v>
      </c>
      <c r="C6" s="91" t="s">
        <v>79</v>
      </c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  <c r="O6" s="91"/>
      <c r="P6" s="91"/>
      <c r="Q6" s="91"/>
      <c r="R6" s="91"/>
      <c r="S6" s="91"/>
      <c r="T6" s="91"/>
      <c r="U6" s="91"/>
      <c r="V6" s="91"/>
      <c r="W6" s="91"/>
    </row>
    <row r="7" spans="2:23" ht="32.25" customHeight="1" x14ac:dyDescent="0.25">
      <c r="B7" s="7" t="s">
        <v>87</v>
      </c>
      <c r="C7" s="69" t="s">
        <v>63</v>
      </c>
      <c r="D7" s="70"/>
      <c r="E7" s="69"/>
      <c r="F7" s="69"/>
      <c r="G7" s="70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</row>
    <row r="8" spans="2:23" ht="32.25" customHeight="1" x14ac:dyDescent="0.25">
      <c r="B8" s="64" t="s">
        <v>86</v>
      </c>
      <c r="C8" s="91" t="s">
        <v>64</v>
      </c>
      <c r="D8" s="91"/>
      <c r="E8" s="91"/>
      <c r="F8" s="91"/>
      <c r="G8" s="91"/>
      <c r="H8" s="91"/>
      <c r="I8" s="91"/>
      <c r="J8" s="91"/>
      <c r="K8" s="91"/>
      <c r="L8" s="91"/>
      <c r="M8" s="91"/>
      <c r="N8" s="91"/>
      <c r="O8" s="91"/>
      <c r="P8" s="91"/>
      <c r="Q8" s="91"/>
      <c r="R8" s="91"/>
      <c r="S8" s="91"/>
      <c r="T8" s="91"/>
      <c r="U8" s="91"/>
      <c r="V8" s="91"/>
      <c r="W8" s="91"/>
    </row>
    <row r="9" spans="2:23" ht="32.25" customHeight="1" x14ac:dyDescent="0.25">
      <c r="B9" s="69" t="s">
        <v>99</v>
      </c>
      <c r="C9" s="69" t="s">
        <v>98</v>
      </c>
      <c r="D9" s="70"/>
      <c r="E9" s="69"/>
      <c r="F9" s="69"/>
      <c r="G9" s="70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69"/>
    </row>
    <row r="10" spans="2:23" ht="32.25" customHeight="1" x14ac:dyDescent="0.25">
      <c r="B10" s="69" t="s">
        <v>100</v>
      </c>
      <c r="C10" s="69" t="s">
        <v>97</v>
      </c>
      <c r="D10" s="70"/>
      <c r="E10" s="69"/>
      <c r="F10" s="69"/>
      <c r="G10" s="70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69"/>
      <c r="V10" s="69"/>
      <c r="W10" s="69"/>
    </row>
    <row r="11" spans="2:23" ht="32.25" customHeight="1" x14ac:dyDescent="0.25">
      <c r="B11" s="7" t="s">
        <v>88</v>
      </c>
      <c r="C11" s="69" t="s">
        <v>66</v>
      </c>
      <c r="D11" s="70"/>
      <c r="E11" s="69"/>
      <c r="F11" s="69"/>
      <c r="G11" s="70"/>
      <c r="H11" s="69"/>
      <c r="I11" s="69"/>
      <c r="J11" s="69"/>
      <c r="K11" s="69"/>
      <c r="L11" s="69"/>
      <c r="M11" s="69"/>
      <c r="N11" s="69"/>
      <c r="O11" s="69"/>
      <c r="P11" s="69"/>
      <c r="Q11" s="69"/>
      <c r="R11" s="69"/>
      <c r="S11" s="69"/>
      <c r="T11" s="69"/>
      <c r="U11" s="69"/>
      <c r="V11" s="69"/>
      <c r="W11" s="69"/>
    </row>
    <row r="12" spans="2:23" ht="32.25" customHeight="1" x14ac:dyDescent="0.25">
      <c r="B12" s="64" t="s">
        <v>90</v>
      </c>
      <c r="C12" s="91" t="s">
        <v>65</v>
      </c>
      <c r="D12" s="91"/>
      <c r="E12" s="91"/>
      <c r="F12" s="91"/>
      <c r="G12" s="91"/>
      <c r="H12" s="91"/>
      <c r="I12" s="91"/>
      <c r="J12" s="91"/>
      <c r="K12" s="91"/>
      <c r="L12" s="91"/>
      <c r="M12" s="91"/>
      <c r="N12" s="91"/>
      <c r="O12" s="91"/>
      <c r="P12" s="91"/>
      <c r="Q12" s="91"/>
      <c r="R12" s="91"/>
      <c r="S12" s="91"/>
      <c r="T12" s="91"/>
      <c r="U12" s="91"/>
      <c r="V12" s="91"/>
      <c r="W12" s="91"/>
    </row>
    <row r="13" spans="2:23" ht="32.25" customHeight="1" x14ac:dyDescent="0.25">
      <c r="B13" s="7" t="s">
        <v>89</v>
      </c>
      <c r="C13" s="69" t="s">
        <v>67</v>
      </c>
      <c r="D13" s="70"/>
      <c r="E13" s="69"/>
      <c r="F13" s="69"/>
      <c r="G13" s="70"/>
      <c r="H13" s="69"/>
      <c r="I13" s="69"/>
      <c r="J13" s="69"/>
      <c r="K13" s="69"/>
      <c r="L13" s="69"/>
      <c r="M13" s="69"/>
      <c r="N13" s="69"/>
      <c r="O13" s="69"/>
      <c r="P13" s="69"/>
      <c r="Q13" s="69"/>
      <c r="R13" s="69"/>
      <c r="S13" s="69"/>
      <c r="T13" s="69"/>
      <c r="U13" s="69"/>
      <c r="V13" s="69"/>
      <c r="W13" s="69"/>
    </row>
    <row r="14" spans="2:23" ht="32.25" customHeight="1" x14ac:dyDescent="0.25">
      <c r="B14" s="64" t="s">
        <v>91</v>
      </c>
      <c r="C14" s="91" t="s">
        <v>68</v>
      </c>
      <c r="D14" s="91"/>
      <c r="E14" s="91"/>
      <c r="F14" s="91"/>
      <c r="G14" s="91"/>
      <c r="H14" s="91"/>
      <c r="I14" s="91"/>
      <c r="J14" s="91"/>
      <c r="K14" s="91"/>
      <c r="L14" s="91"/>
      <c r="M14" s="91"/>
      <c r="N14" s="91"/>
      <c r="O14" s="91"/>
      <c r="P14" s="91"/>
      <c r="Q14" s="91"/>
      <c r="R14" s="91"/>
      <c r="S14" s="91"/>
      <c r="T14" s="91"/>
      <c r="U14" s="91"/>
      <c r="V14" s="91"/>
      <c r="W14" s="91"/>
    </row>
    <row r="15" spans="2:23" ht="32.25" customHeight="1" x14ac:dyDescent="0.25">
      <c r="B15" s="7" t="s">
        <v>92</v>
      </c>
      <c r="C15" s="69" t="s">
        <v>69</v>
      </c>
      <c r="D15" s="70"/>
      <c r="E15" s="69"/>
      <c r="F15" s="69"/>
      <c r="G15" s="70"/>
      <c r="H15" s="69"/>
      <c r="I15" s="69"/>
      <c r="J15" s="69"/>
      <c r="K15" s="69"/>
      <c r="L15" s="69"/>
      <c r="M15" s="69"/>
      <c r="N15" s="69"/>
      <c r="O15" s="69"/>
      <c r="P15" s="69"/>
      <c r="Q15" s="69"/>
      <c r="R15" s="69"/>
      <c r="S15" s="69"/>
      <c r="T15" s="69"/>
      <c r="U15" s="69"/>
      <c r="V15" s="69"/>
      <c r="W15" s="69"/>
    </row>
    <row r="16" spans="2:23" ht="32.25" customHeight="1" x14ac:dyDescent="0.25">
      <c r="B16" s="64" t="s">
        <v>93</v>
      </c>
      <c r="C16" s="91" t="s">
        <v>70</v>
      </c>
      <c r="D16" s="91"/>
      <c r="E16" s="91"/>
      <c r="F16" s="91"/>
      <c r="G16" s="91"/>
      <c r="H16" s="91"/>
      <c r="I16" s="91"/>
      <c r="J16" s="91"/>
      <c r="K16" s="91"/>
      <c r="L16" s="91"/>
      <c r="M16" s="91"/>
      <c r="N16" s="91"/>
      <c r="O16" s="91"/>
      <c r="P16" s="91"/>
      <c r="Q16" s="91"/>
      <c r="R16" s="91"/>
      <c r="S16" s="91"/>
      <c r="T16" s="91"/>
      <c r="U16" s="91"/>
      <c r="V16" s="91"/>
      <c r="W16" s="91"/>
    </row>
    <row r="17" spans="2:23" ht="32.25" customHeight="1" x14ac:dyDescent="0.25">
      <c r="B17" s="64" t="s">
        <v>94</v>
      </c>
      <c r="C17" s="91" t="s">
        <v>71</v>
      </c>
      <c r="D17" s="91"/>
      <c r="E17" s="91"/>
      <c r="F17" s="91"/>
      <c r="G17" s="91"/>
      <c r="H17" s="91"/>
      <c r="I17" s="91"/>
      <c r="J17" s="91"/>
      <c r="K17" s="91"/>
      <c r="L17" s="91"/>
      <c r="M17" s="91"/>
      <c r="N17" s="91"/>
      <c r="O17" s="91"/>
      <c r="P17" s="91"/>
      <c r="Q17" s="91"/>
      <c r="R17" s="91"/>
      <c r="S17" s="91"/>
      <c r="T17" s="91"/>
      <c r="U17" s="91"/>
      <c r="V17" s="91"/>
      <c r="W17" s="91"/>
    </row>
    <row r="18" spans="2:23" ht="32.25" customHeight="1" x14ac:dyDescent="0.25">
      <c r="B18" s="65" t="s">
        <v>61</v>
      </c>
      <c r="C18" s="91" t="s">
        <v>80</v>
      </c>
      <c r="D18" s="91"/>
      <c r="E18" s="91"/>
      <c r="F18" s="91"/>
      <c r="G18" s="91"/>
      <c r="H18" s="91"/>
      <c r="I18" s="91"/>
      <c r="J18" s="91"/>
      <c r="K18" s="91"/>
      <c r="L18" s="91"/>
      <c r="M18" s="91"/>
      <c r="N18" s="91"/>
      <c r="O18" s="91"/>
      <c r="P18" s="91"/>
      <c r="Q18" s="91"/>
      <c r="R18" s="91"/>
      <c r="S18" s="91"/>
      <c r="T18" s="91"/>
      <c r="U18" s="91"/>
      <c r="V18" s="91"/>
      <c r="W18" s="91"/>
    </row>
    <row r="19" spans="2:23" ht="32.25" customHeight="1" x14ac:dyDescent="0.25">
      <c r="B19" s="64" t="s">
        <v>62</v>
      </c>
      <c r="C19" s="91" t="s">
        <v>72</v>
      </c>
      <c r="D19" s="91"/>
      <c r="E19" s="91"/>
      <c r="F19" s="91"/>
      <c r="G19" s="91"/>
      <c r="H19" s="91"/>
      <c r="I19" s="91"/>
      <c r="J19" s="91"/>
      <c r="K19" s="91"/>
      <c r="L19" s="91"/>
      <c r="M19" s="91"/>
      <c r="N19" s="91"/>
      <c r="O19" s="91"/>
      <c r="P19" s="91"/>
      <c r="Q19" s="91"/>
      <c r="R19" s="91"/>
      <c r="S19" s="91"/>
      <c r="T19" s="91"/>
      <c r="U19" s="91"/>
      <c r="V19" s="91"/>
      <c r="W19" s="91"/>
    </row>
    <row r="20" spans="2:23" ht="32.25" customHeight="1" x14ac:dyDescent="0.25">
      <c r="B20" s="64" t="s">
        <v>56</v>
      </c>
      <c r="C20" s="91" t="s">
        <v>74</v>
      </c>
      <c r="D20" s="91"/>
      <c r="E20" s="91"/>
      <c r="F20" s="91"/>
      <c r="G20" s="91"/>
      <c r="H20" s="91"/>
      <c r="I20" s="91"/>
      <c r="J20" s="91"/>
      <c r="K20" s="91"/>
      <c r="L20" s="91"/>
      <c r="M20" s="91"/>
      <c r="N20" s="91"/>
      <c r="O20" s="91"/>
      <c r="P20" s="91"/>
      <c r="Q20" s="91"/>
      <c r="R20" s="91"/>
      <c r="S20" s="91"/>
      <c r="T20" s="91"/>
      <c r="U20" s="91"/>
      <c r="V20" s="91"/>
      <c r="W20" s="91"/>
    </row>
    <row r="21" spans="2:23" ht="32.25" customHeight="1" x14ac:dyDescent="0.25">
      <c r="B21" s="64" t="s">
        <v>29</v>
      </c>
      <c r="C21" s="91" t="s">
        <v>81</v>
      </c>
      <c r="D21" s="91"/>
      <c r="E21" s="91"/>
      <c r="F21" s="91"/>
      <c r="G21" s="91"/>
      <c r="H21" s="91"/>
      <c r="I21" s="91"/>
      <c r="J21" s="91"/>
      <c r="K21" s="91"/>
      <c r="L21" s="91"/>
      <c r="M21" s="91"/>
      <c r="N21" s="91"/>
      <c r="O21" s="91"/>
      <c r="P21" s="91"/>
      <c r="Q21" s="91"/>
      <c r="R21" s="91"/>
      <c r="S21" s="91"/>
      <c r="T21" s="91"/>
      <c r="U21" s="91"/>
      <c r="V21" s="91"/>
      <c r="W21" s="91"/>
    </row>
    <row r="22" spans="2:23" ht="32.25" customHeight="1" x14ac:dyDescent="0.25">
      <c r="B22" s="64" t="s">
        <v>57</v>
      </c>
      <c r="C22" s="91" t="s">
        <v>82</v>
      </c>
      <c r="D22" s="91"/>
      <c r="E22" s="91"/>
      <c r="F22" s="91"/>
      <c r="G22" s="91"/>
      <c r="H22" s="91"/>
      <c r="I22" s="91"/>
      <c r="J22" s="91"/>
      <c r="K22" s="91"/>
      <c r="L22" s="91"/>
      <c r="M22" s="91"/>
      <c r="N22" s="91"/>
      <c r="O22" s="91"/>
      <c r="P22" s="91"/>
      <c r="Q22" s="91"/>
      <c r="R22" s="91"/>
      <c r="S22" s="91"/>
      <c r="T22" s="91"/>
      <c r="U22" s="91"/>
      <c r="V22" s="91"/>
      <c r="W22" s="91"/>
    </row>
    <row r="24" spans="2:23" x14ac:dyDescent="0.25">
      <c r="B24" s="7" t="s">
        <v>60</v>
      </c>
    </row>
    <row r="25" spans="2:23" ht="31.5" customHeight="1" thickBot="1" x14ac:dyDescent="0.4">
      <c r="B25" s="92" t="s">
        <v>6</v>
      </c>
      <c r="C25" s="92"/>
      <c r="D25" s="92"/>
      <c r="E25" s="92"/>
      <c r="F25" s="92"/>
      <c r="G25" s="92"/>
      <c r="H25" s="92"/>
      <c r="I25" s="92"/>
      <c r="J25" s="92"/>
      <c r="K25" s="92"/>
      <c r="L25" s="92"/>
      <c r="M25" s="92"/>
      <c r="N25" s="92"/>
      <c r="O25" s="92"/>
      <c r="P25" s="92"/>
      <c r="Q25" s="92"/>
      <c r="R25" s="92"/>
      <c r="S25" s="92"/>
      <c r="T25" s="92"/>
      <c r="U25" s="92"/>
      <c r="V25" s="92"/>
      <c r="W25" s="92"/>
    </row>
    <row r="26" spans="2:23" ht="23.25" x14ac:dyDescent="0.35">
      <c r="B26" s="29"/>
      <c r="C26" s="29"/>
    </row>
    <row r="27" spans="2:23" x14ac:dyDescent="0.25">
      <c r="B27" s="13"/>
      <c r="C27" s="13"/>
    </row>
    <row r="28" spans="2:23" x14ac:dyDescent="0.25">
      <c r="B28" s="93" t="s">
        <v>7</v>
      </c>
      <c r="C28" s="94"/>
      <c r="D28" s="94"/>
      <c r="E28" s="94"/>
      <c r="F28" s="94"/>
      <c r="G28" s="94"/>
      <c r="H28" s="94"/>
      <c r="I28" s="94"/>
      <c r="J28" s="94"/>
      <c r="K28" s="94"/>
      <c r="L28" s="94"/>
      <c r="M28" s="94"/>
      <c r="N28" s="94"/>
      <c r="O28" s="94"/>
      <c r="P28" s="94"/>
      <c r="Q28" s="94"/>
      <c r="R28" s="94"/>
      <c r="S28" s="94"/>
      <c r="T28" s="94"/>
      <c r="U28" s="94"/>
      <c r="V28" s="94"/>
      <c r="W28" s="95"/>
    </row>
    <row r="30" spans="2:23" x14ac:dyDescent="0.25">
      <c r="B30" s="27" t="s">
        <v>95</v>
      </c>
      <c r="C30" s="13"/>
      <c r="D30" s="57"/>
    </row>
    <row r="31" spans="2:23" x14ac:dyDescent="0.25">
      <c r="B31" s="62" t="s">
        <v>52</v>
      </c>
      <c r="C31" s="13"/>
      <c r="D31" s="57"/>
    </row>
    <row r="32" spans="2:23" s="8" customFormat="1" x14ac:dyDescent="0.25">
      <c r="B32" s="30" t="s">
        <v>37</v>
      </c>
      <c r="D32" s="43" t="s">
        <v>38</v>
      </c>
      <c r="E32" s="60">
        <f>VLOOKUP(D32,AM$37:AP$49,4,FALSE)</f>
        <v>0.75</v>
      </c>
    </row>
    <row r="33" spans="2:42" s="8" customFormat="1" x14ac:dyDescent="0.25">
      <c r="B33" s="28"/>
    </row>
    <row r="34" spans="2:42" ht="60" outlineLevel="1" x14ac:dyDescent="0.25">
      <c r="B34" s="22" t="s">
        <v>8</v>
      </c>
      <c r="C34" s="21" t="s">
        <v>35</v>
      </c>
      <c r="D34" s="21" t="s">
        <v>34</v>
      </c>
      <c r="E34" s="21" t="s">
        <v>73</v>
      </c>
      <c r="F34" s="21" t="s">
        <v>58</v>
      </c>
      <c r="G34" s="21" t="s">
        <v>11</v>
      </c>
      <c r="H34" s="21" t="s">
        <v>87</v>
      </c>
      <c r="I34" s="21" t="s">
        <v>86</v>
      </c>
      <c r="J34" s="21" t="s">
        <v>101</v>
      </c>
      <c r="K34" s="21" t="s">
        <v>85</v>
      </c>
      <c r="L34" s="21" t="s">
        <v>88</v>
      </c>
      <c r="M34" s="21" t="s">
        <v>90</v>
      </c>
      <c r="N34" s="21" t="s">
        <v>89</v>
      </c>
      <c r="O34" s="21" t="s">
        <v>91</v>
      </c>
      <c r="P34" s="21" t="s">
        <v>92</v>
      </c>
      <c r="Q34" s="21" t="s">
        <v>93</v>
      </c>
      <c r="R34" s="21" t="s">
        <v>94</v>
      </c>
      <c r="S34" s="21" t="s">
        <v>54</v>
      </c>
      <c r="T34" s="20" t="s">
        <v>55</v>
      </c>
      <c r="U34" s="20" t="s">
        <v>56</v>
      </c>
      <c r="V34" s="21" t="s">
        <v>29</v>
      </c>
      <c r="W34" s="20" t="s">
        <v>57</v>
      </c>
      <c r="Z34" s="26"/>
    </row>
    <row r="35" spans="2:42" s="13" customFormat="1" outlineLevel="1" x14ac:dyDescent="0.25">
      <c r="B35" s="44" t="s">
        <v>12</v>
      </c>
      <c r="C35" s="34">
        <v>51057.610202846787</v>
      </c>
      <c r="D35" s="34">
        <f>C35*1.01</f>
        <v>51568.186304875257</v>
      </c>
      <c r="E35" s="34">
        <v>53610.490712989129</v>
      </c>
      <c r="F35" s="38">
        <f t="shared" ref="F35:F46" si="0">E35-C35</f>
        <v>2552.8805101423422</v>
      </c>
      <c r="G35" s="17">
        <f t="shared" ref="G35:G48" si="1">IFERROR(C35/C$49,"")</f>
        <v>0.16086417192312716</v>
      </c>
      <c r="H35" s="34">
        <f>C35</f>
        <v>51057.610202846787</v>
      </c>
      <c r="I35" s="41">
        <f>H35-C35</f>
        <v>0</v>
      </c>
      <c r="J35" s="40"/>
      <c r="K35" s="40"/>
      <c r="L35" s="40">
        <f>C35*1.02</f>
        <v>52078.762406903727</v>
      </c>
      <c r="M35" s="41">
        <f t="shared" ref="M35:M48" si="2">L35-C35</f>
        <v>1021.1522040569398</v>
      </c>
      <c r="N35" s="40">
        <f>C35*1.02</f>
        <v>52078.762406903727</v>
      </c>
      <c r="O35" s="41">
        <f t="shared" ref="O35:O48" si="3">N35-C35</f>
        <v>1021.1522040569398</v>
      </c>
      <c r="P35" s="40">
        <f>C35*1.0005</f>
        <v>51083.139007948208</v>
      </c>
      <c r="Q35" s="41">
        <f t="shared" ref="Q35:Q48" si="4">P35-C35</f>
        <v>25.528805101421312</v>
      </c>
      <c r="R35" s="41">
        <f>F35-Q35-O35-M35-I35</f>
        <v>485.04729692704132</v>
      </c>
      <c r="S35" s="16">
        <f t="shared" ref="S35:S49" si="5">IFERROR(I35/C35,0%)</f>
        <v>0</v>
      </c>
      <c r="T35" s="32">
        <f t="shared" ref="T35:T49" si="6">S35/E$32</f>
        <v>0</v>
      </c>
      <c r="U35" s="31">
        <f t="shared" ref="U35:U48" si="7">IFERROR(S35*G35,0%)</f>
        <v>0</v>
      </c>
      <c r="V35" s="16">
        <f t="shared" ref="V35:V49" si="8">IFERROR((E35-C35)/C35,0%)</f>
        <v>5.0000000000000058E-2</v>
      </c>
      <c r="W35" s="32">
        <f t="shared" ref="W35:W48" si="9">IFERROR(V35*G35,0%)</f>
        <v>8.0432085961563669E-3</v>
      </c>
    </row>
    <row r="36" spans="2:42" s="13" customFormat="1" outlineLevel="1" x14ac:dyDescent="0.25">
      <c r="B36" s="44" t="s">
        <v>13</v>
      </c>
      <c r="C36" s="34">
        <f>154285.446369715-C37</f>
        <v>131285.44636971501</v>
      </c>
      <c r="D36" s="34">
        <f>C36*0.987</f>
        <v>129578.73556690871</v>
      </c>
      <c r="E36" s="34">
        <f>158914.009760807-E37</f>
        <v>134914.00976080701</v>
      </c>
      <c r="F36" s="38">
        <f t="shared" si="0"/>
        <v>3628.5633910920005</v>
      </c>
      <c r="G36" s="17">
        <f t="shared" si="1"/>
        <v>0.41363323766855031</v>
      </c>
      <c r="H36" s="40">
        <f>C36</f>
        <v>131285.44636971501</v>
      </c>
      <c r="I36" s="41">
        <f t="shared" ref="I36:I48" si="10">H36-C36</f>
        <v>0</v>
      </c>
      <c r="J36" s="40"/>
      <c r="K36" s="40"/>
      <c r="L36" s="40">
        <f>C36*1.001</f>
        <v>131416.73181608471</v>
      </c>
      <c r="M36" s="41">
        <f t="shared" si="2"/>
        <v>131.28544636970037</v>
      </c>
      <c r="N36" s="40">
        <f>C36*1.02</f>
        <v>133911.1552971093</v>
      </c>
      <c r="O36" s="41">
        <f t="shared" si="3"/>
        <v>2625.7089273942984</v>
      </c>
      <c r="P36" s="40">
        <f>C36*1.0005</f>
        <v>131351.08909289987</v>
      </c>
      <c r="Q36" s="41">
        <f t="shared" si="4"/>
        <v>65.642723184864735</v>
      </c>
      <c r="R36" s="41">
        <f t="shared" ref="R36:R48" si="11">F36-Q36-O36-M36-I36</f>
        <v>805.92629414313706</v>
      </c>
      <c r="S36" s="16">
        <f t="shared" si="5"/>
        <v>0</v>
      </c>
      <c r="T36" s="32">
        <f t="shared" si="6"/>
        <v>0</v>
      </c>
      <c r="U36" s="31">
        <f t="shared" si="7"/>
        <v>0</v>
      </c>
      <c r="V36" s="16">
        <f t="shared" si="8"/>
        <v>2.7638732939777241E-2</v>
      </c>
      <c r="W36" s="32">
        <f t="shared" si="9"/>
        <v>1.143229859093647E-2</v>
      </c>
    </row>
    <row r="37" spans="2:42" s="13" customFormat="1" outlineLevel="1" x14ac:dyDescent="0.25">
      <c r="B37" s="44" t="s">
        <v>14</v>
      </c>
      <c r="C37" s="34">
        <v>23000</v>
      </c>
      <c r="D37" s="34">
        <f>C37*1.05</f>
        <v>24150</v>
      </c>
      <c r="E37" s="34">
        <v>24000</v>
      </c>
      <c r="F37" s="38">
        <f t="shared" si="0"/>
        <v>1000</v>
      </c>
      <c r="G37" s="17">
        <f t="shared" si="1"/>
        <v>7.2464730321938037E-2</v>
      </c>
      <c r="H37" s="40">
        <f>C37</f>
        <v>23000</v>
      </c>
      <c r="I37" s="41">
        <f t="shared" si="10"/>
        <v>0</v>
      </c>
      <c r="J37" s="40"/>
      <c r="K37" s="40"/>
      <c r="L37" s="40">
        <f>C37*1.01</f>
        <v>23230</v>
      </c>
      <c r="M37" s="41">
        <f t="shared" si="2"/>
        <v>230</v>
      </c>
      <c r="N37" s="40">
        <f>C37*1.02</f>
        <v>23460</v>
      </c>
      <c r="O37" s="41">
        <f t="shared" si="3"/>
        <v>460</v>
      </c>
      <c r="P37" s="40">
        <f>C37*1.0005</f>
        <v>23011.5</v>
      </c>
      <c r="Q37" s="41">
        <f t="shared" si="4"/>
        <v>11.5</v>
      </c>
      <c r="R37" s="41">
        <f t="shared" si="11"/>
        <v>298.5</v>
      </c>
      <c r="S37" s="16">
        <f t="shared" si="5"/>
        <v>0</v>
      </c>
      <c r="T37" s="32">
        <f t="shared" si="6"/>
        <v>0</v>
      </c>
      <c r="U37" s="31">
        <f t="shared" si="7"/>
        <v>0</v>
      </c>
      <c r="V37" s="16">
        <f t="shared" si="8"/>
        <v>4.3478260869565216E-2</v>
      </c>
      <c r="W37" s="32">
        <f t="shared" si="9"/>
        <v>3.1506404487799144E-3</v>
      </c>
      <c r="AM37" s="13" t="s">
        <v>39</v>
      </c>
      <c r="AN37" s="13">
        <v>1</v>
      </c>
      <c r="AO37" s="13">
        <f>13-AN37</f>
        <v>12</v>
      </c>
      <c r="AP37" s="13">
        <f t="shared" ref="AP37:AP49" si="12">AO37/12</f>
        <v>1</v>
      </c>
    </row>
    <row r="38" spans="2:42" s="13" customFormat="1" outlineLevel="1" x14ac:dyDescent="0.25">
      <c r="B38" s="44" t="s">
        <v>15</v>
      </c>
      <c r="C38" s="34">
        <f>SUM(C39:C43)</f>
        <v>73965.234648285055</v>
      </c>
      <c r="D38" s="34">
        <f>SUM(D39:D43)</f>
        <v>74767.757444218936</v>
      </c>
      <c r="E38" s="34">
        <f>SUM(E39:E43)</f>
        <v>84174.068906070912</v>
      </c>
      <c r="F38" s="38">
        <f t="shared" si="0"/>
        <v>10208.834257785857</v>
      </c>
      <c r="G38" s="17">
        <f t="shared" si="1"/>
        <v>0.23303786008638452</v>
      </c>
      <c r="H38" s="40">
        <f>SUM(H39:H43)</f>
        <v>78800.711863416684</v>
      </c>
      <c r="I38" s="41">
        <f>H38-C38</f>
        <v>4835.4772151316283</v>
      </c>
      <c r="J38" s="40">
        <f>I38*0.4</f>
        <v>1934.1908860526514</v>
      </c>
      <c r="K38" s="40">
        <f>I38*0.6</f>
        <v>2901.2863290789769</v>
      </c>
      <c r="L38" s="40">
        <f>SUM(L39:L43)</f>
        <v>77367.63544210617</v>
      </c>
      <c r="M38" s="41">
        <f t="shared" si="2"/>
        <v>3402.4007938211143</v>
      </c>
      <c r="N38" s="40">
        <f>SUM(N39:N43)</f>
        <v>73965.234648285055</v>
      </c>
      <c r="O38" s="41">
        <f t="shared" si="3"/>
        <v>0</v>
      </c>
      <c r="P38" s="40">
        <f>SUM(P39:P43)</f>
        <v>74704.886994767905</v>
      </c>
      <c r="Q38" s="41">
        <f t="shared" si="4"/>
        <v>739.65234648284968</v>
      </c>
      <c r="R38" s="41">
        <f t="shared" si="11"/>
        <v>1231.3039023502643</v>
      </c>
      <c r="S38" s="16">
        <f t="shared" si="5"/>
        <v>6.5374999999999905E-2</v>
      </c>
      <c r="T38" s="32">
        <f t="shared" si="6"/>
        <v>8.7166666666666545E-2</v>
      </c>
      <c r="U38" s="31">
        <f t="shared" si="7"/>
        <v>1.5234850103147367E-2</v>
      </c>
      <c r="V38" s="16">
        <f t="shared" si="8"/>
        <v>0.13802206274786091</v>
      </c>
      <c r="W38" s="32">
        <f t="shared" si="9"/>
        <v>3.2164366147470196E-2</v>
      </c>
      <c r="AM38" s="13" t="s">
        <v>40</v>
      </c>
      <c r="AN38" s="13">
        <v>2</v>
      </c>
      <c r="AO38" s="13">
        <f>13-AN38</f>
        <v>11</v>
      </c>
      <c r="AP38" s="13">
        <f t="shared" si="12"/>
        <v>0.91666666666666663</v>
      </c>
    </row>
    <row r="39" spans="2:42" outlineLevel="1" x14ac:dyDescent="0.25">
      <c r="B39" s="33" t="s">
        <v>16</v>
      </c>
      <c r="C39" s="35">
        <v>44379.140788971032</v>
      </c>
      <c r="D39" s="35">
        <f>C39*0.991</f>
        <v>43979.728521870289</v>
      </c>
      <c r="E39" s="35">
        <v>52132</v>
      </c>
      <c r="F39" s="39">
        <f t="shared" si="0"/>
        <v>7752.8592110289683</v>
      </c>
      <c r="G39" s="61">
        <f t="shared" si="1"/>
        <v>0.13982271605183072</v>
      </c>
      <c r="H39" s="35">
        <f>C39*1.08</f>
        <v>47929.47205208872</v>
      </c>
      <c r="I39" s="42">
        <f>H39-C39</f>
        <v>3550.3312631176886</v>
      </c>
      <c r="J39" s="67">
        <f t="shared" ref="J39:J43" si="13">I39*0.4</f>
        <v>1420.1325052470756</v>
      </c>
      <c r="K39" s="67">
        <f t="shared" ref="K39:K43" si="14">I39*0.6</f>
        <v>2130.198757870613</v>
      </c>
      <c r="L39" s="35">
        <f>C39*1.07</f>
        <v>47485.680644199005</v>
      </c>
      <c r="M39" s="42">
        <f t="shared" si="2"/>
        <v>3106.539855227973</v>
      </c>
      <c r="N39" s="35">
        <f>C39</f>
        <v>44379.140788971032</v>
      </c>
      <c r="O39" s="41">
        <f t="shared" si="3"/>
        <v>0</v>
      </c>
      <c r="P39" s="35">
        <f t="shared" ref="P39:P44" si="15">C39*1.01</f>
        <v>44822.93219686074</v>
      </c>
      <c r="Q39" s="42">
        <f t="shared" si="4"/>
        <v>443.79140788970835</v>
      </c>
      <c r="R39" s="42">
        <f t="shared" si="11"/>
        <v>652.19668479359825</v>
      </c>
      <c r="S39" s="19">
        <f t="shared" si="5"/>
        <v>8.000000000000014E-2</v>
      </c>
      <c r="T39" s="45">
        <f t="shared" si="6"/>
        <v>0.10666666666666685</v>
      </c>
      <c r="U39" s="46">
        <f t="shared" si="7"/>
        <v>1.1185817284146478E-2</v>
      </c>
      <c r="V39" s="19">
        <f t="shared" si="8"/>
        <v>0.1746960187421133</v>
      </c>
      <c r="W39" s="45">
        <f t="shared" si="9"/>
        <v>2.4426471823963805E-2</v>
      </c>
      <c r="AM39" s="7" t="s">
        <v>41</v>
      </c>
      <c r="AN39" s="7">
        <v>3</v>
      </c>
      <c r="AO39" s="13">
        <f t="shared" ref="AO39:AO49" si="16">13-AN39</f>
        <v>10</v>
      </c>
      <c r="AP39" s="13">
        <f t="shared" si="12"/>
        <v>0.83333333333333337</v>
      </c>
    </row>
    <row r="40" spans="2:42" outlineLevel="1" x14ac:dyDescent="0.25">
      <c r="B40" s="33" t="s">
        <v>17</v>
      </c>
      <c r="C40" s="35">
        <v>14793.046929657012</v>
      </c>
      <c r="D40" s="35">
        <f>C40*1.033</f>
        <v>15281.217478335691</v>
      </c>
      <c r="E40" s="35">
        <v>16232</v>
      </c>
      <c r="F40" s="39">
        <f t="shared" si="0"/>
        <v>1438.9530703429882</v>
      </c>
      <c r="G40" s="61">
        <f t="shared" si="1"/>
        <v>4.6607572017276909E-2</v>
      </c>
      <c r="H40" s="35">
        <f>C40*1.045</f>
        <v>15458.734041491576</v>
      </c>
      <c r="I40" s="42">
        <f t="shared" si="10"/>
        <v>665.68711183456435</v>
      </c>
      <c r="J40" s="67">
        <f t="shared" si="13"/>
        <v>266.27484473382577</v>
      </c>
      <c r="K40" s="67">
        <f t="shared" si="14"/>
        <v>399.41226710073857</v>
      </c>
      <c r="L40" s="35">
        <f>C40*1.01</f>
        <v>14940.977398953582</v>
      </c>
      <c r="M40" s="42">
        <f t="shared" si="2"/>
        <v>147.93046929657066</v>
      </c>
      <c r="N40" s="35">
        <f>C40</f>
        <v>14793.046929657012</v>
      </c>
      <c r="O40" s="41">
        <f t="shared" si="3"/>
        <v>0</v>
      </c>
      <c r="P40" s="35">
        <f t="shared" si="15"/>
        <v>14940.977398953582</v>
      </c>
      <c r="Q40" s="42">
        <f t="shared" si="4"/>
        <v>147.93046929657066</v>
      </c>
      <c r="R40" s="42">
        <f t="shared" si="11"/>
        <v>477.40501991528254</v>
      </c>
      <c r="S40" s="19">
        <f t="shared" si="5"/>
        <v>4.4999999999999922E-2</v>
      </c>
      <c r="T40" s="45">
        <f t="shared" si="6"/>
        <v>5.9999999999999894E-2</v>
      </c>
      <c r="U40" s="46">
        <f t="shared" si="7"/>
        <v>2.0973407407774572E-3</v>
      </c>
      <c r="V40" s="19">
        <f t="shared" si="8"/>
        <v>9.7272257512966018E-2</v>
      </c>
      <c r="W40" s="45">
        <f t="shared" si="9"/>
        <v>4.5336237473186684E-3</v>
      </c>
      <c r="AM40" s="7" t="s">
        <v>38</v>
      </c>
      <c r="AN40" s="7">
        <v>4</v>
      </c>
      <c r="AO40" s="13">
        <f t="shared" si="16"/>
        <v>9</v>
      </c>
      <c r="AP40" s="13">
        <f t="shared" si="12"/>
        <v>0.75</v>
      </c>
    </row>
    <row r="41" spans="2:42" outlineLevel="1" x14ac:dyDescent="0.25">
      <c r="B41" s="33" t="s">
        <v>18</v>
      </c>
      <c r="C41" s="35">
        <v>7396.5234648285059</v>
      </c>
      <c r="D41" s="35">
        <f>C41*1.018</f>
        <v>7529.6608871954195</v>
      </c>
      <c r="E41" s="35">
        <v>7840.314872718217</v>
      </c>
      <c r="F41" s="39">
        <f t="shared" si="0"/>
        <v>443.79140788971108</v>
      </c>
      <c r="G41" s="61">
        <f t="shared" si="1"/>
        <v>2.3303786008638454E-2</v>
      </c>
      <c r="H41" s="35">
        <f>C41*1.035</f>
        <v>7655.4017860975027</v>
      </c>
      <c r="I41" s="42">
        <f t="shared" si="10"/>
        <v>258.87832126899684</v>
      </c>
      <c r="J41" s="67">
        <f t="shared" si="13"/>
        <v>103.55132850759874</v>
      </c>
      <c r="K41" s="67">
        <f t="shared" si="14"/>
        <v>155.32699276139809</v>
      </c>
      <c r="L41" s="35">
        <f>C41*1.01</f>
        <v>7470.4886994767912</v>
      </c>
      <c r="M41" s="42">
        <f t="shared" si="2"/>
        <v>73.965234648285332</v>
      </c>
      <c r="N41" s="35">
        <f>C41</f>
        <v>7396.5234648285059</v>
      </c>
      <c r="O41" s="41">
        <f t="shared" si="3"/>
        <v>0</v>
      </c>
      <c r="P41" s="35">
        <f t="shared" si="15"/>
        <v>7470.4886994767912</v>
      </c>
      <c r="Q41" s="42">
        <f t="shared" si="4"/>
        <v>73.965234648285332</v>
      </c>
      <c r="R41" s="42">
        <f t="shared" si="11"/>
        <v>36.982617324143575</v>
      </c>
      <c r="S41" s="19">
        <f t="shared" si="5"/>
        <v>3.4999999999999885E-2</v>
      </c>
      <c r="T41" s="45">
        <f t="shared" si="6"/>
        <v>4.6666666666666516E-2</v>
      </c>
      <c r="U41" s="46">
        <f t="shared" si="7"/>
        <v>8.1563251030234319E-4</v>
      </c>
      <c r="V41" s="19">
        <f t="shared" si="8"/>
        <v>6.0000000000000095E-2</v>
      </c>
      <c r="W41" s="45">
        <f t="shared" si="9"/>
        <v>1.3982271605183095E-3</v>
      </c>
      <c r="AM41" s="7" t="s">
        <v>42</v>
      </c>
      <c r="AN41" s="7">
        <v>5</v>
      </c>
      <c r="AO41" s="13">
        <f t="shared" si="16"/>
        <v>8</v>
      </c>
      <c r="AP41" s="13">
        <f t="shared" si="12"/>
        <v>0.66666666666666663</v>
      </c>
    </row>
    <row r="42" spans="2:42" outlineLevel="1" x14ac:dyDescent="0.25">
      <c r="B42" s="33" t="s">
        <v>19</v>
      </c>
      <c r="C42" s="35">
        <v>1849.1308662071265</v>
      </c>
      <c r="D42" s="35">
        <f>C42*1.014</f>
        <v>1875.0186983340263</v>
      </c>
      <c r="E42" s="35">
        <v>2034.0439528278393</v>
      </c>
      <c r="F42" s="39">
        <f t="shared" si="0"/>
        <v>184.91308662071287</v>
      </c>
      <c r="G42" s="61">
        <f t="shared" si="1"/>
        <v>5.8259465021596136E-3</v>
      </c>
      <c r="H42" s="35">
        <f>C42*1.051</f>
        <v>1943.4365403836898</v>
      </c>
      <c r="I42" s="42">
        <f t="shared" si="10"/>
        <v>94.305674176563343</v>
      </c>
      <c r="J42" s="67">
        <f t="shared" si="13"/>
        <v>37.722269670625337</v>
      </c>
      <c r="K42" s="67">
        <f t="shared" si="14"/>
        <v>56.583404505938006</v>
      </c>
      <c r="L42" s="35">
        <f>C42*1.01</f>
        <v>1867.6221748691978</v>
      </c>
      <c r="M42" s="42">
        <f t="shared" si="2"/>
        <v>18.491308662071333</v>
      </c>
      <c r="N42" s="35">
        <f>C42</f>
        <v>1849.1308662071265</v>
      </c>
      <c r="O42" s="41">
        <f t="shared" si="3"/>
        <v>0</v>
      </c>
      <c r="P42" s="35">
        <f t="shared" si="15"/>
        <v>1867.6221748691978</v>
      </c>
      <c r="Q42" s="42">
        <f t="shared" si="4"/>
        <v>18.491308662071333</v>
      </c>
      <c r="R42" s="42">
        <f t="shared" si="11"/>
        <v>53.624795120006866</v>
      </c>
      <c r="S42" s="19">
        <f t="shared" si="5"/>
        <v>5.0999999999999941E-2</v>
      </c>
      <c r="T42" s="45">
        <f t="shared" si="6"/>
        <v>6.7999999999999922E-2</v>
      </c>
      <c r="U42" s="46">
        <f t="shared" si="7"/>
        <v>2.9712327161013997E-4</v>
      </c>
      <c r="V42" s="19">
        <f t="shared" si="8"/>
        <v>0.10000000000000012</v>
      </c>
      <c r="W42" s="45">
        <f t="shared" si="9"/>
        <v>5.8259465021596199E-4</v>
      </c>
      <c r="AM42" s="7" t="s">
        <v>43</v>
      </c>
      <c r="AN42" s="7">
        <v>6</v>
      </c>
      <c r="AO42" s="13">
        <f t="shared" si="16"/>
        <v>7</v>
      </c>
      <c r="AP42" s="13">
        <f t="shared" si="12"/>
        <v>0.58333333333333337</v>
      </c>
    </row>
    <row r="43" spans="2:42" outlineLevel="1" x14ac:dyDescent="0.25">
      <c r="B43" s="33" t="s">
        <v>20</v>
      </c>
      <c r="C43" s="35">
        <v>5547.3925986213726</v>
      </c>
      <c r="D43" s="35">
        <f>C43*1.1</f>
        <v>6102.1318584835108</v>
      </c>
      <c r="E43" s="35">
        <v>5935.7100805248692</v>
      </c>
      <c r="F43" s="39">
        <f t="shared" si="0"/>
        <v>388.31748190349663</v>
      </c>
      <c r="G43" s="61">
        <f t="shared" si="1"/>
        <v>1.7477839506478819E-2</v>
      </c>
      <c r="H43" s="35">
        <f>C43*1.048</f>
        <v>5813.6674433551989</v>
      </c>
      <c r="I43" s="42">
        <f t="shared" si="10"/>
        <v>266.27484473382628</v>
      </c>
      <c r="J43" s="67">
        <f t="shared" si="13"/>
        <v>106.50993789353052</v>
      </c>
      <c r="K43" s="67">
        <f t="shared" si="14"/>
        <v>159.76490684029577</v>
      </c>
      <c r="L43" s="35">
        <f>C43*1.01</f>
        <v>5602.8665246075861</v>
      </c>
      <c r="M43" s="42">
        <f t="shared" si="2"/>
        <v>55.473925986213544</v>
      </c>
      <c r="N43" s="35">
        <f>C43</f>
        <v>5547.3925986213726</v>
      </c>
      <c r="O43" s="41">
        <f t="shared" si="3"/>
        <v>0</v>
      </c>
      <c r="P43" s="35">
        <f t="shared" si="15"/>
        <v>5602.8665246075861</v>
      </c>
      <c r="Q43" s="42">
        <f t="shared" si="4"/>
        <v>55.473925986213544</v>
      </c>
      <c r="R43" s="42">
        <f t="shared" si="11"/>
        <v>11.094785197243255</v>
      </c>
      <c r="S43" s="19">
        <f t="shared" si="5"/>
        <v>4.800000000000007E-2</v>
      </c>
      <c r="T43" s="45">
        <f t="shared" si="6"/>
        <v>6.4000000000000098E-2</v>
      </c>
      <c r="U43" s="46">
        <f t="shared" si="7"/>
        <v>8.3893629631098452E-4</v>
      </c>
      <c r="V43" s="19">
        <f t="shared" si="8"/>
        <v>7.0000000000000104E-2</v>
      </c>
      <c r="W43" s="45">
        <f t="shared" si="9"/>
        <v>1.2234487654535192E-3</v>
      </c>
      <c r="AM43" s="7" t="s">
        <v>44</v>
      </c>
      <c r="AN43" s="7">
        <v>7</v>
      </c>
      <c r="AO43" s="13">
        <f t="shared" si="16"/>
        <v>6</v>
      </c>
      <c r="AP43" s="13">
        <f t="shared" si="12"/>
        <v>0.5</v>
      </c>
    </row>
    <row r="44" spans="2:42" s="13" customFormat="1" outlineLevel="1" x14ac:dyDescent="0.25">
      <c r="B44" s="30" t="s">
        <v>30</v>
      </c>
      <c r="C44" s="34">
        <v>31739.578547823556</v>
      </c>
      <c r="D44" s="34">
        <f>SUM(D45,D46,D47)</f>
        <v>32945.682532640858</v>
      </c>
      <c r="E44" s="34">
        <v>33643.953260692972</v>
      </c>
      <c r="F44" s="38">
        <f t="shared" si="0"/>
        <v>1904.3747128694158</v>
      </c>
      <c r="G44" s="17">
        <f t="shared" si="1"/>
        <v>0.10000000000000016</v>
      </c>
      <c r="H44" s="34">
        <f>C44</f>
        <v>31739.578547823556</v>
      </c>
      <c r="I44" s="42">
        <f t="shared" si="10"/>
        <v>0</v>
      </c>
      <c r="J44" s="67"/>
      <c r="K44" s="67"/>
      <c r="L44" s="34">
        <f>C44*1.015</f>
        <v>32215.672226040904</v>
      </c>
      <c r="M44" s="41">
        <f t="shared" si="2"/>
        <v>476.0936782173485</v>
      </c>
      <c r="N44" s="34">
        <f>C44*1.0235</f>
        <v>32485.458643697413</v>
      </c>
      <c r="O44" s="41">
        <f t="shared" si="3"/>
        <v>745.8800958738575</v>
      </c>
      <c r="P44" s="34">
        <f t="shared" si="15"/>
        <v>32056.97433330179</v>
      </c>
      <c r="Q44" s="41">
        <f t="shared" si="4"/>
        <v>317.39578547823476</v>
      </c>
      <c r="R44" s="41">
        <f t="shared" si="11"/>
        <v>365.00515329997506</v>
      </c>
      <c r="S44" s="16">
        <f t="shared" si="5"/>
        <v>0</v>
      </c>
      <c r="T44" s="32">
        <f t="shared" si="6"/>
        <v>0</v>
      </c>
      <c r="U44" s="31">
        <f t="shared" si="7"/>
        <v>0</v>
      </c>
      <c r="V44" s="16">
        <f t="shared" si="8"/>
        <v>6.0000000000000081E-2</v>
      </c>
      <c r="W44" s="32">
        <f t="shared" si="9"/>
        <v>6.0000000000000175E-3</v>
      </c>
      <c r="AM44" s="13" t="s">
        <v>45</v>
      </c>
      <c r="AN44" s="13">
        <v>8</v>
      </c>
      <c r="AO44" s="13">
        <f t="shared" si="16"/>
        <v>5</v>
      </c>
      <c r="AP44" s="13">
        <f t="shared" si="12"/>
        <v>0.41666666666666669</v>
      </c>
    </row>
    <row r="45" spans="2:42" s="13" customFormat="1" outlineLevel="1" x14ac:dyDescent="0.25">
      <c r="B45" s="33" t="s">
        <v>32</v>
      </c>
      <c r="C45" s="35">
        <f>C44*0.6</f>
        <v>19043.747128694133</v>
      </c>
      <c r="D45" s="35">
        <f>C45*1.01</f>
        <v>19234.184599981076</v>
      </c>
      <c r="E45" s="35">
        <f>E44*0.6</f>
        <v>20186.371956415784</v>
      </c>
      <c r="F45" s="39">
        <f t="shared" si="0"/>
        <v>1142.6248277216509</v>
      </c>
      <c r="G45" s="61">
        <f t="shared" si="1"/>
        <v>6.0000000000000095E-2</v>
      </c>
      <c r="H45" s="35">
        <f>H44*0.6</f>
        <v>19043.747128694133</v>
      </c>
      <c r="I45" s="42">
        <f t="shared" si="10"/>
        <v>0</v>
      </c>
      <c r="J45" s="67"/>
      <c r="K45" s="67"/>
      <c r="L45" s="35">
        <f>L44*0.6</f>
        <v>19329.403335624542</v>
      </c>
      <c r="M45" s="42">
        <f t="shared" si="2"/>
        <v>285.6562069304091</v>
      </c>
      <c r="N45" s="35">
        <f>N44*0.6</f>
        <v>19491.275186218449</v>
      </c>
      <c r="O45" s="42">
        <f t="shared" si="3"/>
        <v>447.52805752431595</v>
      </c>
      <c r="P45" s="35">
        <f>P44*0.6</f>
        <v>19234.184599981072</v>
      </c>
      <c r="Q45" s="42">
        <f t="shared" si="4"/>
        <v>190.4374712869394</v>
      </c>
      <c r="R45" s="42">
        <f t="shared" si="11"/>
        <v>219.00309197998649</v>
      </c>
      <c r="S45" s="19">
        <f t="shared" si="5"/>
        <v>0</v>
      </c>
      <c r="T45" s="45">
        <f t="shared" si="6"/>
        <v>0</v>
      </c>
      <c r="U45" s="46">
        <f t="shared" si="7"/>
        <v>0</v>
      </c>
      <c r="V45" s="19">
        <f t="shared" si="8"/>
        <v>6.0000000000000157E-2</v>
      </c>
      <c r="W45" s="45">
        <f t="shared" si="9"/>
        <v>3.6000000000000151E-3</v>
      </c>
      <c r="AM45" s="13" t="s">
        <v>46</v>
      </c>
      <c r="AN45" s="13">
        <v>9</v>
      </c>
      <c r="AO45" s="13">
        <f t="shared" si="16"/>
        <v>4</v>
      </c>
      <c r="AP45" s="13">
        <f t="shared" si="12"/>
        <v>0.33333333333333331</v>
      </c>
    </row>
    <row r="46" spans="2:42" s="13" customFormat="1" outlineLevel="1" x14ac:dyDescent="0.25">
      <c r="B46" s="33" t="s">
        <v>33</v>
      </c>
      <c r="C46" s="35">
        <f>C44*0.4</f>
        <v>12695.831419129423</v>
      </c>
      <c r="D46" s="35">
        <f>C46*1.08</f>
        <v>13711.497932659779</v>
      </c>
      <c r="E46" s="35">
        <f>E44*0.4</f>
        <v>13457.58130427719</v>
      </c>
      <c r="F46" s="39">
        <f t="shared" si="0"/>
        <v>761.74988514776669</v>
      </c>
      <c r="G46" s="61">
        <f t="shared" si="1"/>
        <v>4.0000000000000063E-2</v>
      </c>
      <c r="H46" s="35">
        <f>H44*0.4</f>
        <v>12695.831419129423</v>
      </c>
      <c r="I46" s="42">
        <f t="shared" si="10"/>
        <v>0</v>
      </c>
      <c r="J46" s="67"/>
      <c r="K46" s="67"/>
      <c r="L46" s="35">
        <f>L44*0.4</f>
        <v>12886.268890416362</v>
      </c>
      <c r="M46" s="42">
        <f t="shared" si="2"/>
        <v>190.4374712869394</v>
      </c>
      <c r="N46" s="35">
        <f>N44*0.4</f>
        <v>12994.183457478966</v>
      </c>
      <c r="O46" s="42">
        <f t="shared" si="3"/>
        <v>298.35203834954336</v>
      </c>
      <c r="P46" s="35">
        <f>P44*0.4</f>
        <v>12822.789733320717</v>
      </c>
      <c r="Q46" s="42">
        <f t="shared" si="4"/>
        <v>126.95831419129354</v>
      </c>
      <c r="R46" s="42">
        <f t="shared" si="11"/>
        <v>146.00206131999039</v>
      </c>
      <c r="S46" s="19">
        <f t="shared" si="5"/>
        <v>0</v>
      </c>
      <c r="T46" s="45">
        <f t="shared" si="6"/>
        <v>0</v>
      </c>
      <c r="U46" s="46">
        <f t="shared" si="7"/>
        <v>0</v>
      </c>
      <c r="V46" s="19">
        <f t="shared" si="8"/>
        <v>6.0000000000000102E-2</v>
      </c>
      <c r="W46" s="45">
        <f t="shared" si="9"/>
        <v>2.400000000000008E-3</v>
      </c>
      <c r="AM46" s="13" t="s">
        <v>47</v>
      </c>
      <c r="AN46" s="13">
        <v>10</v>
      </c>
      <c r="AO46" s="13">
        <f t="shared" si="16"/>
        <v>3</v>
      </c>
      <c r="AP46" s="13">
        <f t="shared" si="12"/>
        <v>0.25</v>
      </c>
    </row>
    <row r="47" spans="2:42" outlineLevel="1" x14ac:dyDescent="0.25">
      <c r="B47" s="33" t="s">
        <v>83</v>
      </c>
      <c r="C47" s="35">
        <v>0</v>
      </c>
      <c r="D47" s="35">
        <v>0</v>
      </c>
      <c r="E47" s="35">
        <v>0</v>
      </c>
      <c r="F47" s="39"/>
      <c r="G47" s="61">
        <f t="shared" si="1"/>
        <v>0</v>
      </c>
      <c r="H47" s="35">
        <v>0</v>
      </c>
      <c r="I47" s="42">
        <f t="shared" si="10"/>
        <v>0</v>
      </c>
      <c r="J47" s="67"/>
      <c r="K47" s="67"/>
      <c r="L47" s="35">
        <v>0</v>
      </c>
      <c r="M47" s="42">
        <f t="shared" si="2"/>
        <v>0</v>
      </c>
      <c r="N47" s="35">
        <v>0</v>
      </c>
      <c r="O47" s="42">
        <f t="shared" si="3"/>
        <v>0</v>
      </c>
      <c r="P47" s="35">
        <v>0</v>
      </c>
      <c r="Q47" s="42">
        <f t="shared" si="4"/>
        <v>0</v>
      </c>
      <c r="R47" s="42">
        <f t="shared" si="11"/>
        <v>0</v>
      </c>
      <c r="S47" s="19">
        <f t="shared" si="5"/>
        <v>0</v>
      </c>
      <c r="T47" s="45">
        <f t="shared" si="6"/>
        <v>0</v>
      </c>
      <c r="U47" s="46">
        <f t="shared" si="7"/>
        <v>0</v>
      </c>
      <c r="V47" s="19">
        <f t="shared" si="8"/>
        <v>0</v>
      </c>
      <c r="W47" s="45">
        <f t="shared" si="9"/>
        <v>0</v>
      </c>
      <c r="X47" s="13"/>
    </row>
    <row r="48" spans="2:42" s="13" customFormat="1" outlineLevel="1" x14ac:dyDescent="0.25">
      <c r="B48" s="18" t="s">
        <v>36</v>
      </c>
      <c r="C48" s="49">
        <v>6347.9157095647106</v>
      </c>
      <c r="D48" s="49">
        <f>C48*1.05</f>
        <v>6665.3114950429463</v>
      </c>
      <c r="E48" s="49">
        <v>6474.874023756005</v>
      </c>
      <c r="F48" s="50">
        <f>E48-C48</f>
        <v>126.95831419129445</v>
      </c>
      <c r="G48" s="58">
        <f t="shared" si="1"/>
        <v>2.0000000000000032E-2</v>
      </c>
      <c r="H48" s="49">
        <f>C48</f>
        <v>6347.9157095647106</v>
      </c>
      <c r="I48" s="52">
        <f t="shared" si="10"/>
        <v>0</v>
      </c>
      <c r="J48" s="68"/>
      <c r="K48" s="68"/>
      <c r="L48" s="49">
        <f>C48*1.015</f>
        <v>6443.1344452081803</v>
      </c>
      <c r="M48" s="52">
        <f t="shared" si="2"/>
        <v>95.218735643469699</v>
      </c>
      <c r="N48" s="49">
        <f>C48</f>
        <v>6347.9157095647106</v>
      </c>
      <c r="O48" s="52">
        <f t="shared" si="3"/>
        <v>0</v>
      </c>
      <c r="P48" s="49">
        <f>C48*1.02</f>
        <v>6474.874023756005</v>
      </c>
      <c r="Q48" s="52">
        <f t="shared" si="4"/>
        <v>126.95831419129445</v>
      </c>
      <c r="R48" s="52">
        <f t="shared" si="11"/>
        <v>-95.218735643469699</v>
      </c>
      <c r="S48" s="15">
        <f t="shared" si="5"/>
        <v>0</v>
      </c>
      <c r="T48" s="47">
        <f t="shared" si="6"/>
        <v>0</v>
      </c>
      <c r="U48" s="48">
        <f t="shared" si="7"/>
        <v>0</v>
      </c>
      <c r="V48" s="15">
        <f t="shared" si="8"/>
        <v>2.0000000000000039E-2</v>
      </c>
      <c r="W48" s="47">
        <f t="shared" si="9"/>
        <v>4.0000000000000143E-4</v>
      </c>
      <c r="AM48" s="13" t="s">
        <v>48</v>
      </c>
      <c r="AN48" s="13">
        <v>11</v>
      </c>
      <c r="AO48" s="13">
        <f t="shared" si="16"/>
        <v>2</v>
      </c>
      <c r="AP48" s="13">
        <f t="shared" si="12"/>
        <v>0.16666666666666666</v>
      </c>
    </row>
    <row r="49" spans="2:42" outlineLevel="1" x14ac:dyDescent="0.25">
      <c r="B49" s="7" t="s">
        <v>21</v>
      </c>
      <c r="C49" s="36">
        <f>SUM(C35,C36,C37,C38,C44,C48)</f>
        <v>317395.78547823505</v>
      </c>
      <c r="D49" s="36">
        <f>SUM(D35,D36,D37,D38,D44,D48)</f>
        <v>319675.67334368668</v>
      </c>
      <c r="E49" s="36">
        <f>SUM(E35,E36,E37,E38,E44,E48)</f>
        <v>336817.39666431607</v>
      </c>
      <c r="F49" s="36">
        <f>E49-C49</f>
        <v>19421.61118608102</v>
      </c>
      <c r="G49" s="53">
        <f>SUM(G48,G44,G38,G37,G36,G35)</f>
        <v>1.0000000000000002</v>
      </c>
      <c r="H49" s="36">
        <f>SUM(H35:H48)-H38-H44</f>
        <v>322231.26269336668</v>
      </c>
      <c r="I49" s="36">
        <f>SUM(I35,I36,I37,I38,I44,I48)</f>
        <v>4835.4772151316283</v>
      </c>
      <c r="J49" s="36">
        <f>SUM(J39:J43)</f>
        <v>1934.1908860526562</v>
      </c>
      <c r="K49" s="36">
        <f>SUM(K39:K43)</f>
        <v>2901.2863290789833</v>
      </c>
      <c r="L49" s="36">
        <f>SUM(L35:L48)-L38-L44</f>
        <v>322751.9363363437</v>
      </c>
      <c r="M49" s="36">
        <f>SUM(M35,M36,M37,M38,M44,M48)</f>
        <v>5356.1508581085727</v>
      </c>
      <c r="N49" s="36">
        <f>SUM(N35:N48)-N38-N44</f>
        <v>322248.52670556016</v>
      </c>
      <c r="O49" s="36">
        <f>SUM(O35,O36,O37,O38,O44,O48)</f>
        <v>4852.7412273250957</v>
      </c>
      <c r="P49" s="36">
        <f>SUM(P35:P48)-P38-P44</f>
        <v>318682.46345267375</v>
      </c>
      <c r="Q49" s="36">
        <f>SUM(Q35,Q36,Q37,Q38,Q44,Q48)</f>
        <v>1286.6779744386649</v>
      </c>
      <c r="R49" s="36">
        <f>SUM(R35,R36,R37,R38,R44,R48)</f>
        <v>3090.563911076948</v>
      </c>
      <c r="S49" s="56">
        <f t="shared" si="5"/>
        <v>1.5234850103147365E-2</v>
      </c>
      <c r="T49" s="59">
        <f t="shared" si="6"/>
        <v>2.0313133470863155E-2</v>
      </c>
      <c r="U49" s="10">
        <f>SUM(U35:U38,U44,U48)</f>
        <v>1.5234850103147367E-2</v>
      </c>
      <c r="V49" s="14">
        <f t="shared" si="8"/>
        <v>6.1190513783343316E-2</v>
      </c>
      <c r="W49" s="9">
        <f>SUM(W35:W38,W44,W48)</f>
        <v>6.1190513783342969E-2</v>
      </c>
      <c r="AM49" s="7" t="s">
        <v>49</v>
      </c>
      <c r="AN49" s="7">
        <v>12</v>
      </c>
      <c r="AO49" s="13">
        <f t="shared" si="16"/>
        <v>1</v>
      </c>
      <c r="AP49" s="13">
        <f t="shared" si="12"/>
        <v>8.3333333333333329E-2</v>
      </c>
    </row>
    <row r="50" spans="2:42" outlineLevel="1" x14ac:dyDescent="0.25">
      <c r="C50" s="37"/>
      <c r="D50" s="37"/>
      <c r="E50" s="37"/>
      <c r="F50" s="63"/>
      <c r="H50" s="8"/>
      <c r="I50" s="8"/>
      <c r="J50" s="8"/>
      <c r="K50" s="8"/>
      <c r="L50" s="8"/>
      <c r="M50" s="8"/>
      <c r="N50" s="8"/>
      <c r="O50" s="8"/>
      <c r="P50" s="8"/>
      <c r="Q50" s="8"/>
      <c r="R50" s="63"/>
      <c r="S50" s="8"/>
      <c r="T50" s="8"/>
      <c r="U50" s="8"/>
      <c r="V50" s="8"/>
      <c r="W50" s="8"/>
    </row>
    <row r="51" spans="2:42" ht="63" customHeight="1" outlineLevel="1" x14ac:dyDescent="0.25">
      <c r="B51" s="22" t="s">
        <v>22</v>
      </c>
      <c r="C51" s="21" t="str">
        <f>C34</f>
        <v>NPR FY24
Budget</v>
      </c>
      <c r="D51" s="21" t="str">
        <f t="shared" ref="D51:W51" si="17">D34</f>
        <v>NPR FY24
Proj.</v>
      </c>
      <c r="E51" s="21" t="str">
        <f t="shared" si="17"/>
        <v>NPR FY25
Budget</v>
      </c>
      <c r="F51" s="21" t="str">
        <f t="shared" si="17"/>
        <v>NPR YOY 
(Budget to Budget)</v>
      </c>
      <c r="G51" s="21" t="str">
        <f t="shared" si="17"/>
        <v>W</v>
      </c>
      <c r="H51" s="21" t="str">
        <f t="shared" si="17"/>
        <v>NPR FY24 @FY25 Comm. Prices</v>
      </c>
      <c r="I51" s="21" t="str">
        <f t="shared" si="17"/>
        <v>NPR FY25 due to Comm. Price</v>
      </c>
      <c r="J51" s="21" t="str">
        <f t="shared" si="17"/>
        <v>NPR FY25 due to Comm. Price
(FY24 Proj. to FY24 Budget)</v>
      </c>
      <c r="K51" s="21" t="str">
        <f t="shared" si="17"/>
        <v>NPR FY25 due to Comm. Price
(FY25 Budget to FY24 Proj.)</v>
      </c>
      <c r="L51" s="21" t="str">
        <f t="shared" si="17"/>
        <v>NPR FY24 @FY25 Utiliz.</v>
      </c>
      <c r="M51" s="21" t="str">
        <f t="shared" si="17"/>
        <v>NPR FY25 due to Utiliz.</v>
      </c>
      <c r="N51" s="21" t="str">
        <f t="shared" si="17"/>
        <v>NPR FY24 @FY25 Public Payer Prices</v>
      </c>
      <c r="O51" s="21" t="str">
        <f t="shared" si="17"/>
        <v>NPR FY25 due to Public Payer Prices</v>
      </c>
      <c r="P51" s="21" t="str">
        <f t="shared" si="17"/>
        <v>NPR FY24 @FY25 Payer Mix</v>
      </c>
      <c r="Q51" s="21" t="str">
        <f t="shared" si="17"/>
        <v>NPR FY25 due to Payer Mix</v>
      </c>
      <c r="R51" s="21" t="str">
        <f t="shared" si="17"/>
        <v>NPR FY25 due to all other</v>
      </c>
      <c r="S51" s="21" t="str">
        <f t="shared" si="17"/>
        <v>FY25
Comm Rate NPR Impact</v>
      </c>
      <c r="T51" s="20" t="str">
        <f t="shared" si="17"/>
        <v>FY25
Estimated AnnualizedComm Rate</v>
      </c>
      <c r="U51" s="20" t="str">
        <f t="shared" si="17"/>
        <v>FY25 Comm Rate (WAvg)</v>
      </c>
      <c r="V51" s="21" t="str">
        <f t="shared" si="17"/>
        <v>FY25 NPR Growth</v>
      </c>
      <c r="W51" s="20" t="str">
        <f t="shared" si="17"/>
        <v>FY25 NPR Growth
(WAvg)</v>
      </c>
    </row>
    <row r="52" spans="2:42" outlineLevel="1" x14ac:dyDescent="0.25">
      <c r="B52" s="44" t="str">
        <f t="shared" ref="B52:B63" si="18">B35</f>
        <v>Medicaid</v>
      </c>
      <c r="C52" s="34">
        <v>44172.193115452756</v>
      </c>
      <c r="D52" s="34">
        <f>C52*1.01</f>
        <v>44613.915046607282</v>
      </c>
      <c r="E52" s="34">
        <v>45939.08084007087</v>
      </c>
      <c r="F52" s="38">
        <f t="shared" ref="F52:F63" si="19">E52-C52</f>
        <v>1766.8877246181146</v>
      </c>
      <c r="G52" s="17">
        <f t="shared" ref="G52:G65" si="20">IFERROR(C52/C$66,"")</f>
        <v>9.154436116855319E-2</v>
      </c>
      <c r="H52" s="34">
        <f>C52</f>
        <v>44172.193115452756</v>
      </c>
      <c r="I52" s="41">
        <f>H52-C52</f>
        <v>0</v>
      </c>
      <c r="J52" s="40"/>
      <c r="K52" s="40"/>
      <c r="L52" s="40">
        <f>C52*1.02</f>
        <v>45055.636977761809</v>
      </c>
      <c r="M52" s="41">
        <f t="shared" ref="M52:M65" si="21">L52-C52</f>
        <v>883.44386230905366</v>
      </c>
      <c r="N52" s="40">
        <f>D52*1.02</f>
        <v>45506.193347539425</v>
      </c>
      <c r="O52" s="41">
        <f t="shared" ref="O52:O65" si="22">N52-C52</f>
        <v>1334.0002320866697</v>
      </c>
      <c r="P52" s="40">
        <f>C52*1.0005</f>
        <v>44194.279212010479</v>
      </c>
      <c r="Q52" s="41">
        <f t="shared" ref="Q52:Q65" si="23">P52-C52</f>
        <v>22.086096557723067</v>
      </c>
      <c r="R52" s="41">
        <f>F52-Q52-O52-M52-I52</f>
        <v>-472.64246633533185</v>
      </c>
      <c r="S52" s="16">
        <f t="shared" ref="S52:S66" si="24">IFERROR(I52/C52,0%)</f>
        <v>0</v>
      </c>
      <c r="T52" s="32">
        <f t="shared" ref="T52:T66" si="25">S52/E$32</f>
        <v>0</v>
      </c>
      <c r="U52" s="31">
        <f t="shared" ref="U52:U65" si="26">IFERROR(S52*G52,0%)</f>
        <v>0</v>
      </c>
      <c r="V52" s="16">
        <f t="shared" ref="V52:V66" si="27">IFERROR((E52-C52)/C52,0%)</f>
        <v>4.0000000000000098E-2</v>
      </c>
      <c r="W52" s="32">
        <f t="shared" ref="W52:W65" si="28">IFERROR(V52*G52,0%)</f>
        <v>3.6617744467421364E-3</v>
      </c>
    </row>
    <row r="53" spans="2:42" outlineLevel="1" x14ac:dyDescent="0.25">
      <c r="B53" s="44" t="str">
        <f t="shared" si="18"/>
        <v>Medicare - Traditional</v>
      </c>
      <c r="C53" s="34">
        <f>209750.259341755-C54</f>
        <v>169750.25934175501</v>
      </c>
      <c r="D53" s="34">
        <f>C53*0.987</f>
        <v>167543.5059703122</v>
      </c>
      <c r="E53" s="34">
        <f>222335.27490226-E54</f>
        <v>180335.27490225999</v>
      </c>
      <c r="F53" s="38">
        <f t="shared" si="19"/>
        <v>10585.01556050498</v>
      </c>
      <c r="G53" s="17">
        <f t="shared" si="20"/>
        <v>0.35179777035342502</v>
      </c>
      <c r="H53" s="40">
        <f>C53</f>
        <v>169750.25934175501</v>
      </c>
      <c r="I53" s="41">
        <f t="shared" ref="I53:I65" si="29">H53-C53</f>
        <v>0</v>
      </c>
      <c r="J53" s="40"/>
      <c r="K53" s="40"/>
      <c r="L53" s="40">
        <f>C53*1.001</f>
        <v>169920.00960109674</v>
      </c>
      <c r="M53" s="41">
        <f t="shared" si="21"/>
        <v>169.75025934173027</v>
      </c>
      <c r="N53" s="40">
        <f>D53*1.055</f>
        <v>176758.39879867935</v>
      </c>
      <c r="O53" s="41">
        <f t="shared" si="22"/>
        <v>7008.1394569243421</v>
      </c>
      <c r="P53" s="40">
        <f>C53*1.0005</f>
        <v>169835.13447142587</v>
      </c>
      <c r="Q53" s="41">
        <f t="shared" si="23"/>
        <v>84.875129670865135</v>
      </c>
      <c r="R53" s="41">
        <f t="shared" ref="R53:R65" si="30">F53-Q53-O53-M53-I53</f>
        <v>3322.2507145680429</v>
      </c>
      <c r="S53" s="16">
        <f t="shared" si="24"/>
        <v>0</v>
      </c>
      <c r="T53" s="32">
        <f t="shared" si="25"/>
        <v>0</v>
      </c>
      <c r="U53" s="31">
        <f t="shared" si="26"/>
        <v>0</v>
      </c>
      <c r="V53" s="16">
        <f t="shared" si="27"/>
        <v>6.2356402880035473E-2</v>
      </c>
      <c r="W53" s="32">
        <f t="shared" si="28"/>
        <v>2.1936843500456368E-2</v>
      </c>
    </row>
    <row r="54" spans="2:42" outlineLevel="1" x14ac:dyDescent="0.25">
      <c r="B54" s="44" t="str">
        <f t="shared" si="18"/>
        <v>Medicare - Advantage</v>
      </c>
      <c r="C54" s="34">
        <v>40000</v>
      </c>
      <c r="D54" s="34">
        <f>C54*1.05</f>
        <v>42000</v>
      </c>
      <c r="E54" s="34">
        <v>42000</v>
      </c>
      <c r="F54" s="38">
        <f t="shared" si="19"/>
        <v>2000</v>
      </c>
      <c r="G54" s="17">
        <f t="shared" si="20"/>
        <v>8.2897727925153195E-2</v>
      </c>
      <c r="H54" s="40">
        <f>C54</f>
        <v>40000</v>
      </c>
      <c r="I54" s="41">
        <f t="shared" si="29"/>
        <v>0</v>
      </c>
      <c r="J54" s="40"/>
      <c r="K54" s="40"/>
      <c r="L54" s="40">
        <f>C54*1.01</f>
        <v>40400</v>
      </c>
      <c r="M54" s="41">
        <f t="shared" si="21"/>
        <v>400</v>
      </c>
      <c r="N54" s="40">
        <f>D54*1.02</f>
        <v>42840</v>
      </c>
      <c r="O54" s="41">
        <f t="shared" si="22"/>
        <v>2840</v>
      </c>
      <c r="P54" s="40">
        <f>C54*1.0005</f>
        <v>40020</v>
      </c>
      <c r="Q54" s="41">
        <f t="shared" si="23"/>
        <v>20</v>
      </c>
      <c r="R54" s="41">
        <f t="shared" si="30"/>
        <v>-1260</v>
      </c>
      <c r="S54" s="16">
        <f t="shared" si="24"/>
        <v>0</v>
      </c>
      <c r="T54" s="32">
        <f t="shared" si="25"/>
        <v>0</v>
      </c>
      <c r="U54" s="31">
        <f t="shared" si="26"/>
        <v>0</v>
      </c>
      <c r="V54" s="16">
        <f t="shared" si="27"/>
        <v>0.05</v>
      </c>
      <c r="W54" s="32">
        <f t="shared" si="28"/>
        <v>4.1448863962576599E-3</v>
      </c>
    </row>
    <row r="55" spans="2:42" outlineLevel="1" x14ac:dyDescent="0.25">
      <c r="B55" s="44" t="str">
        <f t="shared" si="18"/>
        <v>Commercial</v>
      </c>
      <c r="C55" s="34">
        <f>SUM(C56:C60)</f>
        <v>170697.14666837285</v>
      </c>
      <c r="D55" s="34">
        <f>SUM(D56:D60)</f>
        <v>172549.21070972472</v>
      </c>
      <c r="E55" s="34">
        <f>SUM(E56:E60)</f>
        <v>180256.18688180175</v>
      </c>
      <c r="F55" s="38">
        <f t="shared" si="19"/>
        <v>9559.0402134289034</v>
      </c>
      <c r="G55" s="17">
        <f t="shared" si="20"/>
        <v>0.35376014055286858</v>
      </c>
      <c r="H55" s="40">
        <f>SUM(H56:H60)</f>
        <v>181856.47263181774</v>
      </c>
      <c r="I55" s="41">
        <f t="shared" si="29"/>
        <v>11159.325963444891</v>
      </c>
      <c r="J55" s="40">
        <f>I55*0.4</f>
        <v>4463.7303853779567</v>
      </c>
      <c r="K55" s="40">
        <f>I55*0.6</f>
        <v>6695.5955780669346</v>
      </c>
      <c r="L55" s="40">
        <f>SUM(L56:L60)</f>
        <v>178549.21541511806</v>
      </c>
      <c r="M55" s="41">
        <f t="shared" si="21"/>
        <v>7852.068746745208</v>
      </c>
      <c r="N55" s="40">
        <f>SUM(N56:N60)</f>
        <v>172549.21070972472</v>
      </c>
      <c r="O55" s="41">
        <f t="shared" si="22"/>
        <v>1852.0640413518704</v>
      </c>
      <c r="P55" s="40">
        <f>SUM(P56:P60)</f>
        <v>172404.1181350566</v>
      </c>
      <c r="Q55" s="41">
        <f t="shared" si="23"/>
        <v>1706.9714666837535</v>
      </c>
      <c r="R55" s="41">
        <f t="shared" si="30"/>
        <v>-13011.39000479682</v>
      </c>
      <c r="S55" s="16">
        <f t="shared" si="24"/>
        <v>6.53750000000001E-2</v>
      </c>
      <c r="T55" s="32">
        <f t="shared" si="25"/>
        <v>8.7166666666666795E-2</v>
      </c>
      <c r="U55" s="31">
        <f t="shared" si="26"/>
        <v>2.3127069188643819E-2</v>
      </c>
      <c r="V55" s="16">
        <f t="shared" si="27"/>
        <v>5.600000000000014E-2</v>
      </c>
      <c r="W55" s="32">
        <f t="shared" si="28"/>
        <v>1.981056787096069E-2</v>
      </c>
    </row>
    <row r="56" spans="2:42" outlineLevel="1" x14ac:dyDescent="0.25">
      <c r="B56" s="33" t="str">
        <f t="shared" si="18"/>
        <v>Major Payer #1</v>
      </c>
      <c r="C56" s="35">
        <v>102418.28800102371</v>
      </c>
      <c r="D56" s="35">
        <f>C56*0.991</f>
        <v>101496.52340901449</v>
      </c>
      <c r="E56" s="35">
        <v>109587.56816109538</v>
      </c>
      <c r="F56" s="39">
        <f t="shared" si="19"/>
        <v>7169.280160071663</v>
      </c>
      <c r="G56" s="61">
        <f t="shared" si="20"/>
        <v>0.21225608433172116</v>
      </c>
      <c r="H56" s="35">
        <f>C56*1.08</f>
        <v>110611.75104110561</v>
      </c>
      <c r="I56" s="42">
        <f t="shared" si="29"/>
        <v>8193.4630400819005</v>
      </c>
      <c r="J56" s="67">
        <f t="shared" ref="J56:J60" si="31">I56*0.4</f>
        <v>3277.3852160327606</v>
      </c>
      <c r="K56" s="67">
        <f t="shared" ref="K56:K60" si="32">I56*0.6</f>
        <v>4916.07782404914</v>
      </c>
      <c r="L56" s="35">
        <f>C56*1.07</f>
        <v>109587.56816109538</v>
      </c>
      <c r="M56" s="42">
        <f t="shared" si="21"/>
        <v>7169.280160071663</v>
      </c>
      <c r="N56" s="35">
        <f>D56</f>
        <v>101496.52340901449</v>
      </c>
      <c r="O56" s="41">
        <f t="shared" si="22"/>
        <v>-921.76459200921818</v>
      </c>
      <c r="P56" s="35">
        <f t="shared" ref="P56:P61" si="33">C56*1.01</f>
        <v>103442.47088103395</v>
      </c>
      <c r="Q56" s="42">
        <f t="shared" si="23"/>
        <v>1024.1828800102376</v>
      </c>
      <c r="R56" s="42">
        <f t="shared" si="30"/>
        <v>-8295.8813280829199</v>
      </c>
      <c r="S56" s="19">
        <f t="shared" si="24"/>
        <v>8.0000000000000029E-2</v>
      </c>
      <c r="T56" s="45">
        <f t="shared" si="25"/>
        <v>0.1066666666666667</v>
      </c>
      <c r="U56" s="46">
        <f t="shared" si="26"/>
        <v>1.6980486746537699E-2</v>
      </c>
      <c r="V56" s="19">
        <f t="shared" si="27"/>
        <v>7.0000000000000034E-2</v>
      </c>
      <c r="W56" s="45">
        <f t="shared" si="28"/>
        <v>1.4857925903220489E-2</v>
      </c>
    </row>
    <row r="57" spans="2:42" outlineLevel="1" x14ac:dyDescent="0.25">
      <c r="B57" s="33" t="str">
        <f t="shared" si="18"/>
        <v>Major Payer #2</v>
      </c>
      <c r="C57" s="35">
        <v>34139.429333674569</v>
      </c>
      <c r="D57" s="35">
        <f>C57*1.033</f>
        <v>35266.030501685826</v>
      </c>
      <c r="E57" s="35">
        <v>35163.612213684806</v>
      </c>
      <c r="F57" s="39">
        <f t="shared" si="19"/>
        <v>1024.1828800102376</v>
      </c>
      <c r="G57" s="61">
        <f t="shared" si="20"/>
        <v>7.0752028110573711E-2</v>
      </c>
      <c r="H57" s="35">
        <f>C57*1.045</f>
        <v>35675.703653689925</v>
      </c>
      <c r="I57" s="42">
        <f t="shared" si="29"/>
        <v>1536.2743200153564</v>
      </c>
      <c r="J57" s="67">
        <f t="shared" si="31"/>
        <v>614.50972800614261</v>
      </c>
      <c r="K57" s="67">
        <f t="shared" si="32"/>
        <v>921.76459200921374</v>
      </c>
      <c r="L57" s="35">
        <f>C57*1.01</f>
        <v>34480.823627011312</v>
      </c>
      <c r="M57" s="42">
        <f t="shared" si="21"/>
        <v>341.39429333674343</v>
      </c>
      <c r="N57" s="35">
        <f>D57</f>
        <v>35266.030501685826</v>
      </c>
      <c r="O57" s="41">
        <f t="shared" si="22"/>
        <v>1126.601168011257</v>
      </c>
      <c r="P57" s="35">
        <f t="shared" si="33"/>
        <v>34480.823627011312</v>
      </c>
      <c r="Q57" s="42">
        <f t="shared" si="23"/>
        <v>341.39429333674343</v>
      </c>
      <c r="R57" s="42">
        <f t="shared" si="30"/>
        <v>-2321.4811946898626</v>
      </c>
      <c r="S57" s="19">
        <f t="shared" si="24"/>
        <v>4.5000000000000019E-2</v>
      </c>
      <c r="T57" s="45">
        <f t="shared" si="25"/>
        <v>6.0000000000000026E-2</v>
      </c>
      <c r="U57" s="46">
        <f t="shared" si="26"/>
        <v>3.1838412649758184E-3</v>
      </c>
      <c r="V57" s="19">
        <f t="shared" si="27"/>
        <v>3.0000000000000016E-2</v>
      </c>
      <c r="W57" s="45">
        <f t="shared" si="28"/>
        <v>2.1225608433172124E-3</v>
      </c>
    </row>
    <row r="58" spans="2:42" outlineLevel="1" x14ac:dyDescent="0.25">
      <c r="B58" s="33" t="str">
        <f t="shared" si="18"/>
        <v>Major Payer #3</v>
      </c>
      <c r="C58" s="35">
        <v>17069.714666837284</v>
      </c>
      <c r="D58" s="35">
        <f>C58*1.018</f>
        <v>17376.969530840357</v>
      </c>
      <c r="E58" s="35">
        <v>17581.806106842403</v>
      </c>
      <c r="F58" s="39">
        <f t="shared" si="19"/>
        <v>512.09144000511878</v>
      </c>
      <c r="G58" s="61">
        <f t="shared" si="20"/>
        <v>3.5376014055286856E-2</v>
      </c>
      <c r="H58" s="35">
        <f>C58*1.035</f>
        <v>17667.154680176587</v>
      </c>
      <c r="I58" s="42">
        <f t="shared" si="29"/>
        <v>597.44001333930282</v>
      </c>
      <c r="J58" s="67">
        <f t="shared" si="31"/>
        <v>238.97600533572114</v>
      </c>
      <c r="K58" s="67">
        <f t="shared" si="32"/>
        <v>358.46400800358168</v>
      </c>
      <c r="L58" s="35">
        <f>C58*1.01</f>
        <v>17240.411813505656</v>
      </c>
      <c r="M58" s="42">
        <f t="shared" si="21"/>
        <v>170.69714666837172</v>
      </c>
      <c r="N58" s="35">
        <f>D58</f>
        <v>17376.969530840357</v>
      </c>
      <c r="O58" s="41">
        <f t="shared" si="22"/>
        <v>307.25486400307273</v>
      </c>
      <c r="P58" s="35">
        <f t="shared" si="33"/>
        <v>17240.411813505656</v>
      </c>
      <c r="Q58" s="42">
        <f t="shared" si="23"/>
        <v>170.69714666837172</v>
      </c>
      <c r="R58" s="42">
        <f t="shared" si="30"/>
        <v>-733.99773067400019</v>
      </c>
      <c r="S58" s="19">
        <f t="shared" si="24"/>
        <v>3.4999999999999878E-2</v>
      </c>
      <c r="T58" s="45">
        <f t="shared" si="25"/>
        <v>4.6666666666666502E-2</v>
      </c>
      <c r="U58" s="46">
        <f t="shared" si="26"/>
        <v>1.2381604919350355E-3</v>
      </c>
      <c r="V58" s="19">
        <f t="shared" si="27"/>
        <v>3.0000000000000016E-2</v>
      </c>
      <c r="W58" s="45">
        <f t="shared" si="28"/>
        <v>1.0612804216586062E-3</v>
      </c>
    </row>
    <row r="59" spans="2:42" outlineLevel="1" x14ac:dyDescent="0.25">
      <c r="B59" s="33" t="str">
        <f t="shared" si="18"/>
        <v>Major Payer #4</v>
      </c>
      <c r="C59" s="35">
        <v>4267.4286667093211</v>
      </c>
      <c r="D59" s="35">
        <f>C59*1.014</f>
        <v>4327.1726680432512</v>
      </c>
      <c r="E59" s="35">
        <v>4608.8229600460672</v>
      </c>
      <c r="F59" s="39">
        <f t="shared" si="19"/>
        <v>341.39429333674616</v>
      </c>
      <c r="G59" s="61">
        <f t="shared" si="20"/>
        <v>8.8440035138217139E-3</v>
      </c>
      <c r="H59" s="35">
        <f>C59*1.051</f>
        <v>4485.0675287114964</v>
      </c>
      <c r="I59" s="42">
        <f t="shared" si="29"/>
        <v>217.6388620021753</v>
      </c>
      <c r="J59" s="67">
        <f t="shared" si="31"/>
        <v>87.055544800870123</v>
      </c>
      <c r="K59" s="67">
        <f t="shared" si="32"/>
        <v>130.58331720130516</v>
      </c>
      <c r="L59" s="35">
        <f>C59*1.01</f>
        <v>4310.102953376414</v>
      </c>
      <c r="M59" s="42">
        <f t="shared" si="21"/>
        <v>42.674286667092929</v>
      </c>
      <c r="N59" s="35">
        <f>D59</f>
        <v>4327.1726680432512</v>
      </c>
      <c r="O59" s="41">
        <f t="shared" si="22"/>
        <v>59.7440013339301</v>
      </c>
      <c r="P59" s="35">
        <f t="shared" si="33"/>
        <v>4310.102953376414</v>
      </c>
      <c r="Q59" s="42">
        <f t="shared" si="23"/>
        <v>42.674286667092929</v>
      </c>
      <c r="R59" s="42">
        <f t="shared" si="30"/>
        <v>-21.3371433335451</v>
      </c>
      <c r="S59" s="19">
        <f t="shared" si="24"/>
        <v>5.0999999999999983E-2</v>
      </c>
      <c r="T59" s="45">
        <f t="shared" si="25"/>
        <v>6.7999999999999977E-2</v>
      </c>
      <c r="U59" s="46">
        <f t="shared" si="26"/>
        <v>4.5104417920490726E-4</v>
      </c>
      <c r="V59" s="19">
        <f t="shared" si="27"/>
        <v>8.0000000000000113E-2</v>
      </c>
      <c r="W59" s="45">
        <f t="shared" si="28"/>
        <v>7.0752028110573808E-4</v>
      </c>
    </row>
    <row r="60" spans="2:42" outlineLevel="1" x14ac:dyDescent="0.25">
      <c r="B60" s="33" t="str">
        <f t="shared" si="18"/>
        <v>All other Commercial</v>
      </c>
      <c r="C60" s="35">
        <v>12802.286000127991</v>
      </c>
      <c r="D60" s="35">
        <f>C60*1.1</f>
        <v>14082.514600140792</v>
      </c>
      <c r="E60" s="35">
        <v>13314.377440133112</v>
      </c>
      <c r="F60" s="39">
        <f t="shared" si="19"/>
        <v>512.0914400051206</v>
      </c>
      <c r="G60" s="61">
        <f t="shared" si="20"/>
        <v>2.6532010541465201E-2</v>
      </c>
      <c r="H60" s="35">
        <f>C60*1.048</f>
        <v>13416.795728134135</v>
      </c>
      <c r="I60" s="42">
        <f t="shared" si="29"/>
        <v>614.50972800614363</v>
      </c>
      <c r="J60" s="67">
        <f t="shared" si="31"/>
        <v>245.80389120245746</v>
      </c>
      <c r="K60" s="67">
        <f t="shared" si="32"/>
        <v>368.70583680368617</v>
      </c>
      <c r="L60" s="35">
        <f>C60*1.01</f>
        <v>12930.308860129271</v>
      </c>
      <c r="M60" s="42">
        <f t="shared" si="21"/>
        <v>128.0228600012797</v>
      </c>
      <c r="N60" s="35">
        <f>D60</f>
        <v>14082.514600140792</v>
      </c>
      <c r="O60" s="41">
        <f t="shared" si="22"/>
        <v>1280.2286000128006</v>
      </c>
      <c r="P60" s="35">
        <f t="shared" si="33"/>
        <v>12930.308860129271</v>
      </c>
      <c r="Q60" s="42">
        <f t="shared" si="23"/>
        <v>128.0228600012797</v>
      </c>
      <c r="R60" s="42">
        <f t="shared" si="30"/>
        <v>-1638.692608016383</v>
      </c>
      <c r="S60" s="19">
        <f t="shared" si="24"/>
        <v>4.8000000000000001E-2</v>
      </c>
      <c r="T60" s="45">
        <f t="shared" si="25"/>
        <v>6.4000000000000001E-2</v>
      </c>
      <c r="U60" s="46">
        <f t="shared" si="26"/>
        <v>1.2735365059903297E-3</v>
      </c>
      <c r="V60" s="19">
        <f t="shared" si="27"/>
        <v>4.0000000000000077E-2</v>
      </c>
      <c r="W60" s="45">
        <f t="shared" si="28"/>
        <v>1.0612804216586101E-3</v>
      </c>
    </row>
    <row r="61" spans="2:42" outlineLevel="1" x14ac:dyDescent="0.25">
      <c r="B61" s="30" t="str">
        <f t="shared" si="18"/>
        <v>Fixed Prospective Payments</v>
      </c>
      <c r="C61" s="34">
        <v>48252.227173361389</v>
      </c>
      <c r="D61" s="34">
        <f>SUM(D62,D63,D64)</f>
        <v>49748.046215735594</v>
      </c>
      <c r="E61" s="34">
        <v>50182.316260295847</v>
      </c>
      <c r="F61" s="38">
        <f t="shared" si="19"/>
        <v>1930.0890869344585</v>
      </c>
      <c r="G61" s="17">
        <f t="shared" si="20"/>
        <v>9.9999999999999908E-2</v>
      </c>
      <c r="H61" s="34">
        <f>C61</f>
        <v>48252.227173361389</v>
      </c>
      <c r="I61" s="41">
        <f t="shared" si="29"/>
        <v>0</v>
      </c>
      <c r="J61" s="67"/>
      <c r="K61" s="67"/>
      <c r="L61" s="34">
        <f>C61*1.015</f>
        <v>48976.010580961803</v>
      </c>
      <c r="M61" s="41">
        <f t="shared" si="21"/>
        <v>723.78340760041465</v>
      </c>
      <c r="N61" s="35">
        <f>D61*1.0235</f>
        <v>50917.125301805383</v>
      </c>
      <c r="O61" s="41">
        <f t="shared" si="22"/>
        <v>2664.8981284439942</v>
      </c>
      <c r="P61" s="34">
        <f t="shared" si="33"/>
        <v>48734.749445095003</v>
      </c>
      <c r="Q61" s="41">
        <f t="shared" si="23"/>
        <v>482.52227173361462</v>
      </c>
      <c r="R61" s="41">
        <f t="shared" si="30"/>
        <v>-1941.114720843565</v>
      </c>
      <c r="S61" s="16">
        <f t="shared" si="24"/>
        <v>0</v>
      </c>
      <c r="T61" s="32">
        <f t="shared" si="25"/>
        <v>0</v>
      </c>
      <c r="U61" s="31">
        <f t="shared" si="26"/>
        <v>0</v>
      </c>
      <c r="V61" s="16">
        <f t="shared" si="27"/>
        <v>4.0000000000000063E-2</v>
      </c>
      <c r="W61" s="32">
        <f t="shared" si="28"/>
        <v>4.0000000000000027E-3</v>
      </c>
    </row>
    <row r="62" spans="2:42" outlineLevel="1" x14ac:dyDescent="0.25">
      <c r="B62" s="33" t="str">
        <f t="shared" si="18"/>
        <v>FPP - Medicare</v>
      </c>
      <c r="C62" s="35">
        <f>C61*0.7</f>
        <v>33776.559021352972</v>
      </c>
      <c r="D62" s="35">
        <f>C62*1.01</f>
        <v>34114.324611566502</v>
      </c>
      <c r="E62" s="35">
        <f>E61*0.7</f>
        <v>35127.621382207093</v>
      </c>
      <c r="F62" s="39">
        <f t="shared" si="19"/>
        <v>1351.0623608541209</v>
      </c>
      <c r="G62" s="61">
        <f t="shared" si="20"/>
        <v>6.9999999999999937E-2</v>
      </c>
      <c r="H62" s="35">
        <f>H61*0.6</f>
        <v>28951.336304016833</v>
      </c>
      <c r="I62" s="42">
        <f t="shared" si="29"/>
        <v>-4825.2227173361389</v>
      </c>
      <c r="J62" s="67"/>
      <c r="K62" s="67"/>
      <c r="L62" s="35">
        <f>L61*0.6</f>
        <v>29385.606348577083</v>
      </c>
      <c r="M62" s="42">
        <f t="shared" si="21"/>
        <v>-4390.9526727758894</v>
      </c>
      <c r="N62" s="35">
        <f>N61*0.7</f>
        <v>35641.987711263762</v>
      </c>
      <c r="O62" s="42">
        <f t="shared" si="22"/>
        <v>1865.4286899107901</v>
      </c>
      <c r="P62" s="35">
        <f>P61*0.6</f>
        <v>29240.849667057002</v>
      </c>
      <c r="Q62" s="42">
        <f t="shared" si="23"/>
        <v>-4535.7093542959701</v>
      </c>
      <c r="R62" s="42">
        <f t="shared" si="30"/>
        <v>13237.518415351329</v>
      </c>
      <c r="S62" s="19">
        <f t="shared" si="24"/>
        <v>-0.14285714285714285</v>
      </c>
      <c r="T62" s="45">
        <f t="shared" si="25"/>
        <v>-0.19047619047619047</v>
      </c>
      <c r="U62" s="46">
        <f t="shared" si="26"/>
        <v>-9.9999999999999898E-3</v>
      </c>
      <c r="V62" s="19">
        <f t="shared" si="27"/>
        <v>4.0000000000000063E-2</v>
      </c>
      <c r="W62" s="45">
        <f t="shared" si="28"/>
        <v>2.8000000000000017E-3</v>
      </c>
    </row>
    <row r="63" spans="2:42" outlineLevel="1" x14ac:dyDescent="0.25">
      <c r="B63" s="33" t="str">
        <f t="shared" si="18"/>
        <v>FPP - Medicaid</v>
      </c>
      <c r="C63" s="35">
        <f>C61*0.3</f>
        <v>14475.668152008417</v>
      </c>
      <c r="D63" s="35">
        <f>C63*1.08</f>
        <v>15633.721604169092</v>
      </c>
      <c r="E63" s="35">
        <f>E61*0.3</f>
        <v>15054.694878088754</v>
      </c>
      <c r="F63" s="39">
        <f t="shared" si="19"/>
        <v>579.02672608033754</v>
      </c>
      <c r="G63" s="61">
        <f t="shared" si="20"/>
        <v>2.9999999999999971E-2</v>
      </c>
      <c r="H63" s="35">
        <f>H61*0.4</f>
        <v>19300.890869344556</v>
      </c>
      <c r="I63" s="42">
        <f t="shared" si="29"/>
        <v>4825.2227173361389</v>
      </c>
      <c r="J63" s="67"/>
      <c r="K63" s="67"/>
      <c r="L63" s="35">
        <f>L61*0.4</f>
        <v>19590.404232384721</v>
      </c>
      <c r="M63" s="42">
        <f t="shared" si="21"/>
        <v>5114.736080376304</v>
      </c>
      <c r="N63" s="35">
        <f>N61*0.3</f>
        <v>15275.137590541613</v>
      </c>
      <c r="O63" s="42">
        <f t="shared" si="22"/>
        <v>799.46943853319681</v>
      </c>
      <c r="P63" s="35">
        <f>P61*0.4</f>
        <v>19493.899778038001</v>
      </c>
      <c r="Q63" s="42">
        <f t="shared" si="23"/>
        <v>5018.2316260295847</v>
      </c>
      <c r="R63" s="42">
        <f t="shared" si="30"/>
        <v>-15178.633136194887</v>
      </c>
      <c r="S63" s="19">
        <f t="shared" si="24"/>
        <v>0.33333333333333331</v>
      </c>
      <c r="T63" s="45">
        <f t="shared" si="25"/>
        <v>0.44444444444444442</v>
      </c>
      <c r="U63" s="46">
        <f t="shared" si="26"/>
        <v>9.9999999999999898E-3</v>
      </c>
      <c r="V63" s="19">
        <f t="shared" si="27"/>
        <v>4.0000000000000063E-2</v>
      </c>
      <c r="W63" s="45">
        <f t="shared" si="28"/>
        <v>1.2000000000000008E-3</v>
      </c>
    </row>
    <row r="64" spans="2:42" outlineLevel="1" x14ac:dyDescent="0.25">
      <c r="B64" s="33" t="s">
        <v>83</v>
      </c>
      <c r="C64" s="35">
        <v>0</v>
      </c>
      <c r="D64" s="35">
        <v>0</v>
      </c>
      <c r="E64" s="35">
        <v>0</v>
      </c>
      <c r="F64" s="39"/>
      <c r="G64" s="61">
        <f t="shared" si="20"/>
        <v>0</v>
      </c>
      <c r="H64" s="35">
        <v>0</v>
      </c>
      <c r="I64" s="42">
        <f t="shared" si="29"/>
        <v>0</v>
      </c>
      <c r="J64" s="67"/>
      <c r="K64" s="67"/>
      <c r="L64" s="35">
        <v>0</v>
      </c>
      <c r="M64" s="42">
        <f t="shared" si="21"/>
        <v>0</v>
      </c>
      <c r="N64" s="35">
        <v>0</v>
      </c>
      <c r="O64" s="42">
        <f t="shared" si="22"/>
        <v>0</v>
      </c>
      <c r="P64" s="35">
        <v>0</v>
      </c>
      <c r="Q64" s="42">
        <f t="shared" si="23"/>
        <v>0</v>
      </c>
      <c r="R64" s="42">
        <f t="shared" si="30"/>
        <v>0</v>
      </c>
      <c r="S64" s="19">
        <f t="shared" si="24"/>
        <v>0</v>
      </c>
      <c r="T64" s="45">
        <f t="shared" si="25"/>
        <v>0</v>
      </c>
      <c r="U64" s="46">
        <f t="shared" si="26"/>
        <v>0</v>
      </c>
      <c r="V64" s="19">
        <f t="shared" si="27"/>
        <v>0</v>
      </c>
      <c r="W64" s="45">
        <f t="shared" si="28"/>
        <v>0</v>
      </c>
      <c r="X64" s="13"/>
    </row>
    <row r="65" spans="2:23" outlineLevel="1" x14ac:dyDescent="0.25">
      <c r="B65" s="18" t="str">
        <f t="shared" ref="B65" si="34">B48</f>
        <v>Other (Bad Debt, Free Care, DSH)</v>
      </c>
      <c r="C65" s="49">
        <v>9650.4454346722778</v>
      </c>
      <c r="D65" s="49">
        <f>C65*1.05</f>
        <v>10132.967706405892</v>
      </c>
      <c r="E65" s="49">
        <v>10036.463252059169</v>
      </c>
      <c r="F65" s="50">
        <f>E65-C65</f>
        <v>386.01781738689169</v>
      </c>
      <c r="G65" s="58">
        <f t="shared" si="20"/>
        <v>1.9999999999999983E-2</v>
      </c>
      <c r="H65" s="49">
        <f>C65</f>
        <v>9650.4454346722778</v>
      </c>
      <c r="I65" s="52">
        <f t="shared" si="29"/>
        <v>0</v>
      </c>
      <c r="J65" s="68"/>
      <c r="K65" s="68"/>
      <c r="L65" s="49">
        <f>C65*1.015</f>
        <v>9795.2021161923603</v>
      </c>
      <c r="M65" s="52">
        <f t="shared" si="21"/>
        <v>144.75668152008257</v>
      </c>
      <c r="N65" s="49">
        <f>D65</f>
        <v>10132.967706405892</v>
      </c>
      <c r="O65" s="52">
        <f t="shared" si="22"/>
        <v>482.52227173361462</v>
      </c>
      <c r="P65" s="49">
        <f>C65*1.02</f>
        <v>9843.4543433657236</v>
      </c>
      <c r="Q65" s="52">
        <f t="shared" si="23"/>
        <v>193.00890869344585</v>
      </c>
      <c r="R65" s="52">
        <f t="shared" si="30"/>
        <v>-434.27004456025134</v>
      </c>
      <c r="S65" s="15">
        <f t="shared" si="24"/>
        <v>0</v>
      </c>
      <c r="T65" s="47">
        <f t="shared" si="25"/>
        <v>0</v>
      </c>
      <c r="U65" s="48">
        <f t="shared" si="26"/>
        <v>0</v>
      </c>
      <c r="V65" s="15">
        <f t="shared" si="27"/>
        <v>4.0000000000000063E-2</v>
      </c>
      <c r="W65" s="47">
        <f t="shared" si="28"/>
        <v>8.0000000000000058E-4</v>
      </c>
    </row>
    <row r="66" spans="2:23" outlineLevel="1" x14ac:dyDescent="0.25">
      <c r="B66" s="7" t="s">
        <v>23</v>
      </c>
      <c r="C66" s="36">
        <f>SUM(C52,C53,C54,C55,C61,C65)</f>
        <v>482522.27173361433</v>
      </c>
      <c r="D66" s="36">
        <f>SUM(D52,D53,D54,D55,D61,D65)</f>
        <v>486587.64564878575</v>
      </c>
      <c r="E66" s="36">
        <f>SUM(E52,E53,E54,E55,E61,E65)</f>
        <v>508749.3221364877</v>
      </c>
      <c r="F66" s="36">
        <f>E66-C66</f>
        <v>26227.05040287337</v>
      </c>
      <c r="G66" s="53">
        <f>SUM(G65,G61,G55,G54,G53,G52)</f>
        <v>0.99999999999999978</v>
      </c>
      <c r="H66" s="36">
        <f>SUM(H52:H65)-H55-H61</f>
        <v>493681.59769705922</v>
      </c>
      <c r="I66" s="36">
        <f>SUM(I52,I53,I54,I55,I61,I65)</f>
        <v>11159.325963444891</v>
      </c>
      <c r="J66" s="36">
        <f>SUM(J56:J60)</f>
        <v>4463.7303853779522</v>
      </c>
      <c r="K66" s="36">
        <f>SUM(K56:K60)</f>
        <v>6695.5955780669265</v>
      </c>
      <c r="L66" s="36">
        <f>SUM(L52:L65)-L55-L61</f>
        <v>492696.07469113078</v>
      </c>
      <c r="M66" s="36">
        <f>SUM(M52,M53,M54,M55,M61,M65)</f>
        <v>10173.802957516489</v>
      </c>
      <c r="N66" s="36">
        <f>SUM(N52:N65)-N55-N61</f>
        <v>498703.89586415474</v>
      </c>
      <c r="O66" s="36">
        <f>SUM(O52,O53,O54,O55,O61,O65)</f>
        <v>16181.624130540491</v>
      </c>
      <c r="P66" s="36">
        <f>SUM(P52:P65)-P55-P61</f>
        <v>485031.73560695368</v>
      </c>
      <c r="Q66" s="36">
        <f>SUM(Q52,Q53,Q54,Q55,Q61,Q65)</f>
        <v>2509.4638733394022</v>
      </c>
      <c r="R66" s="36">
        <f>SUM(R52,R53,R54,R55,R61,R65)</f>
        <v>-13797.166521967925</v>
      </c>
      <c r="S66" s="56">
        <f t="shared" si="24"/>
        <v>2.3127069188643816E-2</v>
      </c>
      <c r="T66" s="59">
        <f t="shared" si="25"/>
        <v>3.0836092251525088E-2</v>
      </c>
      <c r="U66" s="10">
        <f>SUM(U52:U55,U61,U65)</f>
        <v>2.3127069188643819E-2</v>
      </c>
      <c r="V66" s="14">
        <f t="shared" si="27"/>
        <v>5.4354072214416904E-2</v>
      </c>
      <c r="W66" s="9">
        <f>SUM(W52:W55,W61,W65)</f>
        <v>5.4354072214416856E-2</v>
      </c>
    </row>
    <row r="67" spans="2:23" outlineLevel="1" x14ac:dyDescent="0.25">
      <c r="B67" s="13"/>
      <c r="C67" s="24"/>
      <c r="D67" s="24"/>
      <c r="E67" s="24"/>
      <c r="F67" s="24"/>
      <c r="G67" s="25"/>
      <c r="H67" s="24"/>
      <c r="I67" s="24"/>
      <c r="J67" s="24"/>
      <c r="K67" s="24"/>
      <c r="L67" s="24"/>
      <c r="M67" s="24"/>
      <c r="N67" s="24"/>
      <c r="O67" s="24"/>
      <c r="P67" s="24"/>
      <c r="Q67" s="24"/>
      <c r="R67" s="24"/>
      <c r="S67" s="23"/>
      <c r="T67" s="10"/>
      <c r="U67" s="10"/>
      <c r="V67" s="14"/>
      <c r="W67" s="9"/>
    </row>
    <row r="68" spans="2:23" outlineLevel="1" x14ac:dyDescent="0.25">
      <c r="B68" s="13"/>
      <c r="C68" s="54"/>
      <c r="D68" s="54"/>
      <c r="E68" s="54"/>
      <c r="F68" s="54"/>
      <c r="G68" s="55"/>
      <c r="H68" s="54"/>
      <c r="I68" s="54"/>
      <c r="J68" s="54"/>
      <c r="K68" s="54"/>
      <c r="L68" s="54"/>
      <c r="M68" s="54"/>
      <c r="N68" s="54"/>
      <c r="O68" s="54"/>
      <c r="P68" s="54"/>
      <c r="Q68" s="54"/>
      <c r="R68" s="54"/>
      <c r="S68" s="10"/>
      <c r="T68" s="10"/>
      <c r="U68" s="10"/>
      <c r="V68" s="9"/>
      <c r="W68" s="9"/>
    </row>
    <row r="69" spans="2:23" ht="63" customHeight="1" outlineLevel="1" x14ac:dyDescent="0.25">
      <c r="B69" s="22" t="s">
        <v>24</v>
      </c>
      <c r="C69" s="21" t="str">
        <f>C51</f>
        <v>NPR FY24
Budget</v>
      </c>
      <c r="D69" s="21" t="str">
        <f t="shared" ref="D69:W69" si="35">D51</f>
        <v>NPR FY24
Proj.</v>
      </c>
      <c r="E69" s="21" t="str">
        <f t="shared" si="35"/>
        <v>NPR FY25
Budget</v>
      </c>
      <c r="F69" s="21" t="str">
        <f t="shared" si="35"/>
        <v>NPR YOY 
(Budget to Budget)</v>
      </c>
      <c r="G69" s="21" t="str">
        <f t="shared" si="35"/>
        <v>W</v>
      </c>
      <c r="H69" s="21" t="str">
        <f t="shared" si="35"/>
        <v>NPR FY24 @FY25 Comm. Prices</v>
      </c>
      <c r="I69" s="21" t="str">
        <f t="shared" si="35"/>
        <v>NPR FY25 due to Comm. Price</v>
      </c>
      <c r="J69" s="21" t="str">
        <f t="shared" si="35"/>
        <v>NPR FY25 due to Comm. Price
(FY24 Proj. to FY24 Budget)</v>
      </c>
      <c r="K69" s="21" t="str">
        <f t="shared" si="35"/>
        <v>NPR FY25 due to Comm. Price
(FY25 Budget to FY24 Proj.)</v>
      </c>
      <c r="L69" s="21" t="str">
        <f t="shared" si="35"/>
        <v>NPR FY24 @FY25 Utiliz.</v>
      </c>
      <c r="M69" s="21" t="str">
        <f t="shared" si="35"/>
        <v>NPR FY25 due to Utiliz.</v>
      </c>
      <c r="N69" s="21" t="str">
        <f t="shared" si="35"/>
        <v>NPR FY24 @FY25 Public Payer Prices</v>
      </c>
      <c r="O69" s="21" t="str">
        <f t="shared" si="35"/>
        <v>NPR FY25 due to Public Payer Prices</v>
      </c>
      <c r="P69" s="21" t="str">
        <f t="shared" si="35"/>
        <v>NPR FY24 @FY25 Payer Mix</v>
      </c>
      <c r="Q69" s="21" t="str">
        <f t="shared" si="35"/>
        <v>NPR FY25 due to Payer Mix</v>
      </c>
      <c r="R69" s="21" t="str">
        <f t="shared" si="35"/>
        <v>NPR FY25 due to all other</v>
      </c>
      <c r="S69" s="21" t="str">
        <f t="shared" si="35"/>
        <v>FY25
Comm Rate NPR Impact</v>
      </c>
      <c r="T69" s="20" t="str">
        <f t="shared" si="35"/>
        <v>FY25
Estimated AnnualizedComm Rate</v>
      </c>
      <c r="U69" s="20" t="str">
        <f t="shared" si="35"/>
        <v>FY25 Comm Rate (WAvg)</v>
      </c>
      <c r="V69" s="21" t="str">
        <f t="shared" si="35"/>
        <v>FY25 NPR Growth</v>
      </c>
      <c r="W69" s="20" t="str">
        <f t="shared" si="35"/>
        <v>FY25 NPR Growth
(WAvg)</v>
      </c>
    </row>
    <row r="70" spans="2:23" outlineLevel="1" x14ac:dyDescent="0.25">
      <c r="B70" s="44" t="str">
        <f t="shared" ref="B70:B81" si="36">B52</f>
        <v>Medicaid</v>
      </c>
      <c r="C70" s="34">
        <v>26808.57548864411</v>
      </c>
      <c r="D70" s="34">
        <f>C70*1.01</f>
        <v>27076.661243530551</v>
      </c>
      <c r="E70" s="34">
        <v>28149.004263076316</v>
      </c>
      <c r="F70" s="38">
        <f t="shared" ref="F70:F81" si="37">E70-C70</f>
        <v>1340.4287744322064</v>
      </c>
      <c r="G70" s="17">
        <f t="shared" ref="G70:G83" si="38">IFERROR(C70/C$84,"")</f>
        <v>0.13757698647681663</v>
      </c>
      <c r="H70" s="34">
        <f>C70</f>
        <v>26808.57548864411</v>
      </c>
      <c r="I70" s="41">
        <f>H70-C70</f>
        <v>0</v>
      </c>
      <c r="J70" s="40"/>
      <c r="K70" s="40"/>
      <c r="L70" s="40">
        <f>C70*1.02</f>
        <v>27344.746998416991</v>
      </c>
      <c r="M70" s="41">
        <f t="shared" ref="M70:M83" si="39">L70-C70</f>
        <v>536.17150977288111</v>
      </c>
      <c r="N70" s="40">
        <f>D70*1.04</f>
        <v>28159.727693271772</v>
      </c>
      <c r="O70" s="41">
        <f t="shared" ref="O70:O83" si="40">N70-C70</f>
        <v>1351.1522046276623</v>
      </c>
      <c r="P70" s="40">
        <f>C70*1.0005</f>
        <v>26821.979776388431</v>
      </c>
      <c r="Q70" s="41">
        <f t="shared" ref="Q70:Q83" si="41">P70-C70</f>
        <v>13.404287744320754</v>
      </c>
      <c r="R70" s="41">
        <f>F70-Q70-O70-M70-I70</f>
        <v>-560.29922771265774</v>
      </c>
      <c r="S70" s="16">
        <f t="shared" ref="S70:S84" si="42">IFERROR(I70/C70,0%)</f>
        <v>0</v>
      </c>
      <c r="T70" s="32">
        <f t="shared" ref="T70:T84" si="43">S70/E$32</f>
        <v>0</v>
      </c>
      <c r="U70" s="31">
        <f t="shared" ref="U70:U83" si="44">IFERROR(S70*G70,0%)</f>
        <v>0</v>
      </c>
      <c r="V70" s="16">
        <f t="shared" ref="V70:V84" si="45">IFERROR((E70-C70)/C70,0%)</f>
        <v>5.0000000000000031E-2</v>
      </c>
      <c r="W70" s="32">
        <f t="shared" ref="W70:W83" si="46">IFERROR(V70*G70,0%)</f>
        <v>6.8788493238408355E-3</v>
      </c>
    </row>
    <row r="71" spans="2:23" outlineLevel="1" x14ac:dyDescent="0.25">
      <c r="B71" s="44" t="str">
        <f t="shared" si="36"/>
        <v>Medicare - Traditional</v>
      </c>
      <c r="C71" s="34">
        <v>50432.480585401303</v>
      </c>
      <c r="D71" s="34">
        <f>C71*0.987</f>
        <v>49776.858337791084</v>
      </c>
      <c r="E71" s="34">
        <v>53871.403838087397</v>
      </c>
      <c r="F71" s="38">
        <f t="shared" si="37"/>
        <v>3438.9232526860942</v>
      </c>
      <c r="G71" s="17">
        <f t="shared" si="38"/>
        <v>0.25881079367417709</v>
      </c>
      <c r="H71" s="40">
        <f>C71</f>
        <v>50432.480585401303</v>
      </c>
      <c r="I71" s="41">
        <f t="shared" ref="I71:I83" si="47">H71-C71</f>
        <v>0</v>
      </c>
      <c r="J71" s="40"/>
      <c r="K71" s="40"/>
      <c r="L71" s="40">
        <f>C71*1.001</f>
        <v>50482.913065986701</v>
      </c>
      <c r="M71" s="41">
        <f t="shared" si="39"/>
        <v>50.43248058539757</v>
      </c>
      <c r="N71" s="40">
        <f>D71*1.02</f>
        <v>50772.395504546905</v>
      </c>
      <c r="O71" s="41">
        <f t="shared" si="40"/>
        <v>339.91491914560174</v>
      </c>
      <c r="P71" s="40">
        <f>C71*1.0005</f>
        <v>50457.696825694002</v>
      </c>
      <c r="Q71" s="41">
        <f t="shared" si="41"/>
        <v>25.216240292698785</v>
      </c>
      <c r="R71" s="41">
        <f t="shared" ref="R71:R83" si="48">F71-Q71-O71-M71-I71</f>
        <v>3023.3596126623961</v>
      </c>
      <c r="S71" s="16">
        <f t="shared" si="42"/>
        <v>0</v>
      </c>
      <c r="T71" s="32">
        <f t="shared" si="43"/>
        <v>0</v>
      </c>
      <c r="U71" s="31">
        <f t="shared" si="44"/>
        <v>0</v>
      </c>
      <c r="V71" s="16">
        <f t="shared" si="45"/>
        <v>6.8188659625074241E-2</v>
      </c>
      <c r="W71" s="32">
        <f t="shared" si="46"/>
        <v>1.7647961117143778E-2</v>
      </c>
    </row>
    <row r="72" spans="2:23" outlineLevel="1" x14ac:dyDescent="0.25">
      <c r="B72" s="44" t="str">
        <f t="shared" si="36"/>
        <v>Medicare - Advantage</v>
      </c>
      <c r="C72" s="34">
        <v>10000</v>
      </c>
      <c r="D72" s="34">
        <f>C72*1.05</f>
        <v>10500</v>
      </c>
      <c r="E72" s="34">
        <v>12000</v>
      </c>
      <c r="F72" s="38">
        <f t="shared" si="37"/>
        <v>2000</v>
      </c>
      <c r="G72" s="17">
        <f t="shared" si="38"/>
        <v>5.1318275577564014E-2</v>
      </c>
      <c r="H72" s="40">
        <f>C72</f>
        <v>10000</v>
      </c>
      <c r="I72" s="41">
        <f t="shared" si="47"/>
        <v>0</v>
      </c>
      <c r="J72" s="40"/>
      <c r="K72" s="40"/>
      <c r="L72" s="40">
        <f>C72*1.01</f>
        <v>10100</v>
      </c>
      <c r="M72" s="41">
        <f t="shared" si="39"/>
        <v>100</v>
      </c>
      <c r="N72" s="40">
        <f>D72*1.02</f>
        <v>10710</v>
      </c>
      <c r="O72" s="41">
        <f t="shared" si="40"/>
        <v>710</v>
      </c>
      <c r="P72" s="40">
        <f>C72*1.0005</f>
        <v>10005</v>
      </c>
      <c r="Q72" s="41">
        <f t="shared" si="41"/>
        <v>5</v>
      </c>
      <c r="R72" s="41">
        <f t="shared" si="48"/>
        <v>1185</v>
      </c>
      <c r="S72" s="16">
        <f t="shared" si="42"/>
        <v>0</v>
      </c>
      <c r="T72" s="32">
        <f t="shared" si="43"/>
        <v>0</v>
      </c>
      <c r="U72" s="31">
        <f t="shared" si="44"/>
        <v>0</v>
      </c>
      <c r="V72" s="16">
        <f t="shared" si="45"/>
        <v>0.2</v>
      </c>
      <c r="W72" s="32">
        <f t="shared" si="46"/>
        <v>1.0263655115512804E-2</v>
      </c>
    </row>
    <row r="73" spans="2:23" outlineLevel="1" x14ac:dyDescent="0.25">
      <c r="B73" s="44" t="str">
        <f t="shared" si="36"/>
        <v>Commercial</v>
      </c>
      <c r="C73" s="34">
        <v>83727.455991247247</v>
      </c>
      <c r="D73" s="34">
        <f>SUM(D74:D78)</f>
        <v>84635.898888752286</v>
      </c>
      <c r="E73" s="34">
        <v>90530.3117905361</v>
      </c>
      <c r="F73" s="38">
        <f t="shared" si="37"/>
        <v>6802.8557992888527</v>
      </c>
      <c r="G73" s="17">
        <f t="shared" si="38"/>
        <v>0.42967486599671895</v>
      </c>
      <c r="H73" s="40">
        <f>SUM(H74:H78)</f>
        <v>89201.138426675039</v>
      </c>
      <c r="I73" s="41">
        <f t="shared" si="47"/>
        <v>5473.6824354277924</v>
      </c>
      <c r="J73" s="40">
        <f>I73*0.4</f>
        <v>2189.4729741711171</v>
      </c>
      <c r="K73" s="40">
        <f>I73*0.6</f>
        <v>3284.2094612566752</v>
      </c>
      <c r="L73" s="40">
        <f>SUM(L74:L78)</f>
        <v>87578.918966844634</v>
      </c>
      <c r="M73" s="41">
        <f t="shared" si="39"/>
        <v>3851.4629755973874</v>
      </c>
      <c r="N73" s="40">
        <f>SUM(N74:N78)</f>
        <v>84635.898888752286</v>
      </c>
      <c r="O73" s="41">
        <f t="shared" si="40"/>
        <v>908.44289750503958</v>
      </c>
      <c r="P73" s="40">
        <f>SUM(P74:P78)</f>
        <v>84564.730551159722</v>
      </c>
      <c r="Q73" s="41">
        <f t="shared" si="41"/>
        <v>837.27455991247552</v>
      </c>
      <c r="R73" s="41">
        <f t="shared" si="48"/>
        <v>-4268.0070691538422</v>
      </c>
      <c r="S73" s="16">
        <f t="shared" si="42"/>
        <v>6.5375000000000044E-2</v>
      </c>
      <c r="T73" s="32">
        <f t="shared" si="43"/>
        <v>8.7166666666666726E-2</v>
      </c>
      <c r="U73" s="31">
        <f t="shared" si="44"/>
        <v>2.808999436453552E-2</v>
      </c>
      <c r="V73" s="16">
        <f t="shared" si="45"/>
        <v>8.1250000000000169E-2</v>
      </c>
      <c r="W73" s="32">
        <f t="shared" si="46"/>
        <v>3.4911082862233489E-2</v>
      </c>
    </row>
    <row r="74" spans="2:23" outlineLevel="1" x14ac:dyDescent="0.25">
      <c r="B74" s="33" t="str">
        <f t="shared" si="36"/>
        <v>Major Payer #1</v>
      </c>
      <c r="C74" s="35">
        <v>50236.47359474835</v>
      </c>
      <c r="D74" s="35">
        <f>C74*0.991</f>
        <v>49784.345332395613</v>
      </c>
      <c r="E74" s="35">
        <v>54757.756218275703</v>
      </c>
      <c r="F74" s="39">
        <f t="shared" si="37"/>
        <v>4521.2826235273533</v>
      </c>
      <c r="G74" s="61">
        <f t="shared" si="38"/>
        <v>0.25780491959803137</v>
      </c>
      <c r="H74" s="35">
        <f>C74*1.08</f>
        <v>54255.391482328218</v>
      </c>
      <c r="I74" s="42">
        <f t="shared" si="47"/>
        <v>4018.917887579868</v>
      </c>
      <c r="J74" s="67">
        <f t="shared" ref="J74:J78" si="49">I74*0.4</f>
        <v>1607.5671550319473</v>
      </c>
      <c r="K74" s="67">
        <f t="shared" ref="K74:K78" si="50">I74*0.6</f>
        <v>2411.3507325479209</v>
      </c>
      <c r="L74" s="35">
        <f>C74*1.07</f>
        <v>53753.026746380739</v>
      </c>
      <c r="M74" s="42">
        <f t="shared" si="39"/>
        <v>3516.5531516323899</v>
      </c>
      <c r="N74" s="35">
        <f>D74</f>
        <v>49784.345332395613</v>
      </c>
      <c r="O74" s="41">
        <f t="shared" si="40"/>
        <v>-452.12826235273678</v>
      </c>
      <c r="P74" s="35">
        <f t="shared" ref="P74:P79" si="51">C74*1.01</f>
        <v>50738.838330695835</v>
      </c>
      <c r="Q74" s="42">
        <f t="shared" si="41"/>
        <v>502.36473594748531</v>
      </c>
      <c r="R74" s="42">
        <f t="shared" si="48"/>
        <v>-3064.4248892796531</v>
      </c>
      <c r="S74" s="19">
        <f t="shared" si="42"/>
        <v>0.08</v>
      </c>
      <c r="T74" s="45">
        <f t="shared" si="43"/>
        <v>0.10666666666666667</v>
      </c>
      <c r="U74" s="46">
        <f t="shared" si="44"/>
        <v>2.062439356784251E-2</v>
      </c>
      <c r="V74" s="19">
        <f t="shared" si="45"/>
        <v>9.0000000000000038E-2</v>
      </c>
      <c r="W74" s="45">
        <f t="shared" si="46"/>
        <v>2.3202442763822832E-2</v>
      </c>
    </row>
    <row r="75" spans="2:23" outlineLevel="1" x14ac:dyDescent="0.25">
      <c r="B75" s="33" t="str">
        <f t="shared" si="36"/>
        <v>Major Payer #2</v>
      </c>
      <c r="C75" s="35">
        <v>16745.491198249449</v>
      </c>
      <c r="D75" s="35">
        <f>C75*1.033</f>
        <v>17298.092407791679</v>
      </c>
      <c r="E75" s="35">
        <v>18252.585406091901</v>
      </c>
      <c r="F75" s="39">
        <f t="shared" si="37"/>
        <v>1507.0942078424523</v>
      </c>
      <c r="G75" s="61">
        <f t="shared" si="38"/>
        <v>8.5934973199343789E-2</v>
      </c>
      <c r="H75" s="35">
        <f>C75*1.045</f>
        <v>17499.038302170673</v>
      </c>
      <c r="I75" s="42">
        <f t="shared" si="47"/>
        <v>753.54710392122433</v>
      </c>
      <c r="J75" s="67">
        <f t="shared" si="49"/>
        <v>301.41884156848977</v>
      </c>
      <c r="K75" s="67">
        <f t="shared" si="50"/>
        <v>452.12826235273457</v>
      </c>
      <c r="L75" s="35">
        <f>C75*1.01</f>
        <v>16912.946110231944</v>
      </c>
      <c r="M75" s="42">
        <f t="shared" si="39"/>
        <v>167.4549119824951</v>
      </c>
      <c r="N75" s="35">
        <f>D75</f>
        <v>17298.092407791679</v>
      </c>
      <c r="O75" s="41">
        <f t="shared" si="40"/>
        <v>552.60120954223021</v>
      </c>
      <c r="P75" s="35">
        <f t="shared" si="51"/>
        <v>16912.946110231944</v>
      </c>
      <c r="Q75" s="42">
        <f t="shared" si="41"/>
        <v>167.4549119824951</v>
      </c>
      <c r="R75" s="42">
        <f t="shared" si="48"/>
        <v>-133.96392958599245</v>
      </c>
      <c r="S75" s="19">
        <f t="shared" si="42"/>
        <v>4.499999999999995E-2</v>
      </c>
      <c r="T75" s="45">
        <f t="shared" si="43"/>
        <v>5.9999999999999935E-2</v>
      </c>
      <c r="U75" s="46">
        <f t="shared" si="44"/>
        <v>3.8670737939704661E-3</v>
      </c>
      <c r="V75" s="19">
        <f t="shared" si="45"/>
        <v>9.0000000000000122E-2</v>
      </c>
      <c r="W75" s="45">
        <f t="shared" si="46"/>
        <v>7.7341475879409514E-3</v>
      </c>
    </row>
    <row r="76" spans="2:23" outlineLevel="1" x14ac:dyDescent="0.25">
      <c r="B76" s="33" t="str">
        <f t="shared" si="36"/>
        <v>Major Payer #3</v>
      </c>
      <c r="C76" s="35">
        <v>8372.7455991247243</v>
      </c>
      <c r="D76" s="35">
        <f>C76*1.018</f>
        <v>8523.4550199089699</v>
      </c>
      <c r="E76" s="35">
        <v>8623.927967098467</v>
      </c>
      <c r="F76" s="39">
        <f t="shared" si="37"/>
        <v>251.18236797374266</v>
      </c>
      <c r="G76" s="61">
        <f t="shared" si="38"/>
        <v>4.2967486599671895E-2</v>
      </c>
      <c r="H76" s="35">
        <f>C76*1.035</f>
        <v>8665.7916950940889</v>
      </c>
      <c r="I76" s="42">
        <f t="shared" si="47"/>
        <v>293.04609596936461</v>
      </c>
      <c r="J76" s="67">
        <f t="shared" si="49"/>
        <v>117.21843838774585</v>
      </c>
      <c r="K76" s="67">
        <f t="shared" si="50"/>
        <v>175.82765758161875</v>
      </c>
      <c r="L76" s="35">
        <f>C76*1.01</f>
        <v>8456.4730551159719</v>
      </c>
      <c r="M76" s="42">
        <f t="shared" si="39"/>
        <v>83.727455991247552</v>
      </c>
      <c r="N76" s="35">
        <f>D76</f>
        <v>8523.4550199089699</v>
      </c>
      <c r="O76" s="41">
        <f t="shared" si="40"/>
        <v>150.70942078424559</v>
      </c>
      <c r="P76" s="35">
        <f t="shared" si="51"/>
        <v>8456.4730551159719</v>
      </c>
      <c r="Q76" s="42">
        <f t="shared" si="41"/>
        <v>83.727455991247552</v>
      </c>
      <c r="R76" s="42">
        <f t="shared" si="48"/>
        <v>-360.02806076236266</v>
      </c>
      <c r="S76" s="19">
        <f t="shared" si="42"/>
        <v>3.4999999999999913E-2</v>
      </c>
      <c r="T76" s="45">
        <f t="shared" si="43"/>
        <v>4.6666666666666551E-2</v>
      </c>
      <c r="U76" s="46">
        <f t="shared" si="44"/>
        <v>1.5038620309885127E-3</v>
      </c>
      <c r="V76" s="19">
        <f t="shared" si="45"/>
        <v>3.000000000000011E-2</v>
      </c>
      <c r="W76" s="45">
        <f t="shared" si="46"/>
        <v>1.2890245979901615E-3</v>
      </c>
    </row>
    <row r="77" spans="2:23" outlineLevel="1" x14ac:dyDescent="0.25">
      <c r="B77" s="33" t="str">
        <f t="shared" si="36"/>
        <v>Major Payer #4</v>
      </c>
      <c r="C77" s="35">
        <v>2093.1863997811811</v>
      </c>
      <c r="D77" s="35">
        <f>C77*1.014</f>
        <v>2122.4910093781177</v>
      </c>
      <c r="E77" s="35">
        <v>2176.9138557724282</v>
      </c>
      <c r="F77" s="39">
        <f t="shared" si="37"/>
        <v>83.727455991247098</v>
      </c>
      <c r="G77" s="61">
        <f t="shared" si="38"/>
        <v>1.0741871649917974E-2</v>
      </c>
      <c r="H77" s="35">
        <f>C77*1.051</f>
        <v>2199.9389061700213</v>
      </c>
      <c r="I77" s="42">
        <f t="shared" si="47"/>
        <v>106.75250638884017</v>
      </c>
      <c r="J77" s="67">
        <f t="shared" si="49"/>
        <v>42.701002555536071</v>
      </c>
      <c r="K77" s="67">
        <f t="shared" si="50"/>
        <v>64.051503833304096</v>
      </c>
      <c r="L77" s="35">
        <f>C77*1.01</f>
        <v>2114.118263778993</v>
      </c>
      <c r="M77" s="42">
        <f t="shared" si="39"/>
        <v>20.931863997811888</v>
      </c>
      <c r="N77" s="35">
        <f>D77</f>
        <v>2122.4910093781177</v>
      </c>
      <c r="O77" s="41">
        <f t="shared" si="40"/>
        <v>29.304609596936643</v>
      </c>
      <c r="P77" s="35">
        <f t="shared" si="51"/>
        <v>2114.118263778993</v>
      </c>
      <c r="Q77" s="42">
        <f t="shared" si="41"/>
        <v>20.931863997811888</v>
      </c>
      <c r="R77" s="42">
        <f t="shared" si="48"/>
        <v>-94.193387990153497</v>
      </c>
      <c r="S77" s="19">
        <f t="shared" si="42"/>
        <v>5.0999999999999969E-2</v>
      </c>
      <c r="T77" s="45">
        <f t="shared" si="43"/>
        <v>6.7999999999999963E-2</v>
      </c>
      <c r="U77" s="46">
        <f t="shared" si="44"/>
        <v>5.4783545414581632E-4</v>
      </c>
      <c r="V77" s="19">
        <f t="shared" si="45"/>
        <v>3.9999999999999931E-2</v>
      </c>
      <c r="W77" s="45">
        <f t="shared" si="46"/>
        <v>4.2967486599671819E-4</v>
      </c>
    </row>
    <row r="78" spans="2:23" outlineLevel="1" x14ac:dyDescent="0.25">
      <c r="B78" s="33" t="str">
        <f t="shared" si="36"/>
        <v>All other Commercial</v>
      </c>
      <c r="C78" s="35">
        <v>6279.5591993435519</v>
      </c>
      <c r="D78" s="35">
        <f>C78*1.1</f>
        <v>6907.5151192779076</v>
      </c>
      <c r="E78" s="35">
        <v>6719.1283432976006</v>
      </c>
      <c r="F78" s="39">
        <f t="shared" si="37"/>
        <v>439.56914395404874</v>
      </c>
      <c r="G78" s="61">
        <f t="shared" si="38"/>
        <v>3.2225614949753963E-2</v>
      </c>
      <c r="H78" s="35">
        <f>C78*1.048</f>
        <v>6580.9780409120431</v>
      </c>
      <c r="I78" s="42">
        <f t="shared" si="47"/>
        <v>301.41884156849119</v>
      </c>
      <c r="J78" s="67">
        <f t="shared" si="49"/>
        <v>120.56753662739648</v>
      </c>
      <c r="K78" s="67">
        <f t="shared" si="50"/>
        <v>180.8513049410947</v>
      </c>
      <c r="L78" s="35">
        <f>C78*1.01</f>
        <v>6342.3547913369875</v>
      </c>
      <c r="M78" s="42">
        <f t="shared" si="39"/>
        <v>62.795591993435664</v>
      </c>
      <c r="N78" s="35">
        <f>D78</f>
        <v>6907.5151192779076</v>
      </c>
      <c r="O78" s="41">
        <f t="shared" si="40"/>
        <v>627.95591993435573</v>
      </c>
      <c r="P78" s="35">
        <f t="shared" si="51"/>
        <v>6342.3547913369875</v>
      </c>
      <c r="Q78" s="42">
        <f t="shared" si="41"/>
        <v>62.795591993435664</v>
      </c>
      <c r="R78" s="42">
        <f t="shared" si="48"/>
        <v>-615.39680153566951</v>
      </c>
      <c r="S78" s="19">
        <f t="shared" si="42"/>
        <v>4.8000000000000112E-2</v>
      </c>
      <c r="T78" s="45">
        <f t="shared" si="43"/>
        <v>6.4000000000000154E-2</v>
      </c>
      <c r="U78" s="46">
        <f t="shared" si="44"/>
        <v>1.5468295175881939E-3</v>
      </c>
      <c r="V78" s="19">
        <f t="shared" si="45"/>
        <v>7.0000000000000021E-2</v>
      </c>
      <c r="W78" s="45">
        <f t="shared" si="46"/>
        <v>2.255793046482778E-3</v>
      </c>
    </row>
    <row r="79" spans="2:23" outlineLevel="1" x14ac:dyDescent="0.25">
      <c r="B79" s="30" t="str">
        <f t="shared" si="36"/>
        <v>Fixed Prospective Payments</v>
      </c>
      <c r="C79" s="34">
        <v>20008.194278815048</v>
      </c>
      <c r="D79" s="34">
        <f>SUM(D80,D81,D82)</f>
        <v>20908.563021361726</v>
      </c>
      <c r="E79" s="34">
        <v>20060.390163240641</v>
      </c>
      <c r="F79" s="38">
        <f t="shared" si="37"/>
        <v>52.195884425593249</v>
      </c>
      <c r="G79" s="17">
        <f t="shared" si="38"/>
        <v>0.10267860278096703</v>
      </c>
      <c r="H79" s="34">
        <f>C79</f>
        <v>20008.194278815048</v>
      </c>
      <c r="I79" s="41">
        <f t="shared" si="47"/>
        <v>0</v>
      </c>
      <c r="J79" s="67"/>
      <c r="K79" s="67"/>
      <c r="L79" s="34">
        <f>C79*1.015</f>
        <v>20308.31719299727</v>
      </c>
      <c r="M79" s="41">
        <f t="shared" si="39"/>
        <v>300.1229141822223</v>
      </c>
      <c r="N79" s="35">
        <f>D79+750</f>
        <v>21658.563021361726</v>
      </c>
      <c r="O79" s="41">
        <f t="shared" si="40"/>
        <v>1650.3687425466778</v>
      </c>
      <c r="P79" s="34">
        <f t="shared" si="51"/>
        <v>20208.276221603199</v>
      </c>
      <c r="Q79" s="41">
        <f t="shared" si="41"/>
        <v>200.08194278815063</v>
      </c>
      <c r="R79" s="41">
        <f t="shared" si="48"/>
        <v>-2098.3777150914575</v>
      </c>
      <c r="S79" s="16">
        <f t="shared" si="42"/>
        <v>0</v>
      </c>
      <c r="T79" s="32">
        <f t="shared" si="43"/>
        <v>0</v>
      </c>
      <c r="U79" s="31">
        <f t="shared" si="44"/>
        <v>0</v>
      </c>
      <c r="V79" s="16">
        <f t="shared" si="45"/>
        <v>2.6087253901197357E-3</v>
      </c>
      <c r="W79" s="32">
        <f t="shared" si="46"/>
        <v>2.6786027809672759E-4</v>
      </c>
    </row>
    <row r="80" spans="2:23" outlineLevel="1" x14ac:dyDescent="0.25">
      <c r="B80" s="33" t="str">
        <f t="shared" si="36"/>
        <v>FPP - Medicare</v>
      </c>
      <c r="C80" s="35">
        <v>10004.097139407524</v>
      </c>
      <c r="D80" s="35">
        <f>C80*1.01</f>
        <v>10104.138110801599</v>
      </c>
      <c r="E80" s="35">
        <v>10030.195081620321</v>
      </c>
      <c r="F80" s="39">
        <f t="shared" si="37"/>
        <v>26.097942212796625</v>
      </c>
      <c r="G80" s="61">
        <f t="shared" si="38"/>
        <v>5.1339301390483517E-2</v>
      </c>
      <c r="H80" s="35">
        <f>H79*0.6</f>
        <v>12004.916567289029</v>
      </c>
      <c r="I80" s="42">
        <f t="shared" si="47"/>
        <v>2000.8194278815045</v>
      </c>
      <c r="J80" s="67"/>
      <c r="K80" s="67"/>
      <c r="L80" s="35">
        <f>L79*0.6</f>
        <v>12184.990315798363</v>
      </c>
      <c r="M80" s="42">
        <f t="shared" si="39"/>
        <v>2180.8931763908386</v>
      </c>
      <c r="N80" s="35">
        <f>N79*0.5</f>
        <v>10829.281510680863</v>
      </c>
      <c r="O80" s="42">
        <f t="shared" si="40"/>
        <v>825.18437127333891</v>
      </c>
      <c r="P80" s="35">
        <f>P79*0.6</f>
        <v>12124.965732961919</v>
      </c>
      <c r="Q80" s="42">
        <f t="shared" si="41"/>
        <v>2120.8685935543945</v>
      </c>
      <c r="R80" s="42">
        <f t="shared" si="48"/>
        <v>-7101.6676268872798</v>
      </c>
      <c r="S80" s="19">
        <f t="shared" si="42"/>
        <v>0.19999999999999996</v>
      </c>
      <c r="T80" s="45">
        <f t="shared" si="43"/>
        <v>0.26666666666666661</v>
      </c>
      <c r="U80" s="46">
        <f t="shared" si="44"/>
        <v>1.02678602780967E-2</v>
      </c>
      <c r="V80" s="19">
        <f t="shared" si="45"/>
        <v>2.6087253901197357E-3</v>
      </c>
      <c r="W80" s="45">
        <f t="shared" si="46"/>
        <v>1.3393013904836379E-4</v>
      </c>
    </row>
    <row r="81" spans="2:24" outlineLevel="1" x14ac:dyDescent="0.25">
      <c r="B81" s="33" t="str">
        <f t="shared" si="36"/>
        <v>FPP - Medicaid</v>
      </c>
      <c r="C81" s="35">
        <v>10004.097139407524</v>
      </c>
      <c r="D81" s="35">
        <f>C81*1.08</f>
        <v>10804.424910560127</v>
      </c>
      <c r="E81" s="35">
        <v>10030.195081620321</v>
      </c>
      <c r="F81" s="39">
        <f t="shared" si="37"/>
        <v>26.097942212796625</v>
      </c>
      <c r="G81" s="61">
        <f t="shared" si="38"/>
        <v>5.1339301390483517E-2</v>
      </c>
      <c r="H81" s="35">
        <f>H79*0.4</f>
        <v>8003.2777115260196</v>
      </c>
      <c r="I81" s="42">
        <f t="shared" si="47"/>
        <v>-2000.8194278815045</v>
      </c>
      <c r="J81" s="67"/>
      <c r="K81" s="67"/>
      <c r="L81" s="35">
        <f>L79*0.4</f>
        <v>8123.3268771989087</v>
      </c>
      <c r="M81" s="42">
        <f t="shared" si="39"/>
        <v>-1880.7702622086153</v>
      </c>
      <c r="N81" s="35">
        <f>N79*0.5</f>
        <v>10829.281510680863</v>
      </c>
      <c r="O81" s="42">
        <f t="shared" si="40"/>
        <v>825.18437127333891</v>
      </c>
      <c r="P81" s="35">
        <f>P79*0.4</f>
        <v>8083.3104886412802</v>
      </c>
      <c r="Q81" s="42">
        <f t="shared" si="41"/>
        <v>-1920.7866507662438</v>
      </c>
      <c r="R81" s="42">
        <f t="shared" si="48"/>
        <v>5003.2899117958214</v>
      </c>
      <c r="S81" s="19">
        <f t="shared" si="42"/>
        <v>-0.19999999999999996</v>
      </c>
      <c r="T81" s="45">
        <f t="shared" si="43"/>
        <v>-0.26666666666666661</v>
      </c>
      <c r="U81" s="46">
        <f t="shared" si="44"/>
        <v>-1.02678602780967E-2</v>
      </c>
      <c r="V81" s="19">
        <f t="shared" si="45"/>
        <v>2.6087253901197357E-3</v>
      </c>
      <c r="W81" s="45">
        <f t="shared" si="46"/>
        <v>1.3393013904836379E-4</v>
      </c>
    </row>
    <row r="82" spans="2:24" outlineLevel="1" x14ac:dyDescent="0.25">
      <c r="B82" s="33" t="s">
        <v>83</v>
      </c>
      <c r="C82" s="35">
        <v>0</v>
      </c>
      <c r="D82" s="35">
        <v>0</v>
      </c>
      <c r="E82" s="35">
        <v>0</v>
      </c>
      <c r="F82" s="39"/>
      <c r="G82" s="61">
        <f t="shared" si="38"/>
        <v>0</v>
      </c>
      <c r="H82" s="35">
        <v>0</v>
      </c>
      <c r="I82" s="42">
        <f t="shared" si="47"/>
        <v>0</v>
      </c>
      <c r="J82" s="67"/>
      <c r="K82" s="67"/>
      <c r="L82" s="35">
        <v>0</v>
      </c>
      <c r="M82" s="42">
        <f t="shared" si="39"/>
        <v>0</v>
      </c>
      <c r="N82" s="35">
        <v>0</v>
      </c>
      <c r="O82" s="42">
        <f t="shared" si="40"/>
        <v>0</v>
      </c>
      <c r="P82" s="35">
        <v>0</v>
      </c>
      <c r="Q82" s="42">
        <f t="shared" si="41"/>
        <v>0</v>
      </c>
      <c r="R82" s="42">
        <f t="shared" si="48"/>
        <v>0</v>
      </c>
      <c r="S82" s="19">
        <f t="shared" si="42"/>
        <v>0</v>
      </c>
      <c r="T82" s="45">
        <f t="shared" si="43"/>
        <v>0</v>
      </c>
      <c r="U82" s="46">
        <f t="shared" si="44"/>
        <v>0</v>
      </c>
      <c r="V82" s="19">
        <f t="shared" si="45"/>
        <v>0</v>
      </c>
      <c r="W82" s="45">
        <f t="shared" si="46"/>
        <v>0</v>
      </c>
      <c r="X82" s="13"/>
    </row>
    <row r="83" spans="2:24" outlineLevel="1" x14ac:dyDescent="0.25">
      <c r="B83" s="18" t="str">
        <f>B65</f>
        <v>Other (Bad Debt, Free Care, DSH)</v>
      </c>
      <c r="C83" s="49">
        <v>3885.6480014839231</v>
      </c>
      <c r="D83" s="49">
        <f>C83*1.05</f>
        <v>4079.9304015581192</v>
      </c>
      <c r="E83" s="49">
        <v>4118.7868815729589</v>
      </c>
      <c r="F83" s="50">
        <f>E83-C83</f>
        <v>233.13888008903587</v>
      </c>
      <c r="G83" s="58">
        <f t="shared" si="38"/>
        <v>1.9940475493756285E-2</v>
      </c>
      <c r="H83" s="49">
        <f>C83</f>
        <v>3885.6480014839231</v>
      </c>
      <c r="I83" s="52">
        <f t="shared" si="47"/>
        <v>0</v>
      </c>
      <c r="J83" s="68"/>
      <c r="K83" s="68"/>
      <c r="L83" s="49">
        <f>C83*1.015</f>
        <v>3943.9327215061817</v>
      </c>
      <c r="M83" s="52">
        <f t="shared" si="39"/>
        <v>58.284720022258625</v>
      </c>
      <c r="N83" s="49">
        <f>D83</f>
        <v>4079.9304015581192</v>
      </c>
      <c r="O83" s="52">
        <f t="shared" si="40"/>
        <v>194.28240007419618</v>
      </c>
      <c r="P83" s="49">
        <f>C83*1.02</f>
        <v>3963.3609615136015</v>
      </c>
      <c r="Q83" s="52">
        <f t="shared" si="41"/>
        <v>77.71296002967847</v>
      </c>
      <c r="R83" s="52">
        <f t="shared" si="48"/>
        <v>-97.141200037097406</v>
      </c>
      <c r="S83" s="15">
        <f t="shared" si="42"/>
        <v>0</v>
      </c>
      <c r="T83" s="47">
        <f t="shared" si="43"/>
        <v>0</v>
      </c>
      <c r="U83" s="48">
        <f t="shared" si="44"/>
        <v>0</v>
      </c>
      <c r="V83" s="15">
        <f t="shared" si="45"/>
        <v>6.0000000000000123E-2</v>
      </c>
      <c r="W83" s="47">
        <f t="shared" si="46"/>
        <v>1.1964285296253796E-3</v>
      </c>
    </row>
    <row r="84" spans="2:24" outlineLevel="1" x14ac:dyDescent="0.25">
      <c r="B84" s="7" t="s">
        <v>25</v>
      </c>
      <c r="C84" s="36">
        <f>SUM(C70,C71,C72,C73,C79,C83)</f>
        <v>194862.35434559162</v>
      </c>
      <c r="D84" s="36">
        <f>SUM(D70,D71,D72,D73,D79,D83)</f>
        <v>196977.91189299372</v>
      </c>
      <c r="E84" s="36">
        <f>SUM(E70,E71,E72,E73,E79,E83)</f>
        <v>208729.8969365134</v>
      </c>
      <c r="F84" s="36">
        <f>E84-C84</f>
        <v>13867.542590921774</v>
      </c>
      <c r="G84" s="53">
        <f>SUM(G83,G79,G73,G72,G71,G70)</f>
        <v>1</v>
      </c>
      <c r="H84" s="36">
        <f>SUM(H70:H83)-H73-H79</f>
        <v>200336.03678101941</v>
      </c>
      <c r="I84" s="36">
        <f>SUM(I70,I71,I72,I73,I79,I83)</f>
        <v>5473.6824354277924</v>
      </c>
      <c r="J84" s="36">
        <f>SUM(J74:J78)</f>
        <v>2189.4729741711153</v>
      </c>
      <c r="K84" s="36">
        <f>SUM(K74:K78)</f>
        <v>3284.2094612566734</v>
      </c>
      <c r="L84" s="36">
        <f>SUM(L70:L83)-L73-L79</f>
        <v>199758.82894575177</v>
      </c>
      <c r="M84" s="36">
        <f>SUM(M70,M71,M72,M73,M79,M83)</f>
        <v>4896.474600160147</v>
      </c>
      <c r="N84" s="36">
        <f>SUM(N70:N83)-N73-N79</f>
        <v>200016.5155094908</v>
      </c>
      <c r="O84" s="36">
        <f>SUM(O70,O71,O72,O73,O79,O83)</f>
        <v>5154.1611638991781</v>
      </c>
      <c r="P84" s="36">
        <f>SUM(P70:P83)-P73-P79</f>
        <v>196021.0443363589</v>
      </c>
      <c r="Q84" s="36">
        <f>SUM(Q70,Q71,Q72,Q73,Q79,Q83)</f>
        <v>1158.6899907673242</v>
      </c>
      <c r="R84" s="36">
        <f>SUM(R70,R71,R72,R73,R79,R83)</f>
        <v>-2815.4655993326587</v>
      </c>
      <c r="S84" s="56">
        <f t="shared" si="42"/>
        <v>2.808999436453552E-2</v>
      </c>
      <c r="T84" s="59">
        <f t="shared" si="43"/>
        <v>3.7453325819380691E-2</v>
      </c>
      <c r="U84" s="10">
        <f>SUM(U70:U73,U79,U83)</f>
        <v>2.808999436453552E-2</v>
      </c>
      <c r="V84" s="14">
        <f t="shared" si="45"/>
        <v>7.1165837226452963E-2</v>
      </c>
      <c r="W84" s="9">
        <f>SUM(W70:W73,W79,W83)</f>
        <v>7.1165837226453019E-2</v>
      </c>
    </row>
    <row r="85" spans="2:24" outlineLevel="1" x14ac:dyDescent="0.25">
      <c r="B85" s="13"/>
      <c r="C85" s="24"/>
      <c r="D85" s="24"/>
      <c r="E85" s="24"/>
      <c r="F85" s="24"/>
      <c r="G85" s="25"/>
      <c r="H85" s="24"/>
      <c r="I85" s="24"/>
      <c r="J85" s="24"/>
      <c r="K85" s="24"/>
      <c r="L85" s="24"/>
      <c r="M85" s="24"/>
      <c r="N85" s="24"/>
      <c r="O85" s="24"/>
      <c r="P85" s="24"/>
      <c r="Q85" s="24"/>
      <c r="R85" s="24"/>
      <c r="S85" s="23"/>
      <c r="T85" s="10"/>
      <c r="U85" s="10"/>
      <c r="V85" s="14"/>
      <c r="W85" s="9"/>
    </row>
    <row r="86" spans="2:24" ht="61.15" customHeight="1" outlineLevel="1" x14ac:dyDescent="0.25">
      <c r="B86" s="22" t="s">
        <v>26</v>
      </c>
      <c r="C86" s="21" t="str">
        <f>C69</f>
        <v>NPR FY24
Budget</v>
      </c>
      <c r="D86" s="21" t="str">
        <f t="shared" ref="D86:W86" si="52">D69</f>
        <v>NPR FY24
Proj.</v>
      </c>
      <c r="E86" s="21" t="str">
        <f t="shared" si="52"/>
        <v>NPR FY25
Budget</v>
      </c>
      <c r="F86" s="21" t="str">
        <f t="shared" si="52"/>
        <v>NPR YOY 
(Budget to Budget)</v>
      </c>
      <c r="G86" s="21" t="str">
        <f t="shared" si="52"/>
        <v>W</v>
      </c>
      <c r="H86" s="21" t="str">
        <f t="shared" si="52"/>
        <v>NPR FY24 @FY25 Comm. Prices</v>
      </c>
      <c r="I86" s="21" t="str">
        <f t="shared" si="52"/>
        <v>NPR FY25 due to Comm. Price</v>
      </c>
      <c r="J86" s="21" t="str">
        <f t="shared" si="52"/>
        <v>NPR FY25 due to Comm. Price
(FY24 Proj. to FY24 Budget)</v>
      </c>
      <c r="K86" s="21" t="str">
        <f t="shared" si="52"/>
        <v>NPR FY25 due to Comm. Price
(FY25 Budget to FY24 Proj.)</v>
      </c>
      <c r="L86" s="21" t="str">
        <f t="shared" si="52"/>
        <v>NPR FY24 @FY25 Utiliz.</v>
      </c>
      <c r="M86" s="21" t="str">
        <f t="shared" si="52"/>
        <v>NPR FY25 due to Utiliz.</v>
      </c>
      <c r="N86" s="21" t="str">
        <f t="shared" si="52"/>
        <v>NPR FY24 @FY25 Public Payer Prices</v>
      </c>
      <c r="O86" s="21" t="str">
        <f t="shared" si="52"/>
        <v>NPR FY25 due to Public Payer Prices</v>
      </c>
      <c r="P86" s="21" t="str">
        <f t="shared" si="52"/>
        <v>NPR FY24 @FY25 Payer Mix</v>
      </c>
      <c r="Q86" s="21" t="str">
        <f t="shared" si="52"/>
        <v>NPR FY25 due to Payer Mix</v>
      </c>
      <c r="R86" s="21" t="str">
        <f t="shared" si="52"/>
        <v>NPR FY25 due to all other</v>
      </c>
      <c r="S86" s="21" t="str">
        <f t="shared" si="52"/>
        <v>FY25
Comm Rate NPR Impact</v>
      </c>
      <c r="T86" s="20" t="str">
        <f t="shared" si="52"/>
        <v>FY25
Estimated AnnualizedComm Rate</v>
      </c>
      <c r="U86" s="20" t="str">
        <f t="shared" si="52"/>
        <v>FY25 Comm Rate (WAvg)</v>
      </c>
      <c r="V86" s="21" t="str">
        <f t="shared" si="52"/>
        <v>FY25 NPR Growth</v>
      </c>
      <c r="W86" s="20" t="str">
        <f t="shared" si="52"/>
        <v>FY25 NPR Growth
(WAvg)</v>
      </c>
    </row>
    <row r="87" spans="2:24" outlineLevel="1" x14ac:dyDescent="0.25">
      <c r="B87" s="44" t="str">
        <f t="shared" ref="B87:B98" si="53">B70</f>
        <v>Medicaid</v>
      </c>
      <c r="C87" s="34">
        <v>892.30190344334164</v>
      </c>
      <c r="D87" s="34">
        <f>C87*1.01</f>
        <v>901.22492247777507</v>
      </c>
      <c r="E87" s="34">
        <v>981.53209378767588</v>
      </c>
      <c r="F87" s="38">
        <f t="shared" ref="F87:F98" si="54">E87-C87</f>
        <v>89.230190344334233</v>
      </c>
      <c r="G87" s="17">
        <f t="shared" ref="G87:G100" si="55">IFERROR(C87/C$101,"")</f>
        <v>0.17095254027458689</v>
      </c>
      <c r="H87" s="34">
        <f>C87</f>
        <v>892.30190344334164</v>
      </c>
      <c r="I87" s="41">
        <f>H87-C87</f>
        <v>0</v>
      </c>
      <c r="J87" s="40"/>
      <c r="K87" s="40"/>
      <c r="L87" s="40">
        <f>C87*1.02</f>
        <v>910.14794151220849</v>
      </c>
      <c r="M87" s="41">
        <f t="shared" ref="M87:M100" si="56">L87-C87</f>
        <v>17.846038068866847</v>
      </c>
      <c r="N87" s="40">
        <f>D87*1.04</f>
        <v>937.27391937688606</v>
      </c>
      <c r="O87" s="41">
        <f t="shared" ref="O87:O100" si="57">N87-C87</f>
        <v>44.972015933544412</v>
      </c>
      <c r="P87" s="40">
        <f>C87*1.0005</f>
        <v>892.74805439506326</v>
      </c>
      <c r="Q87" s="41">
        <f t="shared" ref="Q87:Q100" si="58">P87-C87</f>
        <v>0.44615095172162</v>
      </c>
      <c r="R87" s="41">
        <f>F87-Q87-O87-M87-I87</f>
        <v>25.965985390201354</v>
      </c>
      <c r="S87" s="16">
        <f t="shared" ref="S87:S101" si="59">IFERROR(I87/C87,0%)</f>
        <v>0</v>
      </c>
      <c r="T87" s="32">
        <f t="shared" ref="T87:T101" si="60">S87/E$32</f>
        <v>0</v>
      </c>
      <c r="U87" s="31">
        <f t="shared" ref="U87:U100" si="61">IFERROR(S87*G87,0%)</f>
        <v>0</v>
      </c>
      <c r="V87" s="16">
        <f t="shared" ref="V87:V101" si="62">IFERROR((E87-C87)/C87,0%)</f>
        <v>0.10000000000000007</v>
      </c>
      <c r="W87" s="32">
        <f t="shared" ref="W87:W100" si="63">IFERROR(V87*G87,0%)</f>
        <v>1.7095254027458703E-2</v>
      </c>
    </row>
    <row r="88" spans="2:24" outlineLevel="1" x14ac:dyDescent="0.25">
      <c r="B88" s="44" t="str">
        <f t="shared" si="53"/>
        <v>Medicare - Traditional</v>
      </c>
      <c r="C88" s="34">
        <v>2287.6440392416798</v>
      </c>
      <c r="D88" s="34">
        <f>C88*0.987</f>
        <v>2257.9046667315379</v>
      </c>
      <c r="E88" s="34">
        <v>2432.7791219885999</v>
      </c>
      <c r="F88" s="38">
        <f t="shared" si="54"/>
        <v>145.13508274692003</v>
      </c>
      <c r="G88" s="17">
        <f t="shared" si="55"/>
        <v>0.43828053962815977</v>
      </c>
      <c r="H88" s="40">
        <f>C88</f>
        <v>2287.6440392416798</v>
      </c>
      <c r="I88" s="41">
        <f t="shared" ref="I88:I100" si="64">H88-C88</f>
        <v>0</v>
      </c>
      <c r="J88" s="40"/>
      <c r="K88" s="40"/>
      <c r="L88" s="40">
        <f>C88*1.001</f>
        <v>2289.9316832809213</v>
      </c>
      <c r="M88" s="41">
        <f t="shared" si="56"/>
        <v>2.2876440392415134</v>
      </c>
      <c r="N88" s="40">
        <f>D88*1.02</f>
        <v>2303.0627600661687</v>
      </c>
      <c r="O88" s="41">
        <f t="shared" si="57"/>
        <v>15.418720824488901</v>
      </c>
      <c r="P88" s="40">
        <f>C88*1.0005</f>
        <v>2288.7878612613003</v>
      </c>
      <c r="Q88" s="41">
        <f t="shared" si="58"/>
        <v>1.1438220196205293</v>
      </c>
      <c r="R88" s="41">
        <f t="shared" ref="R88:R100" si="65">F88-Q88-O88-M88-I88</f>
        <v>126.28489586356909</v>
      </c>
      <c r="S88" s="16">
        <f t="shared" si="59"/>
        <v>0</v>
      </c>
      <c r="T88" s="32">
        <f t="shared" si="60"/>
        <v>0</v>
      </c>
      <c r="U88" s="31">
        <f t="shared" si="61"/>
        <v>0</v>
      </c>
      <c r="V88" s="16">
        <f t="shared" si="62"/>
        <v>6.344303582957346E-2</v>
      </c>
      <c r="W88" s="32">
        <f t="shared" si="63"/>
        <v>2.780584797903413E-2</v>
      </c>
    </row>
    <row r="89" spans="2:24" outlineLevel="1" x14ac:dyDescent="0.25">
      <c r="B89" s="44" t="str">
        <f t="shared" si="53"/>
        <v>Medicare - Advantage</v>
      </c>
      <c r="C89" s="34">
        <v>500</v>
      </c>
      <c r="D89" s="34">
        <f>C89*1.05</f>
        <v>525</v>
      </c>
      <c r="E89" s="34">
        <v>550</v>
      </c>
      <c r="F89" s="38">
        <f t="shared" si="54"/>
        <v>50</v>
      </c>
      <c r="G89" s="17">
        <f t="shared" si="55"/>
        <v>9.5792993164584145E-2</v>
      </c>
      <c r="H89" s="40">
        <f>C89</f>
        <v>500</v>
      </c>
      <c r="I89" s="41">
        <f t="shared" si="64"/>
        <v>0</v>
      </c>
      <c r="J89" s="40"/>
      <c r="K89" s="40"/>
      <c r="L89" s="40">
        <f>C89*1.01</f>
        <v>505</v>
      </c>
      <c r="M89" s="41">
        <f t="shared" si="56"/>
        <v>5</v>
      </c>
      <c r="N89" s="40">
        <f>D89*1.02</f>
        <v>535.5</v>
      </c>
      <c r="O89" s="41">
        <f t="shared" si="57"/>
        <v>35.5</v>
      </c>
      <c r="P89" s="40">
        <f>C89*1.0005</f>
        <v>500.25</v>
      </c>
      <c r="Q89" s="41">
        <f t="shared" si="58"/>
        <v>0.25</v>
      </c>
      <c r="R89" s="41">
        <f t="shared" si="65"/>
        <v>9.25</v>
      </c>
      <c r="S89" s="16">
        <f t="shared" si="59"/>
        <v>0</v>
      </c>
      <c r="T89" s="32">
        <f t="shared" si="60"/>
        <v>0</v>
      </c>
      <c r="U89" s="31">
        <f t="shared" si="61"/>
        <v>0</v>
      </c>
      <c r="V89" s="16">
        <f t="shared" si="62"/>
        <v>0.1</v>
      </c>
      <c r="W89" s="32">
        <f t="shared" si="63"/>
        <v>9.5792993164584145E-3</v>
      </c>
    </row>
    <row r="90" spans="2:24" outlineLevel="1" x14ac:dyDescent="0.25">
      <c r="B90" s="44" t="str">
        <f t="shared" si="53"/>
        <v>Commercial</v>
      </c>
      <c r="C90" s="34">
        <v>1423.6516455949234</v>
      </c>
      <c r="D90" s="34">
        <f>SUM(D91:D95)</f>
        <v>1439.0982659496281</v>
      </c>
      <c r="E90" s="34">
        <v>1474.191279013543</v>
      </c>
      <c r="F90" s="38">
        <f t="shared" si="54"/>
        <v>50.539633418619587</v>
      </c>
      <c r="G90" s="17">
        <f t="shared" si="55"/>
        <v>0.27275170471044691</v>
      </c>
      <c r="H90" s="40">
        <f>SUM(H91:H95)</f>
        <v>1516.7228719256914</v>
      </c>
      <c r="I90" s="41">
        <f t="shared" si="64"/>
        <v>93.071226330768013</v>
      </c>
      <c r="J90" s="40">
        <f>I90*0.4</f>
        <v>37.228490532307205</v>
      </c>
      <c r="K90" s="40">
        <f>I90*0.6</f>
        <v>55.842735798460808</v>
      </c>
      <c r="L90" s="40">
        <f>SUM(L91:L95)</f>
        <v>1489.1396212922898</v>
      </c>
      <c r="M90" s="41">
        <f t="shared" si="56"/>
        <v>65.487975697366437</v>
      </c>
      <c r="N90" s="40">
        <f>SUM(N91:N95)</f>
        <v>1439.0982659496281</v>
      </c>
      <c r="O90" s="41">
        <f t="shared" si="57"/>
        <v>15.446620354704692</v>
      </c>
      <c r="P90" s="40">
        <f>SUM(P91:P95)</f>
        <v>1437.8881620508726</v>
      </c>
      <c r="Q90" s="41">
        <f t="shared" si="58"/>
        <v>14.236516455949186</v>
      </c>
      <c r="R90" s="41">
        <f t="shared" si="65"/>
        <v>-137.70270542016874</v>
      </c>
      <c r="S90" s="16">
        <f t="shared" si="59"/>
        <v>6.5374999999999933E-2</v>
      </c>
      <c r="T90" s="32">
        <f t="shared" si="60"/>
        <v>8.7166666666666573E-2</v>
      </c>
      <c r="U90" s="31">
        <f t="shared" si="61"/>
        <v>1.7831142695445449E-2</v>
      </c>
      <c r="V90" s="16">
        <f t="shared" si="62"/>
        <v>3.5499999999999865E-2</v>
      </c>
      <c r="W90" s="32">
        <f t="shared" si="63"/>
        <v>9.6826855172208286E-3</v>
      </c>
    </row>
    <row r="91" spans="2:24" outlineLevel="1" x14ac:dyDescent="0.25">
      <c r="B91" s="33" t="str">
        <f t="shared" si="53"/>
        <v>Major Payer #1</v>
      </c>
      <c r="C91" s="35">
        <v>854.190987356954</v>
      </c>
      <c r="D91" s="35">
        <f>C91*0.991</f>
        <v>846.50326847074143</v>
      </c>
      <c r="E91" s="35">
        <v>871.27480710409304</v>
      </c>
      <c r="F91" s="39">
        <f t="shared" si="54"/>
        <v>17.083819747139046</v>
      </c>
      <c r="G91" s="61">
        <f t="shared" si="55"/>
        <v>0.16365102282626814</v>
      </c>
      <c r="H91" s="35">
        <f>C91*1.08</f>
        <v>922.52626634551041</v>
      </c>
      <c r="I91" s="42">
        <f t="shared" si="64"/>
        <v>68.335278988556411</v>
      </c>
      <c r="J91" s="67">
        <f t="shared" ref="J91:J95" si="66">I91*0.4</f>
        <v>27.334111595422566</v>
      </c>
      <c r="K91" s="67">
        <f t="shared" ref="K91:K95" si="67">I91*0.6</f>
        <v>41.001167393133848</v>
      </c>
      <c r="L91" s="35">
        <f>C91*1.07</f>
        <v>913.98435647194083</v>
      </c>
      <c r="M91" s="42">
        <f t="shared" si="56"/>
        <v>59.793369114986831</v>
      </c>
      <c r="N91" s="35">
        <f>D91</f>
        <v>846.50326847074143</v>
      </c>
      <c r="O91" s="41">
        <f t="shared" si="57"/>
        <v>-7.6877188862125649</v>
      </c>
      <c r="P91" s="35">
        <f t="shared" ref="P91:P96" si="68">C91*1.01</f>
        <v>862.73289723052358</v>
      </c>
      <c r="Q91" s="42">
        <f t="shared" si="58"/>
        <v>8.5419098735695798</v>
      </c>
      <c r="R91" s="42">
        <f t="shared" si="65"/>
        <v>-111.89901934376121</v>
      </c>
      <c r="S91" s="19">
        <f t="shared" si="59"/>
        <v>8.0000000000000113E-2</v>
      </c>
      <c r="T91" s="45">
        <f t="shared" si="60"/>
        <v>0.10666666666666681</v>
      </c>
      <c r="U91" s="46">
        <f t="shared" si="61"/>
        <v>1.309208182610147E-2</v>
      </c>
      <c r="V91" s="19">
        <f t="shared" si="62"/>
        <v>1.9999999999999959E-2</v>
      </c>
      <c r="W91" s="45">
        <f t="shared" si="63"/>
        <v>3.2730204565253563E-3</v>
      </c>
    </row>
    <row r="92" spans="2:24" outlineLevel="1" x14ac:dyDescent="0.25">
      <c r="B92" s="33" t="str">
        <f t="shared" si="53"/>
        <v>Major Payer #2</v>
      </c>
      <c r="C92" s="35">
        <v>284.73032911898468</v>
      </c>
      <c r="D92" s="35">
        <f>C92*1.033</f>
        <v>294.12642997991117</v>
      </c>
      <c r="E92" s="35">
        <v>304.66145215731365</v>
      </c>
      <c r="F92" s="39">
        <f t="shared" si="54"/>
        <v>19.931123038328963</v>
      </c>
      <c r="G92" s="61">
        <f t="shared" si="55"/>
        <v>5.4550340942089388E-2</v>
      </c>
      <c r="H92" s="35">
        <f>C92*1.045</f>
        <v>297.543193929339</v>
      </c>
      <c r="I92" s="42">
        <f t="shared" si="64"/>
        <v>12.812864810354313</v>
      </c>
      <c r="J92" s="67">
        <f t="shared" si="66"/>
        <v>5.1251459241417257</v>
      </c>
      <c r="K92" s="67">
        <f t="shared" si="67"/>
        <v>7.6877188862125871</v>
      </c>
      <c r="L92" s="35">
        <f>C92*1.01</f>
        <v>287.57763241017454</v>
      </c>
      <c r="M92" s="42">
        <f t="shared" si="56"/>
        <v>2.8473032911898599</v>
      </c>
      <c r="N92" s="35">
        <f>D92</f>
        <v>294.12642997991117</v>
      </c>
      <c r="O92" s="41">
        <f t="shared" si="57"/>
        <v>9.3961008609264809</v>
      </c>
      <c r="P92" s="35">
        <f t="shared" si="68"/>
        <v>287.57763241017454</v>
      </c>
      <c r="Q92" s="42">
        <f t="shared" si="58"/>
        <v>2.8473032911898599</v>
      </c>
      <c r="R92" s="42">
        <f t="shared" si="65"/>
        <v>-7.9724492153315509</v>
      </c>
      <c r="S92" s="19">
        <f t="shared" si="59"/>
        <v>4.5000000000000005E-2</v>
      </c>
      <c r="T92" s="45">
        <f t="shared" si="60"/>
        <v>6.0000000000000005E-2</v>
      </c>
      <c r="U92" s="46">
        <f t="shared" si="61"/>
        <v>2.4547653423940227E-3</v>
      </c>
      <c r="V92" s="19">
        <f t="shared" si="62"/>
        <v>7.0000000000000118E-2</v>
      </c>
      <c r="W92" s="45">
        <f t="shared" si="63"/>
        <v>3.8185238659462638E-3</v>
      </c>
    </row>
    <row r="93" spans="2:24" outlineLevel="1" x14ac:dyDescent="0.25">
      <c r="B93" s="33" t="str">
        <f t="shared" si="53"/>
        <v>Major Payer #3</v>
      </c>
      <c r="C93" s="35">
        <v>142.36516455949234</v>
      </c>
      <c r="D93" s="35">
        <f>C93*1.018</f>
        <v>144.92773752156322</v>
      </c>
      <c r="E93" s="35">
        <v>149.48342278746696</v>
      </c>
      <c r="F93" s="39">
        <f t="shared" si="54"/>
        <v>7.1182582279746214</v>
      </c>
      <c r="G93" s="61">
        <f t="shared" si="55"/>
        <v>2.7275170471044694E-2</v>
      </c>
      <c r="H93" s="35">
        <f>C93*1.035</f>
        <v>147.34794531907457</v>
      </c>
      <c r="I93" s="42">
        <f t="shared" si="64"/>
        <v>4.9827807595822264</v>
      </c>
      <c r="J93" s="67">
        <f t="shared" si="66"/>
        <v>1.9931123038328906</v>
      </c>
      <c r="K93" s="67">
        <f t="shared" si="67"/>
        <v>2.9896684557493356</v>
      </c>
      <c r="L93" s="35">
        <f>C93*1.01</f>
        <v>143.78881620508727</v>
      </c>
      <c r="M93" s="42">
        <f t="shared" si="56"/>
        <v>1.42365164559493</v>
      </c>
      <c r="N93" s="35">
        <f>D93</f>
        <v>144.92773752156322</v>
      </c>
      <c r="O93" s="41">
        <f t="shared" si="57"/>
        <v>2.5625729620708739</v>
      </c>
      <c r="P93" s="35">
        <f t="shared" si="68"/>
        <v>143.78881620508727</v>
      </c>
      <c r="Q93" s="42">
        <f t="shared" si="58"/>
        <v>1.42365164559493</v>
      </c>
      <c r="R93" s="42">
        <f t="shared" si="65"/>
        <v>-3.2743987848683389</v>
      </c>
      <c r="S93" s="19">
        <f t="shared" si="59"/>
        <v>3.4999999999999962E-2</v>
      </c>
      <c r="T93" s="45">
        <f t="shared" si="60"/>
        <v>4.6666666666666613E-2</v>
      </c>
      <c r="U93" s="46">
        <f t="shared" si="61"/>
        <v>9.5463096648656324E-4</v>
      </c>
      <c r="V93" s="19">
        <f t="shared" si="62"/>
        <v>5.0000000000000031E-2</v>
      </c>
      <c r="W93" s="45">
        <f t="shared" si="63"/>
        <v>1.3637585235522355E-3</v>
      </c>
    </row>
    <row r="94" spans="2:24" outlineLevel="1" x14ac:dyDescent="0.25">
      <c r="B94" s="33" t="str">
        <f t="shared" si="53"/>
        <v>Major Payer #4</v>
      </c>
      <c r="C94" s="35">
        <v>35.591291139873086</v>
      </c>
      <c r="D94" s="35">
        <f>C94*1.014</f>
        <v>36.089569215831311</v>
      </c>
      <c r="E94" s="35">
        <v>37.726768608265473</v>
      </c>
      <c r="F94" s="39">
        <f t="shared" si="54"/>
        <v>2.1354774683923878</v>
      </c>
      <c r="G94" s="61">
        <f t="shared" si="55"/>
        <v>6.8187926177611735E-3</v>
      </c>
      <c r="H94" s="35">
        <f>C94*1.051</f>
        <v>37.406446988006607</v>
      </c>
      <c r="I94" s="42">
        <f t="shared" si="64"/>
        <v>1.8151558481335215</v>
      </c>
      <c r="J94" s="67">
        <f t="shared" si="66"/>
        <v>0.72606233925340868</v>
      </c>
      <c r="K94" s="67">
        <f t="shared" si="67"/>
        <v>1.0890935088801128</v>
      </c>
      <c r="L94" s="35">
        <f>C94*1.01</f>
        <v>35.947204051271818</v>
      </c>
      <c r="M94" s="42">
        <f t="shared" si="56"/>
        <v>0.35591291139873249</v>
      </c>
      <c r="N94" s="35">
        <f>D94</f>
        <v>36.089569215831311</v>
      </c>
      <c r="O94" s="41">
        <f t="shared" si="57"/>
        <v>0.49827807595822549</v>
      </c>
      <c r="P94" s="35">
        <f t="shared" si="68"/>
        <v>35.947204051271818</v>
      </c>
      <c r="Q94" s="42">
        <f t="shared" si="58"/>
        <v>0.35591291139873249</v>
      </c>
      <c r="R94" s="42">
        <f t="shared" si="65"/>
        <v>-0.88978227849682412</v>
      </c>
      <c r="S94" s="19">
        <f t="shared" si="59"/>
        <v>5.0999999999999837E-2</v>
      </c>
      <c r="T94" s="45">
        <f t="shared" si="60"/>
        <v>6.7999999999999783E-2</v>
      </c>
      <c r="U94" s="46">
        <f t="shared" si="61"/>
        <v>3.4775842350581873E-4</v>
      </c>
      <c r="V94" s="19">
        <f t="shared" si="62"/>
        <v>6.0000000000000074E-2</v>
      </c>
      <c r="W94" s="45">
        <f t="shared" si="63"/>
        <v>4.091275570656709E-4</v>
      </c>
    </row>
    <row r="95" spans="2:24" outlineLevel="1" x14ac:dyDescent="0.25">
      <c r="B95" s="33" t="str">
        <f t="shared" si="53"/>
        <v>All other Commercial</v>
      </c>
      <c r="C95" s="35">
        <v>106.77387341961912</v>
      </c>
      <c r="D95" s="35">
        <f>C95*1.1</f>
        <v>117.45126076158104</v>
      </c>
      <c r="E95" s="35">
        <v>111.0448283564039</v>
      </c>
      <c r="F95" s="39">
        <f t="shared" si="54"/>
        <v>4.2709549367847757</v>
      </c>
      <c r="G95" s="61">
        <f t="shared" si="55"/>
        <v>2.0456377853283494E-2</v>
      </c>
      <c r="H95" s="35">
        <f>C95*1.048</f>
        <v>111.89901934376084</v>
      </c>
      <c r="I95" s="42">
        <f t="shared" si="64"/>
        <v>5.1251459241417194</v>
      </c>
      <c r="J95" s="67">
        <f t="shared" si="66"/>
        <v>2.0500583696566879</v>
      </c>
      <c r="K95" s="67">
        <f t="shared" si="67"/>
        <v>3.0750875544850316</v>
      </c>
      <c r="L95" s="35">
        <f>C95*1.01</f>
        <v>107.84161215381532</v>
      </c>
      <c r="M95" s="42">
        <f t="shared" si="56"/>
        <v>1.0677387341961975</v>
      </c>
      <c r="N95" s="35">
        <f>D95</f>
        <v>117.45126076158104</v>
      </c>
      <c r="O95" s="41">
        <f t="shared" si="57"/>
        <v>10.677387341961918</v>
      </c>
      <c r="P95" s="35">
        <f t="shared" si="68"/>
        <v>107.84161215381532</v>
      </c>
      <c r="Q95" s="42">
        <f t="shared" si="58"/>
        <v>1.0677387341961975</v>
      </c>
      <c r="R95" s="42">
        <f t="shared" si="65"/>
        <v>-13.667055797711257</v>
      </c>
      <c r="S95" s="19">
        <f t="shared" si="59"/>
        <v>4.8000000000000015E-2</v>
      </c>
      <c r="T95" s="45">
        <f t="shared" si="60"/>
        <v>6.4000000000000015E-2</v>
      </c>
      <c r="U95" s="46">
        <f t="shared" si="61"/>
        <v>9.8190613695760807E-4</v>
      </c>
      <c r="V95" s="19">
        <f t="shared" si="62"/>
        <v>4.0000000000000098E-2</v>
      </c>
      <c r="W95" s="45">
        <f t="shared" si="63"/>
        <v>8.1825511413134179E-4</v>
      </c>
    </row>
    <row r="96" spans="2:24" outlineLevel="1" x14ac:dyDescent="0.25">
      <c r="B96" s="30" t="str">
        <f t="shared" si="53"/>
        <v>Fixed Prospective Payments</v>
      </c>
      <c r="C96" s="34">
        <v>0</v>
      </c>
      <c r="D96" s="34">
        <f>SUM(D97,D98,D99)</f>
        <v>0</v>
      </c>
      <c r="E96" s="34">
        <v>0</v>
      </c>
      <c r="F96" s="38">
        <f t="shared" si="54"/>
        <v>0</v>
      </c>
      <c r="G96" s="17">
        <f t="shared" si="55"/>
        <v>0</v>
      </c>
      <c r="H96" s="34">
        <f>C96</f>
        <v>0</v>
      </c>
      <c r="I96" s="41">
        <f t="shared" si="64"/>
        <v>0</v>
      </c>
      <c r="J96" s="67"/>
      <c r="K96" s="67"/>
      <c r="L96" s="34">
        <f>C96*1.015</f>
        <v>0</v>
      </c>
      <c r="M96" s="41">
        <f t="shared" si="56"/>
        <v>0</v>
      </c>
      <c r="N96" s="35">
        <v>0</v>
      </c>
      <c r="O96" s="41">
        <f t="shared" si="57"/>
        <v>0</v>
      </c>
      <c r="P96" s="34">
        <f t="shared" si="68"/>
        <v>0</v>
      </c>
      <c r="Q96" s="41">
        <f t="shared" si="58"/>
        <v>0</v>
      </c>
      <c r="R96" s="41">
        <f t="shared" si="65"/>
        <v>0</v>
      </c>
      <c r="S96" s="16">
        <f t="shared" si="59"/>
        <v>0</v>
      </c>
      <c r="T96" s="32">
        <f t="shared" si="60"/>
        <v>0</v>
      </c>
      <c r="U96" s="31">
        <f t="shared" si="61"/>
        <v>0</v>
      </c>
      <c r="V96" s="16">
        <f t="shared" si="62"/>
        <v>0</v>
      </c>
      <c r="W96" s="32">
        <f t="shared" si="63"/>
        <v>0</v>
      </c>
    </row>
    <row r="97" spans="2:24" outlineLevel="1" x14ac:dyDescent="0.25">
      <c r="B97" s="33" t="str">
        <f t="shared" si="53"/>
        <v>FPP - Medicare</v>
      </c>
      <c r="C97" s="35">
        <v>0</v>
      </c>
      <c r="D97" s="35">
        <f>C97*1.01</f>
        <v>0</v>
      </c>
      <c r="E97" s="35">
        <v>0</v>
      </c>
      <c r="F97" s="39">
        <f t="shared" si="54"/>
        <v>0</v>
      </c>
      <c r="G97" s="61">
        <f t="shared" si="55"/>
        <v>0</v>
      </c>
      <c r="H97" s="35">
        <f>H96*0.6</f>
        <v>0</v>
      </c>
      <c r="I97" s="42">
        <f t="shared" si="64"/>
        <v>0</v>
      </c>
      <c r="J97" s="67"/>
      <c r="K97" s="67"/>
      <c r="L97" s="35">
        <f>L96*0.6</f>
        <v>0</v>
      </c>
      <c r="M97" s="42">
        <f t="shared" si="56"/>
        <v>0</v>
      </c>
      <c r="N97" s="35">
        <f>N96*0.5</f>
        <v>0</v>
      </c>
      <c r="O97" s="42">
        <f t="shared" si="57"/>
        <v>0</v>
      </c>
      <c r="P97" s="35">
        <f>P96*0.6</f>
        <v>0</v>
      </c>
      <c r="Q97" s="42">
        <f t="shared" si="58"/>
        <v>0</v>
      </c>
      <c r="R97" s="42">
        <f t="shared" si="65"/>
        <v>0</v>
      </c>
      <c r="S97" s="19">
        <f t="shared" si="59"/>
        <v>0</v>
      </c>
      <c r="T97" s="45">
        <f t="shared" si="60"/>
        <v>0</v>
      </c>
      <c r="U97" s="46">
        <f t="shared" si="61"/>
        <v>0</v>
      </c>
      <c r="V97" s="19">
        <f t="shared" si="62"/>
        <v>0</v>
      </c>
      <c r="W97" s="45">
        <f t="shared" si="63"/>
        <v>0</v>
      </c>
    </row>
    <row r="98" spans="2:24" outlineLevel="1" x14ac:dyDescent="0.25">
      <c r="B98" s="33" t="str">
        <f t="shared" si="53"/>
        <v>FPP - Medicaid</v>
      </c>
      <c r="C98" s="35">
        <v>0</v>
      </c>
      <c r="D98" s="35">
        <f>C98*1.08</f>
        <v>0</v>
      </c>
      <c r="E98" s="35">
        <v>0</v>
      </c>
      <c r="F98" s="39">
        <f t="shared" si="54"/>
        <v>0</v>
      </c>
      <c r="G98" s="61">
        <f t="shared" si="55"/>
        <v>0</v>
      </c>
      <c r="H98" s="35">
        <f>H96*0.4</f>
        <v>0</v>
      </c>
      <c r="I98" s="42">
        <f t="shared" si="64"/>
        <v>0</v>
      </c>
      <c r="J98" s="67"/>
      <c r="K98" s="67"/>
      <c r="L98" s="35">
        <f>L96*0.4</f>
        <v>0</v>
      </c>
      <c r="M98" s="42">
        <f t="shared" si="56"/>
        <v>0</v>
      </c>
      <c r="N98" s="35">
        <f>N96*0.5</f>
        <v>0</v>
      </c>
      <c r="O98" s="42">
        <f t="shared" si="57"/>
        <v>0</v>
      </c>
      <c r="P98" s="35">
        <f>P96*0.4</f>
        <v>0</v>
      </c>
      <c r="Q98" s="42">
        <f t="shared" si="58"/>
        <v>0</v>
      </c>
      <c r="R98" s="42">
        <f t="shared" si="65"/>
        <v>0</v>
      </c>
      <c r="S98" s="19">
        <f t="shared" si="59"/>
        <v>0</v>
      </c>
      <c r="T98" s="45">
        <f t="shared" si="60"/>
        <v>0</v>
      </c>
      <c r="U98" s="46">
        <f t="shared" si="61"/>
        <v>0</v>
      </c>
      <c r="V98" s="19">
        <f t="shared" si="62"/>
        <v>0</v>
      </c>
      <c r="W98" s="45">
        <f t="shared" si="63"/>
        <v>0</v>
      </c>
    </row>
    <row r="99" spans="2:24" outlineLevel="1" x14ac:dyDescent="0.25">
      <c r="B99" s="33" t="s">
        <v>83</v>
      </c>
      <c r="C99" s="35">
        <v>0</v>
      </c>
      <c r="D99" s="35">
        <v>0</v>
      </c>
      <c r="E99" s="35">
        <v>0</v>
      </c>
      <c r="F99" s="39"/>
      <c r="G99" s="61">
        <f t="shared" si="55"/>
        <v>0</v>
      </c>
      <c r="H99" s="35">
        <v>0</v>
      </c>
      <c r="I99" s="42">
        <f t="shared" si="64"/>
        <v>0</v>
      </c>
      <c r="J99" s="67"/>
      <c r="K99" s="67"/>
      <c r="L99" s="35">
        <v>0</v>
      </c>
      <c r="M99" s="42">
        <f t="shared" si="56"/>
        <v>0</v>
      </c>
      <c r="N99" s="35">
        <v>0</v>
      </c>
      <c r="O99" s="42">
        <f t="shared" si="57"/>
        <v>0</v>
      </c>
      <c r="P99" s="35">
        <v>0</v>
      </c>
      <c r="Q99" s="42">
        <f t="shared" si="58"/>
        <v>0</v>
      </c>
      <c r="R99" s="42">
        <f t="shared" si="65"/>
        <v>0</v>
      </c>
      <c r="S99" s="19">
        <f t="shared" si="59"/>
        <v>0</v>
      </c>
      <c r="T99" s="45">
        <f t="shared" si="60"/>
        <v>0</v>
      </c>
      <c r="U99" s="46">
        <f t="shared" si="61"/>
        <v>0</v>
      </c>
      <c r="V99" s="19">
        <f t="shared" si="62"/>
        <v>0</v>
      </c>
      <c r="W99" s="45">
        <f t="shared" si="63"/>
        <v>0</v>
      </c>
      <c r="X99" s="13"/>
    </row>
    <row r="100" spans="2:24" outlineLevel="1" x14ac:dyDescent="0.25">
      <c r="B100" s="18" t="str">
        <f t="shared" ref="B100" si="69">B83</f>
        <v>Other (Bad Debt, Free Care, DSH)</v>
      </c>
      <c r="C100" s="49">
        <v>115.99085427908967</v>
      </c>
      <c r="D100" s="49">
        <f>C100*1.05</f>
        <v>121.79039699304417</v>
      </c>
      <c r="E100" s="49">
        <v>121.79039699304417</v>
      </c>
      <c r="F100" s="50">
        <f>E100-C100</f>
        <v>5.7995427139544944</v>
      </c>
      <c r="G100" s="58">
        <f t="shared" si="55"/>
        <v>2.2222222222222223E-2</v>
      </c>
      <c r="H100" s="49">
        <f>C100</f>
        <v>115.99085427908967</v>
      </c>
      <c r="I100" s="52">
        <f t="shared" si="64"/>
        <v>0</v>
      </c>
      <c r="J100" s="68"/>
      <c r="K100" s="68"/>
      <c r="L100" s="49">
        <f>C100*1.015</f>
        <v>117.73071709327601</v>
      </c>
      <c r="M100" s="52">
        <f t="shared" si="56"/>
        <v>1.7398628141863384</v>
      </c>
      <c r="N100" s="49">
        <f>D100</f>
        <v>121.79039699304417</v>
      </c>
      <c r="O100" s="52">
        <f t="shared" si="57"/>
        <v>5.7995427139544944</v>
      </c>
      <c r="P100" s="49">
        <f>C100*1.02</f>
        <v>118.31067136467146</v>
      </c>
      <c r="Q100" s="52">
        <f t="shared" si="58"/>
        <v>2.3198170855817892</v>
      </c>
      <c r="R100" s="52">
        <f t="shared" si="65"/>
        <v>-4.0596798997681276</v>
      </c>
      <c r="S100" s="15">
        <f t="shared" si="59"/>
        <v>0</v>
      </c>
      <c r="T100" s="47">
        <f t="shared" si="60"/>
        <v>0</v>
      </c>
      <c r="U100" s="48">
        <f t="shared" si="61"/>
        <v>0</v>
      </c>
      <c r="V100" s="15">
        <f t="shared" si="62"/>
        <v>5.0000000000000093E-2</v>
      </c>
      <c r="W100" s="47">
        <f t="shared" si="63"/>
        <v>1.1111111111111133E-3</v>
      </c>
    </row>
    <row r="101" spans="2:24" outlineLevel="1" x14ac:dyDescent="0.25">
      <c r="B101" s="7" t="s">
        <v>27</v>
      </c>
      <c r="C101" s="36">
        <f>SUM(C87,C88,C89,C90,C96,C100)</f>
        <v>5219.5884425590348</v>
      </c>
      <c r="D101" s="36">
        <f>SUM(D87,D88,D89,D90,D96,D100)</f>
        <v>5245.0182521519846</v>
      </c>
      <c r="E101" s="36">
        <f>SUM(E87,E88,E89,E90,E96,E100)</f>
        <v>5560.2928917828622</v>
      </c>
      <c r="F101" s="36">
        <f>E101-C101</f>
        <v>340.7044492238274</v>
      </c>
      <c r="G101" s="53">
        <f>SUM(G100,G96,G90,G89,G88,G87)</f>
        <v>0.99999999999999978</v>
      </c>
      <c r="H101" s="36">
        <f>SUM(H87:H100)-H90-H96</f>
        <v>5312.6596688898044</v>
      </c>
      <c r="I101" s="36">
        <f>SUM(I87,I88,I89,I90,I96,I100)</f>
        <v>93.071226330768013</v>
      </c>
      <c r="J101" s="36">
        <f>SUM(J91:J95)</f>
        <v>37.228490532307276</v>
      </c>
      <c r="K101" s="36">
        <f>SUM(K91:K95)</f>
        <v>55.842735798460915</v>
      </c>
      <c r="L101" s="36">
        <f>SUM(L87:L100)-L90-L96</f>
        <v>5311.9499631786957</v>
      </c>
      <c r="M101" s="36">
        <f>SUM(M87,M88,M89,M90,M96,M100)</f>
        <v>92.361520619661135</v>
      </c>
      <c r="N101" s="36">
        <f>SUM(N87:N100)-N90-N96</f>
        <v>5336.7253423857255</v>
      </c>
      <c r="O101" s="36">
        <f>SUM(O87,O88,O89,O90,O96,O100)</f>
        <v>117.1368998266925</v>
      </c>
      <c r="P101" s="36">
        <f>SUM(P87:P100)-P90-P96</f>
        <v>5237.9847490719076</v>
      </c>
      <c r="Q101" s="36">
        <f>SUM(Q87,Q88,Q89,Q90,Q96,Q100)</f>
        <v>18.396306512873124</v>
      </c>
      <c r="R101" s="36">
        <f>SUM(R87,R88,R89,R90,R96,R100)</f>
        <v>19.738495933833576</v>
      </c>
      <c r="S101" s="56">
        <f t="shared" si="59"/>
        <v>1.7831142695445449E-2</v>
      </c>
      <c r="T101" s="59">
        <f t="shared" si="60"/>
        <v>2.3774856927260599E-2</v>
      </c>
      <c r="U101" s="10">
        <f>SUM(U87:U90,U96,U100)</f>
        <v>1.7831142695445449E-2</v>
      </c>
      <c r="V101" s="14">
        <f t="shared" si="62"/>
        <v>6.5274197951283003E-2</v>
      </c>
      <c r="W101" s="9">
        <f>SUM(W87:W90,W96,W100)</f>
        <v>6.5274197951283197E-2</v>
      </c>
    </row>
    <row r="102" spans="2:24" outlineLevel="1" x14ac:dyDescent="0.25">
      <c r="B102" s="13"/>
      <c r="C102" s="24"/>
      <c r="D102" s="24"/>
      <c r="E102" s="24"/>
      <c r="F102" s="24"/>
      <c r="G102" s="25"/>
      <c r="H102" s="24"/>
      <c r="I102" s="24"/>
      <c r="J102" s="24"/>
      <c r="K102" s="24"/>
      <c r="L102" s="24"/>
      <c r="M102" s="24"/>
      <c r="N102" s="24"/>
      <c r="O102" s="24"/>
      <c r="P102" s="24"/>
      <c r="Q102" s="24"/>
      <c r="R102" s="24"/>
      <c r="S102" s="23"/>
      <c r="T102" s="10"/>
      <c r="U102" s="10"/>
      <c r="V102" s="14"/>
      <c r="W102" s="9"/>
    </row>
    <row r="103" spans="2:24" ht="75" customHeight="1" x14ac:dyDescent="0.25">
      <c r="B103" s="22" t="s">
        <v>28</v>
      </c>
      <c r="C103" s="21" t="str">
        <f>C86</f>
        <v>NPR FY24
Budget</v>
      </c>
      <c r="D103" s="21" t="str">
        <f t="shared" ref="D103:W103" si="70">D86</f>
        <v>NPR FY24
Proj.</v>
      </c>
      <c r="E103" s="21" t="str">
        <f t="shared" si="70"/>
        <v>NPR FY25
Budget</v>
      </c>
      <c r="F103" s="21" t="str">
        <f t="shared" si="70"/>
        <v>NPR YOY 
(Budget to Budget)</v>
      </c>
      <c r="G103" s="21" t="str">
        <f t="shared" si="70"/>
        <v>W</v>
      </c>
      <c r="H103" s="21" t="str">
        <f t="shared" si="70"/>
        <v>NPR FY24 @FY25 Comm. Prices</v>
      </c>
      <c r="I103" s="21" t="str">
        <f t="shared" si="70"/>
        <v>NPR FY25 due to Comm. Price</v>
      </c>
      <c r="J103" s="21" t="str">
        <f t="shared" si="70"/>
        <v>NPR FY25 due to Comm. Price
(FY24 Proj. to FY24 Budget)</v>
      </c>
      <c r="K103" s="21" t="str">
        <f t="shared" si="70"/>
        <v>NPR FY25 due to Comm. Price
(FY25 Budget to FY24 Proj.)</v>
      </c>
      <c r="L103" s="21" t="str">
        <f t="shared" si="70"/>
        <v>NPR FY24 @FY25 Utiliz.</v>
      </c>
      <c r="M103" s="21" t="str">
        <f t="shared" si="70"/>
        <v>NPR FY25 due to Utiliz.</v>
      </c>
      <c r="N103" s="21" t="str">
        <f t="shared" si="70"/>
        <v>NPR FY24 @FY25 Public Payer Prices</v>
      </c>
      <c r="O103" s="21" t="str">
        <f t="shared" si="70"/>
        <v>NPR FY25 due to Public Payer Prices</v>
      </c>
      <c r="P103" s="21" t="str">
        <f t="shared" si="70"/>
        <v>NPR FY24 @FY25 Payer Mix</v>
      </c>
      <c r="Q103" s="21" t="str">
        <f t="shared" si="70"/>
        <v>NPR FY25 due to Payer Mix</v>
      </c>
      <c r="R103" s="21" t="str">
        <f t="shared" si="70"/>
        <v>NPR FY25 due to all other</v>
      </c>
      <c r="S103" s="21" t="str">
        <f t="shared" si="70"/>
        <v>FY25
Comm Rate NPR Impact</v>
      </c>
      <c r="T103" s="20" t="str">
        <f t="shared" si="70"/>
        <v>FY25
Estimated AnnualizedComm Rate</v>
      </c>
      <c r="U103" s="20" t="str">
        <f t="shared" si="70"/>
        <v>FY25 Comm Rate (WAvg)</v>
      </c>
      <c r="V103" s="21" t="str">
        <f t="shared" si="70"/>
        <v>FY25 NPR Growth</v>
      </c>
      <c r="W103" s="20" t="str">
        <f t="shared" si="70"/>
        <v>FY25 NPR Growth
(WAvg)</v>
      </c>
    </row>
    <row r="104" spans="2:24" x14ac:dyDescent="0.25">
      <c r="B104" s="44" t="str">
        <f t="shared" ref="B104:B115" si="71">B87</f>
        <v>Medicaid</v>
      </c>
      <c r="C104" s="34">
        <f t="shared" ref="C104" si="72">C35+C52+C70+C87</f>
        <v>122930.68071038699</v>
      </c>
      <c r="D104" s="34">
        <f t="shared" ref="D104:E115" si="73">D35+D52+D70+D87</f>
        <v>124159.98751749085</v>
      </c>
      <c r="E104" s="34">
        <f t="shared" si="73"/>
        <v>128680.107909924</v>
      </c>
      <c r="F104" s="38">
        <f t="shared" ref="F104:F115" si="74">E104-C104</f>
        <v>5749.4271995370073</v>
      </c>
      <c r="G104" s="17">
        <f t="shared" ref="G104:G117" si="75">IFERROR(C104/C$118,"")</f>
        <v>0.122930680710387</v>
      </c>
      <c r="H104" s="34">
        <f>C104</f>
        <v>122930.68071038699</v>
      </c>
      <c r="I104" s="41">
        <f>H104-C104</f>
        <v>0</v>
      </c>
      <c r="J104" s="40"/>
      <c r="K104" s="40"/>
      <c r="L104" s="40">
        <f t="shared" ref="L104:L115" si="76">L35+L52+L70+L87</f>
        <v>125389.29432459472</v>
      </c>
      <c r="M104" s="41">
        <f>L104-C104</f>
        <v>2458.6136142077303</v>
      </c>
      <c r="N104" s="40">
        <f t="shared" ref="N104:N115" si="77">N35+N52+N70+N87</f>
        <v>126681.9573670918</v>
      </c>
      <c r="O104" s="41">
        <f t="shared" ref="O104:O117" si="78">N104-C104</f>
        <v>3751.2766567048093</v>
      </c>
      <c r="P104" s="40">
        <f>C104*1.0005</f>
        <v>122992.14605074219</v>
      </c>
      <c r="Q104" s="41">
        <f t="shared" ref="Q104:Q117" si="79">P104-C104</f>
        <v>61.465340355192893</v>
      </c>
      <c r="R104" s="41">
        <f>F104-Q104-O104-M104-I104</f>
        <v>-521.9284117307252</v>
      </c>
      <c r="S104" s="16">
        <f t="shared" ref="S104:S118" si="80">IFERROR(I104/C104,0%)</f>
        <v>0</v>
      </c>
      <c r="T104" s="32">
        <f t="shared" ref="T104:T118" si="81">S104/E$32</f>
        <v>0</v>
      </c>
      <c r="U104" s="31">
        <f t="shared" ref="U104:U117" si="82">IFERROR(S104*G104,0%)</f>
        <v>0</v>
      </c>
      <c r="V104" s="16">
        <f t="shared" ref="V104:V118" si="83">IFERROR((E104-C104)/C104,0%)</f>
        <v>4.676966861577958E-2</v>
      </c>
      <c r="W104" s="32">
        <f t="shared" ref="W104:W118" si="84">IFERROR(V104*G104,0%)</f>
        <v>5.7494271995370072E-3</v>
      </c>
    </row>
    <row r="105" spans="2:24" x14ac:dyDescent="0.25">
      <c r="B105" s="44" t="str">
        <f t="shared" si="71"/>
        <v>Medicare - Traditional</v>
      </c>
      <c r="C105" s="34">
        <f t="shared" ref="C105" si="85">C36+C53+C71+C88</f>
        <v>353755.83033611294</v>
      </c>
      <c r="D105" s="34">
        <f t="shared" si="73"/>
        <v>349157.00454174349</v>
      </c>
      <c r="E105" s="34">
        <f t="shared" si="73"/>
        <v>371553.46762314299</v>
      </c>
      <c r="F105" s="38">
        <f t="shared" si="74"/>
        <v>17797.637287030055</v>
      </c>
      <c r="G105" s="17">
        <f t="shared" si="75"/>
        <v>0.35375583033611296</v>
      </c>
      <c r="H105" s="40">
        <f>C105</f>
        <v>353755.83033611294</v>
      </c>
      <c r="I105" s="41">
        <f t="shared" ref="I105:I117" si="86">H105-C105</f>
        <v>0</v>
      </c>
      <c r="J105" s="40"/>
      <c r="K105" s="40"/>
      <c r="L105" s="40">
        <f t="shared" si="76"/>
        <v>354109.58616644907</v>
      </c>
      <c r="M105" s="41">
        <f t="shared" ref="M105:M117" si="87">L105-C105</f>
        <v>353.75583033612929</v>
      </c>
      <c r="N105" s="40">
        <f t="shared" si="77"/>
        <v>363745.01236040174</v>
      </c>
      <c r="O105" s="41">
        <f t="shared" si="78"/>
        <v>9989.1820242888061</v>
      </c>
      <c r="P105" s="40">
        <f>C105*1.0005</f>
        <v>353932.708251281</v>
      </c>
      <c r="Q105" s="41">
        <f t="shared" si="79"/>
        <v>176.87791516806465</v>
      </c>
      <c r="R105" s="41">
        <f t="shared" ref="R105:R117" si="88">F105-Q105-O105-M105-I105</f>
        <v>7277.8215172370546</v>
      </c>
      <c r="S105" s="16">
        <f t="shared" si="80"/>
        <v>0</v>
      </c>
      <c r="T105" s="32">
        <f t="shared" si="81"/>
        <v>0</v>
      </c>
      <c r="U105" s="31">
        <f t="shared" si="82"/>
        <v>0</v>
      </c>
      <c r="V105" s="16">
        <f t="shared" si="83"/>
        <v>5.0310512960648708E-2</v>
      </c>
      <c r="W105" s="32">
        <f t="shared" si="84"/>
        <v>1.7797637287030058E-2</v>
      </c>
    </row>
    <row r="106" spans="2:24" x14ac:dyDescent="0.25">
      <c r="B106" s="44" t="str">
        <f t="shared" si="71"/>
        <v>Medicare - Advantage</v>
      </c>
      <c r="C106" s="34">
        <f t="shared" ref="C106" si="89">C37+C54+C72+C89</f>
        <v>73500</v>
      </c>
      <c r="D106" s="34">
        <f t="shared" si="73"/>
        <v>77175</v>
      </c>
      <c r="E106" s="34">
        <f t="shared" si="73"/>
        <v>78550</v>
      </c>
      <c r="F106" s="38">
        <f t="shared" si="74"/>
        <v>5050</v>
      </c>
      <c r="G106" s="17">
        <f t="shared" si="75"/>
        <v>7.3499999999999996E-2</v>
      </c>
      <c r="H106" s="40">
        <f>C106</f>
        <v>73500</v>
      </c>
      <c r="I106" s="41">
        <f t="shared" si="86"/>
        <v>0</v>
      </c>
      <c r="J106" s="40"/>
      <c r="K106" s="40"/>
      <c r="L106" s="40">
        <f t="shared" si="76"/>
        <v>74235</v>
      </c>
      <c r="M106" s="41">
        <f t="shared" si="87"/>
        <v>735</v>
      </c>
      <c r="N106" s="40">
        <f t="shared" si="77"/>
        <v>77545.5</v>
      </c>
      <c r="O106" s="41">
        <f t="shared" si="78"/>
        <v>4045.5</v>
      </c>
      <c r="P106" s="40">
        <f>C106*1.0005</f>
        <v>73536.75</v>
      </c>
      <c r="Q106" s="41">
        <f t="shared" si="79"/>
        <v>36.75</v>
      </c>
      <c r="R106" s="41">
        <f t="shared" si="88"/>
        <v>232.75</v>
      </c>
      <c r="S106" s="16">
        <f t="shared" si="80"/>
        <v>0</v>
      </c>
      <c r="T106" s="32">
        <f t="shared" si="81"/>
        <v>0</v>
      </c>
      <c r="U106" s="31">
        <f t="shared" si="82"/>
        <v>0</v>
      </c>
      <c r="V106" s="16">
        <f t="shared" si="83"/>
        <v>6.8707482993197275E-2</v>
      </c>
      <c r="W106" s="32">
        <f t="shared" si="84"/>
        <v>5.0499999999999998E-3</v>
      </c>
    </row>
    <row r="107" spans="2:24" x14ac:dyDescent="0.25">
      <c r="B107" s="44" t="str">
        <f t="shared" si="71"/>
        <v>Commercial</v>
      </c>
      <c r="C107" s="34">
        <f t="shared" ref="C107" si="90">C38+C55+C73+C90</f>
        <v>329813.48895350005</v>
      </c>
      <c r="D107" s="34">
        <f t="shared" si="73"/>
        <v>333391.96530864557</v>
      </c>
      <c r="E107" s="34">
        <f t="shared" si="73"/>
        <v>356434.75885742228</v>
      </c>
      <c r="F107" s="38">
        <f t="shared" si="74"/>
        <v>26621.269903922221</v>
      </c>
      <c r="G107" s="17">
        <f t="shared" si="75"/>
        <v>0.32981348895350004</v>
      </c>
      <c r="H107" s="40">
        <f>SUM(H108:H112)</f>
        <v>351375.04579383525</v>
      </c>
      <c r="I107" s="41">
        <f t="shared" si="86"/>
        <v>21561.556840335194</v>
      </c>
      <c r="J107" s="40">
        <f>I107*0.4</f>
        <v>8624.6227361340771</v>
      </c>
      <c r="K107" s="40">
        <f>I107*0.6</f>
        <v>12936.934104201116</v>
      </c>
      <c r="L107" s="40">
        <f t="shared" si="76"/>
        <v>344984.90944536118</v>
      </c>
      <c r="M107" s="41">
        <f t="shared" si="87"/>
        <v>15171.420491861121</v>
      </c>
      <c r="N107" s="40">
        <f t="shared" si="77"/>
        <v>332589.44251271168</v>
      </c>
      <c r="O107" s="41">
        <f t="shared" si="78"/>
        <v>2775.9535592116299</v>
      </c>
      <c r="P107" s="40">
        <f>SUM(P108:P112)</f>
        <v>333111.62384303514</v>
      </c>
      <c r="Q107" s="41">
        <f t="shared" si="79"/>
        <v>3298.134889535082</v>
      </c>
      <c r="R107" s="41">
        <f t="shared" si="88"/>
        <v>-16185.795877020806</v>
      </c>
      <c r="S107" s="16">
        <f t="shared" si="80"/>
        <v>6.5375000000000391E-2</v>
      </c>
      <c r="T107" s="32">
        <f t="shared" si="81"/>
        <v>8.7166666666667184E-2</v>
      </c>
      <c r="U107" s="31">
        <f t="shared" si="82"/>
        <v>2.1561556840335193E-2</v>
      </c>
      <c r="V107" s="16">
        <f t="shared" si="83"/>
        <v>8.0716134407939621E-2</v>
      </c>
      <c r="W107" s="32">
        <f t="shared" si="84"/>
        <v>2.6621269903922218E-2</v>
      </c>
    </row>
    <row r="108" spans="2:24" x14ac:dyDescent="0.25">
      <c r="B108" s="33" t="str">
        <f t="shared" si="71"/>
        <v>Major Payer #1</v>
      </c>
      <c r="C108" s="35">
        <f t="shared" ref="C108" si="91">C39+C56+C74+C91</f>
        <v>197888.09337210006</v>
      </c>
      <c r="D108" s="35">
        <f t="shared" si="73"/>
        <v>196107.10053175114</v>
      </c>
      <c r="E108" s="35">
        <f t="shared" si="73"/>
        <v>217348.59918647516</v>
      </c>
      <c r="F108" s="39">
        <f t="shared" si="74"/>
        <v>19460.505814375094</v>
      </c>
      <c r="G108" s="61">
        <f t="shared" si="75"/>
        <v>0.19788809337210006</v>
      </c>
      <c r="H108" s="35">
        <f>C108*1.08</f>
        <v>213719.14084186809</v>
      </c>
      <c r="I108" s="42">
        <f t="shared" si="86"/>
        <v>15831.047469768033</v>
      </c>
      <c r="J108" s="67">
        <f t="shared" ref="J108:J112" si="92">I108*0.4</f>
        <v>6332.4189879072137</v>
      </c>
      <c r="K108" s="67">
        <f t="shared" ref="K108:K112" si="93">I108*0.6</f>
        <v>9498.6284818608201</v>
      </c>
      <c r="L108" s="35">
        <f t="shared" si="76"/>
        <v>211740.25990814707</v>
      </c>
      <c r="M108" s="42">
        <f t="shared" si="87"/>
        <v>13852.166536047007</v>
      </c>
      <c r="N108" s="35">
        <f t="shared" si="77"/>
        <v>196506.51279885188</v>
      </c>
      <c r="O108" s="41">
        <f t="shared" si="78"/>
        <v>-1381.5805732481822</v>
      </c>
      <c r="P108" s="35">
        <f t="shared" ref="P108:P113" si="94">C108*1.01</f>
        <v>199866.97430582106</v>
      </c>
      <c r="Q108" s="42">
        <f t="shared" si="79"/>
        <v>1978.8809337209968</v>
      </c>
      <c r="R108" s="42">
        <f t="shared" si="88"/>
        <v>-10820.008551912761</v>
      </c>
      <c r="S108" s="19">
        <f t="shared" si="80"/>
        <v>8.000000000000014E-2</v>
      </c>
      <c r="T108" s="45">
        <f t="shared" si="81"/>
        <v>0.10666666666666685</v>
      </c>
      <c r="U108" s="46">
        <f t="shared" si="82"/>
        <v>1.5831047469768031E-2</v>
      </c>
      <c r="V108" s="19">
        <f t="shared" si="83"/>
        <v>9.8340963737431217E-2</v>
      </c>
      <c r="W108" s="45">
        <f t="shared" si="84"/>
        <v>1.9460505814375095E-2</v>
      </c>
    </row>
    <row r="109" spans="2:24" x14ac:dyDescent="0.25">
      <c r="B109" s="33" t="str">
        <f t="shared" si="71"/>
        <v>Major Payer #2</v>
      </c>
      <c r="C109" s="35">
        <f t="shared" ref="C109" si="95">C40+C57+C75+C92</f>
        <v>65962.697790700026</v>
      </c>
      <c r="D109" s="35">
        <f t="shared" si="73"/>
        <v>68139.466817793102</v>
      </c>
      <c r="E109" s="35">
        <f t="shared" si="73"/>
        <v>69952.859071934014</v>
      </c>
      <c r="F109" s="39">
        <f t="shared" si="74"/>
        <v>3990.1612812339881</v>
      </c>
      <c r="G109" s="61">
        <f t="shared" si="75"/>
        <v>6.596269779070002E-2</v>
      </c>
      <c r="H109" s="35">
        <f>C109*1.045</f>
        <v>68931.019191281521</v>
      </c>
      <c r="I109" s="42">
        <f t="shared" si="86"/>
        <v>2968.3214005814953</v>
      </c>
      <c r="J109" s="67">
        <f t="shared" si="92"/>
        <v>1187.3285602325982</v>
      </c>
      <c r="K109" s="67">
        <f t="shared" si="93"/>
        <v>1780.9928403488971</v>
      </c>
      <c r="L109" s="35">
        <f t="shared" si="76"/>
        <v>66622.32476860701</v>
      </c>
      <c r="M109" s="42">
        <f t="shared" si="87"/>
        <v>659.62697790698439</v>
      </c>
      <c r="N109" s="35">
        <f t="shared" si="77"/>
        <v>67651.296269114435</v>
      </c>
      <c r="O109" s="41">
        <f t="shared" si="78"/>
        <v>1688.5984784144093</v>
      </c>
      <c r="P109" s="35">
        <f t="shared" si="94"/>
        <v>66622.324768607024</v>
      </c>
      <c r="Q109" s="42">
        <f t="shared" si="79"/>
        <v>659.62697790699895</v>
      </c>
      <c r="R109" s="42">
        <f t="shared" si="88"/>
        <v>-1986.0125535758998</v>
      </c>
      <c r="S109" s="19">
        <f t="shared" si="80"/>
        <v>4.4999999999999908E-2</v>
      </c>
      <c r="T109" s="45">
        <f t="shared" si="81"/>
        <v>5.999999999999988E-2</v>
      </c>
      <c r="U109" s="46">
        <f t="shared" si="82"/>
        <v>2.968321400581495E-3</v>
      </c>
      <c r="V109" s="19">
        <f t="shared" si="83"/>
        <v>6.0491177815297822E-2</v>
      </c>
      <c r="W109" s="45">
        <f t="shared" si="84"/>
        <v>3.9901612812339874E-3</v>
      </c>
    </row>
    <row r="110" spans="2:24" x14ac:dyDescent="0.25">
      <c r="B110" s="33" t="str">
        <f t="shared" si="71"/>
        <v>Major Payer #3</v>
      </c>
      <c r="C110" s="35">
        <f t="shared" ref="C110" si="96">C41+C58+C76+C93</f>
        <v>32981.348895350013</v>
      </c>
      <c r="D110" s="35">
        <f t="shared" si="73"/>
        <v>33575.013175466309</v>
      </c>
      <c r="E110" s="35">
        <f t="shared" si="73"/>
        <v>34195.532369446555</v>
      </c>
      <c r="F110" s="39">
        <f t="shared" si="74"/>
        <v>1214.1834740965423</v>
      </c>
      <c r="G110" s="61">
        <f t="shared" si="75"/>
        <v>3.298134889535001E-2</v>
      </c>
      <c r="H110" s="35">
        <f>C110*1.035</f>
        <v>34135.696106687261</v>
      </c>
      <c r="I110" s="42">
        <f t="shared" si="86"/>
        <v>1154.3472113372482</v>
      </c>
      <c r="J110" s="67">
        <f t="shared" si="92"/>
        <v>461.73888453489928</v>
      </c>
      <c r="K110" s="67">
        <f t="shared" si="93"/>
        <v>692.60832680234887</v>
      </c>
      <c r="L110" s="35">
        <f t="shared" si="76"/>
        <v>33311.162384303505</v>
      </c>
      <c r="M110" s="42">
        <f t="shared" si="87"/>
        <v>329.8134889534922</v>
      </c>
      <c r="N110" s="35">
        <f t="shared" si="77"/>
        <v>33441.875753099397</v>
      </c>
      <c r="O110" s="41">
        <f t="shared" si="78"/>
        <v>460.52685774938436</v>
      </c>
      <c r="P110" s="35">
        <f t="shared" si="94"/>
        <v>33311.162384303512</v>
      </c>
      <c r="Q110" s="42">
        <f t="shared" si="79"/>
        <v>329.81348895349947</v>
      </c>
      <c r="R110" s="42">
        <f t="shared" si="88"/>
        <v>-1060.3175728970818</v>
      </c>
      <c r="S110" s="19">
        <f t="shared" si="80"/>
        <v>3.4999999999999934E-2</v>
      </c>
      <c r="T110" s="45">
        <f t="shared" si="81"/>
        <v>4.6666666666666579E-2</v>
      </c>
      <c r="U110" s="46">
        <f t="shared" si="82"/>
        <v>1.1543472113372483E-3</v>
      </c>
      <c r="V110" s="19">
        <f t="shared" si="83"/>
        <v>3.6814245467920448E-2</v>
      </c>
      <c r="W110" s="45">
        <f t="shared" si="84"/>
        <v>1.2141834740965422E-3</v>
      </c>
    </row>
    <row r="111" spans="2:24" x14ac:dyDescent="0.25">
      <c r="B111" s="33" t="str">
        <f t="shared" si="71"/>
        <v>Major Payer #4</v>
      </c>
      <c r="C111" s="35">
        <f t="shared" ref="C111" si="97">C42+C59+C77+C94</f>
        <v>8245.3372238375032</v>
      </c>
      <c r="D111" s="35">
        <f t="shared" si="73"/>
        <v>8360.7719449712276</v>
      </c>
      <c r="E111" s="35">
        <f t="shared" si="73"/>
        <v>8857.5075372545998</v>
      </c>
      <c r="F111" s="39">
        <f t="shared" si="74"/>
        <v>612.17031341709662</v>
      </c>
      <c r="G111" s="61">
        <f t="shared" si="75"/>
        <v>8.2453372238375025E-3</v>
      </c>
      <c r="H111" s="35">
        <f>C111*1.051</f>
        <v>8665.8494222532154</v>
      </c>
      <c r="I111" s="42">
        <f t="shared" si="86"/>
        <v>420.51219841571219</v>
      </c>
      <c r="J111" s="67">
        <f t="shared" si="92"/>
        <v>168.2048793662849</v>
      </c>
      <c r="K111" s="67">
        <f t="shared" si="93"/>
        <v>252.30731904942729</v>
      </c>
      <c r="L111" s="35">
        <f t="shared" si="76"/>
        <v>8327.7905960758762</v>
      </c>
      <c r="M111" s="42">
        <f t="shared" si="87"/>
        <v>82.453372238373049</v>
      </c>
      <c r="N111" s="35">
        <f t="shared" si="77"/>
        <v>8334.8841128443273</v>
      </c>
      <c r="O111" s="41">
        <f t="shared" si="78"/>
        <v>89.546889006824131</v>
      </c>
      <c r="P111" s="35">
        <f t="shared" si="94"/>
        <v>8327.7905960758781</v>
      </c>
      <c r="Q111" s="42">
        <f t="shared" si="79"/>
        <v>82.453372238374868</v>
      </c>
      <c r="R111" s="42">
        <f t="shared" si="88"/>
        <v>-62.795518482187617</v>
      </c>
      <c r="S111" s="19">
        <f t="shared" si="80"/>
        <v>5.0999999999999941E-2</v>
      </c>
      <c r="T111" s="45">
        <f t="shared" si="81"/>
        <v>6.7999999999999922E-2</v>
      </c>
      <c r="U111" s="46">
        <f t="shared" si="82"/>
        <v>4.2051219841571214E-4</v>
      </c>
      <c r="V111" s="19">
        <f t="shared" si="83"/>
        <v>7.4244424066403844E-2</v>
      </c>
      <c r="W111" s="45">
        <f t="shared" si="84"/>
        <v>6.1217031341709652E-4</v>
      </c>
    </row>
    <row r="112" spans="2:24" x14ac:dyDescent="0.25">
      <c r="B112" s="33" t="str">
        <f t="shared" si="71"/>
        <v>All other Commercial</v>
      </c>
      <c r="C112" s="35">
        <f t="shared" ref="C112" si="98">C43+C60+C78+C95</f>
        <v>24736.011671512533</v>
      </c>
      <c r="D112" s="35">
        <f t="shared" si="73"/>
        <v>27209.61283866379</v>
      </c>
      <c r="E112" s="35">
        <f t="shared" si="73"/>
        <v>26080.260692311986</v>
      </c>
      <c r="F112" s="39">
        <f t="shared" si="74"/>
        <v>1344.2490207994524</v>
      </c>
      <c r="G112" s="61">
        <f t="shared" si="75"/>
        <v>2.4736011671512532E-2</v>
      </c>
      <c r="H112" s="35">
        <f>C112*1.048</f>
        <v>25923.340231745136</v>
      </c>
      <c r="I112" s="42">
        <f t="shared" si="86"/>
        <v>1187.3285602326032</v>
      </c>
      <c r="J112" s="67">
        <f t="shared" si="92"/>
        <v>474.9314240930413</v>
      </c>
      <c r="K112" s="67">
        <f t="shared" si="93"/>
        <v>712.39713613956189</v>
      </c>
      <c r="L112" s="35">
        <f t="shared" si="76"/>
        <v>24983.371788227658</v>
      </c>
      <c r="M112" s="42">
        <f t="shared" si="87"/>
        <v>247.3601167151246</v>
      </c>
      <c r="N112" s="35">
        <f t="shared" si="77"/>
        <v>26654.873578801653</v>
      </c>
      <c r="O112" s="41">
        <f t="shared" si="78"/>
        <v>1918.8619072891197</v>
      </c>
      <c r="P112" s="35">
        <f t="shared" si="94"/>
        <v>24983.371788227658</v>
      </c>
      <c r="Q112" s="42">
        <f t="shared" si="79"/>
        <v>247.3601167151246</v>
      </c>
      <c r="R112" s="42">
        <f t="shared" si="88"/>
        <v>-2256.6616801525197</v>
      </c>
      <c r="S112" s="19">
        <f t="shared" si="80"/>
        <v>4.8000000000000063E-2</v>
      </c>
      <c r="T112" s="45">
        <f t="shared" si="81"/>
        <v>6.4000000000000085E-2</v>
      </c>
      <c r="U112" s="46">
        <f t="shared" si="82"/>
        <v>1.187328560232603E-3</v>
      </c>
      <c r="V112" s="19">
        <f t="shared" si="83"/>
        <v>5.4343806052920399E-2</v>
      </c>
      <c r="W112" s="45">
        <f t="shared" si="84"/>
        <v>1.3442490207994523E-3</v>
      </c>
    </row>
    <row r="113" spans="2:24" x14ac:dyDescent="0.25">
      <c r="B113" s="30" t="str">
        <f t="shared" si="71"/>
        <v>Fixed Prospective Payments</v>
      </c>
      <c r="C113" s="34">
        <f t="shared" ref="C113" si="99">C44+C61+C79+C96</f>
        <v>99999.999999999985</v>
      </c>
      <c r="D113" s="34">
        <f t="shared" si="73"/>
        <v>103602.29176973818</v>
      </c>
      <c r="E113" s="34">
        <f t="shared" si="73"/>
        <v>103886.65968422947</v>
      </c>
      <c r="F113" s="38">
        <f t="shared" si="74"/>
        <v>3886.6596842294821</v>
      </c>
      <c r="G113" s="17">
        <f t="shared" si="75"/>
        <v>9.9999999999999992E-2</v>
      </c>
      <c r="H113" s="34">
        <f>C113</f>
        <v>99999.999999999985</v>
      </c>
      <c r="I113" s="41">
        <f t="shared" si="86"/>
        <v>0</v>
      </c>
      <c r="J113" s="67"/>
      <c r="K113" s="67"/>
      <c r="L113" s="35">
        <f t="shared" si="76"/>
        <v>101499.99999999999</v>
      </c>
      <c r="M113" s="41">
        <f t="shared" si="87"/>
        <v>1500</v>
      </c>
      <c r="N113" s="35">
        <f t="shared" si="77"/>
        <v>105061.14696686451</v>
      </c>
      <c r="O113" s="41">
        <f t="shared" si="78"/>
        <v>5061.1469668645295</v>
      </c>
      <c r="P113" s="34">
        <f t="shared" si="94"/>
        <v>100999.99999999999</v>
      </c>
      <c r="Q113" s="41">
        <f t="shared" si="79"/>
        <v>1000</v>
      </c>
      <c r="R113" s="41">
        <f t="shared" si="88"/>
        <v>-3674.4872826350474</v>
      </c>
      <c r="S113" s="16">
        <f t="shared" si="80"/>
        <v>0</v>
      </c>
      <c r="T113" s="32">
        <f t="shared" si="81"/>
        <v>0</v>
      </c>
      <c r="U113" s="31">
        <f t="shared" si="82"/>
        <v>0</v>
      </c>
      <c r="V113" s="16">
        <f t="shared" si="83"/>
        <v>3.8866596842294827E-2</v>
      </c>
      <c r="W113" s="32">
        <f t="shared" si="84"/>
        <v>3.8866596842294823E-3</v>
      </c>
    </row>
    <row r="114" spans="2:24" x14ac:dyDescent="0.25">
      <c r="B114" s="33" t="str">
        <f t="shared" si="71"/>
        <v>FPP - Medicare</v>
      </c>
      <c r="C114" s="35">
        <f t="shared" ref="C114" si="100">C45+C62+C80+C97</f>
        <v>62824.403289454633</v>
      </c>
      <c r="D114" s="35">
        <f t="shared" si="73"/>
        <v>63452.647322349178</v>
      </c>
      <c r="E114" s="35">
        <f t="shared" si="73"/>
        <v>65344.188420243197</v>
      </c>
      <c r="F114" s="39">
        <f t="shared" si="74"/>
        <v>2519.7851307885649</v>
      </c>
      <c r="G114" s="61">
        <f t="shared" si="75"/>
        <v>6.2824403289454628E-2</v>
      </c>
      <c r="H114" s="35">
        <f>C114</f>
        <v>62824.403289454633</v>
      </c>
      <c r="I114" s="42">
        <f t="shared" si="86"/>
        <v>0</v>
      </c>
      <c r="J114" s="67"/>
      <c r="K114" s="67"/>
      <c r="L114" s="35">
        <f t="shared" si="76"/>
        <v>60899.999999999985</v>
      </c>
      <c r="M114" s="42">
        <f t="shared" si="87"/>
        <v>-1924.4032894546472</v>
      </c>
      <c r="N114" s="35">
        <f t="shared" si="77"/>
        <v>65962.544408163085</v>
      </c>
      <c r="O114" s="42">
        <f t="shared" si="78"/>
        <v>3138.1411187084523</v>
      </c>
      <c r="P114" s="35">
        <f>P113*0.6</f>
        <v>60599.999999999985</v>
      </c>
      <c r="Q114" s="42">
        <f t="shared" si="79"/>
        <v>-2224.4032894546472</v>
      </c>
      <c r="R114" s="42">
        <f t="shared" si="88"/>
        <v>3530.4505909894069</v>
      </c>
      <c r="S114" s="19">
        <f t="shared" si="80"/>
        <v>0</v>
      </c>
      <c r="T114" s="45">
        <f t="shared" si="81"/>
        <v>0</v>
      </c>
      <c r="U114" s="46">
        <f t="shared" si="82"/>
        <v>0</v>
      </c>
      <c r="V114" s="19">
        <f t="shared" si="83"/>
        <v>4.010838143864269E-2</v>
      </c>
      <c r="W114" s="45">
        <f t="shared" si="84"/>
        <v>2.519785130788565E-3</v>
      </c>
    </row>
    <row r="115" spans="2:24" x14ac:dyDescent="0.25">
      <c r="B115" s="33" t="str">
        <f t="shared" si="71"/>
        <v>FPP - Medicaid</v>
      </c>
      <c r="C115" s="35">
        <f t="shared" ref="C115" si="101">C46+C63+C81+C98</f>
        <v>37175.59671054536</v>
      </c>
      <c r="D115" s="35">
        <f t="shared" si="73"/>
        <v>40149.644447389001</v>
      </c>
      <c r="E115" s="35">
        <f t="shared" si="73"/>
        <v>38542.47126398627</v>
      </c>
      <c r="F115" s="39">
        <f t="shared" si="74"/>
        <v>1366.8745534409099</v>
      </c>
      <c r="G115" s="61">
        <f t="shared" si="75"/>
        <v>3.7175596710545357E-2</v>
      </c>
      <c r="H115" s="35">
        <f>C115</f>
        <v>37175.59671054536</v>
      </c>
      <c r="I115" s="42">
        <f t="shared" si="86"/>
        <v>0</v>
      </c>
      <c r="J115" s="67"/>
      <c r="K115" s="67"/>
      <c r="L115" s="35">
        <f t="shared" si="76"/>
        <v>40599.999999999993</v>
      </c>
      <c r="M115" s="42">
        <f t="shared" si="87"/>
        <v>3424.4032894546326</v>
      </c>
      <c r="N115" s="35">
        <f t="shared" si="77"/>
        <v>39098.602558701445</v>
      </c>
      <c r="O115" s="42">
        <f t="shared" si="78"/>
        <v>1923.0058481560845</v>
      </c>
      <c r="P115" s="35">
        <f>P113*0.4</f>
        <v>40400</v>
      </c>
      <c r="Q115" s="42">
        <f t="shared" si="79"/>
        <v>3224.4032894546399</v>
      </c>
      <c r="R115" s="42">
        <f t="shared" si="88"/>
        <v>-7204.9378736244471</v>
      </c>
      <c r="S115" s="19">
        <f t="shared" si="80"/>
        <v>0</v>
      </c>
      <c r="T115" s="45">
        <f t="shared" si="81"/>
        <v>0</v>
      </c>
      <c r="U115" s="46">
        <f t="shared" si="82"/>
        <v>0</v>
      </c>
      <c r="V115" s="19">
        <f t="shared" si="83"/>
        <v>3.6768059544103497E-2</v>
      </c>
      <c r="W115" s="45">
        <f t="shared" si="84"/>
        <v>1.3668745534409098E-3</v>
      </c>
    </row>
    <row r="116" spans="2:24" outlineLevel="1" x14ac:dyDescent="0.25">
      <c r="B116" s="33" t="s">
        <v>83</v>
      </c>
      <c r="C116" s="35">
        <v>0</v>
      </c>
      <c r="D116" s="35">
        <v>0</v>
      </c>
      <c r="E116" s="35">
        <v>0</v>
      </c>
      <c r="F116" s="39"/>
      <c r="G116" s="61">
        <f t="shared" si="75"/>
        <v>0</v>
      </c>
      <c r="H116" s="35">
        <v>0</v>
      </c>
      <c r="I116" s="42">
        <f t="shared" si="86"/>
        <v>0</v>
      </c>
      <c r="J116" s="67"/>
      <c r="K116" s="67"/>
      <c r="L116" s="35">
        <v>0</v>
      </c>
      <c r="M116" s="42">
        <f t="shared" si="87"/>
        <v>0</v>
      </c>
      <c r="N116" s="35">
        <v>0</v>
      </c>
      <c r="O116" s="42">
        <f t="shared" si="78"/>
        <v>0</v>
      </c>
      <c r="P116" s="35">
        <v>0</v>
      </c>
      <c r="Q116" s="42">
        <f t="shared" si="79"/>
        <v>0</v>
      </c>
      <c r="R116" s="42">
        <f t="shared" si="88"/>
        <v>0</v>
      </c>
      <c r="S116" s="19">
        <f t="shared" si="80"/>
        <v>0</v>
      </c>
      <c r="T116" s="45">
        <f t="shared" si="81"/>
        <v>0</v>
      </c>
      <c r="U116" s="46">
        <f t="shared" si="82"/>
        <v>0</v>
      </c>
      <c r="V116" s="19">
        <f t="shared" si="83"/>
        <v>0</v>
      </c>
      <c r="W116" s="45">
        <f t="shared" si="84"/>
        <v>0</v>
      </c>
      <c r="X116" s="13"/>
    </row>
    <row r="117" spans="2:24" x14ac:dyDescent="0.25">
      <c r="B117" s="18" t="str">
        <f t="shared" ref="B117" si="102">B100</f>
        <v>Other (Bad Debt, Free Care, DSH)</v>
      </c>
      <c r="C117" s="49">
        <f t="shared" ref="C117" si="103">C48+C65+C83+C100</f>
        <v>20000</v>
      </c>
      <c r="D117" s="49">
        <f>D48+D65+D83+D100</f>
        <v>21000</v>
      </c>
      <c r="E117" s="49">
        <f>E48+E65+E83+E100</f>
        <v>20751.914554381179</v>
      </c>
      <c r="F117" s="50">
        <f>E117-C117</f>
        <v>751.91455438117919</v>
      </c>
      <c r="G117" s="58">
        <f t="shared" si="75"/>
        <v>0.02</v>
      </c>
      <c r="H117" s="49">
        <f>C117</f>
        <v>20000</v>
      </c>
      <c r="I117" s="52">
        <f t="shared" si="86"/>
        <v>0</v>
      </c>
      <c r="J117" s="68"/>
      <c r="K117" s="68"/>
      <c r="L117" s="51">
        <f>L48+L65+L83+L100</f>
        <v>20300</v>
      </c>
      <c r="M117" s="52">
        <f t="shared" si="87"/>
        <v>300</v>
      </c>
      <c r="N117" s="49">
        <f>N48+N65+N83+N100</f>
        <v>20682.604214521765</v>
      </c>
      <c r="O117" s="52">
        <f t="shared" si="78"/>
        <v>682.60421452176524</v>
      </c>
      <c r="P117" s="49">
        <f>C117*1.02</f>
        <v>20400</v>
      </c>
      <c r="Q117" s="52">
        <f t="shared" si="79"/>
        <v>400</v>
      </c>
      <c r="R117" s="52">
        <f t="shared" si="88"/>
        <v>-630.68966014058606</v>
      </c>
      <c r="S117" s="15">
        <f t="shared" si="80"/>
        <v>0</v>
      </c>
      <c r="T117" s="47">
        <f t="shared" si="81"/>
        <v>0</v>
      </c>
      <c r="U117" s="48">
        <f t="shared" si="82"/>
        <v>0</v>
      </c>
      <c r="V117" s="15">
        <f t="shared" si="83"/>
        <v>3.7595727719058961E-2</v>
      </c>
      <c r="W117" s="47">
        <f t="shared" si="84"/>
        <v>7.5191455438117921E-4</v>
      </c>
    </row>
    <row r="118" spans="2:24" x14ac:dyDescent="0.25">
      <c r="B118" s="7" t="s">
        <v>31</v>
      </c>
      <c r="C118" s="36">
        <f>SUM(C104,C105,C106,C107,C113,C117)</f>
        <v>1000000</v>
      </c>
      <c r="D118" s="36">
        <f>SUM(D104,D105,D106,D107,D113,D117)</f>
        <v>1008486.249137618</v>
      </c>
      <c r="E118" s="36">
        <f>SUM(E104,E105,E106,E107,E113,E117)</f>
        <v>1059856.9086291001</v>
      </c>
      <c r="F118" s="36">
        <f>E118-C118</f>
        <v>59856.908629100071</v>
      </c>
      <c r="G118" s="53">
        <f>SUM(G117,G113,G107,G106,G105,G104)</f>
        <v>1</v>
      </c>
      <c r="H118" s="36">
        <f>SUM(H104:H117)-H107-H113</f>
        <v>1021561.5568403348</v>
      </c>
      <c r="I118" s="36">
        <f>SUM(I104,I105,I106,I107,I113,I117)</f>
        <v>21561.556840335194</v>
      </c>
      <c r="J118" s="36">
        <f>SUM(J108:J112)</f>
        <v>8624.6227361340389</v>
      </c>
      <c r="K118" s="36">
        <f>SUM(K108:K112)</f>
        <v>12936.934104201055</v>
      </c>
      <c r="L118" s="36">
        <f>SUM(L104:L117)-L107-L113</f>
        <v>1020518.7899364049</v>
      </c>
      <c r="M118" s="36">
        <f>SUM(M104,M105,M106,M107,M113,M117)</f>
        <v>20518.789936404981</v>
      </c>
      <c r="N118" s="36">
        <f>SUM(N104:N117)-N107-N113</f>
        <v>1026305.6634215916</v>
      </c>
      <c r="O118" s="36">
        <f>SUM(O104,O105,O106,O107,O113,O117)</f>
        <v>26305.66342159154</v>
      </c>
      <c r="P118" s="36">
        <f>SUM(P104:P117)-P107-P113</f>
        <v>1004973.2281450583</v>
      </c>
      <c r="Q118" s="36">
        <f>SUM(Q104,Q105,Q106,Q107,Q113,Q117)</f>
        <v>4973.2281450583396</v>
      </c>
      <c r="R118" s="36">
        <f>SUM(R104,R105,R106,R107,R113,R117)</f>
        <v>-13502.32971429011</v>
      </c>
      <c r="S118" s="56">
        <f t="shared" si="80"/>
        <v>2.1561556840335193E-2</v>
      </c>
      <c r="T118" s="59">
        <f t="shared" si="81"/>
        <v>2.8748742453780257E-2</v>
      </c>
      <c r="U118" s="10">
        <f>SUM(U104:U107,U113,U117)</f>
        <v>2.1561556840335193E-2</v>
      </c>
      <c r="V118" s="14">
        <f t="shared" si="83"/>
        <v>5.9856908629100071E-2</v>
      </c>
      <c r="W118" s="9">
        <f t="shared" si="84"/>
        <v>5.9856908629100071E-2</v>
      </c>
    </row>
    <row r="119" spans="2:24" x14ac:dyDescent="0.25">
      <c r="B119" s="13"/>
      <c r="C119" s="13"/>
      <c r="D119" s="11"/>
      <c r="E119" s="11"/>
      <c r="F119" s="11"/>
      <c r="G119" s="12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0"/>
      <c r="T119" s="10"/>
      <c r="U119" s="10"/>
      <c r="V119" s="9"/>
      <c r="W119" s="9"/>
    </row>
    <row r="121" spans="2:24" x14ac:dyDescent="0.25">
      <c r="B121" s="66" t="s">
        <v>84</v>
      </c>
    </row>
    <row r="122" spans="2:24" x14ac:dyDescent="0.25">
      <c r="B122" s="7" t="s">
        <v>96</v>
      </c>
    </row>
  </sheetData>
  <mergeCells count="16">
    <mergeCell ref="C21:W21"/>
    <mergeCell ref="C22:W22"/>
    <mergeCell ref="B25:W25"/>
    <mergeCell ref="B28:W28"/>
    <mergeCell ref="C2:W2"/>
    <mergeCell ref="C3:W3"/>
    <mergeCell ref="C5:W5"/>
    <mergeCell ref="C6:W6"/>
    <mergeCell ref="C8:W8"/>
    <mergeCell ref="C12:W12"/>
    <mergeCell ref="C14:W14"/>
    <mergeCell ref="C16:W16"/>
    <mergeCell ref="C17:W17"/>
    <mergeCell ref="C18:W18"/>
    <mergeCell ref="C19:W19"/>
    <mergeCell ref="C20:W20"/>
  </mergeCells>
  <dataValidations disablePrompts="1" count="1">
    <dataValidation type="list" allowBlank="1" showInputMessage="1" showErrorMessage="1" sqref="D32" xr:uid="{C5DC7C16-4991-4D5D-B38C-2ECB4B0CDFC4}">
      <formula1>$AM$37:$AM$49</formula1>
    </dataValidation>
  </dataValidations>
  <pageMargins left="0.7" right="0.7" top="0.75" bottom="0.75" header="0.3" footer="0.3"/>
  <pageSetup scale="41" fitToHeight="2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727AAD-2FF9-449C-8FF5-CDCD772C512D}">
  <sheetPr>
    <pageSetUpPr fitToPage="1"/>
  </sheetPr>
  <dimension ref="B1:AP99"/>
  <sheetViews>
    <sheetView tabSelected="1" topLeftCell="A28" zoomScale="70" zoomScaleNormal="70" workbookViewId="0">
      <selection activeCell="O32" sqref="O32"/>
    </sheetView>
  </sheetViews>
  <sheetFormatPr defaultColWidth="9.140625" defaultRowHeight="15" outlineLevelRow="1" x14ac:dyDescent="0.25"/>
  <cols>
    <col min="1" max="1" width="7.85546875" style="7" customWidth="1"/>
    <col min="2" max="2" width="50.5703125" style="7" customWidth="1"/>
    <col min="3" max="3" width="22.85546875" style="7" customWidth="1"/>
    <col min="4" max="4" width="16.140625" style="8" customWidth="1"/>
    <col min="5" max="5" width="15" style="7" bestFit="1" customWidth="1"/>
    <col min="6" max="6" width="15.7109375" style="7" customWidth="1"/>
    <col min="7" max="7" width="6.85546875" style="8" customWidth="1"/>
    <col min="8" max="8" width="13.85546875" style="7" customWidth="1"/>
    <col min="9" max="9" width="13.28515625" style="7" customWidth="1"/>
    <col min="10" max="11" width="14.85546875" style="7" bestFit="1" customWidth="1"/>
    <col min="12" max="12" width="12.28515625" style="7" bestFit="1" customWidth="1"/>
    <col min="13" max="13" width="17.5703125" style="7" customWidth="1"/>
    <col min="14" max="14" width="13.42578125" style="7" bestFit="1" customWidth="1"/>
    <col min="15" max="15" width="12.42578125" style="7" customWidth="1"/>
    <col min="16" max="16" width="12.28515625" style="7" bestFit="1" customWidth="1"/>
    <col min="17" max="17" width="12" style="7" customWidth="1"/>
    <col min="18" max="18" width="15.5703125" style="7" customWidth="1"/>
    <col min="19" max="19" width="9.5703125" style="7" bestFit="1" customWidth="1"/>
    <col min="20" max="20" width="11.5703125" style="7" bestFit="1" customWidth="1"/>
    <col min="21" max="21" width="8" style="7" bestFit="1" customWidth="1"/>
    <col min="22" max="22" width="8.42578125" style="7" bestFit="1" customWidth="1"/>
    <col min="23" max="23" width="8" style="7" bestFit="1" customWidth="1"/>
    <col min="24" max="24" width="4.85546875" style="7" customWidth="1"/>
    <col min="25" max="25" width="21" style="7" customWidth="1"/>
    <col min="26" max="26" width="10.28515625" style="7" bestFit="1" customWidth="1"/>
    <col min="27" max="38" width="9.140625" style="7"/>
    <col min="39" max="42" width="9.140625" style="7" customWidth="1"/>
    <col min="43" max="16384" width="9.140625" style="7"/>
  </cols>
  <sheetData>
    <row r="1" spans="2:23" ht="32.25" hidden="1" customHeight="1" x14ac:dyDescent="0.25">
      <c r="B1" s="13" t="s">
        <v>59</v>
      </c>
      <c r="C1" s="13" t="s">
        <v>53</v>
      </c>
    </row>
    <row r="2" spans="2:23" ht="32.25" hidden="1" customHeight="1" x14ac:dyDescent="0.25">
      <c r="B2" s="7" t="s">
        <v>50</v>
      </c>
      <c r="C2" s="96" t="s">
        <v>75</v>
      </c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</row>
    <row r="3" spans="2:23" ht="32.25" hidden="1" customHeight="1" x14ac:dyDescent="0.25">
      <c r="B3" s="7" t="s">
        <v>51</v>
      </c>
      <c r="C3" s="96" t="s">
        <v>76</v>
      </c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96"/>
      <c r="V3" s="96"/>
      <c r="W3" s="96"/>
    </row>
    <row r="4" spans="2:23" ht="32.25" hidden="1" customHeight="1" x14ac:dyDescent="0.25">
      <c r="B4" s="7" t="s">
        <v>9</v>
      </c>
      <c r="C4" s="69" t="s">
        <v>77</v>
      </c>
      <c r="D4" s="70"/>
      <c r="E4" s="69"/>
      <c r="F4" s="69"/>
      <c r="G4" s="70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</row>
    <row r="5" spans="2:23" ht="32.25" hidden="1" customHeight="1" x14ac:dyDescent="0.25">
      <c r="B5" s="64" t="s">
        <v>10</v>
      </c>
      <c r="C5" s="91" t="s">
        <v>78</v>
      </c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  <c r="P5" s="91"/>
      <c r="Q5" s="91"/>
      <c r="R5" s="91"/>
      <c r="S5" s="91"/>
      <c r="T5" s="91"/>
      <c r="U5" s="91"/>
      <c r="V5" s="91"/>
      <c r="W5" s="91"/>
    </row>
    <row r="6" spans="2:23" ht="32.25" hidden="1" customHeight="1" x14ac:dyDescent="0.25">
      <c r="B6" s="64" t="s">
        <v>11</v>
      </c>
      <c r="C6" s="91" t="s">
        <v>79</v>
      </c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  <c r="O6" s="91"/>
      <c r="P6" s="91"/>
      <c r="Q6" s="91"/>
      <c r="R6" s="91"/>
      <c r="S6" s="91"/>
      <c r="T6" s="91"/>
      <c r="U6" s="91"/>
      <c r="V6" s="91"/>
      <c r="W6" s="91"/>
    </row>
    <row r="7" spans="2:23" ht="32.25" hidden="1" customHeight="1" x14ac:dyDescent="0.25">
      <c r="B7" s="7" t="s">
        <v>87</v>
      </c>
      <c r="C7" s="69" t="s">
        <v>63</v>
      </c>
      <c r="D7" s="70"/>
      <c r="E7" s="69"/>
      <c r="F7" s="69"/>
      <c r="G7" s="70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</row>
    <row r="8" spans="2:23" ht="32.25" hidden="1" customHeight="1" x14ac:dyDescent="0.25">
      <c r="B8" s="64" t="s">
        <v>86</v>
      </c>
      <c r="C8" s="91" t="s">
        <v>64</v>
      </c>
      <c r="D8" s="91"/>
      <c r="E8" s="91"/>
      <c r="F8" s="91"/>
      <c r="G8" s="91"/>
      <c r="H8" s="91"/>
      <c r="I8" s="91"/>
      <c r="J8" s="91"/>
      <c r="K8" s="91"/>
      <c r="L8" s="91"/>
      <c r="M8" s="91"/>
      <c r="N8" s="91"/>
      <c r="O8" s="91"/>
      <c r="P8" s="91"/>
      <c r="Q8" s="91"/>
      <c r="R8" s="91"/>
      <c r="S8" s="91"/>
      <c r="T8" s="91"/>
      <c r="U8" s="91"/>
      <c r="V8" s="91"/>
      <c r="W8" s="91"/>
    </row>
    <row r="9" spans="2:23" ht="32.25" hidden="1" customHeight="1" x14ac:dyDescent="0.25">
      <c r="B9" s="69" t="s">
        <v>99</v>
      </c>
      <c r="C9" s="69" t="s">
        <v>98</v>
      </c>
      <c r="D9" s="70"/>
      <c r="E9" s="69"/>
      <c r="F9" s="69"/>
      <c r="G9" s="70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69"/>
    </row>
    <row r="10" spans="2:23" ht="32.25" hidden="1" customHeight="1" x14ac:dyDescent="0.25">
      <c r="B10" s="69" t="s">
        <v>100</v>
      </c>
      <c r="C10" s="69" t="s">
        <v>97</v>
      </c>
      <c r="D10" s="70"/>
      <c r="E10" s="69"/>
      <c r="F10" s="69"/>
      <c r="G10" s="70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69"/>
      <c r="V10" s="69"/>
      <c r="W10" s="69"/>
    </row>
    <row r="11" spans="2:23" ht="32.25" hidden="1" customHeight="1" x14ac:dyDescent="0.25">
      <c r="B11" s="7" t="s">
        <v>88</v>
      </c>
      <c r="C11" s="69" t="s">
        <v>66</v>
      </c>
      <c r="D11" s="70"/>
      <c r="E11" s="69"/>
      <c r="F11" s="69"/>
      <c r="G11" s="70"/>
      <c r="H11" s="69"/>
      <c r="I11" s="69"/>
      <c r="J11" s="69"/>
      <c r="K11" s="69"/>
      <c r="L11" s="69"/>
      <c r="M11" s="69"/>
      <c r="N11" s="69"/>
      <c r="O11" s="69"/>
      <c r="P11" s="69"/>
      <c r="Q11" s="69"/>
      <c r="R11" s="69"/>
      <c r="S11" s="69"/>
      <c r="T11" s="69"/>
      <c r="U11" s="69"/>
      <c r="V11" s="69"/>
      <c r="W11" s="69"/>
    </row>
    <row r="12" spans="2:23" ht="32.25" hidden="1" customHeight="1" x14ac:dyDescent="0.25">
      <c r="B12" s="64" t="s">
        <v>90</v>
      </c>
      <c r="C12" s="91" t="s">
        <v>65</v>
      </c>
      <c r="D12" s="91"/>
      <c r="E12" s="91"/>
      <c r="F12" s="91"/>
      <c r="G12" s="91"/>
      <c r="H12" s="91"/>
      <c r="I12" s="91"/>
      <c r="J12" s="91"/>
      <c r="K12" s="91"/>
      <c r="L12" s="91"/>
      <c r="M12" s="91"/>
      <c r="N12" s="91"/>
      <c r="O12" s="91"/>
      <c r="P12" s="91"/>
      <c r="Q12" s="91"/>
      <c r="R12" s="91"/>
      <c r="S12" s="91"/>
      <c r="T12" s="91"/>
      <c r="U12" s="91"/>
      <c r="V12" s="91"/>
      <c r="W12" s="91"/>
    </row>
    <row r="13" spans="2:23" ht="32.25" hidden="1" customHeight="1" x14ac:dyDescent="0.25">
      <c r="B13" s="7" t="s">
        <v>89</v>
      </c>
      <c r="C13" s="69" t="s">
        <v>67</v>
      </c>
      <c r="D13" s="70"/>
      <c r="E13" s="69"/>
      <c r="F13" s="69"/>
      <c r="G13" s="70"/>
      <c r="H13" s="69"/>
      <c r="I13" s="69"/>
      <c r="J13" s="69"/>
      <c r="K13" s="69"/>
      <c r="L13" s="69"/>
      <c r="M13" s="69"/>
      <c r="N13" s="69"/>
      <c r="O13" s="69"/>
      <c r="P13" s="69"/>
      <c r="Q13" s="69"/>
      <c r="R13" s="69"/>
      <c r="S13" s="69"/>
      <c r="T13" s="69"/>
      <c r="U13" s="69"/>
      <c r="V13" s="69"/>
      <c r="W13" s="69"/>
    </row>
    <row r="14" spans="2:23" ht="32.25" hidden="1" customHeight="1" x14ac:dyDescent="0.25">
      <c r="B14" s="64" t="s">
        <v>91</v>
      </c>
      <c r="C14" s="91" t="s">
        <v>68</v>
      </c>
      <c r="D14" s="91"/>
      <c r="E14" s="91"/>
      <c r="F14" s="91"/>
      <c r="G14" s="91"/>
      <c r="H14" s="91"/>
      <c r="I14" s="91"/>
      <c r="J14" s="91"/>
      <c r="K14" s="91"/>
      <c r="L14" s="91"/>
      <c r="M14" s="91"/>
      <c r="N14" s="91"/>
      <c r="O14" s="91"/>
      <c r="P14" s="91"/>
      <c r="Q14" s="91"/>
      <c r="R14" s="91"/>
      <c r="S14" s="91"/>
      <c r="T14" s="91"/>
      <c r="U14" s="91"/>
      <c r="V14" s="91"/>
      <c r="W14" s="91"/>
    </row>
    <row r="15" spans="2:23" ht="32.25" hidden="1" customHeight="1" x14ac:dyDescent="0.25">
      <c r="B15" s="7" t="s">
        <v>92</v>
      </c>
      <c r="C15" s="69" t="s">
        <v>69</v>
      </c>
      <c r="D15" s="70"/>
      <c r="E15" s="69"/>
      <c r="F15" s="69"/>
      <c r="G15" s="70"/>
      <c r="H15" s="69"/>
      <c r="I15" s="69"/>
      <c r="J15" s="69"/>
      <c r="K15" s="69"/>
      <c r="L15" s="69"/>
      <c r="M15" s="69"/>
      <c r="N15" s="69"/>
      <c r="O15" s="69"/>
      <c r="P15" s="69"/>
      <c r="Q15" s="69"/>
      <c r="R15" s="69"/>
      <c r="S15" s="69"/>
      <c r="T15" s="69"/>
      <c r="U15" s="69"/>
      <c r="V15" s="69"/>
      <c r="W15" s="69"/>
    </row>
    <row r="16" spans="2:23" ht="32.25" hidden="1" customHeight="1" x14ac:dyDescent="0.25">
      <c r="B16" s="64" t="s">
        <v>93</v>
      </c>
      <c r="C16" s="91" t="s">
        <v>70</v>
      </c>
      <c r="D16" s="91"/>
      <c r="E16" s="91"/>
      <c r="F16" s="91"/>
      <c r="G16" s="91"/>
      <c r="H16" s="91"/>
      <c r="I16" s="91"/>
      <c r="J16" s="91"/>
      <c r="K16" s="91"/>
      <c r="L16" s="91"/>
      <c r="M16" s="91"/>
      <c r="N16" s="91"/>
      <c r="O16" s="91"/>
      <c r="P16" s="91"/>
      <c r="Q16" s="91"/>
      <c r="R16" s="91"/>
      <c r="S16" s="91"/>
      <c r="T16" s="91"/>
      <c r="U16" s="91"/>
      <c r="V16" s="91"/>
      <c r="W16" s="91"/>
    </row>
    <row r="17" spans="2:23" ht="32.25" hidden="1" customHeight="1" x14ac:dyDescent="0.25">
      <c r="B17" s="64" t="s">
        <v>94</v>
      </c>
      <c r="C17" s="91" t="s">
        <v>71</v>
      </c>
      <c r="D17" s="91"/>
      <c r="E17" s="91"/>
      <c r="F17" s="91"/>
      <c r="G17" s="91"/>
      <c r="H17" s="91"/>
      <c r="I17" s="91"/>
      <c r="J17" s="91"/>
      <c r="K17" s="91"/>
      <c r="L17" s="91"/>
      <c r="M17" s="91"/>
      <c r="N17" s="91"/>
      <c r="O17" s="91"/>
      <c r="P17" s="91"/>
      <c r="Q17" s="91"/>
      <c r="R17" s="91"/>
      <c r="S17" s="91"/>
      <c r="T17" s="91"/>
      <c r="U17" s="91"/>
      <c r="V17" s="91"/>
      <c r="W17" s="91"/>
    </row>
    <row r="18" spans="2:23" ht="32.25" hidden="1" customHeight="1" x14ac:dyDescent="0.25">
      <c r="B18" s="65" t="s">
        <v>61</v>
      </c>
      <c r="C18" s="91" t="s">
        <v>80</v>
      </c>
      <c r="D18" s="91"/>
      <c r="E18" s="91"/>
      <c r="F18" s="91"/>
      <c r="G18" s="91"/>
      <c r="H18" s="91"/>
      <c r="I18" s="91"/>
      <c r="J18" s="91"/>
      <c r="K18" s="91"/>
      <c r="L18" s="91"/>
      <c r="M18" s="91"/>
      <c r="N18" s="91"/>
      <c r="O18" s="91"/>
      <c r="P18" s="91"/>
      <c r="Q18" s="91"/>
      <c r="R18" s="91"/>
      <c r="S18" s="91"/>
      <c r="T18" s="91"/>
      <c r="U18" s="91"/>
      <c r="V18" s="91"/>
      <c r="W18" s="91"/>
    </row>
    <row r="19" spans="2:23" ht="32.25" hidden="1" customHeight="1" x14ac:dyDescent="0.25">
      <c r="B19" s="64" t="s">
        <v>62</v>
      </c>
      <c r="C19" s="91" t="s">
        <v>72</v>
      </c>
      <c r="D19" s="91"/>
      <c r="E19" s="91"/>
      <c r="F19" s="91"/>
      <c r="G19" s="91"/>
      <c r="H19" s="91"/>
      <c r="I19" s="91"/>
      <c r="J19" s="91"/>
      <c r="K19" s="91"/>
      <c r="L19" s="91"/>
      <c r="M19" s="91"/>
      <c r="N19" s="91"/>
      <c r="O19" s="91"/>
      <c r="P19" s="91"/>
      <c r="Q19" s="91"/>
      <c r="R19" s="91"/>
      <c r="S19" s="91"/>
      <c r="T19" s="91"/>
      <c r="U19" s="91"/>
      <c r="V19" s="91"/>
      <c r="W19" s="91"/>
    </row>
    <row r="20" spans="2:23" ht="32.25" hidden="1" customHeight="1" x14ac:dyDescent="0.25">
      <c r="B20" s="64" t="s">
        <v>56</v>
      </c>
      <c r="C20" s="91" t="s">
        <v>74</v>
      </c>
      <c r="D20" s="91"/>
      <c r="E20" s="91"/>
      <c r="F20" s="91"/>
      <c r="G20" s="91"/>
      <c r="H20" s="91"/>
      <c r="I20" s="91"/>
      <c r="J20" s="91"/>
      <c r="K20" s="91"/>
      <c r="L20" s="91"/>
      <c r="M20" s="91"/>
      <c r="N20" s="91"/>
      <c r="O20" s="91"/>
      <c r="P20" s="91"/>
      <c r="Q20" s="91"/>
      <c r="R20" s="91"/>
      <c r="S20" s="91"/>
      <c r="T20" s="91"/>
      <c r="U20" s="91"/>
      <c r="V20" s="91"/>
      <c r="W20" s="91"/>
    </row>
    <row r="21" spans="2:23" ht="32.25" hidden="1" customHeight="1" x14ac:dyDescent="0.25">
      <c r="B21" s="64" t="s">
        <v>29</v>
      </c>
      <c r="C21" s="91" t="s">
        <v>81</v>
      </c>
      <c r="D21" s="91"/>
      <c r="E21" s="91"/>
      <c r="F21" s="91"/>
      <c r="G21" s="91"/>
      <c r="H21" s="91"/>
      <c r="I21" s="91"/>
      <c r="J21" s="91"/>
      <c r="K21" s="91"/>
      <c r="L21" s="91"/>
      <c r="M21" s="91"/>
      <c r="N21" s="91"/>
      <c r="O21" s="91"/>
      <c r="P21" s="91"/>
      <c r="Q21" s="91"/>
      <c r="R21" s="91"/>
      <c r="S21" s="91"/>
      <c r="T21" s="91"/>
      <c r="U21" s="91"/>
      <c r="V21" s="91"/>
      <c r="W21" s="91"/>
    </row>
    <row r="22" spans="2:23" ht="32.25" hidden="1" customHeight="1" x14ac:dyDescent="0.25">
      <c r="B22" s="64" t="s">
        <v>57</v>
      </c>
      <c r="C22" s="91" t="s">
        <v>82</v>
      </c>
      <c r="D22" s="91"/>
      <c r="E22" s="91"/>
      <c r="F22" s="91"/>
      <c r="G22" s="91"/>
      <c r="H22" s="91"/>
      <c r="I22" s="91"/>
      <c r="J22" s="91"/>
      <c r="K22" s="91"/>
      <c r="L22" s="91"/>
      <c r="M22" s="91"/>
      <c r="N22" s="91"/>
      <c r="O22" s="91"/>
      <c r="P22" s="91"/>
      <c r="Q22" s="91"/>
      <c r="R22" s="91"/>
      <c r="S22" s="91"/>
      <c r="T22" s="91"/>
      <c r="U22" s="91"/>
      <c r="V22" s="91"/>
      <c r="W22" s="91"/>
    </row>
    <row r="23" spans="2:23" hidden="1" x14ac:dyDescent="0.25"/>
    <row r="24" spans="2:23" hidden="1" x14ac:dyDescent="0.25">
      <c r="B24" s="7" t="s">
        <v>60</v>
      </c>
    </row>
    <row r="25" spans="2:23" ht="31.5" hidden="1" customHeight="1" thickBot="1" x14ac:dyDescent="0.4">
      <c r="B25" s="92" t="s">
        <v>6</v>
      </c>
      <c r="C25" s="92"/>
      <c r="D25" s="92"/>
      <c r="E25" s="92"/>
      <c r="F25" s="92"/>
      <c r="G25" s="92"/>
      <c r="H25" s="92"/>
      <c r="I25" s="92"/>
      <c r="J25" s="92"/>
      <c r="K25" s="92"/>
      <c r="L25" s="92"/>
      <c r="M25" s="92"/>
      <c r="N25" s="92"/>
      <c r="O25" s="92"/>
      <c r="P25" s="92"/>
      <c r="Q25" s="92"/>
      <c r="R25" s="92"/>
      <c r="S25" s="92"/>
      <c r="T25" s="92"/>
      <c r="U25" s="92"/>
      <c r="V25" s="92"/>
      <c r="W25" s="92"/>
    </row>
    <row r="26" spans="2:23" ht="23.25" hidden="1" x14ac:dyDescent="0.35">
      <c r="B26" s="29"/>
      <c r="C26" s="29"/>
    </row>
    <row r="27" spans="2:23" hidden="1" x14ac:dyDescent="0.25">
      <c r="B27" s="13"/>
      <c r="C27" s="13"/>
    </row>
    <row r="28" spans="2:23" x14ac:dyDescent="0.25">
      <c r="B28" s="93" t="s">
        <v>7</v>
      </c>
      <c r="C28" s="94"/>
      <c r="D28" s="94"/>
      <c r="E28" s="94"/>
      <c r="F28" s="94"/>
      <c r="G28" s="94"/>
      <c r="H28" s="94"/>
      <c r="I28" s="94"/>
      <c r="J28" s="94"/>
      <c r="K28" s="94"/>
      <c r="L28" s="94"/>
      <c r="M28" s="94"/>
      <c r="N28" s="94"/>
      <c r="O28" s="94"/>
      <c r="P28" s="94"/>
      <c r="Q28" s="94"/>
      <c r="R28" s="94"/>
      <c r="S28" s="94"/>
      <c r="T28" s="94"/>
      <c r="U28" s="94"/>
      <c r="V28" s="94"/>
      <c r="W28" s="95"/>
    </row>
    <row r="30" spans="2:23" x14ac:dyDescent="0.25">
      <c r="B30" s="27" t="s">
        <v>95</v>
      </c>
      <c r="C30" s="13"/>
      <c r="D30" s="57"/>
    </row>
    <row r="31" spans="2:23" x14ac:dyDescent="0.25">
      <c r="B31" s="62" t="s">
        <v>52</v>
      </c>
      <c r="C31" s="13"/>
      <c r="D31" s="57"/>
    </row>
    <row r="32" spans="2:23" s="8" customFormat="1" x14ac:dyDescent="0.25">
      <c r="B32" s="30" t="s">
        <v>37</v>
      </c>
      <c r="D32" s="43" t="s">
        <v>39</v>
      </c>
      <c r="E32" s="60">
        <v>1</v>
      </c>
    </row>
    <row r="33" spans="2:42" s="8" customFormat="1" x14ac:dyDescent="0.25">
      <c r="B33" s="28"/>
      <c r="C33" s="63">
        <f>C93-97443823</f>
        <v>0</v>
      </c>
      <c r="D33" s="63">
        <f>D93-92957603</f>
        <v>0.41599999368190765</v>
      </c>
      <c r="E33" s="63">
        <f>98174323-E93</f>
        <v>-1.3302475214004517</v>
      </c>
    </row>
    <row r="34" spans="2:42" ht="60" outlineLevel="1" x14ac:dyDescent="0.25">
      <c r="B34" s="22" t="s">
        <v>8</v>
      </c>
      <c r="C34" s="21" t="s">
        <v>35</v>
      </c>
      <c r="D34" s="21" t="s">
        <v>34</v>
      </c>
      <c r="E34" s="21" t="s">
        <v>73</v>
      </c>
      <c r="F34" s="21" t="s">
        <v>58</v>
      </c>
      <c r="G34" s="21" t="s">
        <v>11</v>
      </c>
      <c r="H34" s="21" t="s">
        <v>87</v>
      </c>
      <c r="I34" s="21" t="s">
        <v>86</v>
      </c>
      <c r="J34" s="21" t="s">
        <v>101</v>
      </c>
      <c r="K34" s="21" t="s">
        <v>85</v>
      </c>
      <c r="L34" s="21" t="s">
        <v>88</v>
      </c>
      <c r="M34" s="21" t="s">
        <v>90</v>
      </c>
      <c r="N34" s="21" t="s">
        <v>89</v>
      </c>
      <c r="O34" s="21" t="s">
        <v>91</v>
      </c>
      <c r="P34" s="21" t="s">
        <v>92</v>
      </c>
      <c r="Q34" s="21" t="s">
        <v>93</v>
      </c>
      <c r="R34" s="21" t="s">
        <v>94</v>
      </c>
      <c r="S34" s="21" t="s">
        <v>54</v>
      </c>
      <c r="T34" s="20" t="s">
        <v>55</v>
      </c>
      <c r="U34" s="20" t="s">
        <v>56</v>
      </c>
      <c r="V34" s="21" t="s">
        <v>29</v>
      </c>
      <c r="W34" s="20" t="s">
        <v>57</v>
      </c>
      <c r="Z34" s="26"/>
    </row>
    <row r="35" spans="2:42" s="13" customFormat="1" outlineLevel="1" x14ac:dyDescent="0.25">
      <c r="B35" s="44" t="s">
        <v>12</v>
      </c>
      <c r="C35" s="35">
        <v>64476528</v>
      </c>
      <c r="D35" s="35">
        <v>61060254.868000001</v>
      </c>
      <c r="E35" s="35">
        <v>56100703.609175801</v>
      </c>
      <c r="F35" s="39">
        <f>E35-C35</f>
        <v>-8375824.3908241987</v>
      </c>
      <c r="G35" s="61">
        <f>IFERROR(C35/C$44,"")</f>
        <v>0.71399766361360117</v>
      </c>
      <c r="H35" s="35">
        <f>C35</f>
        <v>64476528</v>
      </c>
      <c r="I35" s="42">
        <f>H35-C35</f>
        <v>0</v>
      </c>
      <c r="J35" s="67"/>
      <c r="K35" s="67"/>
      <c r="L35" s="67">
        <v>60285553.680000007</v>
      </c>
      <c r="M35" s="42">
        <f>L35-C35</f>
        <v>-4190974.3199999928</v>
      </c>
      <c r="N35" s="67">
        <v>58996023.120000005</v>
      </c>
      <c r="O35" s="42">
        <f>N35-C35</f>
        <v>-5480504.8799999952</v>
      </c>
      <c r="P35" s="67">
        <v>65766058.560000002</v>
      </c>
      <c r="Q35" s="42">
        <f>P35-C35</f>
        <v>1289530.5600000024</v>
      </c>
      <c r="R35" s="42">
        <f>F35-Q35-O35-M35-I35</f>
        <v>6124.249175786972</v>
      </c>
      <c r="S35" s="19">
        <f>IFERROR(I35/C35,0%)</f>
        <v>0</v>
      </c>
      <c r="T35" s="45">
        <f>S35/E$32</f>
        <v>0</v>
      </c>
      <c r="U35" s="46">
        <f t="shared" ref="U35:U43" si="0">IFERROR(S35*G35,0%)</f>
        <v>0</v>
      </c>
      <c r="V35" s="19">
        <f>IFERROR((E35-C35)/C35,0%)</f>
        <v>-0.12990501583497485</v>
      </c>
      <c r="W35" s="45">
        <f t="shared" ref="W35:W43" si="1">IFERROR(V35*G35,0%)</f>
        <v>-9.2751877797859913E-2</v>
      </c>
    </row>
    <row r="36" spans="2:42" s="13" customFormat="1" outlineLevel="1" x14ac:dyDescent="0.25">
      <c r="B36" s="44" t="s">
        <v>13</v>
      </c>
      <c r="C36" s="35">
        <v>13456645.432</v>
      </c>
      <c r="D36" s="35">
        <v>12857071.859999999</v>
      </c>
      <c r="E36" s="35">
        <v>13361075.6887515</v>
      </c>
      <c r="F36" s="39">
        <f>E36-C36</f>
        <v>-95569.74324849993</v>
      </c>
      <c r="G36" s="61">
        <f>IFERROR(C36/C$44,"")</f>
        <v>0.14901567588323986</v>
      </c>
      <c r="H36" s="67">
        <f>C36</f>
        <v>13456645.432</v>
      </c>
      <c r="I36" s="42">
        <f t="shared" ref="I36:I43" si="2">H36-C36</f>
        <v>0</v>
      </c>
      <c r="J36" s="67"/>
      <c r="K36" s="67"/>
      <c r="L36" s="67">
        <v>13322078.97768</v>
      </c>
      <c r="M36" s="42">
        <f t="shared" ref="M36:M42" si="3">L36-C36</f>
        <v>-134566.45432000048</v>
      </c>
      <c r="N36" s="67">
        <v>13187512.523359999</v>
      </c>
      <c r="O36" s="42">
        <f t="shared" ref="O36:O43" si="4">N36-C36</f>
        <v>-269132.90864000097</v>
      </c>
      <c r="P36" s="67">
        <v>13322078.97768</v>
      </c>
      <c r="Q36" s="42">
        <f>P36-C36</f>
        <v>-134566.45432000048</v>
      </c>
      <c r="R36" s="42">
        <f>F36-Q36-O36-M36-I36</f>
        <v>442696.07403150201</v>
      </c>
      <c r="S36" s="19">
        <f t="shared" ref="S36:S44" si="5">IFERROR(I36/C36,0%)</f>
        <v>0</v>
      </c>
      <c r="T36" s="45">
        <f t="shared" ref="T36:T44" si="6">S36/E$32</f>
        <v>0</v>
      </c>
      <c r="U36" s="46">
        <f t="shared" si="0"/>
        <v>0</v>
      </c>
      <c r="V36" s="19">
        <f>IFERROR((E36-C36)/C36,0%)</f>
        <v>-7.1020481093478464E-3</v>
      </c>
      <c r="W36" s="45">
        <f t="shared" si="1"/>
        <v>-1.0583164991697551E-3</v>
      </c>
    </row>
    <row r="37" spans="2:42" s="13" customFormat="1" outlineLevel="1" x14ac:dyDescent="0.25">
      <c r="B37" s="44" t="s">
        <v>14</v>
      </c>
      <c r="C37" s="35">
        <v>2601299.568</v>
      </c>
      <c r="D37" s="35">
        <v>2180938.4759999998</v>
      </c>
      <c r="E37" s="35">
        <v>2341789.2400000002</v>
      </c>
      <c r="F37" s="39">
        <f t="shared" ref="F37:F41" si="7">E37-C37</f>
        <v>-259510.32799999975</v>
      </c>
      <c r="G37" s="61">
        <f>IFERROR(C37/C$44,"")</f>
        <v>2.8806169803545719E-2</v>
      </c>
      <c r="H37" s="67">
        <f>C37</f>
        <v>2601299.568</v>
      </c>
      <c r="I37" s="42">
        <f t="shared" si="2"/>
        <v>0</v>
      </c>
      <c r="J37" s="67"/>
      <c r="K37" s="67"/>
      <c r="L37" s="67">
        <v>2419208.5982400002</v>
      </c>
      <c r="M37" s="42">
        <f>L37-C37</f>
        <v>-182090.96975999977</v>
      </c>
      <c r="N37" s="67">
        <v>2549273.5766400001</v>
      </c>
      <c r="O37" s="42">
        <f t="shared" si="4"/>
        <v>-52025.991359999869</v>
      </c>
      <c r="P37" s="67">
        <v>2602600.2177839996</v>
      </c>
      <c r="Q37" s="42">
        <f t="shared" ref="Q37:Q43" si="8">P37-C37</f>
        <v>1300.6497839996591</v>
      </c>
      <c r="R37" s="42">
        <f t="shared" ref="R37:R43" si="9">F37-Q37-O37-M37-I37</f>
        <v>-26694.016663999762</v>
      </c>
      <c r="S37" s="19">
        <f t="shared" si="5"/>
        <v>0</v>
      </c>
      <c r="T37" s="45">
        <f t="shared" si="6"/>
        <v>0</v>
      </c>
      <c r="U37" s="46">
        <f t="shared" si="0"/>
        <v>0</v>
      </c>
      <c r="V37" s="19">
        <f t="shared" ref="V37:V44" si="10">IFERROR((E37-C37)/C37,0%)</f>
        <v>-9.976180029104581E-2</v>
      </c>
      <c r="W37" s="45">
        <f t="shared" si="1"/>
        <v>-2.8737553590912823E-3</v>
      </c>
      <c r="AM37" s="13" t="s">
        <v>39</v>
      </c>
      <c r="AN37" s="13">
        <v>10</v>
      </c>
      <c r="AO37" s="13">
        <v>2</v>
      </c>
      <c r="AP37" s="13">
        <f>AO37/12</f>
        <v>0.16666666666666666</v>
      </c>
    </row>
    <row r="38" spans="2:42" s="13" customFormat="1" outlineLevel="1" x14ac:dyDescent="0.25">
      <c r="B38" s="44" t="s">
        <v>15</v>
      </c>
      <c r="C38" s="35">
        <v>12073905</v>
      </c>
      <c r="D38" s="35">
        <v>11079793</v>
      </c>
      <c r="E38" s="35">
        <v>12543899</v>
      </c>
      <c r="F38" s="39">
        <v>469994</v>
      </c>
      <c r="G38" s="61">
        <v>0.13370353876208374</v>
      </c>
      <c r="H38" s="67">
        <v>12939265.18</v>
      </c>
      <c r="I38" s="42">
        <v>865360.1799999997</v>
      </c>
      <c r="J38" s="67">
        <v>346144.07199999993</v>
      </c>
      <c r="K38" s="67">
        <v>519216.10799999977</v>
      </c>
      <c r="L38" s="67">
        <v>11264862.940000001</v>
      </c>
      <c r="M38" s="42">
        <v>-809042.05999999866</v>
      </c>
      <c r="N38" s="67">
        <v>12073905</v>
      </c>
      <c r="O38" s="42">
        <v>0</v>
      </c>
      <c r="P38" s="67">
        <v>12482723.93</v>
      </c>
      <c r="Q38" s="42">
        <v>408818.9299999997</v>
      </c>
      <c r="R38" s="42">
        <v>4856.9499999992549</v>
      </c>
      <c r="S38" s="19">
        <v>7.1671938780369704E-2</v>
      </c>
      <c r="T38" s="45">
        <v>7.1671938780369704E-2</v>
      </c>
      <c r="U38" s="46">
        <v>9.5827918448748543E-3</v>
      </c>
      <c r="V38" s="19">
        <v>3.8926428524988392E-2</v>
      </c>
      <c r="W38" s="45">
        <v>5.2046012451602676E-3</v>
      </c>
      <c r="AM38" s="13" t="s">
        <v>40</v>
      </c>
      <c r="AN38" s="13">
        <v>11</v>
      </c>
      <c r="AO38" s="13">
        <v>1</v>
      </c>
      <c r="AP38" s="13">
        <f>AO38/12</f>
        <v>8.3333333333333329E-2</v>
      </c>
    </row>
    <row r="39" spans="2:42" s="13" customFormat="1" outlineLevel="1" x14ac:dyDescent="0.25">
      <c r="B39" s="30" t="s">
        <v>30</v>
      </c>
      <c r="C39" s="35">
        <v>0</v>
      </c>
      <c r="D39" s="35">
        <v>0</v>
      </c>
      <c r="E39" s="35">
        <v>0</v>
      </c>
      <c r="F39" s="39">
        <f t="shared" si="7"/>
        <v>0</v>
      </c>
      <c r="G39" s="61">
        <f>IFERROR(C39/C$44,"")</f>
        <v>0</v>
      </c>
      <c r="H39" s="35">
        <v>0</v>
      </c>
      <c r="I39" s="42">
        <f t="shared" si="2"/>
        <v>0</v>
      </c>
      <c r="J39" s="67"/>
      <c r="K39" s="67"/>
      <c r="L39" s="35">
        <v>0</v>
      </c>
      <c r="M39" s="42">
        <f t="shared" si="3"/>
        <v>0</v>
      </c>
      <c r="N39" s="35">
        <v>0</v>
      </c>
      <c r="O39" s="42">
        <f t="shared" si="4"/>
        <v>0</v>
      </c>
      <c r="P39" s="35">
        <v>0</v>
      </c>
      <c r="Q39" s="42">
        <f t="shared" si="8"/>
        <v>0</v>
      </c>
      <c r="R39" s="42">
        <f t="shared" si="9"/>
        <v>0</v>
      </c>
      <c r="S39" s="19">
        <f t="shared" si="5"/>
        <v>0</v>
      </c>
      <c r="T39" s="45">
        <f t="shared" si="6"/>
        <v>0</v>
      </c>
      <c r="U39" s="46">
        <f t="shared" si="0"/>
        <v>0</v>
      </c>
      <c r="V39" s="19">
        <f t="shared" si="10"/>
        <v>0</v>
      </c>
      <c r="W39" s="45">
        <f t="shared" si="1"/>
        <v>0</v>
      </c>
      <c r="AM39" s="13" t="s">
        <v>45</v>
      </c>
      <c r="AN39" s="13">
        <v>5</v>
      </c>
      <c r="AO39" s="13">
        <v>7</v>
      </c>
      <c r="AP39" s="13">
        <f t="shared" ref="AP39:AP44" si="11">AO39/12</f>
        <v>0.58333333333333337</v>
      </c>
    </row>
    <row r="40" spans="2:42" s="13" customFormat="1" outlineLevel="1" x14ac:dyDescent="0.25">
      <c r="B40" s="33" t="s">
        <v>32</v>
      </c>
      <c r="C40" s="35">
        <v>0</v>
      </c>
      <c r="D40" s="35">
        <v>0</v>
      </c>
      <c r="E40" s="35">
        <v>0</v>
      </c>
      <c r="F40" s="39">
        <f t="shared" si="7"/>
        <v>0</v>
      </c>
      <c r="G40" s="61">
        <f>IFERROR(C40/C$44,"")</f>
        <v>0</v>
      </c>
      <c r="H40" s="35">
        <v>0</v>
      </c>
      <c r="I40" s="42">
        <f t="shared" si="2"/>
        <v>0</v>
      </c>
      <c r="J40" s="67"/>
      <c r="K40" s="67"/>
      <c r="L40" s="35">
        <v>0</v>
      </c>
      <c r="M40" s="42">
        <f t="shared" si="3"/>
        <v>0</v>
      </c>
      <c r="N40" s="35">
        <v>0</v>
      </c>
      <c r="O40" s="42">
        <f t="shared" si="4"/>
        <v>0</v>
      </c>
      <c r="P40" s="35">
        <v>0</v>
      </c>
      <c r="Q40" s="42">
        <f t="shared" si="8"/>
        <v>0</v>
      </c>
      <c r="R40" s="42">
        <f t="shared" si="9"/>
        <v>0</v>
      </c>
      <c r="S40" s="19">
        <f t="shared" si="5"/>
        <v>0</v>
      </c>
      <c r="T40" s="45">
        <f t="shared" si="6"/>
        <v>0</v>
      </c>
      <c r="U40" s="46">
        <f t="shared" si="0"/>
        <v>0</v>
      </c>
      <c r="V40" s="19">
        <f t="shared" si="10"/>
        <v>0</v>
      </c>
      <c r="W40" s="45">
        <f t="shared" si="1"/>
        <v>0</v>
      </c>
      <c r="AM40" s="13" t="s">
        <v>46</v>
      </c>
      <c r="AN40" s="13">
        <v>6</v>
      </c>
      <c r="AO40" s="13">
        <v>6</v>
      </c>
      <c r="AP40" s="13">
        <f t="shared" si="11"/>
        <v>0.5</v>
      </c>
    </row>
    <row r="41" spans="2:42" s="13" customFormat="1" outlineLevel="1" x14ac:dyDescent="0.25">
      <c r="B41" s="33" t="s">
        <v>33</v>
      </c>
      <c r="C41" s="35">
        <v>0</v>
      </c>
      <c r="D41" s="35">
        <v>0</v>
      </c>
      <c r="E41" s="35">
        <v>0</v>
      </c>
      <c r="F41" s="39">
        <f t="shared" si="7"/>
        <v>0</v>
      </c>
      <c r="G41" s="61">
        <f>IFERROR(C41/C$44,"")</f>
        <v>0</v>
      </c>
      <c r="H41" s="35">
        <v>0</v>
      </c>
      <c r="I41" s="42">
        <f t="shared" si="2"/>
        <v>0</v>
      </c>
      <c r="J41" s="67"/>
      <c r="K41" s="67"/>
      <c r="L41" s="35">
        <v>0</v>
      </c>
      <c r="M41" s="42">
        <f t="shared" si="3"/>
        <v>0</v>
      </c>
      <c r="N41" s="35">
        <v>0</v>
      </c>
      <c r="O41" s="42">
        <f t="shared" si="4"/>
        <v>0</v>
      </c>
      <c r="P41" s="35">
        <v>0</v>
      </c>
      <c r="Q41" s="42">
        <f t="shared" si="8"/>
        <v>0</v>
      </c>
      <c r="R41" s="42">
        <f t="shared" si="9"/>
        <v>0</v>
      </c>
      <c r="S41" s="19">
        <f t="shared" si="5"/>
        <v>0</v>
      </c>
      <c r="T41" s="45">
        <f t="shared" si="6"/>
        <v>0</v>
      </c>
      <c r="U41" s="46">
        <f t="shared" si="0"/>
        <v>0</v>
      </c>
      <c r="V41" s="19">
        <f t="shared" si="10"/>
        <v>0</v>
      </c>
      <c r="W41" s="45">
        <f t="shared" si="1"/>
        <v>0</v>
      </c>
      <c r="AM41" s="13" t="s">
        <v>47</v>
      </c>
      <c r="AN41" s="13">
        <v>7</v>
      </c>
      <c r="AO41" s="13">
        <v>5</v>
      </c>
      <c r="AP41" s="13">
        <f t="shared" si="11"/>
        <v>0.41666666666666669</v>
      </c>
    </row>
    <row r="42" spans="2:42" outlineLevel="1" x14ac:dyDescent="0.25">
      <c r="B42" s="33" t="s">
        <v>83</v>
      </c>
      <c r="C42" s="35">
        <v>0</v>
      </c>
      <c r="D42" s="35">
        <v>0</v>
      </c>
      <c r="E42" s="35">
        <v>0</v>
      </c>
      <c r="F42" s="39"/>
      <c r="G42" s="61">
        <f>IFERROR(C42/C$44,"")</f>
        <v>0</v>
      </c>
      <c r="H42" s="35">
        <v>0</v>
      </c>
      <c r="I42" s="42">
        <f t="shared" si="2"/>
        <v>0</v>
      </c>
      <c r="J42" s="67"/>
      <c r="K42" s="67"/>
      <c r="L42" s="35">
        <v>0</v>
      </c>
      <c r="M42" s="42">
        <f t="shared" si="3"/>
        <v>0</v>
      </c>
      <c r="N42" s="35">
        <v>0</v>
      </c>
      <c r="O42" s="42">
        <f t="shared" si="4"/>
        <v>0</v>
      </c>
      <c r="P42" s="35">
        <v>0</v>
      </c>
      <c r="Q42" s="42">
        <f t="shared" si="8"/>
        <v>0</v>
      </c>
      <c r="R42" s="42">
        <f t="shared" si="9"/>
        <v>0</v>
      </c>
      <c r="S42" s="19">
        <f t="shared" si="5"/>
        <v>0</v>
      </c>
      <c r="T42" s="45">
        <f t="shared" si="6"/>
        <v>0</v>
      </c>
      <c r="U42" s="46">
        <f t="shared" si="0"/>
        <v>0</v>
      </c>
      <c r="V42" s="19">
        <f t="shared" si="10"/>
        <v>0</v>
      </c>
      <c r="W42" s="45">
        <f t="shared" si="1"/>
        <v>0</v>
      </c>
      <c r="X42" s="13"/>
    </row>
    <row r="43" spans="2:42" s="13" customFormat="1" outlineLevel="1" x14ac:dyDescent="0.25">
      <c r="B43" s="18" t="s">
        <v>36</v>
      </c>
      <c r="C43" s="51">
        <v>-2304822</v>
      </c>
      <c r="D43" s="51">
        <v>-2144541</v>
      </c>
      <c r="E43" s="51">
        <v>-712138</v>
      </c>
      <c r="F43" s="73">
        <f>E43-C43</f>
        <v>1592684</v>
      </c>
      <c r="G43" s="74">
        <f>IFERROR(C43/C$44,"")</f>
        <v>-2.5523048062470542E-2</v>
      </c>
      <c r="H43" s="51">
        <v>-2304822</v>
      </c>
      <c r="I43" s="75">
        <f t="shared" si="2"/>
        <v>0</v>
      </c>
      <c r="J43" s="76"/>
      <c r="K43" s="76"/>
      <c r="L43" s="51">
        <v>-1152411</v>
      </c>
      <c r="M43" s="75">
        <f>L43-C43</f>
        <v>1152411</v>
      </c>
      <c r="N43" s="51">
        <v>-2304822</v>
      </c>
      <c r="O43" s="75">
        <f t="shared" si="4"/>
        <v>0</v>
      </c>
      <c r="P43" s="51">
        <v>-1913002.26</v>
      </c>
      <c r="Q43" s="75">
        <f t="shared" si="8"/>
        <v>391819.74</v>
      </c>
      <c r="R43" s="75">
        <f t="shared" si="9"/>
        <v>48453.260000000009</v>
      </c>
      <c r="S43" s="77">
        <f t="shared" si="5"/>
        <v>0</v>
      </c>
      <c r="T43" s="78">
        <f t="shared" si="6"/>
        <v>0</v>
      </c>
      <c r="U43" s="79">
        <f t="shared" si="0"/>
        <v>0</v>
      </c>
      <c r="V43" s="77">
        <f t="shared" si="10"/>
        <v>-0.6910225605274507</v>
      </c>
      <c r="W43" s="78">
        <f t="shared" si="1"/>
        <v>1.7637002024593583E-2</v>
      </c>
      <c r="AM43" s="13" t="s">
        <v>48</v>
      </c>
      <c r="AN43" s="13">
        <v>8</v>
      </c>
      <c r="AO43" s="13">
        <v>4</v>
      </c>
      <c r="AP43" s="13">
        <f t="shared" si="11"/>
        <v>0.33333333333333331</v>
      </c>
    </row>
    <row r="44" spans="2:42" outlineLevel="1" x14ac:dyDescent="0.25">
      <c r="B44" s="7" t="s">
        <v>21</v>
      </c>
      <c r="C44" s="36">
        <f>SUM(C35,C36,C37,C38,C39,C43)</f>
        <v>90303556</v>
      </c>
      <c r="D44" s="36">
        <f>SUM(D35,D36,D37,D38,D39,D43)</f>
        <v>85033517.203999996</v>
      </c>
      <c r="E44" s="36">
        <f>SUM(E35,E36,E37,E38,E39,E43)</f>
        <v>83635329.5379273</v>
      </c>
      <c r="F44" s="36">
        <f>E44-C44</f>
        <v>-6668226.4620727003</v>
      </c>
      <c r="G44" s="80">
        <f>SUM(G43,G39,G38,G37,G36,G35)</f>
        <v>1</v>
      </c>
      <c r="H44" s="36">
        <f>SUM(H35:H43)-H38-H39</f>
        <v>78229651</v>
      </c>
      <c r="I44" s="36">
        <f>SUM(I35,I36,I37,I38,I39,I43)</f>
        <v>865360.1799999997</v>
      </c>
      <c r="J44" s="36" t="e">
        <f>SUM(#REF!)</f>
        <v>#REF!</v>
      </c>
      <c r="K44" s="36" t="e">
        <f>SUM(#REF!)</f>
        <v>#REF!</v>
      </c>
      <c r="L44" s="36">
        <f>SUM(L35:L43)-L38-L39</f>
        <v>74874430.255920008</v>
      </c>
      <c r="M44" s="36">
        <f>SUM(M35,M36,M37,M38,M39,M43)</f>
        <v>-4164262.8040799918</v>
      </c>
      <c r="N44" s="36">
        <f>SUM(N35:N43)-N38-N39</f>
        <v>72427987.219999999</v>
      </c>
      <c r="O44" s="36">
        <f>SUM(O35,O36,O37,O38,O39,O43)</f>
        <v>-5801663.7799999956</v>
      </c>
      <c r="P44" s="36">
        <f>SUM(P35:P43)-P38-P39</f>
        <v>79777735.495463997</v>
      </c>
      <c r="Q44" s="36">
        <f>SUM(Q35,Q36,Q37,Q38,Q39,Q43)</f>
        <v>1956903.4254640013</v>
      </c>
      <c r="R44" s="36">
        <f>SUM(R35,R36,R37,R38,R39,R43)</f>
        <v>475436.51654328848</v>
      </c>
      <c r="S44" s="56">
        <f t="shared" si="5"/>
        <v>9.5827918448748543E-3</v>
      </c>
      <c r="T44" s="59">
        <f t="shared" si="6"/>
        <v>9.5827918448748543E-3</v>
      </c>
      <c r="U44" s="10">
        <f>SUM(U35:U38,U39,U43)</f>
        <v>9.5827918448748543E-3</v>
      </c>
      <c r="V44" s="14">
        <f t="shared" si="10"/>
        <v>-7.3842346386367108E-2</v>
      </c>
      <c r="W44" s="9">
        <f>SUM(W35:W38,W39,W43)</f>
        <v>-7.384234638636708E-2</v>
      </c>
      <c r="AM44" s="7" t="s">
        <v>49</v>
      </c>
      <c r="AN44" s="7">
        <v>9</v>
      </c>
      <c r="AO44" s="13">
        <v>3</v>
      </c>
      <c r="AP44" s="13">
        <f t="shared" si="11"/>
        <v>0.25</v>
      </c>
    </row>
    <row r="45" spans="2:42" outlineLevel="1" x14ac:dyDescent="0.25">
      <c r="C45" s="81"/>
      <c r="D45" s="81"/>
      <c r="E45" s="81"/>
      <c r="F45" s="63"/>
      <c r="H45" s="8"/>
      <c r="I45" s="8"/>
      <c r="J45" s="8"/>
      <c r="K45" s="8"/>
      <c r="L45" s="8"/>
      <c r="M45" s="8"/>
      <c r="N45" s="8"/>
      <c r="O45" s="8"/>
      <c r="P45" s="8"/>
      <c r="Q45" s="8"/>
      <c r="R45" s="63"/>
      <c r="S45" s="8"/>
      <c r="T45" s="8"/>
      <c r="U45" s="8"/>
      <c r="V45" s="8"/>
      <c r="W45" s="8"/>
    </row>
    <row r="46" spans="2:42" ht="63" customHeight="1" outlineLevel="1" x14ac:dyDescent="0.25">
      <c r="B46" s="22" t="s">
        <v>22</v>
      </c>
      <c r="C46" s="82" t="str">
        <f>C34</f>
        <v>NPR FY24
Budget</v>
      </c>
      <c r="D46" s="82" t="str">
        <f>D34</f>
        <v>NPR FY24
Proj.</v>
      </c>
      <c r="E46" s="82" t="str">
        <f>E34</f>
        <v>NPR FY25
Budget</v>
      </c>
      <c r="F46" s="82" t="str">
        <f>F34</f>
        <v>NPR YOY 
(Budget to Budget)</v>
      </c>
      <c r="G46" s="82" t="str">
        <f>G34</f>
        <v>W</v>
      </c>
      <c r="H46" s="82" t="str">
        <f>H34</f>
        <v>NPR FY24 @FY25 Comm. Prices</v>
      </c>
      <c r="I46" s="82" t="str">
        <f>I34</f>
        <v>NPR FY25 due to Comm. Price</v>
      </c>
      <c r="J46" s="82" t="str">
        <f>J34</f>
        <v>NPR FY25 due to Comm. Price
(FY24 Proj. to FY24 Budget)</v>
      </c>
      <c r="K46" s="82" t="str">
        <f>K34</f>
        <v>NPR FY25 due to Comm. Price
(FY25 Budget to FY24 Proj.)</v>
      </c>
      <c r="L46" s="82" t="str">
        <f>L34</f>
        <v>NPR FY24 @FY25 Utiliz.</v>
      </c>
      <c r="M46" s="82" t="str">
        <f>M34</f>
        <v>NPR FY25 due to Utiliz.</v>
      </c>
      <c r="N46" s="82" t="str">
        <f>N34</f>
        <v>NPR FY24 @FY25 Public Payer Prices</v>
      </c>
      <c r="O46" s="82" t="str">
        <f>O34</f>
        <v>NPR FY25 due to Public Payer Prices</v>
      </c>
      <c r="P46" s="82" t="str">
        <f>P34</f>
        <v>NPR FY24 @FY25 Payer Mix</v>
      </c>
      <c r="Q46" s="82" t="str">
        <f>Q34</f>
        <v>NPR FY25 due to Payer Mix</v>
      </c>
      <c r="R46" s="82" t="str">
        <f>R34</f>
        <v>NPR FY25 due to all other</v>
      </c>
      <c r="S46" s="82" t="str">
        <f>S34</f>
        <v>FY25
Comm Rate NPR Impact</v>
      </c>
      <c r="T46" s="83" t="str">
        <f>T34</f>
        <v>FY25
Estimated AnnualizedComm Rate</v>
      </c>
      <c r="U46" s="83" t="str">
        <f>U34</f>
        <v>FY25 Comm Rate (WAvg)</v>
      </c>
      <c r="V46" s="82" t="str">
        <f>V34</f>
        <v>FY25 NPR Growth</v>
      </c>
      <c r="W46" s="83" t="str">
        <f>W34</f>
        <v>FY25 NPR Growth
(WAvg)</v>
      </c>
    </row>
    <row r="47" spans="2:42" outlineLevel="1" x14ac:dyDescent="0.25">
      <c r="B47" s="44" t="str">
        <f>B35</f>
        <v>Medicaid</v>
      </c>
      <c r="C47" s="35">
        <v>829848</v>
      </c>
      <c r="D47" s="35">
        <v>1123281.3480000002</v>
      </c>
      <c r="E47" s="35">
        <v>1310822.6281389892</v>
      </c>
      <c r="F47" s="39">
        <f t="shared" ref="F47:F53" si="12">E47-C47</f>
        <v>480974.62813898921</v>
      </c>
      <c r="G47" s="61">
        <f>IFERROR(C47/C$56,"")</f>
        <v>0.22408713671657074</v>
      </c>
      <c r="H47" s="35">
        <v>829848</v>
      </c>
      <c r="I47" s="42">
        <f>H47-C47</f>
        <v>0</v>
      </c>
      <c r="J47" s="67"/>
      <c r="K47" s="67"/>
      <c r="L47" s="67">
        <v>912832.8</v>
      </c>
      <c r="M47" s="42">
        <f t="shared" ref="M47:M54" si="13">L47-C47</f>
        <v>82984.800000000047</v>
      </c>
      <c r="N47" s="67">
        <v>829848</v>
      </c>
      <c r="O47" s="42">
        <f>N47-C47</f>
        <v>0</v>
      </c>
      <c r="P47" s="67">
        <v>904534.32000000007</v>
      </c>
      <c r="Q47" s="42">
        <f>P47-C47</f>
        <v>74686.320000000065</v>
      </c>
      <c r="R47" s="42">
        <f>F47-Q47-O47-M47-I47</f>
        <v>323303.5081389891</v>
      </c>
      <c r="S47" s="19">
        <f t="shared" ref="S47:S56" si="14">IFERROR(I47/C47,0%)</f>
        <v>0</v>
      </c>
      <c r="T47" s="45">
        <f t="shared" ref="T47:T56" si="15">S47/E$32</f>
        <v>0</v>
      </c>
      <c r="U47" s="46">
        <f t="shared" ref="U47:U55" si="16">IFERROR(S47*G47,0%)</f>
        <v>0</v>
      </c>
      <c r="V47" s="19">
        <f>IFERROR((E47-C47)/C47,0%)</f>
        <v>0.57959364623279108</v>
      </c>
      <c r="W47" s="45">
        <f>IFERROR(V47*G47,0%)</f>
        <v>0.1298794806434232</v>
      </c>
    </row>
    <row r="48" spans="2:42" outlineLevel="1" x14ac:dyDescent="0.25">
      <c r="B48" s="44" t="str">
        <f>B36</f>
        <v>Medicare - Traditional</v>
      </c>
      <c r="C48" s="35">
        <v>1454626</v>
      </c>
      <c r="D48" s="35">
        <v>1528992.588</v>
      </c>
      <c r="E48" s="35">
        <v>1348747.1641812299</v>
      </c>
      <c r="F48" s="39">
        <f t="shared" si="12"/>
        <v>-105878.83581877011</v>
      </c>
      <c r="G48" s="61">
        <f>IFERROR(C48/C$56,"")</f>
        <v>0.39279841047213276</v>
      </c>
      <c r="H48" s="67">
        <v>1454626</v>
      </c>
      <c r="I48" s="42">
        <f t="shared" ref="I48:I55" si="17">H48-C48</f>
        <v>0</v>
      </c>
      <c r="J48" s="67"/>
      <c r="K48" s="67"/>
      <c r="L48" s="67">
        <v>1527357.3</v>
      </c>
      <c r="M48" s="42">
        <f t="shared" si="13"/>
        <v>72731.300000000047</v>
      </c>
      <c r="N48" s="67">
        <v>1425533.48</v>
      </c>
      <c r="O48" s="42">
        <f t="shared" ref="O48:O54" si="18">N48-C48</f>
        <v>-29092.520000000019</v>
      </c>
      <c r="P48" s="67">
        <v>1410987.22</v>
      </c>
      <c r="Q48" s="42">
        <f>P48-C48</f>
        <v>-43638.780000000028</v>
      </c>
      <c r="R48" s="42">
        <f t="shared" ref="R48:R55" si="19">F48-Q48-O48-M48-I48</f>
        <v>-105878.83581877011</v>
      </c>
      <c r="S48" s="19">
        <f t="shared" si="14"/>
        <v>0</v>
      </c>
      <c r="T48" s="45">
        <f t="shared" si="15"/>
        <v>0</v>
      </c>
      <c r="U48" s="46">
        <f t="shared" si="16"/>
        <v>0</v>
      </c>
      <c r="V48" s="19">
        <f t="shared" ref="V48:V56" si="20">IFERROR((E48-C48)/C48,0%)</f>
        <v>-7.2787669008233122E-2</v>
      </c>
      <c r="W48" s="45">
        <f t="shared" ref="W48:W55" si="21">IFERROR(V48*G48,0%)</f>
        <v>-2.8590880688405689E-2</v>
      </c>
    </row>
    <row r="49" spans="2:24" outlineLevel="1" x14ac:dyDescent="0.25">
      <c r="B49" s="44" t="str">
        <f>B37</f>
        <v>Medicare - Advantage</v>
      </c>
      <c r="C49" s="35">
        <v>145374</v>
      </c>
      <c r="D49" s="35">
        <v>155175</v>
      </c>
      <c r="E49" s="35">
        <v>205697</v>
      </c>
      <c r="F49" s="39">
        <f t="shared" si="12"/>
        <v>60323</v>
      </c>
      <c r="G49" s="61">
        <f>IFERROR(C49/C$56,"")</f>
        <v>3.9255916038882732E-2</v>
      </c>
      <c r="H49" s="67">
        <v>145374</v>
      </c>
      <c r="I49" s="42">
        <f t="shared" si="17"/>
        <v>0</v>
      </c>
      <c r="J49" s="67"/>
      <c r="K49" s="67"/>
      <c r="L49" s="67">
        <v>157003.92000000001</v>
      </c>
      <c r="M49" s="42">
        <f t="shared" si="13"/>
        <v>11629.920000000013</v>
      </c>
      <c r="N49" s="67">
        <v>142466.51999999999</v>
      </c>
      <c r="O49" s="42">
        <f t="shared" si="18"/>
        <v>-2907.4800000000105</v>
      </c>
      <c r="P49" s="67">
        <v>145446.68700000001</v>
      </c>
      <c r="Q49" s="42">
        <f t="shared" ref="Q49:Q55" si="22">P49-C49</f>
        <v>72.687000000005355</v>
      </c>
      <c r="R49" s="42">
        <f t="shared" si="19"/>
        <v>51527.872999999992</v>
      </c>
      <c r="S49" s="19">
        <f t="shared" si="14"/>
        <v>0</v>
      </c>
      <c r="T49" s="45">
        <f t="shared" si="15"/>
        <v>0</v>
      </c>
      <c r="U49" s="46">
        <f t="shared" si="16"/>
        <v>0</v>
      </c>
      <c r="V49" s="19">
        <f t="shared" si="20"/>
        <v>0.41495040378609654</v>
      </c>
      <c r="W49" s="45">
        <f t="shared" si="21"/>
        <v>1.6289258211327495E-2</v>
      </c>
    </row>
    <row r="50" spans="2:24" outlineLevel="1" x14ac:dyDescent="0.25">
      <c r="B50" s="44" t="str">
        <f>B38</f>
        <v>Commercial</v>
      </c>
      <c r="C50" s="35">
        <v>1717819</v>
      </c>
      <c r="D50" s="35">
        <v>2031393</v>
      </c>
      <c r="E50" s="35">
        <v>2574634</v>
      </c>
      <c r="F50" s="39">
        <v>856815</v>
      </c>
      <c r="G50" s="61">
        <v>0.46386945694551635</v>
      </c>
      <c r="H50" s="67">
        <v>1779709.4</v>
      </c>
      <c r="I50" s="42">
        <v>61890.399999999907</v>
      </c>
      <c r="J50" s="67">
        <v>24756.159999999963</v>
      </c>
      <c r="K50" s="67">
        <v>37134.23999999994</v>
      </c>
      <c r="L50" s="67">
        <v>1878383.0700000003</v>
      </c>
      <c r="M50" s="42">
        <v>160564.0700000003</v>
      </c>
      <c r="N50" s="67">
        <v>1717819</v>
      </c>
      <c r="O50" s="42">
        <v>0</v>
      </c>
      <c r="P50" s="67">
        <v>1812275.77</v>
      </c>
      <c r="Q50" s="42">
        <v>94456.770000000019</v>
      </c>
      <c r="R50" s="42">
        <v>539903.75999999978</v>
      </c>
      <c r="S50" s="19">
        <v>3.6028475642660783E-2</v>
      </c>
      <c r="T50" s="45">
        <v>3.6028475642660783E-2</v>
      </c>
      <c r="U50" s="46">
        <v>1.6712509430935822E-2</v>
      </c>
      <c r="V50" s="19">
        <v>0.49878072136820001</v>
      </c>
      <c r="W50" s="45">
        <v>0.23136914235595984</v>
      </c>
    </row>
    <row r="51" spans="2:24" outlineLevel="1" x14ac:dyDescent="0.25">
      <c r="B51" s="30" t="str">
        <f>B39</f>
        <v>Fixed Prospective Payments</v>
      </c>
      <c r="C51" s="35">
        <v>0</v>
      </c>
      <c r="D51" s="35">
        <v>0</v>
      </c>
      <c r="E51" s="35">
        <v>0</v>
      </c>
      <c r="F51" s="39">
        <f t="shared" si="12"/>
        <v>0</v>
      </c>
      <c r="G51" s="61">
        <f>IFERROR(C51/C$56,"")</f>
        <v>0</v>
      </c>
      <c r="H51" s="35">
        <v>0</v>
      </c>
      <c r="I51" s="42">
        <f t="shared" si="17"/>
        <v>0</v>
      </c>
      <c r="J51" s="67"/>
      <c r="K51" s="67"/>
      <c r="L51" s="35">
        <v>0</v>
      </c>
      <c r="M51" s="42">
        <f t="shared" si="13"/>
        <v>0</v>
      </c>
      <c r="N51" s="35">
        <v>0</v>
      </c>
      <c r="O51" s="42">
        <f t="shared" si="18"/>
        <v>0</v>
      </c>
      <c r="P51" s="35">
        <v>0</v>
      </c>
      <c r="Q51" s="42">
        <f t="shared" si="22"/>
        <v>0</v>
      </c>
      <c r="R51" s="42">
        <f t="shared" si="19"/>
        <v>0</v>
      </c>
      <c r="S51" s="19">
        <f t="shared" si="14"/>
        <v>0</v>
      </c>
      <c r="T51" s="45">
        <f t="shared" si="15"/>
        <v>0</v>
      </c>
      <c r="U51" s="46">
        <f t="shared" si="16"/>
        <v>0</v>
      </c>
      <c r="V51" s="19">
        <f t="shared" si="20"/>
        <v>0</v>
      </c>
      <c r="W51" s="45">
        <f t="shared" si="21"/>
        <v>0</v>
      </c>
    </row>
    <row r="52" spans="2:24" outlineLevel="1" x14ac:dyDescent="0.25">
      <c r="B52" s="33" t="str">
        <f>B40</f>
        <v>FPP - Medicare</v>
      </c>
      <c r="C52" s="35">
        <v>0</v>
      </c>
      <c r="D52" s="35">
        <v>0</v>
      </c>
      <c r="E52" s="35">
        <v>0</v>
      </c>
      <c r="F52" s="39">
        <f t="shared" si="12"/>
        <v>0</v>
      </c>
      <c r="G52" s="61">
        <f>IFERROR(C52/C$56,"")</f>
        <v>0</v>
      </c>
      <c r="H52" s="35">
        <v>0</v>
      </c>
      <c r="I52" s="42">
        <f t="shared" si="17"/>
        <v>0</v>
      </c>
      <c r="J52" s="67"/>
      <c r="K52" s="67"/>
      <c r="L52" s="35">
        <v>0</v>
      </c>
      <c r="M52" s="42">
        <f t="shared" si="13"/>
        <v>0</v>
      </c>
      <c r="N52" s="35">
        <v>0</v>
      </c>
      <c r="O52" s="42">
        <f t="shared" si="18"/>
        <v>0</v>
      </c>
      <c r="P52" s="35">
        <v>0</v>
      </c>
      <c r="Q52" s="42">
        <f t="shared" si="22"/>
        <v>0</v>
      </c>
      <c r="R52" s="42">
        <f t="shared" si="19"/>
        <v>0</v>
      </c>
      <c r="S52" s="19">
        <f t="shared" si="14"/>
        <v>0</v>
      </c>
      <c r="T52" s="45">
        <f t="shared" si="15"/>
        <v>0</v>
      </c>
      <c r="U52" s="46">
        <f t="shared" si="16"/>
        <v>0</v>
      </c>
      <c r="V52" s="19">
        <f t="shared" si="20"/>
        <v>0</v>
      </c>
      <c r="W52" s="45">
        <f t="shared" si="21"/>
        <v>0</v>
      </c>
    </row>
    <row r="53" spans="2:24" outlineLevel="1" x14ac:dyDescent="0.25">
      <c r="B53" s="33" t="str">
        <f>B41</f>
        <v>FPP - Medicaid</v>
      </c>
      <c r="C53" s="35">
        <v>0</v>
      </c>
      <c r="D53" s="35">
        <v>0</v>
      </c>
      <c r="E53" s="35">
        <v>0</v>
      </c>
      <c r="F53" s="39">
        <f t="shared" si="12"/>
        <v>0</v>
      </c>
      <c r="G53" s="61">
        <f>IFERROR(C53/C$56,"")</f>
        <v>0</v>
      </c>
      <c r="H53" s="35">
        <v>0</v>
      </c>
      <c r="I53" s="42">
        <f t="shared" si="17"/>
        <v>0</v>
      </c>
      <c r="J53" s="67"/>
      <c r="K53" s="67"/>
      <c r="L53" s="35">
        <v>0</v>
      </c>
      <c r="M53" s="42">
        <f t="shared" si="13"/>
        <v>0</v>
      </c>
      <c r="N53" s="35">
        <v>0</v>
      </c>
      <c r="O53" s="42">
        <f t="shared" si="18"/>
        <v>0</v>
      </c>
      <c r="P53" s="35">
        <v>0</v>
      </c>
      <c r="Q53" s="42">
        <f t="shared" si="22"/>
        <v>0</v>
      </c>
      <c r="R53" s="42">
        <f t="shared" si="19"/>
        <v>0</v>
      </c>
      <c r="S53" s="19">
        <f t="shared" si="14"/>
        <v>0</v>
      </c>
      <c r="T53" s="45">
        <f t="shared" si="15"/>
        <v>0</v>
      </c>
      <c r="U53" s="46">
        <f t="shared" si="16"/>
        <v>0</v>
      </c>
      <c r="V53" s="19">
        <f t="shared" si="20"/>
        <v>0</v>
      </c>
      <c r="W53" s="45">
        <f t="shared" si="21"/>
        <v>0</v>
      </c>
    </row>
    <row r="54" spans="2:24" outlineLevel="1" x14ac:dyDescent="0.25">
      <c r="B54" s="33" t="s">
        <v>83</v>
      </c>
      <c r="C54" s="35">
        <v>0</v>
      </c>
      <c r="D54" s="35">
        <v>0</v>
      </c>
      <c r="E54" s="35">
        <v>0</v>
      </c>
      <c r="F54" s="39"/>
      <c r="G54" s="61">
        <f>IFERROR(C54/C$56,"")</f>
        <v>0</v>
      </c>
      <c r="H54" s="35">
        <v>0</v>
      </c>
      <c r="I54" s="42">
        <f t="shared" si="17"/>
        <v>0</v>
      </c>
      <c r="J54" s="67"/>
      <c r="K54" s="67"/>
      <c r="L54" s="35">
        <v>0</v>
      </c>
      <c r="M54" s="42">
        <f t="shared" si="13"/>
        <v>0</v>
      </c>
      <c r="N54" s="35">
        <v>0</v>
      </c>
      <c r="O54" s="42">
        <f t="shared" si="18"/>
        <v>0</v>
      </c>
      <c r="P54" s="35">
        <v>0</v>
      </c>
      <c r="Q54" s="42">
        <f t="shared" si="22"/>
        <v>0</v>
      </c>
      <c r="R54" s="42">
        <f t="shared" si="19"/>
        <v>0</v>
      </c>
      <c r="S54" s="19">
        <f t="shared" si="14"/>
        <v>0</v>
      </c>
      <c r="T54" s="45">
        <f t="shared" si="15"/>
        <v>0</v>
      </c>
      <c r="U54" s="46">
        <f t="shared" si="16"/>
        <v>0</v>
      </c>
      <c r="V54" s="19">
        <f t="shared" si="20"/>
        <v>0</v>
      </c>
      <c r="W54" s="45">
        <f t="shared" si="21"/>
        <v>0</v>
      </c>
      <c r="X54" s="13"/>
    </row>
    <row r="55" spans="2:24" outlineLevel="1" x14ac:dyDescent="0.25">
      <c r="B55" s="18" t="str">
        <f>B43</f>
        <v>Other (Bad Debt, Free Care, DSH)</v>
      </c>
      <c r="C55" s="51">
        <v>-444429</v>
      </c>
      <c r="D55" s="51">
        <v>-885937</v>
      </c>
      <c r="E55" s="51">
        <v>-200000</v>
      </c>
      <c r="F55" s="73">
        <f>E55-C55</f>
        <v>244429</v>
      </c>
      <c r="G55" s="74">
        <f>IFERROR(C55/C$56,"")</f>
        <v>-0.12001092017310257</v>
      </c>
      <c r="H55" s="51">
        <v>-444429</v>
      </c>
      <c r="I55" s="75">
        <f t="shared" si="17"/>
        <v>0</v>
      </c>
      <c r="J55" s="76"/>
      <c r="K55" s="76"/>
      <c r="L55" s="51">
        <v>-133328.69999999998</v>
      </c>
      <c r="M55" s="75">
        <f>L55-C55</f>
        <v>311100.30000000005</v>
      </c>
      <c r="N55" s="51">
        <v>-885937</v>
      </c>
      <c r="O55" s="75">
        <f>N55-C55</f>
        <v>-441508</v>
      </c>
      <c r="P55" s="51">
        <v>-146661.57</v>
      </c>
      <c r="Q55" s="75">
        <f t="shared" si="22"/>
        <v>297767.43</v>
      </c>
      <c r="R55" s="75">
        <f t="shared" si="19"/>
        <v>77069.26999999996</v>
      </c>
      <c r="S55" s="77">
        <f t="shared" si="14"/>
        <v>0</v>
      </c>
      <c r="T55" s="78">
        <f t="shared" si="15"/>
        <v>0</v>
      </c>
      <c r="U55" s="79">
        <f t="shared" si="16"/>
        <v>0</v>
      </c>
      <c r="V55" s="77">
        <f t="shared" si="20"/>
        <v>-0.54998436195657796</v>
      </c>
      <c r="W55" s="78">
        <f t="shared" si="21"/>
        <v>6.600412935922563E-2</v>
      </c>
    </row>
    <row r="56" spans="2:24" outlineLevel="1" x14ac:dyDescent="0.25">
      <c r="B56" s="7" t="s">
        <v>23</v>
      </c>
      <c r="C56" s="36">
        <f>SUM(C47,C48,C49,C50,C51,C55)</f>
        <v>3703238</v>
      </c>
      <c r="D56" s="36">
        <f>SUM(D47,D48,D49,D50,D51,D55)</f>
        <v>3952904.9360000007</v>
      </c>
      <c r="E56" s="36">
        <f>SUM(E47,E48,E49,E50,E51,E55)</f>
        <v>5239900.7923202189</v>
      </c>
      <c r="F56" s="36">
        <f>E56-C56</f>
        <v>1536662.7923202189</v>
      </c>
      <c r="G56" s="80">
        <f>SUM(G55,G51,G50,G49,G48,G47)</f>
        <v>1</v>
      </c>
      <c r="H56" s="36">
        <f>SUM(H47:H55)-H50-H51</f>
        <v>1985419.0000000005</v>
      </c>
      <c r="I56" s="36">
        <f>SUM(I47,I48,I49,I50,I51,I55)</f>
        <v>61890.399999999907</v>
      </c>
      <c r="J56" s="36" t="e">
        <f>SUM(#REF!)</f>
        <v>#REF!</v>
      </c>
      <c r="K56" s="36" t="e">
        <f>SUM(#REF!)</f>
        <v>#REF!</v>
      </c>
      <c r="L56" s="36">
        <f>SUM(L47:L55)-L50-L51</f>
        <v>2463865.3199999994</v>
      </c>
      <c r="M56" s="36">
        <f>SUM(M47,M48,M49,M50,M51,M55)</f>
        <v>639010.39000000048</v>
      </c>
      <c r="N56" s="36">
        <f>SUM(N47:N55)-N50-N51</f>
        <v>1511911</v>
      </c>
      <c r="O56" s="36">
        <f>SUM(O47,O48,O49,O50,O51,O55)</f>
        <v>-473508</v>
      </c>
      <c r="P56" s="36">
        <f>SUM(P47:P55)-P50-P51</f>
        <v>2314306.6569999997</v>
      </c>
      <c r="Q56" s="36">
        <f>SUM(Q47,Q48,Q49,Q50,Q51,Q55)</f>
        <v>423344.42700000003</v>
      </c>
      <c r="R56" s="36">
        <f>SUM(R47,R48,R49,R50,R51,R55)</f>
        <v>885925.57532021869</v>
      </c>
      <c r="S56" s="56">
        <f t="shared" si="14"/>
        <v>1.6712509430935822E-2</v>
      </c>
      <c r="T56" s="59">
        <f t="shared" si="15"/>
        <v>1.6712509430935822E-2</v>
      </c>
      <c r="U56" s="10">
        <f>SUM(U47:U50,U51,U55)</f>
        <v>1.6712509430935822E-2</v>
      </c>
      <c r="V56" s="14">
        <f t="shared" si="20"/>
        <v>0.41495112988153038</v>
      </c>
      <c r="W56" s="9">
        <f>SUM(W47:W50,W51,W55)</f>
        <v>0.41495112988153049</v>
      </c>
    </row>
    <row r="57" spans="2:24" outlineLevel="1" x14ac:dyDescent="0.25">
      <c r="B57" s="13"/>
      <c r="C57" s="24"/>
      <c r="D57" s="24"/>
      <c r="E57" s="24"/>
      <c r="F57" s="24"/>
      <c r="G57" s="25"/>
      <c r="H57" s="24"/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3"/>
      <c r="T57" s="10"/>
      <c r="U57" s="10"/>
      <c r="V57" s="14"/>
      <c r="W57" s="9"/>
    </row>
    <row r="58" spans="2:24" outlineLevel="1" x14ac:dyDescent="0.25">
      <c r="B58" s="13"/>
      <c r="C58" s="54"/>
      <c r="D58" s="54"/>
      <c r="E58" s="54"/>
      <c r="F58" s="54"/>
      <c r="G58" s="55"/>
      <c r="H58" s="54"/>
      <c r="I58" s="54"/>
      <c r="J58" s="54"/>
      <c r="K58" s="54"/>
      <c r="L58" s="54"/>
      <c r="M58" s="54"/>
      <c r="N58" s="54"/>
      <c r="O58" s="54"/>
      <c r="P58" s="54"/>
      <c r="Q58" s="54"/>
      <c r="R58" s="54"/>
      <c r="S58" s="10"/>
      <c r="T58" s="10"/>
      <c r="U58" s="10"/>
      <c r="V58" s="9"/>
      <c r="W58" s="9"/>
    </row>
    <row r="59" spans="2:24" ht="63" customHeight="1" outlineLevel="1" x14ac:dyDescent="0.25">
      <c r="B59" s="22" t="s">
        <v>24</v>
      </c>
      <c r="C59" s="21" t="str">
        <f>C46</f>
        <v>NPR FY24
Budget</v>
      </c>
      <c r="D59" s="21" t="str">
        <f>D46</f>
        <v>NPR FY24
Proj.</v>
      </c>
      <c r="E59" s="21" t="str">
        <f>E46</f>
        <v>NPR FY25
Budget</v>
      </c>
      <c r="F59" s="21" t="str">
        <f>F46</f>
        <v>NPR YOY 
(Budget to Budget)</v>
      </c>
      <c r="G59" s="21" t="str">
        <f>G46</f>
        <v>W</v>
      </c>
      <c r="H59" s="21" t="str">
        <f>H46</f>
        <v>NPR FY24 @FY25 Comm. Prices</v>
      </c>
      <c r="I59" s="21" t="str">
        <f>I46</f>
        <v>NPR FY25 due to Comm. Price</v>
      </c>
      <c r="J59" s="21" t="str">
        <f>J46</f>
        <v>NPR FY25 due to Comm. Price
(FY24 Proj. to FY24 Budget)</v>
      </c>
      <c r="K59" s="21" t="str">
        <f>K46</f>
        <v>NPR FY25 due to Comm. Price
(FY25 Budget to FY24 Proj.)</v>
      </c>
      <c r="L59" s="21" t="str">
        <f>L46</f>
        <v>NPR FY24 @FY25 Utiliz.</v>
      </c>
      <c r="M59" s="21" t="str">
        <f>M46</f>
        <v>NPR FY25 due to Utiliz.</v>
      </c>
      <c r="N59" s="21" t="str">
        <f>N46</f>
        <v>NPR FY24 @FY25 Public Payer Prices</v>
      </c>
      <c r="O59" s="21" t="str">
        <f>O46</f>
        <v>NPR FY25 due to Public Payer Prices</v>
      </c>
      <c r="P59" s="21" t="str">
        <f>P46</f>
        <v>NPR FY24 @FY25 Payer Mix</v>
      </c>
      <c r="Q59" s="21" t="str">
        <f>Q46</f>
        <v>NPR FY25 due to Payer Mix</v>
      </c>
      <c r="R59" s="21" t="str">
        <f>R46</f>
        <v>NPR FY25 due to all other</v>
      </c>
      <c r="S59" s="21" t="str">
        <f>S46</f>
        <v>FY25
Comm Rate NPR Impact</v>
      </c>
      <c r="T59" s="20" t="str">
        <f>T46</f>
        <v>FY25
Estimated AnnualizedComm Rate</v>
      </c>
      <c r="U59" s="20" t="str">
        <f>U46</f>
        <v>FY25 Comm Rate (WAvg)</v>
      </c>
      <c r="V59" s="21" t="str">
        <f>V46</f>
        <v>FY25 NPR Growth</v>
      </c>
      <c r="W59" s="20" t="str">
        <f>W46</f>
        <v>FY25 NPR Growth
(WAvg)</v>
      </c>
    </row>
    <row r="60" spans="2:24" outlineLevel="1" x14ac:dyDescent="0.25">
      <c r="B60" s="44" t="str">
        <f>B47</f>
        <v>Medicaid</v>
      </c>
      <c r="C60" s="34">
        <v>784578</v>
      </c>
      <c r="D60" s="34">
        <v>1124651.74</v>
      </c>
      <c r="E60" s="34">
        <v>1024342</v>
      </c>
      <c r="F60" s="38">
        <f>E60-C60</f>
        <v>239764</v>
      </c>
      <c r="G60" s="17">
        <f>IFERROR(C60/C$69,"")</f>
        <v>0.50175741529488505</v>
      </c>
      <c r="H60" s="34">
        <f>C60</f>
        <v>784578</v>
      </c>
      <c r="I60" s="41">
        <f>H60-C60</f>
        <v>0</v>
      </c>
      <c r="J60" s="40"/>
      <c r="K60" s="40"/>
      <c r="L60" s="40">
        <v>800269.56</v>
      </c>
      <c r="M60" s="41">
        <f t="shared" ref="M60:M68" si="23">L60-C60</f>
        <v>15691.560000000056</v>
      </c>
      <c r="N60" s="40">
        <v>1124651.74</v>
      </c>
      <c r="O60" s="41">
        <f>N60-C60</f>
        <v>340073.74</v>
      </c>
      <c r="P60" s="40">
        <f>C60*0.95</f>
        <v>745349.1</v>
      </c>
      <c r="Q60" s="41">
        <f t="shared" ref="Q60:Q68" si="24">P60-C60</f>
        <v>-39228.900000000023</v>
      </c>
      <c r="R60" s="41">
        <f>F60-Q60-O60-M60-I60</f>
        <v>-76772.400000000023</v>
      </c>
      <c r="S60" s="16">
        <f t="shared" ref="S60:S69" si="25">IFERROR(I60/C60,0%)</f>
        <v>0</v>
      </c>
      <c r="T60" s="32">
        <f t="shared" ref="T60:T69" si="26">S60/E$32</f>
        <v>0</v>
      </c>
      <c r="U60" s="31">
        <f t="shared" ref="U60:U68" si="27">IFERROR(S60*G60,0%)</f>
        <v>0</v>
      </c>
      <c r="V60" s="16">
        <f>IFERROR((E60-C60)/C60,0%)</f>
        <v>0.305596129384204</v>
      </c>
      <c r="W60" s="32">
        <f>IFERROR(V60*G60,0%)</f>
        <v>0.15333512400393948</v>
      </c>
    </row>
    <row r="61" spans="2:24" outlineLevel="1" x14ac:dyDescent="0.25">
      <c r="B61" s="44" t="str">
        <f>B48</f>
        <v>Medicare - Traditional</v>
      </c>
      <c r="C61" s="34">
        <v>671247</v>
      </c>
      <c r="D61" s="34">
        <v>648033.65999999898</v>
      </c>
      <c r="E61" s="34">
        <v>602380</v>
      </c>
      <c r="F61" s="38">
        <f t="shared" ref="F61:F66" si="28">E61-C61</f>
        <v>-68867</v>
      </c>
      <c r="G61" s="17">
        <f>IFERROR(C61/C$69,"")</f>
        <v>0.42927938298607116</v>
      </c>
      <c r="H61" s="40">
        <f>C61</f>
        <v>671247</v>
      </c>
      <c r="I61" s="41">
        <f t="shared" ref="I61:I68" si="29">H61-C61</f>
        <v>0</v>
      </c>
      <c r="J61" s="40"/>
      <c r="K61" s="40"/>
      <c r="L61" s="40">
        <v>624259.71000000008</v>
      </c>
      <c r="M61" s="41">
        <f t="shared" si="23"/>
        <v>-46987.289999999921</v>
      </c>
      <c r="N61" s="40">
        <v>660994.33319999895</v>
      </c>
      <c r="O61" s="41">
        <f t="shared" ref="O61:O68" si="30">N61-C61</f>
        <v>-10252.666800001054</v>
      </c>
      <c r="P61" s="40">
        <f>C61*1.0005</f>
        <v>671582.62349999999</v>
      </c>
      <c r="Q61" s="41">
        <f t="shared" si="24"/>
        <v>335.62349999998696</v>
      </c>
      <c r="R61" s="41">
        <f t="shared" ref="R61:R68" si="31">F61-Q61-O61-M61-I61</f>
        <v>-11962.666699999012</v>
      </c>
      <c r="S61" s="16">
        <f t="shared" si="25"/>
        <v>0</v>
      </c>
      <c r="T61" s="32">
        <f t="shared" si="26"/>
        <v>0</v>
      </c>
      <c r="U61" s="31">
        <f t="shared" si="27"/>
        <v>0</v>
      </c>
      <c r="V61" s="16">
        <f t="shared" ref="V61:V69" si="32">IFERROR((E61-C61)/C61,0%)</f>
        <v>-0.10259561681467477</v>
      </c>
      <c r="W61" s="32">
        <f t="shared" ref="W61:W68" si="33">IFERROR(V61*G61,0%)</f>
        <v>-4.4042183083278973E-2</v>
      </c>
    </row>
    <row r="62" spans="2:24" outlineLevel="1" x14ac:dyDescent="0.25">
      <c r="B62" s="44" t="str">
        <f>B49</f>
        <v>Medicare - Advantage</v>
      </c>
      <c r="C62" s="34">
        <v>145374</v>
      </c>
      <c r="D62" s="34">
        <v>155175</v>
      </c>
      <c r="E62" s="34">
        <v>205697</v>
      </c>
      <c r="F62" s="38">
        <f t="shared" si="28"/>
        <v>60323</v>
      </c>
      <c r="G62" s="17">
        <f>IFERROR(C62/C$69,"")</f>
        <v>9.2970338820459686E-2</v>
      </c>
      <c r="H62" s="40">
        <f>C62</f>
        <v>145374</v>
      </c>
      <c r="I62" s="41">
        <f t="shared" si="29"/>
        <v>0</v>
      </c>
      <c r="J62" s="40"/>
      <c r="K62" s="40"/>
      <c r="L62" s="40">
        <v>135197.82</v>
      </c>
      <c r="M62" s="41">
        <f t="shared" si="23"/>
        <v>-10176.179999999993</v>
      </c>
      <c r="N62" s="40">
        <v>158278.5</v>
      </c>
      <c r="O62" s="41">
        <f t="shared" si="30"/>
        <v>12904.5</v>
      </c>
      <c r="P62" s="40">
        <f>C62*1.0005</f>
        <v>145446.68700000001</v>
      </c>
      <c r="Q62" s="41">
        <f t="shared" si="24"/>
        <v>72.687000000005355</v>
      </c>
      <c r="R62" s="41">
        <f t="shared" si="31"/>
        <v>57521.992999999988</v>
      </c>
      <c r="S62" s="16">
        <f t="shared" si="25"/>
        <v>0</v>
      </c>
      <c r="T62" s="32">
        <f t="shared" si="26"/>
        <v>0</v>
      </c>
      <c r="U62" s="31">
        <f t="shared" si="27"/>
        <v>0</v>
      </c>
      <c r="V62" s="16">
        <f t="shared" si="32"/>
        <v>0.41495040378609654</v>
      </c>
      <c r="W62" s="32">
        <f t="shared" si="33"/>
        <v>3.857807963367995E-2</v>
      </c>
    </row>
    <row r="63" spans="2:24" outlineLevel="1" x14ac:dyDescent="0.25">
      <c r="B63" s="44" t="str">
        <f>B50</f>
        <v>Commercial</v>
      </c>
      <c r="C63" s="34">
        <v>309826</v>
      </c>
      <c r="D63" s="34">
        <v>219523</v>
      </c>
      <c r="E63" s="34">
        <v>234603</v>
      </c>
      <c r="F63" s="38">
        <v>-75223</v>
      </c>
      <c r="G63" s="17">
        <v>0.1981415397209112</v>
      </c>
      <c r="H63" s="40">
        <v>333515.15000000002</v>
      </c>
      <c r="I63" s="41">
        <v>23689.150000000023</v>
      </c>
      <c r="J63" s="40">
        <v>9475.6600000000089</v>
      </c>
      <c r="K63" s="40">
        <v>14213.490000000014</v>
      </c>
      <c r="L63" s="40">
        <v>282245.81</v>
      </c>
      <c r="M63" s="41">
        <v>-27580.190000000002</v>
      </c>
      <c r="N63" s="40">
        <v>309826</v>
      </c>
      <c r="O63" s="41">
        <v>0</v>
      </c>
      <c r="P63" s="40">
        <v>282245.81</v>
      </c>
      <c r="Q63" s="41">
        <v>-27580.190000000002</v>
      </c>
      <c r="R63" s="41">
        <v>-43751.770000000019</v>
      </c>
      <c r="S63" s="16">
        <v>7.6459528896864762E-2</v>
      </c>
      <c r="T63" s="32">
        <v>7.6459528896864762E-2</v>
      </c>
      <c r="U63" s="31">
        <v>1.5149808781960287E-2</v>
      </c>
      <c r="V63" s="16">
        <v>-0.24279111501294276</v>
      </c>
      <c r="W63" s="32">
        <v>-4.8107005359221314E-2</v>
      </c>
    </row>
    <row r="64" spans="2:24" outlineLevel="1" x14ac:dyDescent="0.25">
      <c r="B64" s="30" t="str">
        <f>B51</f>
        <v>Fixed Prospective Payments</v>
      </c>
      <c r="C64" s="34">
        <v>0</v>
      </c>
      <c r="D64" s="34">
        <v>0</v>
      </c>
      <c r="E64" s="34">
        <v>0</v>
      </c>
      <c r="F64" s="38">
        <f t="shared" si="28"/>
        <v>0</v>
      </c>
      <c r="G64" s="17">
        <f>IFERROR(C64/C$69,"")</f>
        <v>0</v>
      </c>
      <c r="H64" s="34">
        <v>0</v>
      </c>
      <c r="I64" s="41">
        <f t="shared" si="29"/>
        <v>0</v>
      </c>
      <c r="J64" s="67"/>
      <c r="K64" s="67"/>
      <c r="L64" s="34">
        <v>0</v>
      </c>
      <c r="M64" s="41">
        <f t="shared" si="23"/>
        <v>0</v>
      </c>
      <c r="N64" s="35">
        <v>0</v>
      </c>
      <c r="O64" s="41">
        <f t="shared" si="30"/>
        <v>0</v>
      </c>
      <c r="P64" s="34">
        <f t="shared" ref="P64" si="34">C64*1.01</f>
        <v>0</v>
      </c>
      <c r="Q64" s="41">
        <f t="shared" si="24"/>
        <v>0</v>
      </c>
      <c r="R64" s="41">
        <f t="shared" si="31"/>
        <v>0</v>
      </c>
      <c r="S64" s="16">
        <f t="shared" si="25"/>
        <v>0</v>
      </c>
      <c r="T64" s="32">
        <f t="shared" si="26"/>
        <v>0</v>
      </c>
      <c r="U64" s="31">
        <f t="shared" si="27"/>
        <v>0</v>
      </c>
      <c r="V64" s="16">
        <f t="shared" si="32"/>
        <v>0</v>
      </c>
      <c r="W64" s="32">
        <f t="shared" si="33"/>
        <v>0</v>
      </c>
    </row>
    <row r="65" spans="2:24" outlineLevel="1" x14ac:dyDescent="0.25">
      <c r="B65" s="33" t="str">
        <f>B52</f>
        <v>FPP - Medicare</v>
      </c>
      <c r="C65" s="35">
        <v>0</v>
      </c>
      <c r="D65" s="35">
        <v>0</v>
      </c>
      <c r="E65" s="35">
        <v>0</v>
      </c>
      <c r="F65" s="39">
        <f t="shared" si="28"/>
        <v>0</v>
      </c>
      <c r="G65" s="61">
        <f>IFERROR(C65/C$69,"")</f>
        <v>0</v>
      </c>
      <c r="H65" s="35">
        <v>0</v>
      </c>
      <c r="I65" s="42">
        <f t="shared" si="29"/>
        <v>0</v>
      </c>
      <c r="J65" s="67"/>
      <c r="K65" s="67"/>
      <c r="L65" s="35">
        <v>0</v>
      </c>
      <c r="M65" s="42">
        <f t="shared" si="23"/>
        <v>0</v>
      </c>
      <c r="N65" s="35">
        <v>0</v>
      </c>
      <c r="O65" s="42">
        <f t="shared" si="30"/>
        <v>0</v>
      </c>
      <c r="P65" s="35">
        <f>P64*0.6</f>
        <v>0</v>
      </c>
      <c r="Q65" s="42">
        <f t="shared" si="24"/>
        <v>0</v>
      </c>
      <c r="R65" s="42">
        <f t="shared" si="31"/>
        <v>0</v>
      </c>
      <c r="S65" s="19">
        <f t="shared" si="25"/>
        <v>0</v>
      </c>
      <c r="T65" s="45">
        <f t="shared" si="26"/>
        <v>0</v>
      </c>
      <c r="U65" s="46">
        <f t="shared" si="27"/>
        <v>0</v>
      </c>
      <c r="V65" s="19">
        <f t="shared" si="32"/>
        <v>0</v>
      </c>
      <c r="W65" s="45">
        <f t="shared" si="33"/>
        <v>0</v>
      </c>
    </row>
    <row r="66" spans="2:24" outlineLevel="1" x14ac:dyDescent="0.25">
      <c r="B66" s="33" t="str">
        <f>B53</f>
        <v>FPP - Medicaid</v>
      </c>
      <c r="C66" s="35">
        <v>0</v>
      </c>
      <c r="D66" s="35">
        <v>0</v>
      </c>
      <c r="E66" s="35">
        <v>0</v>
      </c>
      <c r="F66" s="39">
        <f t="shared" si="28"/>
        <v>0</v>
      </c>
      <c r="G66" s="61">
        <f>IFERROR(C66/C$69,"")</f>
        <v>0</v>
      </c>
      <c r="H66" s="35">
        <v>0</v>
      </c>
      <c r="I66" s="42">
        <f t="shared" si="29"/>
        <v>0</v>
      </c>
      <c r="J66" s="67"/>
      <c r="K66" s="67"/>
      <c r="L66" s="35">
        <v>0</v>
      </c>
      <c r="M66" s="42">
        <f t="shared" si="23"/>
        <v>0</v>
      </c>
      <c r="N66" s="35">
        <v>0</v>
      </c>
      <c r="O66" s="42">
        <f t="shared" si="30"/>
        <v>0</v>
      </c>
      <c r="P66" s="35">
        <f>P64*0.4</f>
        <v>0</v>
      </c>
      <c r="Q66" s="42">
        <f t="shared" si="24"/>
        <v>0</v>
      </c>
      <c r="R66" s="42">
        <f t="shared" si="31"/>
        <v>0</v>
      </c>
      <c r="S66" s="19">
        <f t="shared" si="25"/>
        <v>0</v>
      </c>
      <c r="T66" s="45">
        <f t="shared" si="26"/>
        <v>0</v>
      </c>
      <c r="U66" s="46">
        <f t="shared" si="27"/>
        <v>0</v>
      </c>
      <c r="V66" s="19">
        <f t="shared" si="32"/>
        <v>0</v>
      </c>
      <c r="W66" s="45">
        <f t="shared" si="33"/>
        <v>0</v>
      </c>
    </row>
    <row r="67" spans="2:24" outlineLevel="1" x14ac:dyDescent="0.25">
      <c r="B67" s="33" t="s">
        <v>83</v>
      </c>
      <c r="C67" s="35">
        <v>0</v>
      </c>
      <c r="D67" s="35">
        <v>0</v>
      </c>
      <c r="E67" s="35">
        <v>0</v>
      </c>
      <c r="F67" s="39"/>
      <c r="G67" s="61">
        <f>IFERROR(C67/C$69,"")</f>
        <v>0</v>
      </c>
      <c r="H67" s="35">
        <v>0</v>
      </c>
      <c r="I67" s="42">
        <f t="shared" si="29"/>
        <v>0</v>
      </c>
      <c r="J67" s="67"/>
      <c r="K67" s="67"/>
      <c r="L67" s="35">
        <v>0</v>
      </c>
      <c r="M67" s="42">
        <f t="shared" si="23"/>
        <v>0</v>
      </c>
      <c r="N67" s="35">
        <v>0</v>
      </c>
      <c r="O67" s="42">
        <f t="shared" si="30"/>
        <v>0</v>
      </c>
      <c r="P67" s="35">
        <v>0</v>
      </c>
      <c r="Q67" s="42">
        <f t="shared" si="24"/>
        <v>0</v>
      </c>
      <c r="R67" s="42">
        <f t="shared" si="31"/>
        <v>0</v>
      </c>
      <c r="S67" s="19">
        <f t="shared" si="25"/>
        <v>0</v>
      </c>
      <c r="T67" s="45">
        <f t="shared" si="26"/>
        <v>0</v>
      </c>
      <c r="U67" s="46">
        <f t="shared" si="27"/>
        <v>0</v>
      </c>
      <c r="V67" s="19">
        <f t="shared" si="32"/>
        <v>0</v>
      </c>
      <c r="W67" s="45">
        <f t="shared" si="33"/>
        <v>0</v>
      </c>
      <c r="X67" s="13"/>
    </row>
    <row r="68" spans="2:24" outlineLevel="1" x14ac:dyDescent="0.25">
      <c r="B68" s="18" t="str">
        <f>B55</f>
        <v>Other (Bad Debt, Free Care, DSH)</v>
      </c>
      <c r="C68" s="49">
        <v>-347365</v>
      </c>
      <c r="D68" s="49">
        <v>-349017.14</v>
      </c>
      <c r="E68" s="49">
        <v>17476</v>
      </c>
      <c r="F68" s="50">
        <f>E68-C68</f>
        <v>364841</v>
      </c>
      <c r="G68" s="58">
        <f>IFERROR(C68/C$69,"")</f>
        <v>-0.22214867682232711</v>
      </c>
      <c r="H68" s="49">
        <v>-347365</v>
      </c>
      <c r="I68" s="52">
        <f t="shared" si="29"/>
        <v>0</v>
      </c>
      <c r="J68" s="68"/>
      <c r="K68" s="68"/>
      <c r="L68" s="49">
        <v>-114630.45000000001</v>
      </c>
      <c r="M68" s="52">
        <f t="shared" si="23"/>
        <v>232734.55</v>
      </c>
      <c r="N68" s="49">
        <f>D68</f>
        <v>-349017.14</v>
      </c>
      <c r="O68" s="52">
        <f t="shared" si="30"/>
        <v>-1652.140000000014</v>
      </c>
      <c r="P68" s="49">
        <f>C68*0.5</f>
        <v>-173682.5</v>
      </c>
      <c r="Q68" s="52">
        <f t="shared" si="24"/>
        <v>173682.5</v>
      </c>
      <c r="R68" s="52">
        <f t="shared" si="31"/>
        <v>-39923.909999999974</v>
      </c>
      <c r="S68" s="15">
        <f t="shared" si="25"/>
        <v>0</v>
      </c>
      <c r="T68" s="47">
        <f t="shared" si="26"/>
        <v>0</v>
      </c>
      <c r="U68" s="48">
        <f t="shared" si="27"/>
        <v>0</v>
      </c>
      <c r="V68" s="15">
        <f t="shared" si="32"/>
        <v>-1.0503101924488649</v>
      </c>
      <c r="W68" s="47">
        <f t="shared" si="33"/>
        <v>0.23332501950551909</v>
      </c>
    </row>
    <row r="69" spans="2:24" outlineLevel="1" x14ac:dyDescent="0.25">
      <c r="B69" s="7" t="s">
        <v>25</v>
      </c>
      <c r="C69" s="36">
        <f>SUM(C60,C61,C62,C63,C64,C68)</f>
        <v>1563660</v>
      </c>
      <c r="D69" s="36">
        <f>SUM(D60,D61,D62,D63,D64,D68)</f>
        <v>1798366.2599999988</v>
      </c>
      <c r="E69" s="36">
        <f>SUM(E60,E61,E62,E63,E64,E68)</f>
        <v>2084498</v>
      </c>
      <c r="F69" s="36">
        <f>E69-C69</f>
        <v>520838</v>
      </c>
      <c r="G69" s="53">
        <f>SUM(G68,G64,G63,G62,G61,G60)</f>
        <v>1</v>
      </c>
      <c r="H69" s="36">
        <f>SUM(H60:H68)-H63-H64</f>
        <v>1253834</v>
      </c>
      <c r="I69" s="36">
        <f>SUM(I60,I61,I62,I63,I64,I68)</f>
        <v>23689.150000000023</v>
      </c>
      <c r="J69" s="36" t="e">
        <f>SUM(#REF!)</f>
        <v>#REF!</v>
      </c>
      <c r="K69" s="36" t="e">
        <f>SUM(#REF!)</f>
        <v>#REF!</v>
      </c>
      <c r="L69" s="36">
        <f>SUM(L60:L68)-L63-L64</f>
        <v>1445096.6400000001</v>
      </c>
      <c r="M69" s="36">
        <f>SUM(M60,M61,M62,M63,M64,M68)</f>
        <v>163682.45000000013</v>
      </c>
      <c r="N69" s="36">
        <f>SUM(N60:N68)-N63-N64</f>
        <v>1594907.4331999989</v>
      </c>
      <c r="O69" s="36">
        <f>SUM(O60,O61,O62,O63,O64,O68)</f>
        <v>341073.43319999892</v>
      </c>
      <c r="P69" s="36">
        <f>SUM(P60:P68)-P63-P64</f>
        <v>1388695.9104999998</v>
      </c>
      <c r="Q69" s="36">
        <f>SUM(Q60,Q61,Q62,Q63,Q64,Q68)</f>
        <v>107281.72049999997</v>
      </c>
      <c r="R69" s="36">
        <f>SUM(R60,R61,R62,R63,R64,R68)</f>
        <v>-114888.75369999904</v>
      </c>
      <c r="S69" s="56">
        <f t="shared" si="25"/>
        <v>1.5149808781960287E-2</v>
      </c>
      <c r="T69" s="59">
        <f t="shared" si="26"/>
        <v>1.5149808781960287E-2</v>
      </c>
      <c r="U69" s="10">
        <f>SUM(U60:U63,U64,U68)</f>
        <v>1.5149808781960287E-2</v>
      </c>
      <c r="V69" s="14">
        <f t="shared" si="32"/>
        <v>0.33308903470063822</v>
      </c>
      <c r="W69" s="9">
        <f>SUM(W60:W63,W64,W68)</f>
        <v>0.33308903470063822</v>
      </c>
    </row>
    <row r="70" spans="2:24" outlineLevel="1" x14ac:dyDescent="0.25">
      <c r="B70" s="13"/>
      <c r="C70" s="24"/>
      <c r="D70" s="24"/>
      <c r="E70" s="24"/>
      <c r="F70" s="24"/>
      <c r="G70" s="25"/>
      <c r="H70" s="24"/>
      <c r="I70" s="24"/>
      <c r="J70" s="24"/>
      <c r="K70" s="24"/>
      <c r="L70" s="24"/>
      <c r="M70" s="24"/>
      <c r="N70" s="24"/>
      <c r="O70" s="24"/>
      <c r="P70" s="24"/>
      <c r="Q70" s="24"/>
      <c r="R70" s="24"/>
      <c r="S70" s="23"/>
      <c r="T70" s="10"/>
      <c r="U70" s="10"/>
      <c r="V70" s="14"/>
      <c r="W70" s="9"/>
    </row>
    <row r="71" spans="2:24" ht="61.15" customHeight="1" outlineLevel="1" x14ac:dyDescent="0.25">
      <c r="B71" s="22" t="s">
        <v>105</v>
      </c>
      <c r="C71" s="21" t="str">
        <f>C59</f>
        <v>NPR FY24
Budget</v>
      </c>
      <c r="D71" s="21" t="str">
        <f>D59</f>
        <v>NPR FY24
Proj.</v>
      </c>
      <c r="E71" s="21" t="str">
        <f>E59</f>
        <v>NPR FY25
Budget</v>
      </c>
      <c r="F71" s="21" t="str">
        <f>F59</f>
        <v>NPR YOY 
(Budget to Budget)</v>
      </c>
      <c r="G71" s="21" t="str">
        <f>G59</f>
        <v>W</v>
      </c>
      <c r="H71" s="21" t="str">
        <f>H59</f>
        <v>NPR FY24 @FY25 Comm. Prices</v>
      </c>
      <c r="I71" s="21" t="str">
        <f>I59</f>
        <v>NPR FY25 due to Comm. Price</v>
      </c>
      <c r="J71" s="21" t="str">
        <f>J59</f>
        <v>NPR FY25 due to Comm. Price
(FY24 Proj. to FY24 Budget)</v>
      </c>
      <c r="K71" s="21" t="str">
        <f>K59</f>
        <v>NPR FY25 due to Comm. Price
(FY25 Budget to FY24 Proj.)</v>
      </c>
      <c r="L71" s="21" t="str">
        <f>L59</f>
        <v>NPR FY24 @FY25 Utiliz.</v>
      </c>
      <c r="M71" s="21" t="str">
        <f>M59</f>
        <v>NPR FY25 due to Utiliz.</v>
      </c>
      <c r="N71" s="21" t="str">
        <f>N59</f>
        <v>NPR FY24 @FY25 Public Payer Prices</v>
      </c>
      <c r="O71" s="21" t="str">
        <f>O59</f>
        <v>NPR FY25 due to Public Payer Prices</v>
      </c>
      <c r="P71" s="21" t="str">
        <f>P59</f>
        <v>NPR FY24 @FY25 Payer Mix</v>
      </c>
      <c r="Q71" s="21" t="str">
        <f>Q59</f>
        <v>NPR FY25 due to Payer Mix</v>
      </c>
      <c r="R71" s="21" t="str">
        <f>R59</f>
        <v>NPR FY25 due to all other</v>
      </c>
      <c r="S71" s="21" t="str">
        <f>S59</f>
        <v>FY25
Comm Rate NPR Impact</v>
      </c>
      <c r="T71" s="20" t="str">
        <f>T59</f>
        <v>FY25
Estimated AnnualizedComm Rate</v>
      </c>
      <c r="U71" s="20" t="str">
        <f>U59</f>
        <v>FY25 Comm Rate (WAvg)</v>
      </c>
      <c r="V71" s="21" t="str">
        <f>V59</f>
        <v>FY25 NPR Growth</v>
      </c>
      <c r="W71" s="20" t="str">
        <f>W59</f>
        <v>FY25 NPR Growth
(WAvg)</v>
      </c>
    </row>
    <row r="72" spans="2:24" outlineLevel="1" x14ac:dyDescent="0.25">
      <c r="B72" s="44" t="str">
        <f>B60</f>
        <v>Medicaid</v>
      </c>
      <c r="C72" s="34">
        <v>1999664</v>
      </c>
      <c r="D72" s="34">
        <v>2172815.0160000008</v>
      </c>
      <c r="E72" s="34">
        <v>7214596</v>
      </c>
      <c r="F72" s="38">
        <f t="shared" ref="F72:F78" si="35">E72-C72</f>
        <v>5214932</v>
      </c>
      <c r="G72" s="17">
        <f>IFERROR(C72/C$81,"")</f>
        <v>1.0674159762438686</v>
      </c>
      <c r="H72" s="34">
        <f>C72</f>
        <v>1999664</v>
      </c>
      <c r="I72" s="41">
        <f>H72-C72</f>
        <v>0</v>
      </c>
      <c r="J72" s="40"/>
      <c r="K72" s="40"/>
      <c r="L72" s="40">
        <f>C72*3.5</f>
        <v>6998824</v>
      </c>
      <c r="M72" s="41">
        <f>L72-C72</f>
        <v>4999160</v>
      </c>
      <c r="N72" s="40">
        <f>D72*1</f>
        <v>2172815.0160000008</v>
      </c>
      <c r="O72" s="41">
        <f>N72-C72</f>
        <v>173151.01600000076</v>
      </c>
      <c r="P72" s="40">
        <f>C72*1</f>
        <v>1999664</v>
      </c>
      <c r="Q72" s="41">
        <f t="shared" ref="Q72:Q80" si="36">P72-C72</f>
        <v>0</v>
      </c>
      <c r="R72" s="41">
        <f>F72-Q72-O72-M72-I72</f>
        <v>42620.98399999924</v>
      </c>
      <c r="S72" s="16">
        <f t="shared" ref="S72:S81" si="37">IFERROR(I72/C72,0%)</f>
        <v>0</v>
      </c>
      <c r="T72" s="32">
        <f t="shared" ref="T72:T81" si="38">S72/E$32</f>
        <v>0</v>
      </c>
      <c r="U72" s="31">
        <f t="shared" ref="U72:U80" si="39">IFERROR(S72*G72,0%)</f>
        <v>0</v>
      </c>
      <c r="V72" s="16">
        <f t="shared" ref="V72:V81" si="40">IFERROR((E72-C72)/C72,0%)</f>
        <v>2.607904127893486</v>
      </c>
      <c r="W72" s="32">
        <f t="shared" ref="W72:W80" si="41">IFERROR(V72*G72,0%)</f>
        <v>2.7837185306258401</v>
      </c>
    </row>
    <row r="73" spans="2:24" outlineLevel="1" x14ac:dyDescent="0.25">
      <c r="B73" s="44" t="str">
        <f>B61</f>
        <v>Medicare - Traditional</v>
      </c>
      <c r="C73" s="34">
        <v>0</v>
      </c>
      <c r="D73" s="34">
        <v>0</v>
      </c>
      <c r="E73" s="34">
        <v>0</v>
      </c>
      <c r="F73" s="38">
        <f t="shared" si="35"/>
        <v>0</v>
      </c>
      <c r="G73" s="17">
        <f>IFERROR(C73/C$81,"")</f>
        <v>0</v>
      </c>
      <c r="H73" s="40">
        <f>C73</f>
        <v>0</v>
      </c>
      <c r="I73" s="41">
        <f t="shared" ref="I73:I80" si="42">H73-C73</f>
        <v>0</v>
      </c>
      <c r="J73" s="40"/>
      <c r="K73" s="40"/>
      <c r="L73" s="40">
        <f>C73*1.001</f>
        <v>0</v>
      </c>
      <c r="M73" s="41">
        <f t="shared" ref="M73:M80" si="43">L73-C73</f>
        <v>0</v>
      </c>
      <c r="N73" s="40">
        <f>D73*1.02</f>
        <v>0</v>
      </c>
      <c r="O73" s="41">
        <f t="shared" ref="O73:O80" si="44">N73-C73</f>
        <v>0</v>
      </c>
      <c r="P73" s="40">
        <f>C73*1.0005</f>
        <v>0</v>
      </c>
      <c r="Q73" s="41">
        <f t="shared" si="36"/>
        <v>0</v>
      </c>
      <c r="R73" s="41">
        <f t="shared" ref="R73:R80" si="45">F73-Q73-O73-M73-I73</f>
        <v>0</v>
      </c>
      <c r="S73" s="16">
        <f t="shared" si="37"/>
        <v>0</v>
      </c>
      <c r="T73" s="32">
        <f t="shared" si="38"/>
        <v>0</v>
      </c>
      <c r="U73" s="31">
        <f t="shared" si="39"/>
        <v>0</v>
      </c>
      <c r="V73" s="16">
        <f t="shared" si="40"/>
        <v>0</v>
      </c>
      <c r="W73" s="32">
        <f t="shared" si="41"/>
        <v>0</v>
      </c>
    </row>
    <row r="74" spans="2:24" outlineLevel="1" x14ac:dyDescent="0.25">
      <c r="B74" s="44" t="str">
        <f>B62</f>
        <v>Medicare - Advantage</v>
      </c>
      <c r="C74" s="34">
        <v>0</v>
      </c>
      <c r="D74" s="34">
        <v>0</v>
      </c>
      <c r="E74" s="34">
        <v>0</v>
      </c>
      <c r="F74" s="38">
        <f t="shared" si="35"/>
        <v>0</v>
      </c>
      <c r="G74" s="17">
        <f>IFERROR(C74/C$81,"")</f>
        <v>0</v>
      </c>
      <c r="H74" s="40">
        <f>C74</f>
        <v>0</v>
      </c>
      <c r="I74" s="41">
        <f t="shared" si="42"/>
        <v>0</v>
      </c>
      <c r="J74" s="40"/>
      <c r="K74" s="40"/>
      <c r="L74" s="40">
        <f>C74*1.01</f>
        <v>0</v>
      </c>
      <c r="M74" s="41">
        <f t="shared" si="43"/>
        <v>0</v>
      </c>
      <c r="N74" s="40">
        <f>D74*1.02</f>
        <v>0</v>
      </c>
      <c r="O74" s="41">
        <f t="shared" si="44"/>
        <v>0</v>
      </c>
      <c r="P74" s="40">
        <f>C74*1.0005</f>
        <v>0</v>
      </c>
      <c r="Q74" s="41">
        <f t="shared" si="36"/>
        <v>0</v>
      </c>
      <c r="R74" s="41">
        <f t="shared" si="45"/>
        <v>0</v>
      </c>
      <c r="S74" s="16">
        <f t="shared" si="37"/>
        <v>0</v>
      </c>
      <c r="T74" s="32">
        <f t="shared" si="38"/>
        <v>0</v>
      </c>
      <c r="U74" s="31">
        <f t="shared" si="39"/>
        <v>0</v>
      </c>
      <c r="V74" s="16">
        <f t="shared" si="40"/>
        <v>0</v>
      </c>
      <c r="W74" s="32">
        <f t="shared" si="41"/>
        <v>0</v>
      </c>
    </row>
    <row r="75" spans="2:24" outlineLevel="1" x14ac:dyDescent="0.25">
      <c r="B75" s="44" t="str">
        <f>B63</f>
        <v>Commercial</v>
      </c>
      <c r="C75" s="34">
        <v>0</v>
      </c>
      <c r="D75" s="34">
        <v>0</v>
      </c>
      <c r="E75" s="34">
        <v>0</v>
      </c>
      <c r="F75" s="38">
        <v>0</v>
      </c>
      <c r="G75" s="17">
        <v>0</v>
      </c>
      <c r="H75" s="40">
        <v>0</v>
      </c>
      <c r="I75" s="41">
        <v>0</v>
      </c>
      <c r="J75" s="40">
        <v>0</v>
      </c>
      <c r="K75" s="40">
        <v>0</v>
      </c>
      <c r="L75" s="40">
        <v>0</v>
      </c>
      <c r="M75" s="41">
        <v>0</v>
      </c>
      <c r="N75" s="40">
        <v>0</v>
      </c>
      <c r="O75" s="41">
        <v>0</v>
      </c>
      <c r="P75" s="40">
        <v>0</v>
      </c>
      <c r="Q75" s="41">
        <v>0</v>
      </c>
      <c r="R75" s="41">
        <v>0</v>
      </c>
      <c r="S75" s="16">
        <v>0</v>
      </c>
      <c r="T75" s="32">
        <v>0</v>
      </c>
      <c r="U75" s="31">
        <v>0</v>
      </c>
      <c r="V75" s="16">
        <v>0</v>
      </c>
      <c r="W75" s="32">
        <v>0</v>
      </c>
    </row>
    <row r="76" spans="2:24" outlineLevel="1" x14ac:dyDescent="0.25">
      <c r="B76" s="30" t="str">
        <f>B64</f>
        <v>Fixed Prospective Payments</v>
      </c>
      <c r="C76" s="34">
        <v>0</v>
      </c>
      <c r="D76" s="34">
        <v>0</v>
      </c>
      <c r="E76" s="34">
        <v>0</v>
      </c>
      <c r="F76" s="38">
        <f t="shared" si="35"/>
        <v>0</v>
      </c>
      <c r="G76" s="17">
        <f>IFERROR(C76/C$81,"")</f>
        <v>0</v>
      </c>
      <c r="H76" s="34">
        <f>C76</f>
        <v>0</v>
      </c>
      <c r="I76" s="41">
        <f t="shared" si="42"/>
        <v>0</v>
      </c>
      <c r="J76" s="67"/>
      <c r="K76" s="67"/>
      <c r="L76" s="34">
        <f>C76*1.015</f>
        <v>0</v>
      </c>
      <c r="M76" s="41">
        <f t="shared" si="43"/>
        <v>0</v>
      </c>
      <c r="N76" s="35">
        <v>0</v>
      </c>
      <c r="O76" s="41">
        <f t="shared" si="44"/>
        <v>0</v>
      </c>
      <c r="P76" s="34">
        <f t="shared" ref="P76" si="46">C76*1.01</f>
        <v>0</v>
      </c>
      <c r="Q76" s="41">
        <f t="shared" si="36"/>
        <v>0</v>
      </c>
      <c r="R76" s="41">
        <f t="shared" si="45"/>
        <v>0</v>
      </c>
      <c r="S76" s="16">
        <f t="shared" si="37"/>
        <v>0</v>
      </c>
      <c r="T76" s="32">
        <f t="shared" si="38"/>
        <v>0</v>
      </c>
      <c r="U76" s="31">
        <f t="shared" si="39"/>
        <v>0</v>
      </c>
      <c r="V76" s="16">
        <f t="shared" si="40"/>
        <v>0</v>
      </c>
      <c r="W76" s="32">
        <f t="shared" si="41"/>
        <v>0</v>
      </c>
    </row>
    <row r="77" spans="2:24" outlineLevel="1" x14ac:dyDescent="0.25">
      <c r="B77" s="33" t="str">
        <f>B65</f>
        <v>FPP - Medicare</v>
      </c>
      <c r="C77" s="35">
        <v>0</v>
      </c>
      <c r="D77" s="35">
        <v>0</v>
      </c>
      <c r="E77" s="35">
        <v>0</v>
      </c>
      <c r="F77" s="39">
        <f t="shared" si="35"/>
        <v>0</v>
      </c>
      <c r="G77" s="61">
        <f>IFERROR(C77/C$81,"")</f>
        <v>0</v>
      </c>
      <c r="H77" s="35">
        <f>H76*0.6</f>
        <v>0</v>
      </c>
      <c r="I77" s="42">
        <f t="shared" si="42"/>
        <v>0</v>
      </c>
      <c r="J77" s="67"/>
      <c r="K77" s="67"/>
      <c r="L77" s="35">
        <f>L76*0.6</f>
        <v>0</v>
      </c>
      <c r="M77" s="42">
        <f t="shared" si="43"/>
        <v>0</v>
      </c>
      <c r="N77" s="35">
        <f>N76*0.5</f>
        <v>0</v>
      </c>
      <c r="O77" s="42">
        <f t="shared" si="44"/>
        <v>0</v>
      </c>
      <c r="P77" s="35">
        <f>P76*0.6</f>
        <v>0</v>
      </c>
      <c r="Q77" s="42">
        <f t="shared" si="36"/>
        <v>0</v>
      </c>
      <c r="R77" s="42">
        <f t="shared" si="45"/>
        <v>0</v>
      </c>
      <c r="S77" s="19">
        <f t="shared" si="37"/>
        <v>0</v>
      </c>
      <c r="T77" s="45">
        <f t="shared" si="38"/>
        <v>0</v>
      </c>
      <c r="U77" s="46">
        <f t="shared" si="39"/>
        <v>0</v>
      </c>
      <c r="V77" s="19">
        <f t="shared" si="40"/>
        <v>0</v>
      </c>
      <c r="W77" s="45">
        <f t="shared" si="41"/>
        <v>0</v>
      </c>
    </row>
    <row r="78" spans="2:24" outlineLevel="1" x14ac:dyDescent="0.25">
      <c r="B78" s="33" t="str">
        <f>B66</f>
        <v>FPP - Medicaid</v>
      </c>
      <c r="C78" s="35">
        <v>0</v>
      </c>
      <c r="D78" s="35">
        <v>0</v>
      </c>
      <c r="E78" s="35">
        <v>0</v>
      </c>
      <c r="F78" s="39">
        <f t="shared" si="35"/>
        <v>0</v>
      </c>
      <c r="G78" s="61">
        <f>IFERROR(C78/C$81,"")</f>
        <v>0</v>
      </c>
      <c r="H78" s="35">
        <f>H76*0.4</f>
        <v>0</v>
      </c>
      <c r="I78" s="42">
        <f t="shared" si="42"/>
        <v>0</v>
      </c>
      <c r="J78" s="67"/>
      <c r="K78" s="67"/>
      <c r="L78" s="35">
        <f>L76*0.4</f>
        <v>0</v>
      </c>
      <c r="M78" s="42">
        <f t="shared" si="43"/>
        <v>0</v>
      </c>
      <c r="N78" s="35">
        <f>N76*0.5</f>
        <v>0</v>
      </c>
      <c r="O78" s="42">
        <f t="shared" si="44"/>
        <v>0</v>
      </c>
      <c r="P78" s="35">
        <f>P76*0.4</f>
        <v>0</v>
      </c>
      <c r="Q78" s="42">
        <f t="shared" si="36"/>
        <v>0</v>
      </c>
      <c r="R78" s="42">
        <f t="shared" si="45"/>
        <v>0</v>
      </c>
      <c r="S78" s="19">
        <f t="shared" si="37"/>
        <v>0</v>
      </c>
      <c r="T78" s="45">
        <f t="shared" si="38"/>
        <v>0</v>
      </c>
      <c r="U78" s="46">
        <f t="shared" si="39"/>
        <v>0</v>
      </c>
      <c r="V78" s="19">
        <f t="shared" si="40"/>
        <v>0</v>
      </c>
      <c r="W78" s="45">
        <f t="shared" si="41"/>
        <v>0</v>
      </c>
    </row>
    <row r="79" spans="2:24" outlineLevel="1" x14ac:dyDescent="0.25">
      <c r="B79" s="33" t="s">
        <v>83</v>
      </c>
      <c r="C79" s="35">
        <v>0</v>
      </c>
      <c r="D79" s="35">
        <v>0</v>
      </c>
      <c r="E79" s="35">
        <v>0</v>
      </c>
      <c r="F79" s="39"/>
      <c r="G79" s="61">
        <f>IFERROR(C79/C$81,"")</f>
        <v>0</v>
      </c>
      <c r="H79" s="35">
        <v>0</v>
      </c>
      <c r="I79" s="42">
        <f t="shared" si="42"/>
        <v>0</v>
      </c>
      <c r="J79" s="67"/>
      <c r="K79" s="67"/>
      <c r="L79" s="35">
        <v>0</v>
      </c>
      <c r="M79" s="42">
        <f t="shared" si="43"/>
        <v>0</v>
      </c>
      <c r="N79" s="35">
        <v>0</v>
      </c>
      <c r="O79" s="42">
        <f t="shared" si="44"/>
        <v>0</v>
      </c>
      <c r="P79" s="35">
        <v>0</v>
      </c>
      <c r="Q79" s="42">
        <f t="shared" si="36"/>
        <v>0</v>
      </c>
      <c r="R79" s="42">
        <f t="shared" si="45"/>
        <v>0</v>
      </c>
      <c r="S79" s="19">
        <f t="shared" si="37"/>
        <v>0</v>
      </c>
      <c r="T79" s="45">
        <f t="shared" si="38"/>
        <v>0</v>
      </c>
      <c r="U79" s="46">
        <f t="shared" si="39"/>
        <v>0</v>
      </c>
      <c r="V79" s="19">
        <f t="shared" si="40"/>
        <v>0</v>
      </c>
      <c r="W79" s="45">
        <f t="shared" si="41"/>
        <v>0</v>
      </c>
      <c r="X79" s="13"/>
    </row>
    <row r="80" spans="2:24" outlineLevel="1" x14ac:dyDescent="0.25">
      <c r="B80" s="18" t="str">
        <f>B68</f>
        <v>Other (Bad Debt, Free Care, DSH)</v>
      </c>
      <c r="C80" s="49">
        <v>-126295</v>
      </c>
      <c r="D80" s="49">
        <v>0</v>
      </c>
      <c r="E80" s="49">
        <v>0</v>
      </c>
      <c r="F80" s="50">
        <f>E80-C80</f>
        <v>126295</v>
      </c>
      <c r="G80" s="58">
        <f>IFERROR(C80/C$81,"")</f>
        <v>-6.7415976243868664E-2</v>
      </c>
      <c r="H80" s="49">
        <f>C80</f>
        <v>-126295</v>
      </c>
      <c r="I80" s="52">
        <f t="shared" si="42"/>
        <v>0</v>
      </c>
      <c r="J80" s="68"/>
      <c r="K80" s="68"/>
      <c r="L80" s="49">
        <f>C80*1.015</f>
        <v>-128189.42499999999</v>
      </c>
      <c r="M80" s="52">
        <f t="shared" si="43"/>
        <v>-1894.4249999999884</v>
      </c>
      <c r="N80" s="49">
        <f>D80</f>
        <v>0</v>
      </c>
      <c r="O80" s="52">
        <f t="shared" si="44"/>
        <v>126295</v>
      </c>
      <c r="P80" s="49">
        <f>C80*1.02</f>
        <v>-128820.90000000001</v>
      </c>
      <c r="Q80" s="52">
        <f t="shared" si="36"/>
        <v>-2525.9000000000087</v>
      </c>
      <c r="R80" s="52">
        <f t="shared" si="45"/>
        <v>4420.3249999999971</v>
      </c>
      <c r="S80" s="15">
        <f t="shared" si="37"/>
        <v>0</v>
      </c>
      <c r="T80" s="47">
        <f t="shared" si="38"/>
        <v>0</v>
      </c>
      <c r="U80" s="48">
        <f t="shared" si="39"/>
        <v>0</v>
      </c>
      <c r="V80" s="15">
        <f t="shared" si="40"/>
        <v>-1</v>
      </c>
      <c r="W80" s="47">
        <f t="shared" si="41"/>
        <v>6.7415976243868664E-2</v>
      </c>
    </row>
    <row r="81" spans="2:24" outlineLevel="1" x14ac:dyDescent="0.25">
      <c r="B81" s="7" t="s">
        <v>27</v>
      </c>
      <c r="C81" s="36">
        <f>SUM(C72,C73,C74,C75,C76,C80)</f>
        <v>1873369</v>
      </c>
      <c r="D81" s="36">
        <f>SUM(D72,D73,D74,D75,D76,D80)</f>
        <v>2172815.0160000008</v>
      </c>
      <c r="E81" s="36">
        <f>SUM(E72,E73,E74,E75,E76,E80)</f>
        <v>7214596</v>
      </c>
      <c r="F81" s="36">
        <f>E81-C81</f>
        <v>5341227</v>
      </c>
      <c r="G81" s="53">
        <f>SUM(G80,G76,G75,G74,G73,G72)</f>
        <v>1</v>
      </c>
      <c r="H81" s="36">
        <f>SUM(H72:H80)-H75-H76</f>
        <v>1873369</v>
      </c>
      <c r="I81" s="36">
        <f>SUM(I72,I73,I74,I75,I76,I80)</f>
        <v>0</v>
      </c>
      <c r="J81" s="36" t="e">
        <f>SUM(#REF!)</f>
        <v>#REF!</v>
      </c>
      <c r="K81" s="36" t="e">
        <f>SUM(#REF!)</f>
        <v>#REF!</v>
      </c>
      <c r="L81" s="36">
        <f>SUM(L72:L80)-L75-L76</f>
        <v>6870634.5750000002</v>
      </c>
      <c r="M81" s="36">
        <f>SUM(M72,M73,M74,M75,M76,M80)</f>
        <v>4997265.5750000002</v>
      </c>
      <c r="N81" s="36">
        <f>SUM(N72:N80)-N75-N76</f>
        <v>2172815.0160000008</v>
      </c>
      <c r="O81" s="36">
        <f>SUM(O72,O73,O74,O75,O76,O80)</f>
        <v>299446.01600000076</v>
      </c>
      <c r="P81" s="36">
        <f>SUM(P72:P80)-P75-P76</f>
        <v>1870843.1</v>
      </c>
      <c r="Q81" s="36">
        <f>SUM(Q72,Q73,Q74,Q75,Q76,Q80)</f>
        <v>-2525.9000000000087</v>
      </c>
      <c r="R81" s="36">
        <f>SUM(R72,R73,R74,R75,R76,R80)</f>
        <v>47041.308999999237</v>
      </c>
      <c r="S81" s="56">
        <f t="shared" si="37"/>
        <v>0</v>
      </c>
      <c r="T81" s="59">
        <f t="shared" si="38"/>
        <v>0</v>
      </c>
      <c r="U81" s="10">
        <f>SUM(U72:U75,U76,U80)</f>
        <v>0</v>
      </c>
      <c r="V81" s="14">
        <f t="shared" si="40"/>
        <v>2.8511345068697089</v>
      </c>
      <c r="W81" s="9">
        <f>SUM(W72:W75,W76,W80)</f>
        <v>2.8511345068697089</v>
      </c>
    </row>
    <row r="82" spans="2:24" outlineLevel="1" x14ac:dyDescent="0.25">
      <c r="B82" s="13"/>
      <c r="C82" s="24"/>
      <c r="D82" s="24"/>
      <c r="E82" s="24"/>
      <c r="F82" s="24"/>
      <c r="G82" s="25"/>
      <c r="H82" s="24"/>
      <c r="I82" s="24"/>
      <c r="J82" s="24"/>
      <c r="K82" s="24"/>
      <c r="L82" s="24"/>
      <c r="M82" s="24"/>
      <c r="N82" s="24"/>
      <c r="O82" s="24"/>
      <c r="P82" s="24"/>
      <c r="Q82" s="24"/>
      <c r="R82" s="24"/>
      <c r="S82" s="23"/>
      <c r="T82" s="10"/>
      <c r="U82" s="10"/>
      <c r="V82" s="14"/>
      <c r="W82" s="9"/>
    </row>
    <row r="83" spans="2:24" ht="75" customHeight="1" x14ac:dyDescent="0.25">
      <c r="B83" s="22" t="s">
        <v>28</v>
      </c>
      <c r="C83" s="21" t="str">
        <f>C71</f>
        <v>NPR FY24
Budget</v>
      </c>
      <c r="D83" s="21" t="str">
        <f>D71</f>
        <v>NPR FY24
Proj.</v>
      </c>
      <c r="E83" s="21" t="str">
        <f>E71</f>
        <v>NPR FY25
Budget</v>
      </c>
      <c r="F83" s="21" t="str">
        <f>F71</f>
        <v>NPR YOY 
(Budget to Budget)</v>
      </c>
      <c r="G83" s="21" t="str">
        <f>G71</f>
        <v>W</v>
      </c>
      <c r="H83" s="21" t="str">
        <f>H71</f>
        <v>NPR FY24 @FY25 Comm. Prices</v>
      </c>
      <c r="I83" s="21" t="str">
        <f>I71</f>
        <v>NPR FY25 due to Comm. Price</v>
      </c>
      <c r="J83" s="21" t="str">
        <f>J71</f>
        <v>NPR FY25 due to Comm. Price
(FY24 Proj. to FY24 Budget)</v>
      </c>
      <c r="K83" s="21" t="str">
        <f>K71</f>
        <v>NPR FY25 due to Comm. Price
(FY25 Budget to FY24 Proj.)</v>
      </c>
      <c r="L83" s="21" t="str">
        <f>L71</f>
        <v>NPR FY24 @FY25 Utiliz.</v>
      </c>
      <c r="M83" s="21" t="str">
        <f>M71</f>
        <v>NPR FY25 due to Utiliz.</v>
      </c>
      <c r="N83" s="21" t="str">
        <f>N71</f>
        <v>NPR FY24 @FY25 Public Payer Prices</v>
      </c>
      <c r="O83" s="21" t="str">
        <f>O71</f>
        <v>NPR FY25 due to Public Payer Prices</v>
      </c>
      <c r="P83" s="21" t="str">
        <f>P71</f>
        <v>NPR FY24 @FY25 Payer Mix</v>
      </c>
      <c r="Q83" s="21" t="str">
        <f>Q71</f>
        <v>NPR FY25 due to Payer Mix</v>
      </c>
      <c r="R83" s="21" t="str">
        <f>R71</f>
        <v>NPR FY25 due to all other</v>
      </c>
      <c r="S83" s="21" t="str">
        <f>S71</f>
        <v>FY25
Comm Rate NPR Impact</v>
      </c>
      <c r="T83" s="20" t="str">
        <f>T71</f>
        <v>FY25
Estimated AnnualizedComm Rate</v>
      </c>
      <c r="U83" s="20" t="str">
        <f>U71</f>
        <v>FY25 Comm Rate (WAvg)</v>
      </c>
      <c r="V83" s="21" t="str">
        <f>V71</f>
        <v>FY25 NPR Growth</v>
      </c>
      <c r="W83" s="20" t="str">
        <f>W71</f>
        <v>FY25 NPR Growth
(WAvg)</v>
      </c>
    </row>
    <row r="84" spans="2:24" x14ac:dyDescent="0.25">
      <c r="B84" s="44" t="str">
        <f>B72</f>
        <v>Medicaid</v>
      </c>
      <c r="C84" s="34">
        <f>C35+C47+C60+C72</f>
        <v>68090618</v>
      </c>
      <c r="D84" s="34">
        <f>D35+D47+D60+D72</f>
        <v>65481002.972000003</v>
      </c>
      <c r="E84" s="34">
        <f>E35+E47+E60+E72</f>
        <v>65650464.23731479</v>
      </c>
      <c r="F84" s="38">
        <f t="shared" ref="F84:F90" si="47">E84-C84</f>
        <v>-2440153.7626852095</v>
      </c>
      <c r="G84" s="17">
        <f>IFERROR(C84/C$93,"")</f>
        <v>0.69876792498176099</v>
      </c>
      <c r="H84" s="34">
        <f>H35+H47+H60+H72</f>
        <v>68090618</v>
      </c>
      <c r="I84" s="41">
        <f>H84-C84</f>
        <v>0</v>
      </c>
      <c r="J84" s="40"/>
      <c r="K84" s="40"/>
      <c r="L84" s="40">
        <f>L35+L47+L60+L72</f>
        <v>68997480.040000007</v>
      </c>
      <c r="M84" s="41">
        <f>L84-C84</f>
        <v>906862.04000000656</v>
      </c>
      <c r="N84" s="40">
        <f>N35+N47+N60+N72</f>
        <v>63123337.876000009</v>
      </c>
      <c r="O84" s="41">
        <f t="shared" ref="O84:O92" si="48">N84-C84</f>
        <v>-4967280.1239999905</v>
      </c>
      <c r="P84" s="40">
        <f>P35+P47+P60+P72</f>
        <v>69415605.980000004</v>
      </c>
      <c r="Q84" s="41">
        <f t="shared" ref="Q84:Q92" si="49">P84-C84</f>
        <v>1324987.9800000042</v>
      </c>
      <c r="R84" s="41">
        <f>F84-Q84-O84-M84-I84</f>
        <v>295276.34131477028</v>
      </c>
      <c r="S84" s="16">
        <f t="shared" ref="S84:S93" si="50">IFERROR(I84/C84,0%)</f>
        <v>0</v>
      </c>
      <c r="T84" s="32">
        <f t="shared" ref="T84:T93" si="51">S84/E$32</f>
        <v>0</v>
      </c>
      <c r="U84" s="31">
        <f t="shared" ref="U84:U92" si="52">IFERROR(S84*G84,0%)</f>
        <v>0</v>
      </c>
      <c r="V84" s="16">
        <f t="shared" ref="V84:V93" si="53">IFERROR((E84-C84)/C84,0%)</f>
        <v>-3.5836857328644153E-2</v>
      </c>
      <c r="W84" s="32">
        <f t="shared" ref="W84:W93" si="54">IFERROR(V84*G84,0%)</f>
        <v>-2.5041646433404088E-2</v>
      </c>
    </row>
    <row r="85" spans="2:24" x14ac:dyDescent="0.25">
      <c r="B85" s="44" t="str">
        <f>B73</f>
        <v>Medicare - Traditional</v>
      </c>
      <c r="C85" s="34">
        <f>C36+C48+C61+C73</f>
        <v>15582518.432</v>
      </c>
      <c r="D85" s="34">
        <f>D36+D48+D61+D73</f>
        <v>15034098.107999997</v>
      </c>
      <c r="E85" s="34">
        <f>E36+E48+E61+E73</f>
        <v>15312202.852932731</v>
      </c>
      <c r="F85" s="38">
        <f t="shared" si="47"/>
        <v>-270315.57906726934</v>
      </c>
      <c r="G85" s="17">
        <f>IFERROR(C85/C$93,"")</f>
        <v>0.15991283954448299</v>
      </c>
      <c r="H85" s="34">
        <f>H36+H48+H61+H73</f>
        <v>15582518.432</v>
      </c>
      <c r="I85" s="41">
        <f t="shared" ref="I85:I92" si="55">H85-C85</f>
        <v>0</v>
      </c>
      <c r="J85" s="40"/>
      <c r="K85" s="40"/>
      <c r="L85" s="40">
        <f>L36+L48+L61+L73</f>
        <v>15473695.987680001</v>
      </c>
      <c r="M85" s="41">
        <f t="shared" ref="M85:M92" si="56">L85-C85</f>
        <v>-108822.44431999885</v>
      </c>
      <c r="N85" s="40">
        <f>N36+N48+N61+N73</f>
        <v>15274040.336559998</v>
      </c>
      <c r="O85" s="41">
        <f t="shared" si="48"/>
        <v>-308478.09544000216</v>
      </c>
      <c r="P85" s="40">
        <f>P36+P48+P61+P73</f>
        <v>15404648.821180001</v>
      </c>
      <c r="Q85" s="41">
        <f t="shared" si="49"/>
        <v>-177869.61081999913</v>
      </c>
      <c r="R85" s="41">
        <f t="shared" ref="R85:R92" si="57">F85-Q85-O85-M85-I85</f>
        <v>324854.57151273079</v>
      </c>
      <c r="S85" s="16">
        <f t="shared" si="50"/>
        <v>0</v>
      </c>
      <c r="T85" s="32">
        <f t="shared" si="51"/>
        <v>0</v>
      </c>
      <c r="U85" s="31">
        <f t="shared" si="52"/>
        <v>0</v>
      </c>
      <c r="V85" s="16">
        <f t="shared" si="53"/>
        <v>-1.7347361419586309E-2</v>
      </c>
      <c r="W85" s="32">
        <f t="shared" si="54"/>
        <v>-2.7740658232104599E-3</v>
      </c>
    </row>
    <row r="86" spans="2:24" x14ac:dyDescent="0.25">
      <c r="B86" s="44" t="str">
        <f>B74</f>
        <v>Medicare - Advantage</v>
      </c>
      <c r="C86" s="34">
        <f>C37+C49+C62+C74</f>
        <v>2892047.568</v>
      </c>
      <c r="D86" s="34">
        <f>D37+D49+D62+D74</f>
        <v>2491288.4759999998</v>
      </c>
      <c r="E86" s="34">
        <f>E37+E49+E62+E74</f>
        <v>2753183.24</v>
      </c>
      <c r="F86" s="38">
        <f t="shared" si="47"/>
        <v>-138864.32799999975</v>
      </c>
      <c r="G86" s="17">
        <f>IFERROR(C86/C$93,"")</f>
        <v>2.9679126690257216E-2</v>
      </c>
      <c r="H86" s="34">
        <f>H37+H49+H62+H74</f>
        <v>2892047.568</v>
      </c>
      <c r="I86" s="41">
        <f t="shared" si="55"/>
        <v>0</v>
      </c>
      <c r="J86" s="40"/>
      <c r="K86" s="40"/>
      <c r="L86" s="40">
        <f>L37+L49+L62+L74</f>
        <v>2711410.33824</v>
      </c>
      <c r="M86" s="41">
        <f t="shared" si="56"/>
        <v>-180637.22976000002</v>
      </c>
      <c r="N86" s="40">
        <f>N37+N49+N62+N74</f>
        <v>2850018.5966400001</v>
      </c>
      <c r="O86" s="41">
        <f t="shared" si="48"/>
        <v>-42028.97135999985</v>
      </c>
      <c r="P86" s="40">
        <f>P37+P49+P62+P74</f>
        <v>2893493.5917839995</v>
      </c>
      <c r="Q86" s="41">
        <f t="shared" si="49"/>
        <v>1446.0237839994952</v>
      </c>
      <c r="R86" s="41">
        <f t="shared" si="57"/>
        <v>82355.849336000625</v>
      </c>
      <c r="S86" s="16">
        <f t="shared" si="50"/>
        <v>0</v>
      </c>
      <c r="T86" s="32">
        <f t="shared" si="51"/>
        <v>0</v>
      </c>
      <c r="U86" s="31">
        <f t="shared" si="52"/>
        <v>0</v>
      </c>
      <c r="V86" s="16">
        <f t="shared" si="53"/>
        <v>-4.8015921154447534E-2</v>
      </c>
      <c r="W86" s="32">
        <f t="shared" si="54"/>
        <v>-1.4250706070922498E-3</v>
      </c>
    </row>
    <row r="87" spans="2:24" x14ac:dyDescent="0.25">
      <c r="B87" s="44" t="str">
        <f>B75</f>
        <v>Commercial</v>
      </c>
      <c r="C87" s="34">
        <v>14101550</v>
      </c>
      <c r="D87" s="34">
        <v>13330709</v>
      </c>
      <c r="E87" s="34">
        <v>15353136</v>
      </c>
      <c r="F87" s="38">
        <v>1251586</v>
      </c>
      <c r="G87" s="17">
        <v>0.14471466292942961</v>
      </c>
      <c r="H87" s="34">
        <v>15052489.73</v>
      </c>
      <c r="I87" s="41">
        <v>950939.73000000045</v>
      </c>
      <c r="J87" s="40">
        <v>380375.89200000023</v>
      </c>
      <c r="K87" s="40">
        <v>570563.83800000022</v>
      </c>
      <c r="L87" s="40">
        <v>13425491.820000002</v>
      </c>
      <c r="M87" s="41">
        <v>-676058.17999999784</v>
      </c>
      <c r="N87" s="40">
        <v>14101550</v>
      </c>
      <c r="O87" s="41">
        <v>0</v>
      </c>
      <c r="P87" s="40">
        <v>14577245.51</v>
      </c>
      <c r="Q87" s="41">
        <v>475695.50999999978</v>
      </c>
      <c r="R87" s="41">
        <v>501008.93999999762</v>
      </c>
      <c r="S87" s="16">
        <v>6.7435120961880105E-2</v>
      </c>
      <c r="T87" s="32">
        <v>6.7435120961880105E-2</v>
      </c>
      <c r="U87" s="31">
        <v>9.7588507996037924E-3</v>
      </c>
      <c r="V87" s="16">
        <v>8.8755207760848984E-2</v>
      </c>
      <c r="W87" s="32">
        <v>1.2844179974342756E-2</v>
      </c>
    </row>
    <row r="88" spans="2:24" x14ac:dyDescent="0.25">
      <c r="B88" s="30" t="str">
        <f>B76</f>
        <v>Fixed Prospective Payments</v>
      </c>
      <c r="C88" s="34">
        <f>C39+C51+C64+C76</f>
        <v>0</v>
      </c>
      <c r="D88" s="34">
        <f>D39+D51+D64+D76</f>
        <v>0</v>
      </c>
      <c r="E88" s="34">
        <f>E39+E51+E64+E76</f>
        <v>0</v>
      </c>
      <c r="F88" s="38">
        <f t="shared" si="47"/>
        <v>0</v>
      </c>
      <c r="G88" s="17">
        <f>IFERROR(C88/C$93,"")</f>
        <v>0</v>
      </c>
      <c r="H88" s="34">
        <f>H39+H51+H64+H76</f>
        <v>0</v>
      </c>
      <c r="I88" s="41">
        <f t="shared" si="55"/>
        <v>0</v>
      </c>
      <c r="J88" s="67"/>
      <c r="K88" s="67"/>
      <c r="L88" s="35">
        <f>L39+L51+L64+L76</f>
        <v>0</v>
      </c>
      <c r="M88" s="41">
        <f t="shared" si="56"/>
        <v>0</v>
      </c>
      <c r="N88" s="35">
        <f>N39+N51+N64+N76</f>
        <v>0</v>
      </c>
      <c r="O88" s="41">
        <f t="shared" si="48"/>
        <v>0</v>
      </c>
      <c r="P88" s="40">
        <f>P39+P51+P64+P76</f>
        <v>0</v>
      </c>
      <c r="Q88" s="41">
        <f t="shared" si="49"/>
        <v>0</v>
      </c>
      <c r="R88" s="41">
        <f t="shared" si="57"/>
        <v>0</v>
      </c>
      <c r="S88" s="16">
        <f t="shared" si="50"/>
        <v>0</v>
      </c>
      <c r="T88" s="32">
        <f t="shared" si="51"/>
        <v>0</v>
      </c>
      <c r="U88" s="31">
        <f t="shared" si="52"/>
        <v>0</v>
      </c>
      <c r="V88" s="16">
        <f t="shared" si="53"/>
        <v>0</v>
      </c>
      <c r="W88" s="32">
        <f t="shared" si="54"/>
        <v>0</v>
      </c>
    </row>
    <row r="89" spans="2:24" x14ac:dyDescent="0.25">
      <c r="B89" s="33" t="str">
        <f>B77</f>
        <v>FPP - Medicare</v>
      </c>
      <c r="C89" s="35">
        <f>C40+C52+C65+C77</f>
        <v>0</v>
      </c>
      <c r="D89" s="35">
        <f>D40+D52+D65+D77</f>
        <v>0</v>
      </c>
      <c r="E89" s="35">
        <f>E40+E52+E65+E77</f>
        <v>0</v>
      </c>
      <c r="F89" s="39">
        <f t="shared" si="47"/>
        <v>0</v>
      </c>
      <c r="G89" s="61">
        <f>IFERROR(C89/C$93,"")</f>
        <v>0</v>
      </c>
      <c r="H89" s="34">
        <f>H40+H52+H65+H77</f>
        <v>0</v>
      </c>
      <c r="I89" s="42">
        <f t="shared" si="55"/>
        <v>0</v>
      </c>
      <c r="J89" s="67"/>
      <c r="K89" s="67"/>
      <c r="L89" s="35">
        <f>L40+L52+L65+L77</f>
        <v>0</v>
      </c>
      <c r="M89" s="42">
        <f t="shared" si="56"/>
        <v>0</v>
      </c>
      <c r="N89" s="35">
        <f>N40+N52+N65+N77</f>
        <v>0</v>
      </c>
      <c r="O89" s="42">
        <f t="shared" si="48"/>
        <v>0</v>
      </c>
      <c r="P89" s="40">
        <f>P40+P52+P65+P77</f>
        <v>0</v>
      </c>
      <c r="Q89" s="42">
        <f t="shared" si="49"/>
        <v>0</v>
      </c>
      <c r="R89" s="42">
        <f t="shared" si="57"/>
        <v>0</v>
      </c>
      <c r="S89" s="19">
        <f t="shared" si="50"/>
        <v>0</v>
      </c>
      <c r="T89" s="45">
        <f t="shared" si="51"/>
        <v>0</v>
      </c>
      <c r="U89" s="46">
        <f t="shared" si="52"/>
        <v>0</v>
      </c>
      <c r="V89" s="19">
        <f t="shared" si="53"/>
        <v>0</v>
      </c>
      <c r="W89" s="45">
        <f t="shared" si="54"/>
        <v>0</v>
      </c>
    </row>
    <row r="90" spans="2:24" x14ac:dyDescent="0.25">
      <c r="B90" s="33" t="str">
        <f>B78</f>
        <v>FPP - Medicaid</v>
      </c>
      <c r="C90" s="35">
        <f>C41+C53+C66+C78</f>
        <v>0</v>
      </c>
      <c r="D90" s="35">
        <f>D41+D53+D66+D78</f>
        <v>0</v>
      </c>
      <c r="E90" s="35">
        <f>E41+E53+E66+E78</f>
        <v>0</v>
      </c>
      <c r="F90" s="39">
        <f t="shared" si="47"/>
        <v>0</v>
      </c>
      <c r="G90" s="61">
        <f>IFERROR(C90/C$93,"")</f>
        <v>0</v>
      </c>
      <c r="H90" s="34">
        <f>H41+H53+H66+H78</f>
        <v>0</v>
      </c>
      <c r="I90" s="42">
        <f t="shared" si="55"/>
        <v>0</v>
      </c>
      <c r="J90" s="67"/>
      <c r="K90" s="67"/>
      <c r="L90" s="35">
        <f>L41+L53+L66+L78</f>
        <v>0</v>
      </c>
      <c r="M90" s="42">
        <f t="shared" si="56"/>
        <v>0</v>
      </c>
      <c r="N90" s="35">
        <f>N41+N53+N66+N78</f>
        <v>0</v>
      </c>
      <c r="O90" s="42">
        <f t="shared" si="48"/>
        <v>0</v>
      </c>
      <c r="P90" s="40">
        <f>P41+P53+P66+P78</f>
        <v>0</v>
      </c>
      <c r="Q90" s="42">
        <f t="shared" si="49"/>
        <v>0</v>
      </c>
      <c r="R90" s="42">
        <f t="shared" si="57"/>
        <v>0</v>
      </c>
      <c r="S90" s="19">
        <f t="shared" si="50"/>
        <v>0</v>
      </c>
      <c r="T90" s="45">
        <f t="shared" si="51"/>
        <v>0</v>
      </c>
      <c r="U90" s="46">
        <f t="shared" si="52"/>
        <v>0</v>
      </c>
      <c r="V90" s="19">
        <f t="shared" si="53"/>
        <v>0</v>
      </c>
      <c r="W90" s="45">
        <f t="shared" si="54"/>
        <v>0</v>
      </c>
    </row>
    <row r="91" spans="2:24" outlineLevel="1" x14ac:dyDescent="0.25">
      <c r="B91" s="33" t="s">
        <v>83</v>
      </c>
      <c r="C91" s="35">
        <v>0</v>
      </c>
      <c r="D91" s="35">
        <v>0</v>
      </c>
      <c r="E91" s="35">
        <v>0</v>
      </c>
      <c r="F91" s="39"/>
      <c r="G91" s="61">
        <f>IFERROR(C91/C$93,"")</f>
        <v>0</v>
      </c>
      <c r="H91" s="34">
        <f>H42+H54+H67+H79</f>
        <v>0</v>
      </c>
      <c r="I91" s="42">
        <f t="shared" si="55"/>
        <v>0</v>
      </c>
      <c r="J91" s="67"/>
      <c r="K91" s="67"/>
      <c r="L91" s="35">
        <v>0</v>
      </c>
      <c r="M91" s="42">
        <f t="shared" si="56"/>
        <v>0</v>
      </c>
      <c r="N91" s="35">
        <v>0</v>
      </c>
      <c r="O91" s="42">
        <f t="shared" si="48"/>
        <v>0</v>
      </c>
      <c r="P91" s="40">
        <f>P42+P54+P67+P79</f>
        <v>0</v>
      </c>
      <c r="Q91" s="42">
        <f t="shared" si="49"/>
        <v>0</v>
      </c>
      <c r="R91" s="42">
        <f t="shared" si="57"/>
        <v>0</v>
      </c>
      <c r="S91" s="19">
        <f t="shared" si="50"/>
        <v>0</v>
      </c>
      <c r="T91" s="45">
        <f t="shared" si="51"/>
        <v>0</v>
      </c>
      <c r="U91" s="46">
        <f t="shared" si="52"/>
        <v>0</v>
      </c>
      <c r="V91" s="19">
        <f t="shared" si="53"/>
        <v>0</v>
      </c>
      <c r="W91" s="45">
        <f t="shared" si="54"/>
        <v>0</v>
      </c>
      <c r="X91" s="13"/>
    </row>
    <row r="92" spans="2:24" x14ac:dyDescent="0.25">
      <c r="B92" s="18" t="str">
        <f>B80</f>
        <v>Other (Bad Debt, Free Care, DSH)</v>
      </c>
      <c r="C92" s="49">
        <f>C43+C55+C68+C80</f>
        <v>-3222911</v>
      </c>
      <c r="D92" s="49">
        <f>D43+D55+D68+D80</f>
        <v>-3379495.14</v>
      </c>
      <c r="E92" s="49">
        <f>E43+E55+E68+E80</f>
        <v>-894662</v>
      </c>
      <c r="F92" s="50">
        <f>E92-C92</f>
        <v>2328249</v>
      </c>
      <c r="G92" s="58">
        <f>IFERROR(C92/C$93,"")</f>
        <v>-3.3074554145930829E-2</v>
      </c>
      <c r="H92" s="34">
        <f>H43+H55+H68+H80</f>
        <v>-3222911</v>
      </c>
      <c r="I92" s="52">
        <f t="shared" si="55"/>
        <v>0</v>
      </c>
      <c r="J92" s="68"/>
      <c r="K92" s="68"/>
      <c r="L92" s="51">
        <f>L43+L55+L68+L80</f>
        <v>-1528559.575</v>
      </c>
      <c r="M92" s="52">
        <f t="shared" si="56"/>
        <v>1694351.425</v>
      </c>
      <c r="N92" s="49">
        <f>N43+N55+N68+N80</f>
        <v>-3539776.14</v>
      </c>
      <c r="O92" s="52">
        <f t="shared" si="48"/>
        <v>-316865.14000000013</v>
      </c>
      <c r="P92" s="40">
        <f>P43+P55+P68+P80</f>
        <v>-2362167.23</v>
      </c>
      <c r="Q92" s="52">
        <f t="shared" si="49"/>
        <v>860743.77</v>
      </c>
      <c r="R92" s="52">
        <f t="shared" si="57"/>
        <v>90018.945000000065</v>
      </c>
      <c r="S92" s="15">
        <f t="shared" si="50"/>
        <v>0</v>
      </c>
      <c r="T92" s="47">
        <f t="shared" si="51"/>
        <v>0</v>
      </c>
      <c r="U92" s="48">
        <f t="shared" si="52"/>
        <v>0</v>
      </c>
      <c r="V92" s="15">
        <f t="shared" si="53"/>
        <v>-0.72240561405511972</v>
      </c>
      <c r="W92" s="47">
        <f t="shared" si="54"/>
        <v>2.3893243597390465E-2</v>
      </c>
    </row>
    <row r="93" spans="2:24" x14ac:dyDescent="0.25">
      <c r="B93" s="7" t="s">
        <v>31</v>
      </c>
      <c r="C93" s="36">
        <f>SUM(C84,C85,C86,C87,C88,C92)</f>
        <v>97443823</v>
      </c>
      <c r="D93" s="36">
        <f>SUM(D84,D85,D86,D87,D88,D92)</f>
        <v>92957603.415999994</v>
      </c>
      <c r="E93" s="36">
        <f>SUM(E84,E85,E86,E87,E88,E92)</f>
        <v>98174324.330247521</v>
      </c>
      <c r="F93" s="36">
        <f>E93-C93</f>
        <v>730501.3302475214</v>
      </c>
      <c r="G93" s="53">
        <f>SUM(G92,G88,G87,G86,G85,G84)</f>
        <v>1</v>
      </c>
      <c r="H93" s="36">
        <f>SUM(H84:H92)-H87-H88</f>
        <v>83342273</v>
      </c>
      <c r="I93" s="36">
        <f>SUM(I84,I85,I86,I87,I88,I92)</f>
        <v>950939.73000000045</v>
      </c>
      <c r="J93" s="36" t="e">
        <f>SUM(#REF!)</f>
        <v>#REF!</v>
      </c>
      <c r="K93" s="36" t="e">
        <f>SUM(#REF!)</f>
        <v>#REF!</v>
      </c>
      <c r="L93" s="36">
        <f>SUM(L84:L92)-L87-L88</f>
        <v>85654026.790920004</v>
      </c>
      <c r="M93" s="36">
        <f>SUM(M84,M85,M86,M87,M88,M92)</f>
        <v>1635695.6109200099</v>
      </c>
      <c r="N93" s="36">
        <f>SUM(N84:N92)-N87-N88</f>
        <v>77707620.669200018</v>
      </c>
      <c r="O93" s="36">
        <f>SUM(O84,O85,O86,O87,O88,O92)</f>
        <v>-5634652.3307999931</v>
      </c>
      <c r="P93" s="36">
        <f>SUM(P84:P92)-P87-P88</f>
        <v>85351581.162964001</v>
      </c>
      <c r="Q93" s="36">
        <f>SUM(Q84,Q85,Q86,Q87,Q88,Q92)</f>
        <v>2485003.6729640043</v>
      </c>
      <c r="R93" s="36">
        <f>SUM(R84,R85,R86,R87,R88,R92)</f>
        <v>1293514.6471634994</v>
      </c>
      <c r="S93" s="56">
        <f t="shared" si="50"/>
        <v>9.7588507996037924E-3</v>
      </c>
      <c r="T93" s="59">
        <f t="shared" si="51"/>
        <v>9.7588507996037924E-3</v>
      </c>
      <c r="U93" s="10">
        <f>SUM(U84:U87,U88,U92)</f>
        <v>9.7588507996037924E-3</v>
      </c>
      <c r="V93" s="14">
        <f t="shared" si="53"/>
        <v>7.4966407080264228E-3</v>
      </c>
      <c r="W93" s="9">
        <f t="shared" si="54"/>
        <v>7.4966407080264228E-3</v>
      </c>
    </row>
    <row r="94" spans="2:24" x14ac:dyDescent="0.25">
      <c r="B94" s="66" t="s">
        <v>84</v>
      </c>
      <c r="C94" s="84" t="e">
        <f>C93-#REF!</f>
        <v>#REF!</v>
      </c>
      <c r="D94" s="84" t="e">
        <f>D93-#REF!</f>
        <v>#REF!</v>
      </c>
      <c r="E94" s="84" t="e">
        <f>E93-#REF!</f>
        <v>#REF!</v>
      </c>
      <c r="F94" s="84" t="e">
        <f>F93-#REF!</f>
        <v>#REF!</v>
      </c>
      <c r="G94" s="84" t="e">
        <f>G93-#REF!</f>
        <v>#REF!</v>
      </c>
      <c r="H94" s="84" t="e">
        <f>H93-#REF!</f>
        <v>#REF!</v>
      </c>
      <c r="I94" s="84" t="e">
        <f>I93-#REF!</f>
        <v>#REF!</v>
      </c>
      <c r="J94" s="84" t="e">
        <f>J93-#REF!</f>
        <v>#REF!</v>
      </c>
      <c r="K94" s="84" t="e">
        <f>K93-#REF!</f>
        <v>#REF!</v>
      </c>
      <c r="L94" s="84" t="e">
        <f>L93-#REF!</f>
        <v>#REF!</v>
      </c>
      <c r="M94" s="84" t="e">
        <f>M93-#REF!</f>
        <v>#REF!</v>
      </c>
      <c r="N94" s="84" t="e">
        <f>N93-#REF!</f>
        <v>#REF!</v>
      </c>
      <c r="O94" s="84" t="e">
        <f>O93-#REF!</f>
        <v>#REF!</v>
      </c>
      <c r="P94" s="84" t="e">
        <f>P93-#REF!</f>
        <v>#REF!</v>
      </c>
      <c r="Q94" s="84" t="e">
        <f>Q93-#REF!</f>
        <v>#REF!</v>
      </c>
      <c r="R94" s="84" t="e">
        <f>R93-#REF!</f>
        <v>#REF!</v>
      </c>
    </row>
    <row r="95" spans="2:24" x14ac:dyDescent="0.25">
      <c r="B95" s="7" t="s">
        <v>96</v>
      </c>
    </row>
    <row r="98" spans="5:5" x14ac:dyDescent="0.25">
      <c r="E98" s="85"/>
    </row>
    <row r="99" spans="5:5" x14ac:dyDescent="0.25">
      <c r="E99" s="84"/>
    </row>
  </sheetData>
  <mergeCells count="16">
    <mergeCell ref="C21:W21"/>
    <mergeCell ref="C22:W22"/>
    <mergeCell ref="B25:W25"/>
    <mergeCell ref="B28:W28"/>
    <mergeCell ref="C14:W14"/>
    <mergeCell ref="C16:W16"/>
    <mergeCell ref="C17:W17"/>
    <mergeCell ref="C18:W18"/>
    <mergeCell ref="C19:W19"/>
    <mergeCell ref="C20:W20"/>
    <mergeCell ref="C12:W12"/>
    <mergeCell ref="C2:W2"/>
    <mergeCell ref="C3:W3"/>
    <mergeCell ref="C5:W5"/>
    <mergeCell ref="C6:W6"/>
    <mergeCell ref="C8:W8"/>
  </mergeCells>
  <dataValidations disablePrompts="1" count="1">
    <dataValidation type="list" allowBlank="1" showInputMessage="1" showErrorMessage="1" sqref="D32" xr:uid="{1A46BA91-DD9E-4F37-BD69-7C4F444A9C48}">
      <formula1>$AM$37:$AM$44</formula1>
    </dataValidation>
  </dataValidations>
  <pageMargins left="0.7" right="0.7" top="0.75" bottom="0.75" header="0.3" footer="0.3"/>
  <pageSetup scale="23" fitToHeight="2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8dbc17e-cec9-4211-a89f-0bf74a616302" xsi:nil="true"/>
    <lcf76f155ced4ddcb4097134ff3c332f xmlns="2819d22d-c924-42b3-954a-d3b43813cc67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8CAE338EA9D064E9C17BF7952C6204F" ma:contentTypeVersion="17" ma:contentTypeDescription="Create a new document." ma:contentTypeScope="" ma:versionID="d175c38aaee3ac6428a490f41afbe164">
  <xsd:schema xmlns:xsd="http://www.w3.org/2001/XMLSchema" xmlns:xs="http://www.w3.org/2001/XMLSchema" xmlns:p="http://schemas.microsoft.com/office/2006/metadata/properties" xmlns:ns2="2819d22d-c924-42b3-954a-d3b43813cc67" xmlns:ns3="18dbc17e-cec9-4211-a89f-0bf74a616302" targetNamespace="http://schemas.microsoft.com/office/2006/metadata/properties" ma:root="true" ma:fieldsID="a5b784b79ee7d46f29d38b4b483c1c3b" ns2:_="" ns3:_="">
    <xsd:import namespace="2819d22d-c924-42b3-954a-d3b43813cc67"/>
    <xsd:import namespace="18dbc17e-cec9-4211-a89f-0bf74a61630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OCR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19d22d-c924-42b3-954a-d3b43813cc6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0b405ef0-1b2e-414d-886f-c62305e7680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dbc17e-cec9-4211-a89f-0bf74a61630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cb61913b-1a94-4df5-bbf5-603f3215decd}" ma:internalName="TaxCatchAll" ma:showField="CatchAllData" ma:web="18dbc17e-cec9-4211-a89f-0bf74a61630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0317688-5374-4F9C-943F-DC924B507EE6}">
  <ds:schemaRefs>
    <ds:schemaRef ds:uri="http://purl.org/dc/terms/"/>
    <ds:schemaRef ds:uri="http://purl.org/dc/elements/1.1/"/>
    <ds:schemaRef ds:uri="http://purl.org/dc/dcmitype/"/>
    <ds:schemaRef ds:uri="http://schemas.microsoft.com/office/2006/metadata/properties"/>
    <ds:schemaRef ds:uri="http://schemas.microsoft.com/office/2006/documentManagement/types"/>
    <ds:schemaRef ds:uri="18dbc17e-cec9-4211-a89f-0bf74a616302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2819d22d-c924-42b3-954a-d3b43813cc67"/>
  </ds:schemaRefs>
</ds:datastoreItem>
</file>

<file path=customXml/itemProps2.xml><?xml version="1.0" encoding="utf-8"?>
<ds:datastoreItem xmlns:ds="http://schemas.openxmlformats.org/officeDocument/2006/customXml" ds:itemID="{691CC577-0E20-495C-80A1-1C4DBED29EB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819d22d-c924-42b3-954a-d3b43813cc67"/>
    <ds:schemaRef ds:uri="18dbc17e-cec9-4211-a89f-0bf74a61630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FFB0FF5-1CCE-4BC9-B3F3-E23961196E3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Staff Turnover and Vacancies</vt:lpstr>
      <vt:lpstr>Comm Rate Decomp - Dummy</vt:lpstr>
      <vt:lpstr>Comm Rate Decomp - BR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Sutter, Matthew</dc:creator>
  <cp:keywords/>
  <dc:description/>
  <cp:lastModifiedBy>Sutter, Matthew</cp:lastModifiedBy>
  <cp:revision/>
  <cp:lastPrinted>2024-12-10T11:31:27Z</cp:lastPrinted>
  <dcterms:created xsi:type="dcterms:W3CDTF">2024-03-08T16:43:57Z</dcterms:created>
  <dcterms:modified xsi:type="dcterms:W3CDTF">2024-12-12T15:23:57Z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0x010100D8CAE338EA9D064E9C17BF7952C6204F</vt:lpwstr>
  </property>
  <property fmtid="{D5CDD505-2E9C-101B-9397-08002B2CF9AE}" pid="3" name="MediaServiceImageTags">
    <vt:lpwstr/>
  </property>
</Properties>
</file>