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S:\AOA\GMCB\GMCB - Shared\HCA-Special\HOME\HOSP\B2022\Appendix workbook\"/>
    </mc:Choice>
  </mc:AlternateContent>
  <xr:revisionPtr revIDLastSave="0" documentId="8_{409783DC-0DD1-4FDE-90CB-4BC546494A25}" xr6:coauthVersionLast="47" xr6:coauthVersionMax="47" xr10:uidLastSave="{00000000-0000-0000-0000-000000000000}"/>
  <bookViews>
    <workbookView xWindow="-120" yWindow="-120" windowWidth="29040" windowHeight="15840" firstSheet="1" activeTab="1"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ccine Clinics and Testing" sheetId="21" r:id="rId6"/>
    <sheet name="6. Value Based Care Participati" sheetId="8" r:id="rId7"/>
    <sheet name="7. COVID-19 Advances, Relief" sheetId="22" r:id="rId8"/>
    <sheet name="Edit of Request Summary" sheetId="4" state="hidden" r:id="rId9"/>
    <sheet name="Non-Financial- Reimb. Ratio" sheetId="9"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B" localSheetId="7">#REF!</definedName>
    <definedName name="\B">#REF!</definedName>
    <definedName name="\D" localSheetId="7">#REF!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localSheetId="7" hidden="1">{"add",#N/A,FALSE,"code"}</definedName>
    <definedName name="Prescriptions" hidden="1">{"add",#N/A,FALSE,"code"}</definedName>
    <definedName name="primtbl">[4]Orientation!$C$23</definedName>
    <definedName name="_xlnm.Print_Area" localSheetId="1">'1. Reconciliation'!$B$6:$O$115</definedName>
    <definedName name="_xlnm.Print_Area" localSheetId="2">'2. Charge and NPR Detail'!$A$2:$H$49</definedName>
    <definedName name="_xlnm.Print_Area" localSheetId="3">'3. Utilization'!$B$1:$D$16</definedName>
    <definedName name="_xlnm.Print_Area" localSheetId="4">'4. Inflation'!$B$1:$D$20</definedName>
    <definedName name="_xlnm.Print_Area" localSheetId="5">'5. Vaccine Clinics and Testing'!$B$7:$D$48</definedName>
    <definedName name="_xlnm.Print_Area" localSheetId="6">'6. Value Based Care Participati'!$B$2:$F$15</definedName>
    <definedName name="_xlnm.Print_Area" localSheetId="0">Overview!$A$1:$B$13</definedName>
    <definedName name="_xlnm.Print_Titles" localSheetId="1">'1. Reconciliation'!$2:$4</definedName>
    <definedName name="_xlnm.Print_Titles" localSheetId="7">#REF!</definedName>
    <definedName name="_xlnm.Print_Titles">#REF!</definedName>
    <definedName name="prof" localSheetId="7">#REF!</definedName>
    <definedName name="prof">#REF!</definedName>
    <definedName name="Rate_nmc" localSheetId="7" hidden="1">#REF!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 localSheetId="7">#REF!</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localSheetId="7" hidden="1">{"add",#N/A,FALSE,"code"}</definedName>
    <definedName name="w" hidden="1">{"add",#N/A,FALSE,"code"}</definedName>
    <definedName name="WC_AR">#REF!</definedName>
    <definedName name="wrn.rep1." localSheetId="7" hidden="1">{"add",#N/A,FALSE,"code"}</definedName>
    <definedName name="wrn.rep1." hidden="1">{"add",#N/A,FALSE,"code"}</definedName>
    <definedName name="wrn.rep1._1" localSheetId="7" hidden="1">{"add",#N/A,FALSE,"code"}</definedName>
    <definedName name="wrn.rep1._1" hidden="1">{"add",#N/A,FALSE,"code"}</definedName>
    <definedName name="x" hidden="1">#REF!</definedName>
    <definedName name="xperiod">[4]Orientation!$G$15</definedName>
    <definedName name="xtabin">[4]Hidden!$D$10:$H$11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13" l="1"/>
  <c r="D34" i="13"/>
  <c r="D35" i="13"/>
  <c r="D32" i="13"/>
  <c r="G18" i="15"/>
  <c r="F18" i="15"/>
  <c r="E18" i="15"/>
  <c r="D18" i="15"/>
  <c r="E14" i="8" l="1"/>
  <c r="D14" i="8"/>
  <c r="F14" i="8" l="1"/>
  <c r="D95" i="15" l="1"/>
  <c r="D96" i="15"/>
  <c r="D97" i="15"/>
  <c r="D98" i="15"/>
  <c r="D99" i="15"/>
  <c r="D100" i="15"/>
  <c r="D101" i="15"/>
  <c r="D102" i="15"/>
  <c r="D103" i="15"/>
  <c r="D104" i="15"/>
  <c r="D105" i="15"/>
  <c r="D106" i="15"/>
  <c r="D107" i="15"/>
  <c r="D94" i="15"/>
  <c r="D47" i="15" l="1"/>
  <c r="K23" i="22" l="1"/>
  <c r="J23" i="22"/>
  <c r="I23" i="22"/>
  <c r="G23" i="22"/>
  <c r="D23" i="22"/>
  <c r="E22" i="22"/>
  <c r="F22" i="22" s="1"/>
  <c r="C22" i="22"/>
  <c r="H21" i="22"/>
  <c r="H23" i="22" s="1"/>
  <c r="E21" i="22"/>
  <c r="F21" i="22" s="1"/>
  <c r="C21" i="22"/>
  <c r="F20" i="22"/>
  <c r="C20" i="22"/>
  <c r="F19" i="22"/>
  <c r="C19" i="22"/>
  <c r="E18" i="22"/>
  <c r="F18" i="22" s="1"/>
  <c r="C18" i="22"/>
  <c r="E17" i="22"/>
  <c r="C17" i="22"/>
  <c r="F16" i="22"/>
  <c r="C16" i="22"/>
  <c r="E15" i="22"/>
  <c r="F15" i="22" s="1"/>
  <c r="C15" i="22"/>
  <c r="F14" i="22"/>
  <c r="C14" i="22"/>
  <c r="F13" i="22"/>
  <c r="C13" i="22"/>
  <c r="C12" i="22"/>
  <c r="C23" i="22" l="1"/>
  <c r="E23" i="22"/>
  <c r="F17" i="22"/>
  <c r="F23" i="22" s="1"/>
  <c r="D14" i="16" l="1"/>
  <c r="D9" i="16" l="1"/>
  <c r="G77" i="15" l="1"/>
  <c r="F77" i="15"/>
  <c r="E77" i="15"/>
  <c r="D77" i="15"/>
  <c r="C10" i="7" l="1"/>
  <c r="C11" i="7"/>
  <c r="C12" i="7"/>
  <c r="C13" i="7"/>
  <c r="C9" i="7"/>
  <c r="D14" i="7"/>
  <c r="C14" i="7" s="1"/>
  <c r="F71" i="15" l="1"/>
  <c r="G78" i="15"/>
  <c r="E74" i="15"/>
  <c r="H72" i="15"/>
  <c r="F12" i="15" l="1"/>
  <c r="G19" i="15" l="1"/>
  <c r="E15" i="15"/>
  <c r="H13" i="15"/>
  <c r="C13" i="15" s="1"/>
  <c r="C11" i="15"/>
  <c r="C15" i="15"/>
  <c r="C19" i="15"/>
  <c r="B13" i="4" l="1"/>
  <c r="D16" i="16"/>
  <c r="F7" i="16"/>
  <c r="D38" i="15"/>
  <c r="G82" i="15"/>
  <c r="G84" i="15" s="1"/>
  <c r="G85" i="15" s="1"/>
  <c r="G23" i="15"/>
  <c r="G25" i="15" s="1"/>
  <c r="G26" i="15" s="1"/>
  <c r="C73" i="15"/>
  <c r="C72" i="15"/>
  <c r="C71" i="15"/>
  <c r="C12" i="15"/>
  <c r="B10" i="4" s="1"/>
  <c r="F82" i="15"/>
  <c r="F84" i="15" s="1"/>
  <c r="F85" i="15" s="1"/>
  <c r="F23" i="15"/>
  <c r="F25" i="15" s="1"/>
  <c r="F26" i="15" s="1"/>
  <c r="C18" i="15"/>
  <c r="B14" i="4" s="1"/>
  <c r="C17" i="15"/>
  <c r="C16" i="15"/>
  <c r="B12" i="4" s="1"/>
  <c r="C14" i="15"/>
  <c r="B11" i="4" s="1"/>
  <c r="F15" i="16"/>
  <c r="F14" i="16"/>
  <c r="F13" i="16"/>
  <c r="F12" i="16"/>
  <c r="F11" i="16"/>
  <c r="F10" i="16"/>
  <c r="F9" i="16"/>
  <c r="F8" i="16"/>
  <c r="D21" i="13"/>
  <c r="C49" i="13"/>
  <c r="C39" i="13"/>
  <c r="D39" i="13"/>
  <c r="C15" i="13"/>
  <c r="H49" i="13"/>
  <c r="G49" i="13"/>
  <c r="F49" i="13"/>
  <c r="E48" i="13"/>
  <c r="E47" i="13"/>
  <c r="E46" i="13"/>
  <c r="E45" i="13"/>
  <c r="D45" i="13" s="1"/>
  <c r="E44" i="13"/>
  <c r="D44" i="13" s="1"/>
  <c r="D49" i="13" s="1"/>
  <c r="J39" i="13"/>
  <c r="I39" i="13"/>
  <c r="H39" i="13"/>
  <c r="G39" i="13"/>
  <c r="F39" i="13"/>
  <c r="E39" i="13"/>
  <c r="J25" i="13"/>
  <c r="I25" i="13"/>
  <c r="H25" i="13"/>
  <c r="G25" i="13"/>
  <c r="F25" i="13"/>
  <c r="C25" i="13"/>
  <c r="E24" i="13"/>
  <c r="E25" i="13" s="1"/>
  <c r="D23" i="13"/>
  <c r="D22" i="13"/>
  <c r="C108" i="15"/>
  <c r="C113" i="15" s="1"/>
  <c r="C114" i="15" s="1"/>
  <c r="D48" i="15"/>
  <c r="D50" i="15"/>
  <c r="C57" i="15"/>
  <c r="C27" i="21"/>
  <c r="C23" i="21"/>
  <c r="D27" i="21"/>
  <c r="D23" i="21"/>
  <c r="C53" i="13" l="1"/>
  <c r="C28" i="21"/>
  <c r="C38" i="21" s="1"/>
  <c r="C45" i="21" s="1"/>
  <c r="D53" i="13"/>
  <c r="E49" i="13"/>
  <c r="F53" i="13" s="1"/>
  <c r="D28" i="21"/>
  <c r="D38" i="21" s="1"/>
  <c r="D45" i="21" s="1"/>
  <c r="D15" i="7"/>
  <c r="C18" i="7" s="1"/>
  <c r="C15" i="7"/>
  <c r="D17" i="7"/>
  <c r="C39" i="15"/>
  <c r="D46" i="15"/>
  <c r="D51" i="15"/>
  <c r="D49" i="15"/>
  <c r="D45" i="15"/>
  <c r="H82" i="15"/>
  <c r="H84" i="15" s="1"/>
  <c r="H85" i="15" s="1"/>
  <c r="E82" i="15"/>
  <c r="E84" i="15" s="1"/>
  <c r="E85" i="15" s="1"/>
  <c r="D82" i="15"/>
  <c r="D84" i="15" s="1"/>
  <c r="D85" i="15" s="1"/>
  <c r="C81" i="15"/>
  <c r="C80" i="15"/>
  <c r="C79" i="15"/>
  <c r="C78" i="15"/>
  <c r="C77" i="15"/>
  <c r="C76" i="15"/>
  <c r="C75" i="15"/>
  <c r="C74" i="15"/>
  <c r="C70" i="15"/>
  <c r="E23" i="15"/>
  <c r="E25" i="15" s="1"/>
  <c r="E26" i="15" s="1"/>
  <c r="H23" i="15"/>
  <c r="H25" i="15" s="1"/>
  <c r="H26" i="15" s="1"/>
  <c r="D23" i="15"/>
  <c r="D25" i="15" s="1"/>
  <c r="D26" i="15" s="1"/>
  <c r="C20" i="15"/>
  <c r="C21" i="15"/>
  <c r="C22" i="15"/>
  <c r="C54" i="13"/>
  <c r="C55" i="13" l="1"/>
  <c r="E53" i="13"/>
  <c r="C42" i="21"/>
  <c r="C46" i="21" s="1"/>
  <c r="D42" i="21"/>
  <c r="D46" i="21" s="1"/>
  <c r="B15" i="4"/>
  <c r="C82" i="15"/>
  <c r="C87" i="15" s="1"/>
  <c r="C88" i="15" s="1"/>
  <c r="C84" i="15" l="1"/>
  <c r="C23" i="15"/>
  <c r="F54" i="13" s="1"/>
  <c r="F55" i="13" s="1"/>
  <c r="C85" i="15" l="1"/>
  <c r="B7" i="4" s="1"/>
  <c r="B5" i="4"/>
  <c r="C29" i="15"/>
  <c r="C31" i="15" s="1"/>
  <c r="C32" i="15" s="1"/>
  <c r="D108" i="15" l="1"/>
  <c r="D44" i="15"/>
  <c r="D43" i="15"/>
  <c r="D42" i="15"/>
  <c r="D41" i="15"/>
  <c r="D40" i="15"/>
  <c r="C110" i="15" l="1"/>
  <c r="C111" i="15" s="1"/>
  <c r="C25" i="15" l="1"/>
  <c r="C26" i="15" s="1"/>
  <c r="D54" i="13" l="1"/>
  <c r="D55" i="13" s="1"/>
  <c r="C52" i="15"/>
  <c r="C58" i="15" s="1"/>
  <c r="C60" i="15" s="1"/>
  <c r="C61" i="15" s="1"/>
  <c r="D39" i="15"/>
  <c r="D52" i="15" s="1"/>
  <c r="B6" i="4" l="1"/>
  <c r="E54" i="13"/>
  <c r="E55" i="13" s="1"/>
  <c r="C54" i="15"/>
  <c r="C55" i="15" s="1"/>
</calcChain>
</file>

<file path=xl/sharedStrings.xml><?xml version="1.0" encoding="utf-8"?>
<sst xmlns="http://schemas.openxmlformats.org/spreadsheetml/2006/main" count="372" uniqueCount="267">
  <si>
    <t>FY2022 Budget Reporting Requirements</t>
  </si>
  <si>
    <t>Appendices 1-7</t>
  </si>
  <si>
    <t>Do not Modify</t>
  </si>
  <si>
    <t>Appendix 1: Reconciliation Tables</t>
  </si>
  <si>
    <t>Appendix 2: Change in Charge</t>
  </si>
  <si>
    <t>Modify</t>
  </si>
  <si>
    <t>Appendix 3: Utilization</t>
  </si>
  <si>
    <t>Appendix 4: Inflation</t>
  </si>
  <si>
    <t>Appendix 5: Vaccine Clinics and Testing</t>
  </si>
  <si>
    <t>Appendix 6: Value-Based Care Participation</t>
  </si>
  <si>
    <t>Appendix 7: COVID-19 Advances, Relief Funds, and Other Grants</t>
  </si>
  <si>
    <t>Request Summary (automatically populated)</t>
  </si>
  <si>
    <t>Appendix 1</t>
  </si>
  <si>
    <t>Do not Modify, except for cells labeled "Other"</t>
  </si>
  <si>
    <t>Reconciliation Tables</t>
  </si>
  <si>
    <t>Budget-to-Budget</t>
  </si>
  <si>
    <t>Table 1: NPR Variance - FY 2021 Approved Budget to FY 2022 Proposed Budget</t>
  </si>
  <si>
    <t>NPR</t>
  </si>
  <si>
    <t>Total</t>
  </si>
  <si>
    <t>Total Medicare</t>
  </si>
  <si>
    <t>Total Medicaid</t>
  </si>
  <si>
    <t>Total Commercial</t>
  </si>
  <si>
    <t>FY 2021 Approved Budget</t>
  </si>
  <si>
    <t>NPR/FPP Rate Impact</t>
  </si>
  <si>
    <t>Utilization (not factored into change in charge request)</t>
  </si>
  <si>
    <t>Provider Acquisitions/Transfers</t>
  </si>
  <si>
    <t>Changes in Accounting</t>
  </si>
  <si>
    <t>Reimbursement/Payer Mix</t>
  </si>
  <si>
    <t>Other (specify)</t>
  </si>
  <si>
    <t>FY 2022 Proposed Budget</t>
  </si>
  <si>
    <t>$ Change from FY 2021 Approved Budget</t>
  </si>
  <si>
    <t>% Change from FY 2021 Approved Budget</t>
  </si>
  <si>
    <t>Impact of COVID-19 vaccination clinics and testing</t>
  </si>
  <si>
    <t>FY 2022 Proposed Budget without COVID-19 vaccination clinics and testing</t>
  </si>
  <si>
    <t>$ Change from FY 2021 Approved Budget to Adjusted FY 2022</t>
  </si>
  <si>
    <t>% Change from FY 2021 Approved Budget to Adjusted FY 2022</t>
  </si>
  <si>
    <t>Table 2: FY 2021 Approved Expenses to FY 2022 Proposed Budget</t>
  </si>
  <si>
    <t>Expenses</t>
  </si>
  <si>
    <t>Amount</t>
  </si>
  <si>
    <t>% over/under</t>
  </si>
  <si>
    <t>FY 21 Approved Budget</t>
  </si>
  <si>
    <t>New Positions</t>
  </si>
  <si>
    <t>Inflation Increases</t>
  </si>
  <si>
    <t>Salaries</t>
  </si>
  <si>
    <t>Fringe</t>
  </si>
  <si>
    <t>Travelers (nurses)</t>
  </si>
  <si>
    <t>Drugs</t>
  </si>
  <si>
    <t>Health Care Provider Tax</t>
  </si>
  <si>
    <t>Cost Savings</t>
  </si>
  <si>
    <t>Other (specify, add additional rows as necessary)</t>
  </si>
  <si>
    <t>FY 22 Proposed Budget</t>
  </si>
  <si>
    <t>Projection-to-Budget</t>
  </si>
  <si>
    <t>Table 3: NPR Variance - FY 2021 Projection to FY 2022 Proposed Budget</t>
  </si>
  <si>
    <t>Projection derived as of:</t>
  </si>
  <si>
    <t>(ex. May 2021 year-to-date)</t>
  </si>
  <si>
    <t>FY 2021 Projection</t>
  </si>
  <si>
    <t>Rate Effect</t>
  </si>
  <si>
    <t>Disproportionate Share Payments (DSH)</t>
  </si>
  <si>
    <t>Utilization (not factoring in change in charge request)</t>
  </si>
  <si>
    <t>Fixed Prospective Payments</t>
  </si>
  <si>
    <t>Bad Debt/Free Care</t>
  </si>
  <si>
    <t>$ Change from FY 2021 Projection</t>
  </si>
  <si>
    <t>% Change from FY 2021 Projection</t>
  </si>
  <si>
    <t>$ Change from FY 2021 Projection to Adjusted FY 2022</t>
  </si>
  <si>
    <t>% Change from FY 2021 Projection to Adjusted FY 2022</t>
  </si>
  <si>
    <t>Table 4: FY 2021 Projected Expenses to FY 2022 Proposed Budget</t>
  </si>
  <si>
    <t>Appendix 2</t>
  </si>
  <si>
    <t>Charge and NPR Detail</t>
  </si>
  <si>
    <t>The following tables demonstrate the hospital's charges by payer from your requested charge master increase.</t>
  </si>
  <si>
    <r>
      <rPr>
        <b/>
        <sz val="11"/>
        <color theme="1"/>
        <rFont val="Calibri"/>
        <family val="2"/>
      </rPr>
      <t>Table 1:</t>
    </r>
    <r>
      <rPr>
        <sz val="11"/>
        <color theme="1"/>
        <rFont val="Calibri"/>
        <family val="2"/>
      </rPr>
      <t xml:space="preserve">  Please provide the requested charge master increase by area of service without of utilization and acuity. </t>
    </r>
  </si>
  <si>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</si>
  <si>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</si>
  <si>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</si>
  <si>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</si>
  <si>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</si>
  <si>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</si>
  <si>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</si>
  <si>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</si>
  <si>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t>Budget-to-Budget Variance (%)</t>
  </si>
  <si>
    <t>In State</t>
  </si>
  <si>
    <t>Other</t>
  </si>
  <si>
    <r>
      <rPr>
        <b/>
        <sz val="11"/>
        <color theme="1"/>
        <rFont val="Calibri"/>
        <family val="2"/>
      </rPr>
      <t>Table 3:</t>
    </r>
    <r>
      <rPr>
        <sz val="11"/>
        <color theme="1"/>
        <rFont val="Calibri"/>
        <family val="2"/>
      </rPr>
      <t xml:space="preserve">  Please provide FY21 budgeted NPR/FPP and FY22 budgeted NPR/FPP by category of service taking into account the gross revenue assumptions in Table 2. </t>
    </r>
  </si>
  <si>
    <t>Areas of Service</t>
  </si>
  <si>
    <t>FY21 Budget NPR</t>
  </si>
  <si>
    <t>Budget-to-Budget Variance ($)</t>
  </si>
  <si>
    <t>FY22 Budget NPR</t>
  </si>
  <si>
    <t>FY21 Budget FPP</t>
  </si>
  <si>
    <t>FY22 Total Budget FPP</t>
  </si>
  <si>
    <t>Reserves</t>
  </si>
  <si>
    <t>Other Reform Payments</t>
  </si>
  <si>
    <t>FY21 Budget NPR/FPP</t>
  </si>
  <si>
    <t>FY22 Budget NPR/FPP</t>
  </si>
  <si>
    <t>Total Overall NPR/FPP</t>
  </si>
  <si>
    <t>From 1. Reconciliation tab</t>
  </si>
  <si>
    <t>Variance (should be 0)</t>
  </si>
  <si>
    <r>
      <rPr>
        <b/>
        <sz val="11"/>
        <color theme="1"/>
        <rFont val="Calibri"/>
        <family val="2"/>
      </rPr>
      <t>Table 4:</t>
    </r>
    <r>
      <rPr>
        <sz val="11"/>
        <color theme="1"/>
        <rFont val="Calibri"/>
        <family val="2"/>
      </rPr>
      <t xml:space="preserve"> Please indicate the NPR/FPP FY2022 dollar value of 1% overall change in charge.</t>
    </r>
  </si>
  <si>
    <t>NPR/FPP value of 1% Overall Change in Charge</t>
  </si>
  <si>
    <t>Appendix 3</t>
  </si>
  <si>
    <t>Utilization</t>
  </si>
  <si>
    <t>Category of Service</t>
  </si>
  <si>
    <t>Total increase in Gross Revenues (%)</t>
  </si>
  <si>
    <t>Total increase in Gross Revenues ($)</t>
  </si>
  <si>
    <t>$ Change from FY 2021 Approved budget</t>
  </si>
  <si>
    <t>% Change from FY 2021 Approved budget</t>
  </si>
  <si>
    <t>Does not need to tie to P&amp;L</t>
  </si>
  <si>
    <t>Appendix 4</t>
  </si>
  <si>
    <t>Inflation</t>
  </si>
  <si>
    <t>Expense Category</t>
  </si>
  <si>
    <t>Estimated Inflation</t>
  </si>
  <si>
    <t>Comment</t>
  </si>
  <si>
    <t>% Increase</t>
  </si>
  <si>
    <t>$ Increase</t>
  </si>
  <si>
    <t>Category % of Operating Expense Budget</t>
  </si>
  <si>
    <t>Example: Wages/Compensation- Medical Staff</t>
  </si>
  <si>
    <t>This is inflation price effect only, does not account for new hires (volume).</t>
  </si>
  <si>
    <t>Wages/Compensation - Medical Staff</t>
  </si>
  <si>
    <t>Wages/Compensation - Non-Medical Staff</t>
  </si>
  <si>
    <t>Medical Supplies</t>
  </si>
  <si>
    <t>Non-Medical Supplies</t>
  </si>
  <si>
    <t>Other (Please Specify)</t>
  </si>
  <si>
    <t>%</t>
  </si>
  <si>
    <t>*should be 100%</t>
  </si>
  <si>
    <t>Not intended for systemwide look or comparative analysis</t>
  </si>
  <si>
    <t>Appendix 5</t>
  </si>
  <si>
    <t>Vaccine Clinics and Testing</t>
  </si>
  <si>
    <t>Where is your hospital reporting Vaccine/Testing Revenues and Expenses?</t>
  </si>
  <si>
    <t>Fiscal Year 2022 Budget Analysis</t>
  </si>
  <si>
    <t>INCOME STATEMENT</t>
  </si>
  <si>
    <t>2021 Projection Vaccine/Testing Income Statement Supplement</t>
  </si>
  <si>
    <t>2022 Budget Vaccine/Testing Income Statement Supplement</t>
  </si>
  <si>
    <t>Revenues</t>
  </si>
  <si>
    <t>Gross Patient Care Revenue</t>
  </si>
  <si>
    <t>Disproportionate Share Payments</t>
  </si>
  <si>
    <t>Graduate Medical Education (UVMMC only)</t>
  </si>
  <si>
    <t>Bad Debt</t>
  </si>
  <si>
    <t>Free Care</t>
  </si>
  <si>
    <t>Deductions from Revenue</t>
  </si>
  <si>
    <t>Net Patient Care Revenue</t>
  </si>
  <si>
    <t>Fixed Prospective Payments, Reserves &amp; Other</t>
  </si>
  <si>
    <t>Total NPR &amp; FPP</t>
  </si>
  <si>
    <t>COVID-19 Stimulus and Other Grant Funding</t>
  </si>
  <si>
    <t>Other Operating Revenue</t>
  </si>
  <si>
    <t>Total Operating Revenue</t>
  </si>
  <si>
    <t>Salaries, Fringe Benefits, Physician Fees, Contracts</t>
  </si>
  <si>
    <t>Medical/Surgical Drugs and Supplies</t>
  </si>
  <si>
    <t>Depreciation/Amortization</t>
  </si>
  <si>
    <t>Interest - Short and Long Term</t>
  </si>
  <si>
    <t>Other Operating Expenses (includes ACO Participation Fees)</t>
  </si>
  <si>
    <t>Operating Expense</t>
  </si>
  <si>
    <t>Net Operating Income</t>
  </si>
  <si>
    <t>Non Operating Revenue</t>
  </si>
  <si>
    <t>Excess (Deficit) of Rev over Exp</t>
  </si>
  <si>
    <t>Income Statement Metrics</t>
  </si>
  <si>
    <t>Operating Margin %</t>
  </si>
  <si>
    <t>Total Margin %</t>
  </si>
  <si>
    <t>edit from P&amp;L</t>
  </si>
  <si>
    <t>Appendix 6</t>
  </si>
  <si>
    <t>Value-Based Care Participation</t>
  </si>
  <si>
    <t>Complete the following table if the hospital is participating in one or more of value-based care programs. If the hospital is not participating in value-based care programs, please indicate in the narrative.</t>
  </si>
  <si>
    <t>Value-Based Care Program</t>
  </si>
  <si>
    <t xml:space="preserve">Participating in Program in Calendar Year (CY) 2022? </t>
  </si>
  <si>
    <t xml:space="preserve">Budgeted Number of Attributed Lives (monthly average </t>
  </si>
  <si>
    <t xml:space="preserve">Budgeted Amount of FPP (monthly average </t>
  </si>
  <si>
    <t xml:space="preserve">Budgeted Maximum Upside/Downside Risk </t>
  </si>
  <si>
    <t>(Yes/No)</t>
  </si>
  <si>
    <t xml:space="preserve"> for CY 2022)</t>
  </si>
  <si>
    <t xml:space="preserve"> for CY 2022</t>
  </si>
  <si>
    <t>Medicaid</t>
  </si>
  <si>
    <t>Medicare</t>
  </si>
  <si>
    <t>Self-Insured</t>
  </si>
  <si>
    <t>TOTAL</t>
  </si>
  <si>
    <t>Appendix 7</t>
  </si>
  <si>
    <t>Do not Modify, except cells labeled "Other"</t>
  </si>
  <si>
    <t>COVID-19 Advances, Relief Funds, and Other Grants</t>
  </si>
  <si>
    <t>Description</t>
  </si>
  <si>
    <t>Amounts Received</t>
  </si>
  <si>
    <t>Recognized in Revenues</t>
  </si>
  <si>
    <t>Recorded as a liability</t>
  </si>
  <si>
    <t>As of Sept. 30, 2020</t>
  </si>
  <si>
    <t>As of Sept. 30, 2021</t>
  </si>
  <si>
    <t>As of Sept. 30, 2022</t>
  </si>
  <si>
    <t>CARES Act Funding</t>
  </si>
  <si>
    <t>Medicare Advance - Repayment</t>
  </si>
  <si>
    <t>VT Blue Cross Advance</t>
  </si>
  <si>
    <t>VT Healthcare Stabilization Grant</t>
  </si>
  <si>
    <t>VT Medicaid Retainer Funding</t>
  </si>
  <si>
    <t>VT Hazard Pay Grant</t>
  </si>
  <si>
    <t>VT Unemployment Credit - CARES Act</t>
  </si>
  <si>
    <t>CARES Workforce Retention Credit</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</si>
  <si>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</si>
  <si>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</si>
  <si>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</si>
  <si>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</si>
  <si>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</si>
  <si>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</si>
  <si>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</si>
  <si>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</si>
  <si>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</si>
  <si>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</si>
  <si>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</si>
  <si>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</si>
  <si>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</si>
  <si>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</si>
  <si>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</si>
  <si>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</si>
  <si>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</si>
  <si>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</si>
  <si>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</si>
  <si>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</si>
  <si>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</si>
  <si>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</si>
  <si>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</si>
  <si>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</si>
  <si>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</si>
  <si>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</si>
  <si>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</si>
  <si>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</si>
  <si>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 xml:space="preserve">Identify key categories of operating expense inflation and provide the estimated inflation factor. This is not an assessment of overall growth of the category (i.e.-does not need to tie to the P&amp;L). It should focus on price effects only (not utilization growth or new hires).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</si>
  <si>
    <t>Grand Total</t>
  </si>
  <si>
    <t>PPP Funds</t>
  </si>
  <si>
    <t>Total Self-Pay/Other</t>
  </si>
  <si>
    <t>NPR ($) Analysis by Payer</t>
  </si>
  <si>
    <t>FPP ($) Analysis by Payer</t>
  </si>
  <si>
    <t>FY21 Budget Gross Revenue</t>
  </si>
  <si>
    <t>FY 22 Budget Gross Revenue</t>
  </si>
  <si>
    <t xml:space="preserve">Gross Revenue by Commercial Payer 
</t>
  </si>
  <si>
    <t xml:space="preserve">Gross Revenue by Self-Pay/Other      </t>
  </si>
  <si>
    <t xml:space="preserve">Gross Revenue by Medicaid
</t>
  </si>
  <si>
    <t xml:space="preserve">Gross Revenue by Medicare
</t>
  </si>
  <si>
    <t>Gross Revenue ($) Analysis by Payer</t>
  </si>
  <si>
    <t xml:space="preserve"> NPR by Commercial Payer</t>
  </si>
  <si>
    <t xml:space="preserve"> NPR by Self-Pay/Other</t>
  </si>
  <si>
    <t>NPR by Medicaid</t>
  </si>
  <si>
    <t>NPR by Medicare</t>
  </si>
  <si>
    <t>FPP by Medicaid</t>
  </si>
  <si>
    <t>FPP by Medicare</t>
  </si>
  <si>
    <t>Total FPP Across All Categories</t>
  </si>
  <si>
    <t>Total NPR Across All Categories</t>
  </si>
  <si>
    <t>Total Gross Revenues Across All Categories</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</si>
  <si>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</si>
  <si>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Commercial (not Self-Insured)</t>
  </si>
  <si>
    <t>DSH</t>
  </si>
  <si>
    <t>from Appendix 4. Inflation (price effect only)</t>
  </si>
  <si>
    <t xml:space="preserve"> FPP by Commercial Payer (in state only)*</t>
  </si>
  <si>
    <t>*if possible</t>
  </si>
  <si>
    <t>tie to income statement</t>
  </si>
  <si>
    <t>Weighted Average 
(Column C * Column E)</t>
  </si>
  <si>
    <r>
      <t xml:space="preserve">Please denote the advances, relief funds, and other grants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2020, September 30, 2021 and September 30, 2022.</t>
    </r>
  </si>
  <si>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</si>
  <si>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 xml:space="preserve">Medical Surgical </t>
  </si>
  <si>
    <t>OR</t>
  </si>
  <si>
    <t>Pharmacy</t>
  </si>
  <si>
    <t>ED</t>
  </si>
  <si>
    <t>Sports Medicine Clinic</t>
  </si>
  <si>
    <t>All Other</t>
  </si>
  <si>
    <t>Other (Benefits)</t>
  </si>
  <si>
    <t>Other (Rent, Utilities,Purchased Services, etc.)</t>
  </si>
  <si>
    <t>VAHHS ASPR Grant</t>
  </si>
  <si>
    <t>SHIP Grant</t>
  </si>
  <si>
    <t>Note - CARES Act Funding - Part of the Revenue in FY2020 was from Stimulus funds transferred from GHC per HHS Guidance.</t>
  </si>
  <si>
    <t>Locum Tenens (MDs)</t>
  </si>
  <si>
    <t>Depreciation</t>
  </si>
  <si>
    <t>Other Non-Salary</t>
  </si>
  <si>
    <t>Other Purchased Services</t>
  </si>
  <si>
    <t>No</t>
  </si>
  <si>
    <t>Yes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</si>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</sst>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3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sz val="11"/>
      <color rgb="FFFF000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
      <b/>
      <i/>
      <sz val="11"/>
      <color theme="1"/>
      <name val="Calibri"/>
      <family val="2"/>
    </font>
    <font>
      <sz val="11"/>
      <name val="Calibri"/>
      <family val="2"/>
    </font>
    <font>
      <i/>
      <sz val="11"/>
      <color theme="1"/>
      <name val="Calibri"/>
      <family val="2"/>
      <scheme val="minor"/>
    </font>
    <font>
      <b/>
      <sz val="24"/>
      <color theme="1"/>
      <name val="Calibri"/>
      <family val="2"/>
    </font>
    <font>
      <sz val="12"/>
      <color theme="1"/>
      <name val="Calibri"/>
      <family val="2"/>
    </font>
    <font>
      <i/>
      <sz val="12"/>
      <color rgb="FFFF0000"/>
      <name val="Calibri"/>
      <family val="2"/>
    </font>
    <font>
      <sz val="14"/>
      <color theme="1"/>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auto="1"/>
      </left>
      <right style="thin">
        <color auto="1"/>
      </right>
      <top/>
      <bottom/>
      <diagonal/>
    </border>
    <border>
      <left style="medium">
        <color indexed="64"/>
      </left>
      <right style="thin">
        <color indexed="64"/>
      </right>
      <top/>
      <bottom/>
      <diagonal/>
    </border>
    <border>
      <left style="medium">
        <color indexed="64"/>
      </left>
      <right style="thin">
        <color auto="1"/>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cellStyleXfs>
  <cellXfs count="389">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8" fillId="4" borderId="12" xfId="5" applyFont="1" applyFill="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0" fontId="0" fillId="0" borderId="0" xfId="0" applyBorder="1" applyAlignment="1">
      <alignment horizontal="center"/>
    </xf>
    <xf numFmtId="164" fontId="0" fillId="0" borderId="0" xfId="3" applyNumberFormat="1"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166" fontId="0" fillId="0" borderId="4" xfId="1" applyNumberFormat="1" applyFont="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2" fillId="0" borderId="0" xfId="1" applyNumberFormat="1" applyFont="1" applyAlignment="1">
      <alignment horizontal="right"/>
    </xf>
    <xf numFmtId="0" fontId="2" fillId="0" borderId="0" xfId="1" applyNumberFormat="1" applyFont="1" applyAlignment="1">
      <alignment horizontal="center" wrapText="1"/>
    </xf>
    <xf numFmtId="0" fontId="19" fillId="0" borderId="0" xfId="1" applyNumberFormat="1" applyFont="1" applyAlignment="1">
      <alignment horizontal="right"/>
    </xf>
    <xf numFmtId="166" fontId="19" fillId="0" borderId="0" xfId="1" applyNumberFormat="1" applyFont="1"/>
    <xf numFmtId="0" fontId="20" fillId="0" borderId="0" xfId="1" applyNumberFormat="1" applyFont="1" applyAlignment="1">
      <alignment horizontal="right"/>
    </xf>
    <xf numFmtId="0" fontId="19" fillId="0" borderId="21" xfId="1" applyNumberFormat="1" applyFont="1" applyBorder="1"/>
    <xf numFmtId="166" fontId="20" fillId="0" borderId="14" xfId="1" applyNumberFormat="1" applyFont="1" applyBorder="1"/>
    <xf numFmtId="166" fontId="20" fillId="0" borderId="0" xfId="1" applyNumberFormat="1" applyFont="1"/>
    <xf numFmtId="0" fontId="19" fillId="11" borderId="22" xfId="1" applyNumberFormat="1" applyFont="1" applyFill="1" applyBorder="1"/>
    <xf numFmtId="0" fontId="21" fillId="0" borderId="0" xfId="1" applyNumberFormat="1" applyFont="1" applyFill="1" applyAlignment="1">
      <alignment horizontal="right"/>
    </xf>
    <xf numFmtId="166" fontId="21" fillId="0" borderId="0" xfId="1" applyNumberFormat="1" applyFont="1" applyFill="1"/>
    <xf numFmtId="0" fontId="22" fillId="0" borderId="0" xfId="1" applyNumberFormat="1" applyFont="1" applyAlignment="1">
      <alignment horizontal="right"/>
    </xf>
    <xf numFmtId="0" fontId="22" fillId="0" borderId="23" xfId="1" applyNumberFormat="1" applyFont="1" applyBorder="1"/>
    <xf numFmtId="166" fontId="22" fillId="0" borderId="0" xfId="1" applyNumberFormat="1" applyFont="1" applyBorder="1"/>
    <xf numFmtId="166" fontId="22" fillId="0" borderId="0" xfId="1" applyNumberFormat="1" applyFont="1"/>
    <xf numFmtId="0" fontId="23" fillId="0" borderId="19" xfId="1" applyNumberFormat="1" applyFont="1" applyBorder="1" applyAlignment="1">
      <alignment horizontal="center" vertical="center"/>
    </xf>
    <xf numFmtId="0" fontId="23" fillId="15" borderId="13" xfId="1" applyNumberFormat="1" applyFont="1" applyFill="1" applyBorder="1" applyAlignment="1">
      <alignment horizontal="center" vertical="center"/>
    </xf>
    <xf numFmtId="166" fontId="23" fillId="14" borderId="4" xfId="1" applyNumberFormat="1" applyFont="1" applyFill="1" applyBorder="1" applyAlignment="1">
      <alignment horizontal="center" vertical="center" wrapText="1"/>
    </xf>
    <xf numFmtId="166" fontId="23" fillId="0" borderId="0" xfId="1" applyNumberFormat="1" applyFont="1" applyAlignment="1">
      <alignment horizontal="center" vertical="center" wrapText="1"/>
    </xf>
    <xf numFmtId="166" fontId="23" fillId="0" borderId="0" xfId="1" applyNumberFormat="1" applyFont="1" applyAlignment="1">
      <alignment horizontal="center" vertical="center"/>
    </xf>
    <xf numFmtId="0" fontId="20" fillId="0" borderId="15" xfId="1" applyNumberFormat="1" applyFont="1" applyBorder="1" applyAlignment="1">
      <alignment horizontal="right"/>
    </xf>
    <xf numFmtId="0" fontId="19" fillId="16" borderId="23" xfId="1" applyNumberFormat="1" applyFont="1" applyFill="1" applyBorder="1"/>
    <xf numFmtId="166" fontId="20" fillId="16" borderId="24" xfId="1" applyNumberFormat="1" applyFont="1" applyFill="1" applyBorder="1"/>
    <xf numFmtId="166" fontId="20" fillId="16" borderId="17" xfId="1" applyNumberFormat="1" applyFont="1" applyFill="1" applyBorder="1"/>
    <xf numFmtId="0" fontId="19" fillId="0" borderId="15" xfId="1" applyNumberFormat="1" applyFont="1" applyBorder="1" applyAlignment="1">
      <alignment horizontal="right"/>
    </xf>
    <xf numFmtId="49" fontId="19" fillId="17" borderId="23" xfId="1" quotePrefix="1" applyNumberFormat="1" applyFont="1" applyFill="1" applyBorder="1"/>
    <xf numFmtId="167" fontId="19" fillId="17" borderId="24" xfId="2" quotePrefix="1" applyNumberFormat="1" applyFont="1" applyFill="1" applyBorder="1"/>
    <xf numFmtId="167" fontId="19" fillId="17" borderId="17" xfId="2" quotePrefix="1" applyNumberFormat="1" applyFont="1" applyFill="1" applyBorder="1"/>
    <xf numFmtId="164" fontId="19" fillId="0" borderId="0" xfId="3" applyNumberFormat="1" applyFont="1"/>
    <xf numFmtId="49" fontId="20" fillId="0" borderId="23" xfId="1" quotePrefix="1" applyNumberFormat="1" applyFont="1" applyBorder="1" applyAlignment="1">
      <alignment horizontal="right"/>
    </xf>
    <xf numFmtId="167" fontId="20" fillId="0" borderId="24" xfId="2" quotePrefix="1" applyNumberFormat="1" applyFont="1" applyBorder="1"/>
    <xf numFmtId="167" fontId="20" fillId="18" borderId="17" xfId="2" quotePrefix="1" applyNumberFormat="1" applyFont="1" applyFill="1" applyBorder="1"/>
    <xf numFmtId="164" fontId="20" fillId="0" borderId="0" xfId="3" applyNumberFormat="1" applyFont="1"/>
    <xf numFmtId="0" fontId="20" fillId="0" borderId="23" xfId="1" quotePrefix="1" applyNumberFormat="1" applyFont="1" applyBorder="1" applyAlignment="1">
      <alignment horizontal="right"/>
    </xf>
    <xf numFmtId="49" fontId="19" fillId="0" borderId="23" xfId="1" quotePrefix="1" applyNumberFormat="1" applyFont="1" applyFill="1" applyBorder="1"/>
    <xf numFmtId="167" fontId="19" fillId="0" borderId="24" xfId="2" quotePrefix="1" applyNumberFormat="1" applyFont="1" applyFill="1" applyBorder="1"/>
    <xf numFmtId="0" fontId="19" fillId="0" borderId="23" xfId="1" applyNumberFormat="1" applyFont="1" applyFill="1" applyBorder="1"/>
    <xf numFmtId="167" fontId="19" fillId="0" borderId="17" xfId="2" quotePrefix="1" applyNumberFormat="1" applyFont="1" applyFill="1" applyBorder="1"/>
    <xf numFmtId="167" fontId="19" fillId="16" borderId="24" xfId="1" applyNumberFormat="1" applyFont="1" applyFill="1" applyBorder="1"/>
    <xf numFmtId="0" fontId="20" fillId="0" borderId="15" xfId="1" applyNumberFormat="1" applyFont="1" applyFill="1" applyBorder="1" applyAlignment="1">
      <alignment horizontal="right"/>
    </xf>
    <xf numFmtId="0" fontId="20" fillId="0" borderId="23" xfId="1" quotePrefix="1" applyNumberFormat="1" applyFont="1" applyFill="1" applyBorder="1" applyAlignment="1">
      <alignment horizontal="right"/>
    </xf>
    <xf numFmtId="167" fontId="20" fillId="0" borderId="24" xfId="2" quotePrefix="1" applyNumberFormat="1" applyFont="1" applyFill="1" applyBorder="1"/>
    <xf numFmtId="167" fontId="20" fillId="0" borderId="17" xfId="2" quotePrefix="1" applyNumberFormat="1" applyFont="1" applyFill="1" applyBorder="1"/>
    <xf numFmtId="164" fontId="20" fillId="0" borderId="0" xfId="3" applyNumberFormat="1" applyFont="1" applyFill="1"/>
    <xf numFmtId="166" fontId="20" fillId="0" borderId="0" xfId="1" applyNumberFormat="1" applyFont="1" applyFill="1"/>
    <xf numFmtId="49" fontId="19" fillId="0" borderId="23" xfId="1" quotePrefix="1" applyNumberFormat="1" applyFont="1" applyFill="1" applyBorder="1" applyAlignment="1">
      <alignment horizontal="right"/>
    </xf>
    <xf numFmtId="49" fontId="20" fillId="0" borderId="23" xfId="1" quotePrefix="1" applyNumberFormat="1" applyFont="1" applyFill="1" applyBorder="1" applyAlignment="1">
      <alignment horizontal="right"/>
    </xf>
    <xf numFmtId="0" fontId="19" fillId="17" borderId="23" xfId="1" applyNumberFormat="1" applyFont="1" applyFill="1" applyBorder="1"/>
    <xf numFmtId="0" fontId="19" fillId="16" borderId="23" xfId="1" applyNumberFormat="1" applyFont="1" applyFill="1" applyBorder="1" applyAlignment="1">
      <alignment horizontal="left"/>
    </xf>
    <xf numFmtId="167" fontId="19" fillId="16" borderId="24" xfId="2" quotePrefix="1" applyNumberFormat="1" applyFont="1" applyFill="1" applyBorder="1"/>
    <xf numFmtId="0" fontId="19" fillId="11" borderId="23" xfId="1" applyNumberFormat="1" applyFont="1" applyFill="1" applyBorder="1"/>
    <xf numFmtId="167" fontId="20" fillId="11" borderId="24" xfId="1" applyNumberFormat="1" applyFont="1" applyFill="1" applyBorder="1"/>
    <xf numFmtId="167" fontId="20" fillId="11" borderId="17" xfId="1" applyNumberFormat="1" applyFont="1" applyFill="1" applyBorder="1"/>
    <xf numFmtId="164" fontId="19" fillId="0" borderId="0" xfId="3" applyNumberFormat="1" applyFont="1" applyFill="1"/>
    <xf numFmtId="0" fontId="20" fillId="0" borderId="23" xfId="1" applyNumberFormat="1" applyFont="1" applyFill="1" applyBorder="1" applyAlignment="1">
      <alignment horizontal="right"/>
    </xf>
    <xf numFmtId="49" fontId="20" fillId="0" borderId="23" xfId="1" applyNumberFormat="1" applyFont="1" applyFill="1" applyBorder="1" applyAlignment="1">
      <alignment horizontal="right"/>
    </xf>
    <xf numFmtId="49" fontId="20" fillId="0" borderId="23" xfId="1" applyNumberFormat="1" applyFont="1" applyBorder="1" applyAlignment="1">
      <alignment horizontal="right"/>
    </xf>
    <xf numFmtId="0" fontId="19" fillId="0" borderId="23" xfId="1" applyNumberFormat="1" applyFont="1" applyFill="1" applyBorder="1" applyAlignment="1">
      <alignment horizontal="left"/>
    </xf>
    <xf numFmtId="0" fontId="20" fillId="0" borderId="23" xfId="1" applyNumberFormat="1" applyFont="1" applyBorder="1"/>
    <xf numFmtId="167" fontId="20" fillId="0" borderId="24" xfId="1" applyNumberFormat="1" applyFont="1" applyBorder="1"/>
    <xf numFmtId="167" fontId="20" fillId="0" borderId="17" xfId="1" applyNumberFormat="1" applyFont="1" applyBorder="1"/>
    <xf numFmtId="0" fontId="19" fillId="5" borderId="15" xfId="1" applyNumberFormat="1" applyFont="1" applyFill="1" applyBorder="1" applyAlignment="1">
      <alignment horizontal="right"/>
    </xf>
    <xf numFmtId="0" fontId="19" fillId="5" borderId="23" xfId="1" applyNumberFormat="1" applyFont="1" applyFill="1" applyBorder="1"/>
    <xf numFmtId="167" fontId="19" fillId="5" borderId="24" xfId="2" applyNumberFormat="1" applyFont="1" applyFill="1" applyBorder="1"/>
    <xf numFmtId="166" fontId="19" fillId="5" borderId="0" xfId="1" applyNumberFormat="1" applyFont="1" applyFill="1"/>
    <xf numFmtId="0" fontId="19" fillId="5" borderId="25" xfId="1" applyNumberFormat="1" applyFont="1" applyFill="1" applyBorder="1"/>
    <xf numFmtId="0" fontId="19" fillId="16" borderId="26" xfId="1" applyNumberFormat="1" applyFont="1" applyFill="1" applyBorder="1" applyAlignment="1">
      <alignment horizontal="left"/>
    </xf>
    <xf numFmtId="167" fontId="19" fillId="16" borderId="27" xfId="2" quotePrefix="1" applyNumberFormat="1" applyFont="1" applyFill="1" applyBorder="1"/>
    <xf numFmtId="0" fontId="19" fillId="0" borderId="23" xfId="1" applyNumberFormat="1" applyFont="1" applyBorder="1"/>
    <xf numFmtId="167" fontId="19" fillId="0" borderId="24" xfId="2" quotePrefix="1" applyNumberFormat="1" applyFont="1" applyBorder="1"/>
    <xf numFmtId="167" fontId="19" fillId="0" borderId="17" xfId="2" quotePrefix="1" applyNumberFormat="1" applyFont="1" applyBorder="1"/>
    <xf numFmtId="0" fontId="19" fillId="2" borderId="23" xfId="1" applyNumberFormat="1" applyFont="1" applyFill="1" applyBorder="1" applyAlignment="1">
      <alignment horizontal="left"/>
    </xf>
    <xf numFmtId="167" fontId="19" fillId="2" borderId="24" xfId="3" quotePrefix="1" applyNumberFormat="1" applyFont="1" applyFill="1" applyBorder="1"/>
    <xf numFmtId="167" fontId="19" fillId="2" borderId="17" xfId="3" quotePrefix="1" applyNumberFormat="1" applyFont="1" applyFill="1" applyBorder="1"/>
    <xf numFmtId="0" fontId="20" fillId="0" borderId="23" xfId="1" applyNumberFormat="1" applyFont="1" applyBorder="1" applyAlignment="1">
      <alignment horizontal="right"/>
    </xf>
    <xf numFmtId="164" fontId="20" fillId="0" borderId="24" xfId="3" quotePrefix="1" applyNumberFormat="1" applyFont="1" applyBorder="1"/>
    <xf numFmtId="164" fontId="20" fillId="0" borderId="17" xfId="3" quotePrefix="1" applyNumberFormat="1" applyFont="1" applyBorder="1"/>
    <xf numFmtId="0" fontId="20" fillId="0" borderId="20" xfId="1" applyNumberFormat="1" applyFont="1" applyBorder="1" applyAlignment="1">
      <alignment horizontal="right"/>
    </xf>
    <xf numFmtId="0" fontId="20" fillId="0" borderId="28" xfId="1" applyNumberFormat="1" applyFont="1" applyBorder="1" applyAlignment="1">
      <alignment horizontal="right"/>
    </xf>
    <xf numFmtId="164" fontId="20" fillId="0" borderId="29" xfId="3" quotePrefix="1" applyNumberFormat="1" applyFont="1" applyBorder="1"/>
    <xf numFmtId="164" fontId="20" fillId="0" borderId="30" xfId="3" quotePrefix="1" applyNumberFormat="1" applyFont="1" applyBorder="1"/>
    <xf numFmtId="166" fontId="20" fillId="0" borderId="0" xfId="1" applyNumberFormat="1" applyFont="1" applyBorder="1"/>
    <xf numFmtId="0" fontId="20" fillId="0" borderId="0" xfId="1" applyNumberFormat="1" applyFont="1"/>
    <xf numFmtId="0" fontId="0" fillId="0" borderId="0" xfId="1" applyNumberFormat="1" applyFont="1" applyAlignment="1">
      <alignment horizontal="right"/>
    </xf>
    <xf numFmtId="0" fontId="0" fillId="0" borderId="0" xfId="1" applyNumberFormat="1" applyFont="1"/>
    <xf numFmtId="0" fontId="18" fillId="0" borderId="0" xfId="1" applyNumberFormat="1" applyFont="1" applyAlignment="1">
      <alignment horizontal="right"/>
    </xf>
    <xf numFmtId="0" fontId="18" fillId="9" borderId="0" xfId="1" applyNumberFormat="1" applyFont="1" applyFill="1"/>
    <xf numFmtId="166" fontId="18" fillId="9" borderId="0" xfId="1" applyNumberFormat="1" applyFont="1" applyFill="1"/>
    <xf numFmtId="166" fontId="18" fillId="0" borderId="0" xfId="1" applyNumberFormat="1" applyFont="1"/>
    <xf numFmtId="0" fontId="18" fillId="0" borderId="0" xfId="1" applyNumberFormat="1" applyFont="1"/>
    <xf numFmtId="0" fontId="19" fillId="0" borderId="14" xfId="1" applyNumberFormat="1" applyFont="1" applyBorder="1"/>
    <xf numFmtId="0" fontId="19" fillId="11" borderId="2" xfId="1" applyNumberFormat="1" applyFont="1" applyFill="1" applyBorder="1"/>
    <xf numFmtId="0" fontId="22" fillId="0" borderId="0" xfId="1" applyNumberFormat="1" applyFont="1" applyBorder="1"/>
    <xf numFmtId="0" fontId="19" fillId="11" borderId="3" xfId="1" applyNumberFormat="1" applyFont="1" applyFill="1" applyBorder="1"/>
    <xf numFmtId="0" fontId="0" fillId="5" borderId="0" xfId="0" applyFont="1" applyFill="1" applyBorder="1" applyAlignment="1">
      <alignment horizontal="left"/>
    </xf>
    <xf numFmtId="0" fontId="0" fillId="5" borderId="4" xfId="0" applyFont="1" applyFill="1" applyBorder="1" applyAlignment="1">
      <alignment horizontal="left" wrapText="1"/>
    </xf>
    <xf numFmtId="165" fontId="0" fillId="5" borderId="4" xfId="3" applyNumberFormat="1" applyFont="1" applyFill="1" applyBorder="1"/>
    <xf numFmtId="0" fontId="10" fillId="5" borderId="0" xfId="5" applyFont="1" applyFill="1" applyAlignment="1">
      <alignment horizontal="center"/>
    </xf>
    <xf numFmtId="0" fontId="19" fillId="0" borderId="0" xfId="5" applyFont="1" applyAlignment="1"/>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5" fillId="3" borderId="4" xfId="3" applyNumberFormat="1" applyFont="1" applyFill="1" applyBorder="1"/>
    <xf numFmtId="164" fontId="25"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31" xfId="5" applyFill="1" applyBorder="1" applyAlignment="1">
      <alignment wrapText="1"/>
    </xf>
    <xf numFmtId="44" fontId="5" fillId="11" borderId="32" xfId="2" applyFont="1" applyFill="1" applyBorder="1" applyAlignment="1">
      <alignment horizontal="center" wrapText="1"/>
    </xf>
    <xf numFmtId="44" fontId="5" fillId="11" borderId="33"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0" fontId="5" fillId="11" borderId="23" xfId="5" applyFont="1" applyFill="1" applyBorder="1" applyAlignment="1">
      <alignment wrapText="1"/>
    </xf>
    <xf numFmtId="0" fontId="5" fillId="11" borderId="28" xfId="5" applyFont="1" applyFill="1" applyBorder="1" applyAlignment="1">
      <alignment horizontal="left" wrapText="1" indent="3"/>
    </xf>
    <xf numFmtId="44" fontId="0" fillId="0" borderId="4" xfId="2" applyFont="1" applyBorder="1" applyAlignment="1">
      <alignment horizontal="center" wrapText="1"/>
    </xf>
    <xf numFmtId="0" fontId="26" fillId="19" borderId="4" xfId="0" applyFont="1" applyFill="1" applyBorder="1" applyAlignment="1">
      <alignment wrapText="1"/>
    </xf>
    <xf numFmtId="9" fontId="26" fillId="19" borderId="4" xfId="3" applyFont="1" applyFill="1" applyBorder="1" applyAlignment="1">
      <alignment horizontal="center"/>
    </xf>
    <xf numFmtId="44" fontId="26" fillId="19" borderId="4" xfId="2" applyFont="1" applyFill="1" applyBorder="1" applyAlignment="1">
      <alignment horizontal="center"/>
    </xf>
    <xf numFmtId="9" fontId="26" fillId="19" borderId="4" xfId="3" applyFont="1" applyFill="1" applyBorder="1" applyAlignment="1">
      <alignment horizontal="center" wrapText="1"/>
    </xf>
    <xf numFmtId="164" fontId="26" fillId="19"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5" fillId="0" borderId="1" xfId="5" applyFont="1" applyBorder="1" applyAlignment="1">
      <alignment horizontal="center" wrapText="1"/>
    </xf>
    <xf numFmtId="0" fontId="0" fillId="9" borderId="0" xfId="0" applyFill="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2" fillId="0" borderId="40" xfId="0" applyFont="1" applyBorder="1" applyAlignment="1">
      <alignment horizontal="left" indent="3"/>
    </xf>
    <xf numFmtId="44" fontId="1" fillId="0" borderId="27" xfId="2" applyFont="1" applyBorder="1"/>
    <xf numFmtId="44" fontId="1" fillId="0" borderId="38" xfId="2" applyFont="1" applyBorder="1"/>
    <xf numFmtId="44" fontId="1" fillId="0" borderId="39" xfId="2" applyFont="1" applyBorder="1"/>
    <xf numFmtId="0" fontId="2" fillId="0" borderId="18" xfId="0" applyFont="1" applyBorder="1" applyAlignment="1">
      <alignment horizontal="center"/>
    </xf>
    <xf numFmtId="0" fontId="2" fillId="0" borderId="7" xfId="0" applyFont="1" applyBorder="1" applyAlignment="1">
      <alignment horizontal="center"/>
    </xf>
    <xf numFmtId="165" fontId="1" fillId="0" borderId="24" xfId="0" applyNumberFormat="1" applyFont="1" applyBorder="1"/>
    <xf numFmtId="44" fontId="1" fillId="0" borderId="40" xfId="2" applyFont="1" applyBorder="1"/>
    <xf numFmtId="0" fontId="2" fillId="0" borderId="16" xfId="0" applyFont="1" applyBorder="1" applyAlignment="1">
      <alignment horizontal="center" vertical="center"/>
    </xf>
    <xf numFmtId="0" fontId="2" fillId="0" borderId="41" xfId="0" applyFont="1" applyBorder="1" applyAlignment="1">
      <alignment horizontal="center" vertical="center"/>
    </xf>
    <xf numFmtId="166" fontId="0" fillId="2" borderId="4" xfId="1" applyNumberFormat="1" applyFont="1" applyFill="1" applyBorder="1" applyProtection="1"/>
    <xf numFmtId="164" fontId="26" fillId="0" borderId="0" xfId="3" applyNumberFormat="1" applyFont="1" applyBorder="1" applyAlignment="1">
      <alignment horizontal="left"/>
    </xf>
    <xf numFmtId="9" fontId="4" fillId="6" borderId="4" xfId="3" applyFont="1" applyFill="1" applyBorder="1"/>
    <xf numFmtId="167" fontId="4" fillId="6" borderId="4" xfId="2" applyNumberFormat="1" applyFont="1" applyFill="1" applyBorder="1"/>
    <xf numFmtId="167" fontId="4" fillId="0" borderId="4" xfId="2" applyNumberFormat="1" applyFont="1" applyBorder="1"/>
    <xf numFmtId="164" fontId="0" fillId="5" borderId="4" xfId="3" applyNumberFormat="1" applyFont="1" applyFill="1" applyBorder="1"/>
    <xf numFmtId="165" fontId="0" fillId="3" borderId="4" xfId="3" applyNumberFormat="1" applyFont="1" applyFill="1" applyBorder="1" applyProtection="1">
      <protection locked="0"/>
    </xf>
    <xf numFmtId="165" fontId="0" fillId="0" borderId="4" xfId="3" applyNumberFormat="1" applyFont="1" applyFill="1" applyBorder="1" applyProtection="1">
      <protection locked="0"/>
    </xf>
    <xf numFmtId="165" fontId="0" fillId="0" borderId="4" xfId="2" applyNumberFormat="1" applyFont="1" applyFill="1" applyBorder="1" applyProtection="1">
      <protection locked="0"/>
    </xf>
    <xf numFmtId="165" fontId="0" fillId="0" borderId="4" xfId="1" applyNumberFormat="1" applyFont="1" applyBorder="1" applyProtection="1">
      <protection locked="0"/>
    </xf>
    <xf numFmtId="165" fontId="0" fillId="0" borderId="4" xfId="1" quotePrefix="1" applyNumberFormat="1" applyFont="1" applyBorder="1" applyAlignment="1" applyProtection="1">
      <alignment horizontal="right"/>
      <protection locked="0"/>
    </xf>
    <xf numFmtId="9" fontId="0" fillId="0" borderId="4" xfId="3" applyFont="1" applyFill="1" applyBorder="1"/>
    <xf numFmtId="0" fontId="2" fillId="0" borderId="19" xfId="0" applyFont="1" applyBorder="1" applyAlignment="1">
      <alignment horizontal="center" vertical="center"/>
    </xf>
    <xf numFmtId="0" fontId="4" fillId="0" borderId="4" xfId="5" applyFont="1" applyBorder="1"/>
    <xf numFmtId="164" fontId="4" fillId="0" borderId="4" xfId="3" applyNumberFormat="1" applyFont="1" applyBorder="1"/>
    <xf numFmtId="164" fontId="4" fillId="6" borderId="4" xfId="3" applyNumberFormat="1" applyFont="1" applyFill="1" applyBorder="1"/>
    <xf numFmtId="164" fontId="4" fillId="0" borderId="0" xfId="3" applyNumberFormat="1" applyFont="1"/>
    <xf numFmtId="164" fontId="5" fillId="0" borderId="4" xfId="3" applyNumberFormat="1" applyFont="1" applyBorder="1"/>
    <xf numFmtId="44" fontId="1" fillId="0" borderId="0" xfId="2" applyFont="1" applyBorder="1"/>
    <xf numFmtId="44" fontId="0" fillId="0" borderId="0" xfId="2" applyFont="1" applyFill="1" applyBorder="1"/>
    <xf numFmtId="44" fontId="1" fillId="0" borderId="17" xfId="2" applyFont="1" applyBorder="1"/>
    <xf numFmtId="44" fontId="1" fillId="0" borderId="0" xfId="2" applyFont="1"/>
    <xf numFmtId="44" fontId="0" fillId="0" borderId="0" xfId="2" applyFont="1"/>
    <xf numFmtId="0" fontId="0" fillId="0" borderId="15" xfId="0" applyFont="1" applyBorder="1"/>
    <xf numFmtId="0" fontId="0" fillId="0" borderId="20" xfId="0" applyFont="1" applyBorder="1"/>
    <xf numFmtId="44" fontId="1" fillId="0" borderId="14" xfId="2" applyFont="1" applyBorder="1"/>
    <xf numFmtId="44" fontId="1" fillId="0" borderId="10" xfId="2" applyFont="1" applyBorder="1"/>
    <xf numFmtId="44" fontId="20" fillId="0" borderId="0" xfId="2" applyFont="1"/>
    <xf numFmtId="166" fontId="0" fillId="0" borderId="4" xfId="1" applyNumberFormat="1" applyFont="1" applyFill="1" applyBorder="1" applyProtection="1">
      <protection locked="0"/>
    </xf>
    <xf numFmtId="164" fontId="0" fillId="0" borderId="4" xfId="3" applyNumberFormat="1" applyFont="1" applyFill="1" applyBorder="1"/>
    <xf numFmtId="166" fontId="8" fillId="0" borderId="13" xfId="1" applyNumberFormat="1" applyFont="1" applyBorder="1"/>
    <xf numFmtId="166" fontId="8" fillId="0" borderId="13" xfId="5" applyNumberFormat="1" applyFont="1" applyBorder="1"/>
    <xf numFmtId="166" fontId="8" fillId="0" borderId="12" xfId="1" applyNumberFormat="1" applyFont="1" applyBorder="1"/>
    <xf numFmtId="166" fontId="8" fillId="0" borderId="12" xfId="5" applyNumberFormat="1" applyFont="1" applyBorder="1"/>
    <xf numFmtId="165" fontId="4" fillId="0" borderId="4" xfId="2" applyNumberFormat="1" applyFont="1" applyBorder="1"/>
    <xf numFmtId="165" fontId="4" fillId="3" borderId="4" xfId="2" applyNumberFormat="1" applyFont="1" applyFill="1" applyBorder="1"/>
    <xf numFmtId="165" fontId="4" fillId="5" borderId="0" xfId="3" applyNumberFormat="1" applyFont="1" applyFill="1" applyBorder="1"/>
    <xf numFmtId="165" fontId="4" fillId="11" borderId="0" xfId="2" applyNumberFormat="1" applyFont="1" applyFill="1" applyBorder="1"/>
    <xf numFmtId="165" fontId="4" fillId="11" borderId="36" xfId="2" applyNumberFormat="1" applyFont="1" applyFill="1" applyBorder="1"/>
    <xf numFmtId="165" fontId="4" fillId="11" borderId="14" xfId="2" applyNumberFormat="1" applyFont="1" applyFill="1" applyBorder="1"/>
    <xf numFmtId="165" fontId="4" fillId="11" borderId="37" xfId="2" applyNumberFormat="1" applyFont="1" applyFill="1" applyBorder="1"/>
    <xf numFmtId="165" fontId="4" fillId="17" borderId="34" xfId="2" applyNumberFormat="1" applyFont="1" applyFill="1" applyBorder="1" applyAlignment="1">
      <alignment horizontal="center" wrapText="1"/>
    </xf>
    <xf numFmtId="165" fontId="4" fillId="17" borderId="35" xfId="2" applyNumberFormat="1" applyFont="1" applyFill="1" applyBorder="1" applyAlignment="1">
      <alignment horizontal="center" wrapText="1"/>
    </xf>
    <xf numFmtId="9" fontId="4" fillId="17" borderId="34" xfId="3" applyFont="1" applyFill="1" applyBorder="1" applyAlignment="1">
      <alignment horizontal="center" wrapText="1"/>
    </xf>
    <xf numFmtId="164" fontId="4" fillId="11" borderId="0" xfId="3" applyNumberFormat="1" applyFont="1" applyFill="1" applyBorder="1"/>
    <xf numFmtId="164" fontId="4" fillId="11" borderId="14" xfId="3" applyNumberFormat="1" applyFont="1" applyFill="1" applyBorder="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24"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168" fontId="30" fillId="0" borderId="4" xfId="2" applyNumberFormat="1" applyFont="1" applyBorder="1" applyAlignment="1">
      <alignment horizontal="center" vertical="center"/>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4"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9" fillId="11" borderId="1" xfId="1" applyNumberFormat="1" applyFont="1" applyFill="1" applyBorder="1" applyAlignment="1">
      <alignment horizontal="center"/>
    </xf>
    <xf numFmtId="0" fontId="19" fillId="11" borderId="2" xfId="1" applyNumberFormat="1" applyFont="1" applyFill="1" applyBorder="1" applyAlignment="1">
      <alignment horizontal="center"/>
    </xf>
    <xf numFmtId="0" fontId="19" fillId="11" borderId="3" xfId="1" applyNumberFormat="1" applyFont="1" applyFill="1" applyBorder="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19" fillId="8" borderId="1" xfId="5" applyFont="1" applyFill="1" applyBorder="1" applyAlignment="1">
      <alignment horizontal="center"/>
    </xf>
    <xf numFmtId="0" fontId="19" fillId="8" borderId="2" xfId="5" applyFont="1" applyFill="1" applyBorder="1" applyAlignment="1">
      <alignment horizontal="center"/>
    </xf>
    <xf numFmtId="0" fontId="19" fillId="8" borderId="3" xfId="5" applyFont="1" applyFill="1" applyBorder="1" applyAlignment="1">
      <alignment horizontal="center"/>
    </xf>
    <xf numFmtId="0" fontId="19" fillId="0" borderId="0" xfId="5" applyFont="1" applyAlignment="1">
      <alignment horizontal="center"/>
    </xf>
    <xf numFmtId="0" fontId="27" fillId="7" borderId="1" xfId="5" applyFont="1" applyFill="1" applyBorder="1" applyAlignment="1">
      <alignment horizontal="center"/>
    </xf>
    <xf numFmtId="0" fontId="27" fillId="7" borderId="2" xfId="5" applyFont="1" applyFill="1" applyBorder="1" applyAlignment="1">
      <alignment horizontal="center"/>
    </xf>
    <xf numFmtId="0" fontId="27" fillId="7" borderId="3" xfId="5"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8" fillId="9" borderId="0" xfId="5" applyFont="1" applyFill="1" applyAlignment="1">
      <alignment horizontal="center" vertical="top"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8">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5"/>
  <sheetViews>
    <sheetView topLeftCell="A4" workbookViewId="0">
      <selection activeCell="A3" sqref="A3:B3"/>
    </sheetView>
  </sheetViews>
  <sheetFormatPr defaultRowHeight="15" x14ac:dyDescent="0.25"/>
  <cols>
    <col min="1" max="1" width="16.28515625" customWidth="1"/>
    <col min="2" max="2" width="66.7109375" style="27" customWidth="1"/>
    <col min="3" max="3" width="17.42578125" customWidth="1"/>
  </cols>
  <sheetData>
    <row r="1" spans="1:3" ht="18.75" x14ac:dyDescent="0.3">
      <c r="A1" s="310" t="s">
        <v>0</v>
      </c>
      <c r="B1" s="310"/>
    </row>
    <row r="2" spans="1:3" x14ac:dyDescent="0.25">
      <c r="A2" s="311" t="s">
        <v>1</v>
      </c>
      <c r="B2" s="311"/>
    </row>
    <row r="3" spans="1:3" ht="166.9" customHeight="1" x14ac:dyDescent="0.25">
      <c r="A3" s="309" t="s">
        <v>216</v>
      </c>
      <c r="B3" s="309"/>
    </row>
    <row r="4" spans="1:3" x14ac:dyDescent="0.25">
      <c r="B4" s="47"/>
    </row>
    <row r="5" spans="1:3" ht="15.75" x14ac:dyDescent="0.25">
      <c r="A5" s="109" t="s">
        <v>2</v>
      </c>
      <c r="B5" s="26" t="s">
        <v>3</v>
      </c>
      <c r="C5" s="46"/>
    </row>
    <row r="6" spans="1:3" ht="15.75" x14ac:dyDescent="0.25">
      <c r="A6" s="109" t="s">
        <v>2</v>
      </c>
      <c r="B6" s="46" t="s">
        <v>4</v>
      </c>
      <c r="C6" s="46"/>
    </row>
    <row r="7" spans="1:3" ht="15.75" x14ac:dyDescent="0.25">
      <c r="A7" s="108" t="s">
        <v>5</v>
      </c>
      <c r="B7" s="46" t="s">
        <v>6</v>
      </c>
      <c r="C7" s="46"/>
    </row>
    <row r="8" spans="1:3" ht="15.75" x14ac:dyDescent="0.25">
      <c r="A8" s="109" t="s">
        <v>2</v>
      </c>
      <c r="B8" s="26" t="s">
        <v>7</v>
      </c>
      <c r="C8" s="46"/>
    </row>
    <row r="9" spans="1:3" ht="15.75" x14ac:dyDescent="0.25">
      <c r="A9" s="109" t="s">
        <v>2</v>
      </c>
      <c r="B9" s="26" t="s">
        <v>8</v>
      </c>
      <c r="C9" s="46"/>
    </row>
    <row r="10" spans="1:3" ht="15.75" x14ac:dyDescent="0.25">
      <c r="A10" s="109" t="s">
        <v>2</v>
      </c>
      <c r="B10" s="26" t="s">
        <v>9</v>
      </c>
      <c r="C10" s="46"/>
    </row>
    <row r="11" spans="1:3" ht="15.75" x14ac:dyDescent="0.25">
      <c r="A11" s="109" t="s">
        <v>2</v>
      </c>
      <c r="B11" s="26" t="s">
        <v>10</v>
      </c>
      <c r="C11" s="46"/>
    </row>
    <row r="12" spans="1:3" ht="15.75" x14ac:dyDescent="0.25">
      <c r="A12" s="109" t="s">
        <v>2</v>
      </c>
      <c r="B12" s="46" t="s">
        <v>11</v>
      </c>
      <c r="C12" s="46"/>
    </row>
    <row r="13" spans="1:3" x14ac:dyDescent="0.25">
      <c r="C13" s="28"/>
    </row>
    <row r="14" spans="1:3" x14ac:dyDescent="0.25">
      <c r="C14" s="28"/>
    </row>
    <row r="15" spans="1:3" x14ac:dyDescent="0.25">
      <c r="C15"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198</v>
      </c>
    </row>
    <row r="3" spans="2:5" x14ac:dyDescent="0.25">
      <c r="B3" t="s">
        <v>199</v>
      </c>
      <c r="C3" t="s">
        <v>200</v>
      </c>
      <c r="D3" t="s">
        <v>168</v>
      </c>
      <c r="E3" t="s">
        <v>167</v>
      </c>
    </row>
    <row r="4" spans="2:5" x14ac:dyDescent="0.25">
      <c r="B4" s="16" t="s">
        <v>201</v>
      </c>
      <c r="C4" s="25">
        <v>180</v>
      </c>
      <c r="D4" s="25">
        <v>100</v>
      </c>
      <c r="E4" s="16" t="s">
        <v>202</v>
      </c>
    </row>
    <row r="5" spans="2:5" x14ac:dyDescent="0.25">
      <c r="B5" s="16" t="s">
        <v>203</v>
      </c>
      <c r="C5" s="25">
        <v>163</v>
      </c>
      <c r="D5" s="25">
        <v>100</v>
      </c>
      <c r="E5" s="25">
        <v>85</v>
      </c>
    </row>
    <row r="6" spans="2:5" x14ac:dyDescent="0.25">
      <c r="B6" s="16" t="s">
        <v>204</v>
      </c>
      <c r="C6" s="25">
        <v>186</v>
      </c>
      <c r="D6" s="25">
        <v>100</v>
      </c>
      <c r="E6" s="25">
        <v>58</v>
      </c>
    </row>
    <row r="7" spans="2:5" x14ac:dyDescent="0.25">
      <c r="B7" s="16" t="s">
        <v>205</v>
      </c>
      <c r="C7" s="25">
        <v>92</v>
      </c>
      <c r="D7" s="25">
        <v>100</v>
      </c>
      <c r="E7" s="25">
        <v>52</v>
      </c>
    </row>
    <row r="8" spans="2:5" x14ac:dyDescent="0.25">
      <c r="B8" s="16" t="s">
        <v>206</v>
      </c>
      <c r="C8" s="25">
        <v>166</v>
      </c>
      <c r="D8" s="25">
        <v>100</v>
      </c>
      <c r="E8" s="25">
        <v>76</v>
      </c>
    </row>
    <row r="9" spans="2:5" x14ac:dyDescent="0.25">
      <c r="B9" s="16" t="s">
        <v>207</v>
      </c>
      <c r="C9" s="25">
        <v>130</v>
      </c>
      <c r="D9" s="25">
        <v>100</v>
      </c>
      <c r="E9" s="25">
        <v>75</v>
      </c>
    </row>
    <row r="10" spans="2:5" x14ac:dyDescent="0.25">
      <c r="B10" s="16" t="s">
        <v>208</v>
      </c>
      <c r="C10" s="25">
        <v>160</v>
      </c>
      <c r="D10" s="25">
        <v>100</v>
      </c>
      <c r="E10" s="25">
        <v>79</v>
      </c>
    </row>
    <row r="11" spans="2:5" x14ac:dyDescent="0.25">
      <c r="B11" s="16" t="s">
        <v>209</v>
      </c>
      <c r="C11" s="25">
        <v>120</v>
      </c>
      <c r="D11" s="25">
        <v>100</v>
      </c>
      <c r="E11" s="25">
        <v>81</v>
      </c>
    </row>
    <row r="12" spans="2:5" x14ac:dyDescent="0.25">
      <c r="B12" s="16" t="s">
        <v>210</v>
      </c>
      <c r="C12" s="25">
        <v>160</v>
      </c>
      <c r="D12" s="25">
        <v>100</v>
      </c>
      <c r="E12" s="25">
        <v>72</v>
      </c>
    </row>
    <row r="13" spans="2:5" x14ac:dyDescent="0.25">
      <c r="B13" s="16" t="s">
        <v>211</v>
      </c>
      <c r="C13" s="25">
        <v>150</v>
      </c>
      <c r="D13" s="25">
        <v>100</v>
      </c>
      <c r="E13" s="16">
        <v>55</v>
      </c>
    </row>
    <row r="14" spans="2:5" x14ac:dyDescent="0.25">
      <c r="B14" s="16" t="s">
        <v>212</v>
      </c>
      <c r="C14" s="25">
        <v>264</v>
      </c>
      <c r="D14" s="25">
        <v>100</v>
      </c>
      <c r="E14" s="25">
        <v>44</v>
      </c>
    </row>
    <row r="15" spans="2:5" x14ac:dyDescent="0.25">
      <c r="B15" s="16" t="s">
        <v>213</v>
      </c>
      <c r="C15" s="25">
        <v>178</v>
      </c>
      <c r="D15" s="25">
        <v>100</v>
      </c>
      <c r="E15" s="25">
        <v>108</v>
      </c>
    </row>
    <row r="16" spans="2:5" x14ac:dyDescent="0.25">
      <c r="B16" s="16" t="s">
        <v>214</v>
      </c>
      <c r="C16" s="25">
        <v>185</v>
      </c>
      <c r="D16" s="25">
        <v>100</v>
      </c>
      <c r="E16" s="25">
        <v>89</v>
      </c>
    </row>
    <row r="17" spans="2:5" x14ac:dyDescent="0.25">
      <c r="B17" s="16" t="s">
        <v>215</v>
      </c>
      <c r="C17" s="25">
        <v>228</v>
      </c>
      <c r="D17" s="25">
        <v>100</v>
      </c>
      <c r="E17" s="25">
        <v>76</v>
      </c>
    </row>
  </sheetData>
  <sortState xmlns:xlrd2="http://schemas.microsoft.com/office/spreadsheetml/2017/richdata2" ref="B4:E17">
    <sortCondition ref="B4:B1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sheetPr>
  <dimension ref="A2:W114"/>
  <sheetViews>
    <sheetView showGridLines="0" tabSelected="1" topLeftCell="B1" zoomScaleNormal="100" zoomScaleSheetLayoutView="80" workbookViewId="0">
      <selection activeCell="C28" sqref="C28"/>
    </sheetView>
  </sheetViews>
  <sheetFormatPr defaultRowHeight="15" x14ac:dyDescent="0.25"/>
  <cols>
    <col min="1" max="1" width="14.42578125" customWidth="1"/>
    <col min="2" max="2" width="58.140625" customWidth="1"/>
    <col min="3" max="5" width="16.42578125" customWidth="1"/>
    <col min="6" max="8" width="18.2851562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313" t="s">
        <v>12</v>
      </c>
      <c r="C2" s="313"/>
      <c r="D2" s="313"/>
      <c r="E2" s="313"/>
      <c r="F2" s="313"/>
      <c r="G2" s="313"/>
      <c r="H2" s="313"/>
      <c r="I2" s="313"/>
      <c r="J2" s="313"/>
      <c r="K2" s="313"/>
      <c r="L2" s="313"/>
      <c r="M2" s="313"/>
      <c r="N2" s="313"/>
      <c r="O2" s="313"/>
    </row>
    <row r="3" spans="1:15" ht="21" x14ac:dyDescent="0.35">
      <c r="B3" s="314" t="s">
        <v>13</v>
      </c>
      <c r="C3" s="315"/>
      <c r="D3" s="315"/>
      <c r="E3" s="315"/>
      <c r="F3" s="315"/>
      <c r="G3" s="315"/>
      <c r="H3" s="315"/>
      <c r="I3" s="315"/>
      <c r="J3" s="315"/>
      <c r="K3" s="315"/>
      <c r="L3" s="315"/>
      <c r="M3" s="315"/>
      <c r="N3" s="315"/>
      <c r="O3" s="316"/>
    </row>
    <row r="4" spans="1:15" ht="21" x14ac:dyDescent="0.35">
      <c r="B4" s="320" t="s">
        <v>14</v>
      </c>
      <c r="C4" s="321"/>
      <c r="D4" s="321"/>
      <c r="E4" s="321"/>
      <c r="F4" s="321"/>
      <c r="G4" s="321"/>
      <c r="H4" s="321"/>
      <c r="I4" s="321"/>
      <c r="J4" s="321"/>
      <c r="K4" s="321"/>
      <c r="L4" s="321"/>
      <c r="M4" s="321"/>
      <c r="N4" s="321"/>
      <c r="O4" s="322"/>
    </row>
    <row r="6" spans="1:15" ht="18.75" x14ac:dyDescent="0.3">
      <c r="B6" s="317" t="s">
        <v>15</v>
      </c>
      <c r="C6" s="318"/>
      <c r="D6" s="318"/>
      <c r="E6" s="318"/>
      <c r="F6" s="318"/>
      <c r="G6" s="318"/>
      <c r="H6" s="318"/>
      <c r="I6" s="318"/>
      <c r="J6" s="318"/>
      <c r="K6" s="318"/>
      <c r="L6" s="318"/>
      <c r="M6" s="318"/>
      <c r="N6" s="318"/>
      <c r="O6" s="319"/>
    </row>
    <row r="7" spans="1:15" s="58" customFormat="1" ht="18.75" x14ac:dyDescent="0.3">
      <c r="B7" s="57"/>
      <c r="C7" s="57"/>
      <c r="D7" s="57"/>
      <c r="E7" s="57"/>
      <c r="F7" s="57"/>
      <c r="G7" s="57"/>
      <c r="H7" s="57"/>
      <c r="I7" s="57"/>
      <c r="J7" s="57"/>
      <c r="K7" s="57"/>
      <c r="L7" s="57"/>
      <c r="M7" s="57"/>
      <c r="N7" s="57"/>
      <c r="O7" s="57"/>
    </row>
    <row r="8" spans="1:15" ht="18.75" x14ac:dyDescent="0.3">
      <c r="B8" s="93" t="s">
        <v>16</v>
      </c>
      <c r="C8" s="4"/>
    </row>
    <row r="9" spans="1:15" ht="22.15" customHeight="1" x14ac:dyDescent="0.3">
      <c r="B9" s="4"/>
      <c r="C9" s="4"/>
      <c r="E9" s="86"/>
      <c r="F9" s="86"/>
      <c r="G9" s="86"/>
      <c r="H9" s="86"/>
      <c r="I9" s="86"/>
      <c r="K9" s="28"/>
    </row>
    <row r="10" spans="1:15" s="100" customFormat="1" ht="30" x14ac:dyDescent="0.25">
      <c r="B10" s="98" t="s">
        <v>17</v>
      </c>
      <c r="C10" s="98" t="s">
        <v>18</v>
      </c>
      <c r="D10" s="98" t="s">
        <v>19</v>
      </c>
      <c r="E10" s="98" t="s">
        <v>20</v>
      </c>
      <c r="F10" s="98" t="s">
        <v>21</v>
      </c>
      <c r="G10" s="98" t="s">
        <v>220</v>
      </c>
      <c r="H10" s="98" t="s">
        <v>241</v>
      </c>
      <c r="I10" s="99"/>
      <c r="J10" s="101"/>
    </row>
    <row r="11" spans="1:15" x14ac:dyDescent="0.25">
      <c r="B11" s="5" t="s">
        <v>22</v>
      </c>
      <c r="C11" s="91">
        <f>SUM(D11:H11)</f>
        <v>52083152</v>
      </c>
      <c r="D11" s="269">
        <v>17342939</v>
      </c>
      <c r="E11" s="91">
        <v>6560292</v>
      </c>
      <c r="F11" s="91">
        <v>29151136</v>
      </c>
      <c r="G11" s="91">
        <v>-1506887</v>
      </c>
      <c r="H11" s="91">
        <v>535672</v>
      </c>
      <c r="J11" s="28"/>
    </row>
    <row r="12" spans="1:15" ht="14.45" customHeight="1" x14ac:dyDescent="0.25">
      <c r="A12" s="323"/>
      <c r="B12" s="8" t="s">
        <v>56</v>
      </c>
      <c r="C12" s="91">
        <f>SUM(D12:H12)</f>
        <v>1082173</v>
      </c>
      <c r="D12" s="270">
        <v>250000</v>
      </c>
      <c r="E12" s="271"/>
      <c r="F12" s="272">
        <f>832173</f>
        <v>832173</v>
      </c>
      <c r="G12" s="272"/>
      <c r="H12" s="272"/>
      <c r="L12" s="22"/>
      <c r="M12" s="23"/>
    </row>
    <row r="13" spans="1:15" x14ac:dyDescent="0.25">
      <c r="A13" s="323"/>
      <c r="B13" s="8" t="s">
        <v>57</v>
      </c>
      <c r="C13" s="91">
        <f>SUM(D13:H13)</f>
        <v>-16100</v>
      </c>
      <c r="D13" s="270"/>
      <c r="E13" s="271"/>
      <c r="F13" s="272"/>
      <c r="G13" s="272"/>
      <c r="H13" s="272">
        <f>519572-H11</f>
        <v>-16100</v>
      </c>
      <c r="L13" s="22"/>
      <c r="M13" s="23"/>
    </row>
    <row r="14" spans="1:15" x14ac:dyDescent="0.25">
      <c r="A14" s="323"/>
      <c r="B14" s="8" t="s">
        <v>58</v>
      </c>
      <c r="C14" s="91">
        <f>SUM(D14:H14)</f>
        <v>689457</v>
      </c>
      <c r="D14" s="270">
        <v>1430825</v>
      </c>
      <c r="E14" s="271">
        <v>501005</v>
      </c>
      <c r="F14" s="272">
        <v>-1479520</v>
      </c>
      <c r="G14" s="272">
        <v>237147</v>
      </c>
      <c r="H14" s="272"/>
      <c r="L14" s="22"/>
      <c r="M14" s="23"/>
    </row>
    <row r="15" spans="1:15" x14ac:dyDescent="0.25">
      <c r="A15" s="323"/>
      <c r="B15" s="8" t="s">
        <v>59</v>
      </c>
      <c r="C15" s="91">
        <f t="shared" ref="C15:C19" si="0">SUM(D15:H15)</f>
        <v>-156468</v>
      </c>
      <c r="D15" s="270"/>
      <c r="E15" s="271">
        <f>3043532-3200000</f>
        <v>-156468</v>
      </c>
      <c r="F15" s="272"/>
      <c r="G15" s="272"/>
      <c r="H15" s="272"/>
      <c r="L15" s="22"/>
      <c r="M15" s="23"/>
    </row>
    <row r="16" spans="1:15" x14ac:dyDescent="0.25">
      <c r="A16" s="323"/>
      <c r="B16" s="10" t="s">
        <v>25</v>
      </c>
      <c r="C16" s="91">
        <f t="shared" si="0"/>
        <v>0</v>
      </c>
      <c r="D16" s="270"/>
      <c r="E16" s="271"/>
      <c r="F16" s="273"/>
      <c r="G16" s="273"/>
      <c r="H16" s="273"/>
      <c r="L16" s="22"/>
      <c r="M16" s="23"/>
    </row>
    <row r="17" spans="1:23" x14ac:dyDescent="0.25">
      <c r="A17" s="323"/>
      <c r="B17" s="10" t="s">
        <v>26</v>
      </c>
      <c r="C17" s="91">
        <f t="shared" si="0"/>
        <v>0</v>
      </c>
      <c r="D17" s="270"/>
      <c r="E17" s="271"/>
      <c r="F17" s="272"/>
      <c r="G17" s="272"/>
      <c r="H17" s="272"/>
      <c r="L17" s="22"/>
      <c r="M17" s="23"/>
    </row>
    <row r="18" spans="1:23" x14ac:dyDescent="0.25">
      <c r="A18" s="323"/>
      <c r="B18" s="10" t="s">
        <v>27</v>
      </c>
      <c r="C18" s="91">
        <f t="shared" si="0"/>
        <v>-682201</v>
      </c>
      <c r="D18" s="270">
        <f>29508+15049-250000</f>
        <v>-205443</v>
      </c>
      <c r="E18" s="271">
        <f>110924+4314+156468</f>
        <v>271706</v>
      </c>
      <c r="F18" s="272">
        <f>42345+25689-832173</f>
        <v>-764139</v>
      </c>
      <c r="G18" s="272">
        <f>15169+506</f>
        <v>15675</v>
      </c>
      <c r="H18" s="272"/>
      <c r="L18" s="22"/>
      <c r="M18" s="23"/>
    </row>
    <row r="19" spans="1:23" x14ac:dyDescent="0.25">
      <c r="A19" s="323"/>
      <c r="B19" s="10" t="s">
        <v>60</v>
      </c>
      <c r="C19" s="91">
        <f t="shared" si="0"/>
        <v>1224067</v>
      </c>
      <c r="D19" s="270"/>
      <c r="E19" s="271" t="s">
        <v>266</v>
      </c>
      <c r="F19" s="272"/>
      <c r="G19" s="272">
        <f>4117838-2893771</f>
        <v>1224067</v>
      </c>
      <c r="H19" s="272"/>
      <c r="L19" s="22"/>
      <c r="M19" s="23"/>
    </row>
    <row r="20" spans="1:23" x14ac:dyDescent="0.25">
      <c r="B20" s="90" t="s">
        <v>28</v>
      </c>
      <c r="C20" s="91">
        <f>SUM(D20:H20)</f>
        <v>0</v>
      </c>
      <c r="D20" s="270"/>
      <c r="E20" s="271"/>
      <c r="F20" s="273"/>
      <c r="G20" s="273"/>
      <c r="H20" s="273"/>
      <c r="O20" s="22"/>
      <c r="P20" s="23"/>
    </row>
    <row r="21" spans="1:23" x14ac:dyDescent="0.25">
      <c r="B21" s="90" t="s">
        <v>28</v>
      </c>
      <c r="C21" s="91">
        <f>SUM(D21:H21)</f>
        <v>0</v>
      </c>
      <c r="D21" s="270"/>
      <c r="E21" s="271"/>
      <c r="F21" s="273"/>
      <c r="G21" s="273"/>
      <c r="H21" s="273"/>
      <c r="O21" s="22"/>
      <c r="P21" s="23"/>
    </row>
    <row r="22" spans="1:23" x14ac:dyDescent="0.25">
      <c r="B22" s="90" t="s">
        <v>28</v>
      </c>
      <c r="C22" s="91">
        <f>SUM(D22:H22)</f>
        <v>0</v>
      </c>
      <c r="D22" s="270"/>
      <c r="E22" s="271"/>
      <c r="F22" s="273"/>
      <c r="G22" s="273"/>
      <c r="H22" s="273"/>
      <c r="O22" s="22"/>
      <c r="P22" s="23"/>
    </row>
    <row r="23" spans="1:23" x14ac:dyDescent="0.25">
      <c r="B23" s="11" t="s">
        <v>29</v>
      </c>
      <c r="C23" s="6">
        <f t="shared" ref="C23:H23" si="1">SUM(C11:C22)</f>
        <v>54224080</v>
      </c>
      <c r="D23" s="55">
        <f t="shared" si="1"/>
        <v>18818321</v>
      </c>
      <c r="E23" s="55">
        <f t="shared" si="1"/>
        <v>7176535</v>
      </c>
      <c r="F23" s="55">
        <f t="shared" si="1"/>
        <v>27739650</v>
      </c>
      <c r="G23" s="55">
        <f t="shared" si="1"/>
        <v>-29998</v>
      </c>
      <c r="H23" s="55">
        <f t="shared" si="1"/>
        <v>519572</v>
      </c>
      <c r="O23" s="22"/>
      <c r="P23" s="23"/>
    </row>
    <row r="24" spans="1:23" x14ac:dyDescent="0.25">
      <c r="C24" s="14"/>
      <c r="D24" s="15"/>
      <c r="O24" s="22"/>
      <c r="P24" s="23"/>
    </row>
    <row r="25" spans="1:23" x14ac:dyDescent="0.25">
      <c r="B25" s="29" t="s">
        <v>30</v>
      </c>
      <c r="C25" s="66">
        <f t="shared" ref="C25:H25" si="2">+C23-C11</f>
        <v>2140928</v>
      </c>
      <c r="D25" s="19">
        <f t="shared" si="2"/>
        <v>1475382</v>
      </c>
      <c r="E25" s="19">
        <f t="shared" si="2"/>
        <v>616243</v>
      </c>
      <c r="F25" s="19">
        <f t="shared" si="2"/>
        <v>-1411486</v>
      </c>
      <c r="G25" s="19">
        <f t="shared" si="2"/>
        <v>1476889</v>
      </c>
      <c r="H25" s="19">
        <f t="shared" si="2"/>
        <v>-16100</v>
      </c>
      <c r="O25" s="22"/>
      <c r="P25" s="23"/>
    </row>
    <row r="26" spans="1:23" x14ac:dyDescent="0.25">
      <c r="B26" s="56" t="s">
        <v>31</v>
      </c>
      <c r="C26" s="292">
        <f>C25/C11</f>
        <v>4.1105960714512821E-2</v>
      </c>
      <c r="D26" s="274">
        <f t="shared" ref="D26:H26" si="3">D25/D11</f>
        <v>8.5071048223141418E-2</v>
      </c>
      <c r="E26" s="274">
        <f t="shared" si="3"/>
        <v>9.3935300440895014E-2</v>
      </c>
      <c r="F26" s="274">
        <f t="shared" si="3"/>
        <v>-4.8419588176597986E-2</v>
      </c>
      <c r="G26" s="274">
        <f t="shared" si="3"/>
        <v>-0.98009273422625587</v>
      </c>
      <c r="H26" s="274">
        <f t="shared" si="3"/>
        <v>-3.0055705730372317E-2</v>
      </c>
      <c r="O26" s="22"/>
      <c r="P26" s="23"/>
    </row>
    <row r="27" spans="1:23" x14ac:dyDescent="0.25">
      <c r="B27" s="206"/>
      <c r="C27" s="61"/>
      <c r="D27" s="61"/>
      <c r="E27" s="61"/>
      <c r="F27" s="61"/>
      <c r="G27" s="61"/>
      <c r="H27" s="61"/>
      <c r="O27" s="22"/>
      <c r="P27" s="23"/>
    </row>
    <row r="28" spans="1:23" x14ac:dyDescent="0.25">
      <c r="B28" s="29" t="s">
        <v>32</v>
      </c>
      <c r="C28" s="66">
        <v>318010</v>
      </c>
      <c r="D28" s="61"/>
      <c r="E28" s="61"/>
      <c r="F28" s="61"/>
      <c r="G28" s="61"/>
      <c r="H28" s="61"/>
      <c r="O28" s="22"/>
      <c r="P28" s="23"/>
    </row>
    <row r="29" spans="1:23" ht="30" x14ac:dyDescent="0.25">
      <c r="B29" s="207" t="s">
        <v>33</v>
      </c>
      <c r="C29" s="208">
        <f>C23-C28</f>
        <v>53906070</v>
      </c>
      <c r="D29" s="15"/>
      <c r="E29" s="15"/>
      <c r="K29" s="23"/>
      <c r="L29" s="23"/>
      <c r="M29" s="14"/>
      <c r="N29" s="24"/>
      <c r="V29" s="22"/>
      <c r="W29" s="23"/>
    </row>
    <row r="30" spans="1:23" x14ac:dyDescent="0.25">
      <c r="B30" s="206"/>
      <c r="C30" s="61"/>
      <c r="D30" s="15"/>
      <c r="E30" s="15"/>
      <c r="K30" s="23"/>
      <c r="L30" s="23"/>
      <c r="M30" s="14"/>
      <c r="N30" s="24"/>
      <c r="V30" s="22"/>
      <c r="W30" s="23"/>
    </row>
    <row r="31" spans="1:23" x14ac:dyDescent="0.25">
      <c r="B31" s="29" t="s">
        <v>34</v>
      </c>
      <c r="C31" s="66">
        <f>C29-C11</f>
        <v>1822918</v>
      </c>
      <c r="D31" s="15"/>
      <c r="E31" s="15"/>
      <c r="O31" s="22"/>
      <c r="P31" s="23"/>
    </row>
    <row r="32" spans="1:23" x14ac:dyDescent="0.25">
      <c r="B32" s="56" t="s">
        <v>35</v>
      </c>
      <c r="C32" s="268">
        <f>+C31/C11</f>
        <v>3.5000147456513385E-2</v>
      </c>
      <c r="D32" s="15"/>
      <c r="E32" s="15"/>
      <c r="O32" s="22"/>
      <c r="P32" s="23"/>
    </row>
    <row r="33" spans="2:23" x14ac:dyDescent="0.25">
      <c r="B33" s="206"/>
      <c r="C33" s="61"/>
      <c r="D33" s="61"/>
      <c r="E33" s="61"/>
      <c r="F33" s="61"/>
      <c r="G33" s="61"/>
      <c r="H33" s="61"/>
      <c r="O33" s="22"/>
      <c r="P33" s="23"/>
    </row>
    <row r="34" spans="2:23" ht="28.15" customHeight="1" x14ac:dyDescent="0.3">
      <c r="B34" s="93" t="s">
        <v>36</v>
      </c>
      <c r="C34" s="4"/>
      <c r="D34" s="15"/>
      <c r="E34" s="15"/>
      <c r="V34" s="22"/>
      <c r="W34" s="23"/>
    </row>
    <row r="35" spans="2:23" ht="18.75" x14ac:dyDescent="0.3">
      <c r="B35" s="93"/>
      <c r="C35" s="4"/>
      <c r="D35" s="15"/>
      <c r="E35" s="15"/>
      <c r="V35" s="22"/>
      <c r="W35" s="23"/>
    </row>
    <row r="36" spans="2:23" s="89" customFormat="1" x14ac:dyDescent="0.25">
      <c r="B36" s="95" t="s">
        <v>37</v>
      </c>
      <c r="C36" s="95" t="s">
        <v>38</v>
      </c>
      <c r="D36" s="95" t="s">
        <v>39</v>
      </c>
      <c r="E36" s="53"/>
      <c r="V36" s="96"/>
      <c r="W36" s="97"/>
    </row>
    <row r="37" spans="2:23" x14ac:dyDescent="0.25">
      <c r="B37" s="5" t="s">
        <v>40</v>
      </c>
      <c r="C37" s="91">
        <v>52584178</v>
      </c>
      <c r="D37" s="7"/>
      <c r="E37" s="61"/>
      <c r="V37" s="22"/>
      <c r="W37" s="23"/>
    </row>
    <row r="38" spans="2:23" x14ac:dyDescent="0.25">
      <c r="B38" s="8" t="s">
        <v>41</v>
      </c>
      <c r="C38" s="92">
        <v>511052</v>
      </c>
      <c r="D38" s="9">
        <f>+C38/C$37</f>
        <v>9.7187408729675299E-3</v>
      </c>
      <c r="E38" s="54"/>
      <c r="V38" s="22"/>
    </row>
    <row r="39" spans="2:23" x14ac:dyDescent="0.25">
      <c r="B39" s="10" t="s">
        <v>42</v>
      </c>
      <c r="C39" s="263">
        <f>'4. Inflation'!D16</f>
        <v>848742</v>
      </c>
      <c r="D39" s="9">
        <f t="shared" ref="D39:D51" si="4">+C39/C$37</f>
        <v>1.6140634546003552E-2</v>
      </c>
      <c r="E39" s="264" t="s">
        <v>242</v>
      </c>
      <c r="V39" s="22"/>
    </row>
    <row r="40" spans="2:23" x14ac:dyDescent="0.25">
      <c r="B40" s="10" t="s">
        <v>43</v>
      </c>
      <c r="C40" s="291">
        <v>-629935</v>
      </c>
      <c r="D40" s="9">
        <f t="shared" si="4"/>
        <v>-1.1979554001966142E-2</v>
      </c>
      <c r="E40" s="54"/>
      <c r="V40" s="22"/>
    </row>
    <row r="41" spans="2:23" x14ac:dyDescent="0.25">
      <c r="B41" s="10" t="s">
        <v>44</v>
      </c>
      <c r="C41" s="291">
        <v>334235</v>
      </c>
      <c r="D41" s="9">
        <f t="shared" si="4"/>
        <v>6.3561894986739163E-3</v>
      </c>
      <c r="E41" s="54"/>
      <c r="V41" s="22"/>
    </row>
    <row r="42" spans="2:23" x14ac:dyDescent="0.25">
      <c r="B42" s="10" t="s">
        <v>45</v>
      </c>
      <c r="C42" s="291">
        <v>420221</v>
      </c>
      <c r="D42" s="9">
        <f t="shared" si="4"/>
        <v>7.9913961952585814E-3</v>
      </c>
      <c r="E42" s="54"/>
      <c r="V42" s="22"/>
    </row>
    <row r="43" spans="2:23" x14ac:dyDescent="0.25">
      <c r="B43" s="10" t="s">
        <v>260</v>
      </c>
      <c r="C43" s="291">
        <v>0</v>
      </c>
      <c r="D43" s="9">
        <f t="shared" si="4"/>
        <v>0</v>
      </c>
      <c r="E43" s="54"/>
      <c r="V43" s="22"/>
    </row>
    <row r="44" spans="2:23" x14ac:dyDescent="0.25">
      <c r="B44" s="10" t="s">
        <v>46</v>
      </c>
      <c r="C44" s="92">
        <v>669917</v>
      </c>
      <c r="D44" s="9">
        <f t="shared" si="4"/>
        <v>1.2739896780358534E-2</v>
      </c>
      <c r="E44" s="54"/>
    </row>
    <row r="45" spans="2:23" x14ac:dyDescent="0.25">
      <c r="B45" s="10" t="s">
        <v>47</v>
      </c>
      <c r="C45" s="92">
        <v>-26517</v>
      </c>
      <c r="D45" s="9">
        <f t="shared" si="4"/>
        <v>-5.0427716108826504E-4</v>
      </c>
      <c r="E45" s="54"/>
    </row>
    <row r="46" spans="2:23" x14ac:dyDescent="0.25">
      <c r="B46" s="10" t="s">
        <v>48</v>
      </c>
      <c r="C46" s="92">
        <v>-215000</v>
      </c>
      <c r="D46" s="9">
        <f>+C46/C$37</f>
        <v>-4.088682340912508E-3</v>
      </c>
      <c r="E46" s="79"/>
    </row>
    <row r="47" spans="2:23" x14ac:dyDescent="0.25">
      <c r="B47" s="90" t="s">
        <v>261</v>
      </c>
      <c r="C47" s="92">
        <v>1266748</v>
      </c>
      <c r="D47" s="9">
        <f t="shared" ref="D47:D48" si="5">+C47/C$37</f>
        <v>2.4089907804587151E-2</v>
      </c>
      <c r="E47" s="54"/>
    </row>
    <row r="48" spans="2:23" x14ac:dyDescent="0.25">
      <c r="B48" s="90" t="s">
        <v>262</v>
      </c>
      <c r="C48" s="92">
        <v>-1552141</v>
      </c>
      <c r="D48" s="9">
        <f t="shared" si="5"/>
        <v>-2.9517262778168747E-2</v>
      </c>
      <c r="E48" s="54"/>
    </row>
    <row r="49" spans="2:23" x14ac:dyDescent="0.25">
      <c r="B49" s="90" t="s">
        <v>263</v>
      </c>
      <c r="C49" s="92">
        <v>-1038707</v>
      </c>
      <c r="D49" s="9">
        <f t="shared" si="4"/>
        <v>-1.975322310828934E-2</v>
      </c>
      <c r="E49" s="54"/>
    </row>
    <row r="50" spans="2:23" x14ac:dyDescent="0.25">
      <c r="B50" s="90" t="s">
        <v>28</v>
      </c>
      <c r="C50" s="92"/>
      <c r="D50" s="9">
        <f t="shared" ref="D50" si="6">+C50/C$37</f>
        <v>0</v>
      </c>
      <c r="E50" s="54"/>
    </row>
    <row r="51" spans="2:23" x14ac:dyDescent="0.25">
      <c r="B51" s="90" t="s">
        <v>49</v>
      </c>
      <c r="C51" s="92"/>
      <c r="D51" s="9">
        <f t="shared" si="4"/>
        <v>0</v>
      </c>
      <c r="E51" s="54"/>
    </row>
    <row r="52" spans="2:23" x14ac:dyDescent="0.25">
      <c r="B52" s="11" t="s">
        <v>50</v>
      </c>
      <c r="C52" s="12">
        <f>SUM(C37:C51)</f>
        <v>53172793</v>
      </c>
      <c r="D52" s="13">
        <f>SUM(D38:D51)</f>
        <v>1.1193766307424264E-2</v>
      </c>
      <c r="E52" s="79"/>
    </row>
    <row r="53" spans="2:23" x14ac:dyDescent="0.25">
      <c r="B53" s="87"/>
      <c r="C53" s="88"/>
      <c r="D53" s="79"/>
      <c r="E53" s="79"/>
    </row>
    <row r="54" spans="2:23" x14ac:dyDescent="0.25">
      <c r="B54" s="29" t="s">
        <v>30</v>
      </c>
      <c r="C54" s="66">
        <f>+C52-C37</f>
        <v>588615</v>
      </c>
      <c r="D54" s="79"/>
      <c r="E54" s="79"/>
    </row>
    <row r="55" spans="2:23" x14ac:dyDescent="0.25">
      <c r="B55" s="56" t="s">
        <v>31</v>
      </c>
      <c r="C55" s="268">
        <f>C54/C37</f>
        <v>1.119376630742426E-2</v>
      </c>
      <c r="D55" s="79"/>
      <c r="E55" s="79"/>
    </row>
    <row r="56" spans="2:23" x14ac:dyDescent="0.25">
      <c r="B56" s="206"/>
      <c r="C56" s="61"/>
      <c r="D56" s="61"/>
      <c r="E56" s="61"/>
      <c r="F56" s="61"/>
      <c r="G56" s="61"/>
      <c r="H56" s="61"/>
      <c r="O56" s="22"/>
      <c r="P56" s="23"/>
    </row>
    <row r="57" spans="2:23" x14ac:dyDescent="0.25">
      <c r="B57" s="29" t="s">
        <v>32</v>
      </c>
      <c r="C57" s="66">
        <f>'5. Vaccine Clinics and Testing'!D36</f>
        <v>393750</v>
      </c>
      <c r="D57" s="61"/>
      <c r="E57" s="61"/>
      <c r="F57" s="61"/>
      <c r="G57" s="61"/>
      <c r="H57" s="61"/>
      <c r="O57" s="22"/>
      <c r="P57" s="23"/>
    </row>
    <row r="58" spans="2:23" ht="30" x14ac:dyDescent="0.25">
      <c r="B58" s="207" t="s">
        <v>33</v>
      </c>
      <c r="C58" s="208">
        <f>C52-C57</f>
        <v>52779043</v>
      </c>
      <c r="D58" s="15"/>
      <c r="E58" s="15"/>
      <c r="K58" s="23"/>
      <c r="L58" s="23"/>
      <c r="M58" s="14"/>
      <c r="N58" s="24"/>
      <c r="V58" s="22"/>
      <c r="W58" s="23"/>
    </row>
    <row r="59" spans="2:23" x14ac:dyDescent="0.25">
      <c r="B59" s="206"/>
      <c r="C59" s="61"/>
      <c r="D59" s="15"/>
      <c r="E59" s="15"/>
      <c r="K59" s="23"/>
      <c r="L59" s="23"/>
      <c r="M59" s="14"/>
      <c r="N59" s="24"/>
      <c r="V59" s="22"/>
      <c r="W59" s="23"/>
    </row>
    <row r="60" spans="2:23" x14ac:dyDescent="0.25">
      <c r="B60" s="29" t="s">
        <v>34</v>
      </c>
      <c r="C60" s="66">
        <f>C58-C37</f>
        <v>194865</v>
      </c>
      <c r="D60" s="15"/>
      <c r="E60" s="15"/>
      <c r="O60" s="22"/>
      <c r="P60" s="23"/>
    </row>
    <row r="61" spans="2:23" x14ac:dyDescent="0.25">
      <c r="B61" s="56" t="s">
        <v>35</v>
      </c>
      <c r="C61" s="268">
        <f>(C60)/C37</f>
        <v>3.7057724854042597E-3</v>
      </c>
      <c r="D61" s="15"/>
      <c r="E61" s="15"/>
      <c r="O61" s="22"/>
      <c r="P61" s="23"/>
    </row>
    <row r="62" spans="2:23" x14ac:dyDescent="0.25">
      <c r="B62" s="206"/>
      <c r="C62" s="61"/>
      <c r="D62" s="61"/>
      <c r="E62" s="61"/>
      <c r="F62" s="61"/>
      <c r="G62" s="61"/>
      <c r="H62" s="61"/>
      <c r="O62" s="22"/>
      <c r="P62" s="23"/>
    </row>
    <row r="64" spans="2:23" ht="18.75" x14ac:dyDescent="0.3">
      <c r="B64" s="317" t="s">
        <v>51</v>
      </c>
      <c r="C64" s="318"/>
      <c r="D64" s="318"/>
      <c r="E64" s="318"/>
      <c r="F64" s="318"/>
      <c r="G64" s="318"/>
      <c r="H64" s="318"/>
      <c r="I64" s="318"/>
      <c r="J64" s="318"/>
      <c r="K64" s="318"/>
      <c r="L64" s="318"/>
      <c r="M64" s="318"/>
      <c r="N64" s="318"/>
      <c r="O64" s="319"/>
      <c r="V64" s="22"/>
      <c r="W64" s="23"/>
    </row>
    <row r="65" spans="1:13" x14ac:dyDescent="0.25">
      <c r="B65" s="17"/>
    </row>
    <row r="66" spans="1:13" ht="18.75" x14ac:dyDescent="0.3">
      <c r="B66" s="93" t="s">
        <v>52</v>
      </c>
      <c r="C66" s="4"/>
    </row>
    <row r="67" spans="1:13" ht="18.75" x14ac:dyDescent="0.3">
      <c r="B67" s="93"/>
      <c r="C67" s="4"/>
    </row>
    <row r="68" spans="1:13" ht="18.75" x14ac:dyDescent="0.3">
      <c r="B68" s="93" t="s">
        <v>53</v>
      </c>
      <c r="C68" s="232" t="s">
        <v>54</v>
      </c>
    </row>
    <row r="69" spans="1:13" s="89" customFormat="1" ht="30" x14ac:dyDescent="0.25">
      <c r="B69" s="94" t="s">
        <v>17</v>
      </c>
      <c r="C69" s="94" t="s">
        <v>18</v>
      </c>
      <c r="D69" s="94" t="s">
        <v>19</v>
      </c>
      <c r="E69" s="94" t="s">
        <v>20</v>
      </c>
      <c r="F69" s="94" t="s">
        <v>21</v>
      </c>
      <c r="G69" s="94" t="s">
        <v>220</v>
      </c>
      <c r="H69" s="94" t="s">
        <v>241</v>
      </c>
    </row>
    <row r="70" spans="1:13" x14ac:dyDescent="0.25">
      <c r="B70" s="5" t="s">
        <v>55</v>
      </c>
      <c r="C70" s="91">
        <f>SUM(D70:H70)</f>
        <v>54149594</v>
      </c>
      <c r="D70" s="269">
        <v>18618902</v>
      </c>
      <c r="E70" s="91">
        <v>7424658</v>
      </c>
      <c r="F70" s="91">
        <v>27580890</v>
      </c>
      <c r="G70" s="91">
        <v>-2876</v>
      </c>
      <c r="H70" s="91">
        <v>528020</v>
      </c>
    </row>
    <row r="71" spans="1:13" ht="14.45" customHeight="1" x14ac:dyDescent="0.25">
      <c r="A71" s="312"/>
      <c r="B71" s="8" t="s">
        <v>56</v>
      </c>
      <c r="C71" s="91">
        <f>SUM(D71:H71)</f>
        <v>1082173</v>
      </c>
      <c r="D71" s="270">
        <v>250000</v>
      </c>
      <c r="E71" s="271"/>
      <c r="F71" s="272">
        <f>832173</f>
        <v>832173</v>
      </c>
      <c r="G71" s="272"/>
      <c r="H71" s="272"/>
      <c r="L71" s="22"/>
      <c r="M71" s="23"/>
    </row>
    <row r="72" spans="1:13" x14ac:dyDescent="0.25">
      <c r="A72" s="312"/>
      <c r="B72" s="8" t="s">
        <v>57</v>
      </c>
      <c r="C72" s="91">
        <f>SUM(D72:H72)</f>
        <v>-8448</v>
      </c>
      <c r="D72" s="270"/>
      <c r="E72" s="271"/>
      <c r="F72" s="272"/>
      <c r="G72" s="272"/>
      <c r="H72" s="272">
        <f>519572-H70</f>
        <v>-8448</v>
      </c>
      <c r="L72" s="22"/>
      <c r="M72" s="23"/>
    </row>
    <row r="73" spans="1:13" x14ac:dyDescent="0.25">
      <c r="A73" s="312"/>
      <c r="B73" s="8" t="s">
        <v>58</v>
      </c>
      <c r="C73" s="91">
        <f>SUM(D73:H73)</f>
        <v>100605</v>
      </c>
      <c r="D73" s="270">
        <v>205960</v>
      </c>
      <c r="E73" s="271">
        <v>-210409</v>
      </c>
      <c r="F73" s="272">
        <v>161173</v>
      </c>
      <c r="G73" s="272">
        <v>-56119</v>
      </c>
      <c r="H73" s="272"/>
      <c r="L73" s="22"/>
      <c r="M73" s="23"/>
    </row>
    <row r="74" spans="1:13" x14ac:dyDescent="0.25">
      <c r="A74" s="312"/>
      <c r="B74" s="8" t="s">
        <v>59</v>
      </c>
      <c r="C74" s="91">
        <f t="shared" ref="C74:C81" si="7">SUM(D74:H74)</f>
        <v>-156468</v>
      </c>
      <c r="D74" s="270"/>
      <c r="E74" s="271">
        <f>3043532-3200000</f>
        <v>-156468</v>
      </c>
      <c r="F74" s="272"/>
      <c r="G74" s="272"/>
      <c r="H74" s="272"/>
      <c r="L74" s="22"/>
      <c r="M74" s="23"/>
    </row>
    <row r="75" spans="1:13" x14ac:dyDescent="0.25">
      <c r="B75" s="10" t="s">
        <v>25</v>
      </c>
      <c r="C75" s="91">
        <f t="shared" si="7"/>
        <v>0</v>
      </c>
      <c r="D75" s="270"/>
      <c r="E75" s="271"/>
      <c r="F75" s="273"/>
      <c r="G75" s="273"/>
      <c r="H75" s="273"/>
      <c r="L75" s="22"/>
      <c r="M75" s="23"/>
    </row>
    <row r="76" spans="1:13" x14ac:dyDescent="0.25">
      <c r="B76" s="10" t="s">
        <v>26</v>
      </c>
      <c r="C76" s="91">
        <f t="shared" si="7"/>
        <v>0</v>
      </c>
      <c r="D76" s="270"/>
      <c r="E76" s="271"/>
      <c r="F76" s="272"/>
      <c r="G76" s="272"/>
      <c r="H76" s="272"/>
      <c r="L76" s="22"/>
      <c r="M76" s="23"/>
    </row>
    <row r="77" spans="1:13" x14ac:dyDescent="0.25">
      <c r="B77" s="10" t="s">
        <v>27</v>
      </c>
      <c r="C77" s="91">
        <f t="shared" si="7"/>
        <v>-974110</v>
      </c>
      <c r="D77" s="270">
        <f>-5983-558-250000</f>
        <v>-256541</v>
      </c>
      <c r="E77" s="271">
        <f>-37219-496+156468</f>
        <v>118753</v>
      </c>
      <c r="F77" s="272">
        <f>-2540+127-832173</f>
        <v>-834586</v>
      </c>
      <c r="G77" s="272">
        <f>-1736+0</f>
        <v>-1736</v>
      </c>
      <c r="H77" s="272"/>
      <c r="L77" s="22"/>
      <c r="M77" s="23"/>
    </row>
    <row r="78" spans="1:13" x14ac:dyDescent="0.25">
      <c r="B78" s="10" t="s">
        <v>60</v>
      </c>
      <c r="C78" s="91">
        <f t="shared" si="7"/>
        <v>30733</v>
      </c>
      <c r="D78" s="270"/>
      <c r="E78" s="271"/>
      <c r="F78" s="272"/>
      <c r="G78" s="272">
        <f>+-2893771+2924504</f>
        <v>30733</v>
      </c>
      <c r="H78" s="272"/>
      <c r="L78" s="22"/>
      <c r="M78" s="23"/>
    </row>
    <row r="79" spans="1:13" x14ac:dyDescent="0.25">
      <c r="B79" s="90" t="s">
        <v>28</v>
      </c>
      <c r="C79" s="91">
        <f t="shared" si="7"/>
        <v>0</v>
      </c>
      <c r="D79" s="270"/>
      <c r="E79" s="271"/>
      <c r="F79" s="273"/>
      <c r="G79" s="273"/>
      <c r="H79" s="273"/>
      <c r="L79" s="22"/>
      <c r="M79" s="23"/>
    </row>
    <row r="80" spans="1:13" x14ac:dyDescent="0.25">
      <c r="B80" s="90" t="s">
        <v>28</v>
      </c>
      <c r="C80" s="91">
        <f t="shared" si="7"/>
        <v>0</v>
      </c>
      <c r="D80" s="270"/>
      <c r="E80" s="271"/>
      <c r="F80" s="273"/>
      <c r="G80" s="273"/>
      <c r="H80" s="273"/>
      <c r="L80" s="22"/>
      <c r="M80" s="23"/>
    </row>
    <row r="81" spans="2:23" x14ac:dyDescent="0.25">
      <c r="B81" s="90" t="s">
        <v>28</v>
      </c>
      <c r="C81" s="91">
        <f t="shared" si="7"/>
        <v>0</v>
      </c>
      <c r="D81" s="270"/>
      <c r="E81" s="271"/>
      <c r="F81" s="273"/>
      <c r="G81" s="273"/>
      <c r="H81" s="273"/>
      <c r="L81" s="22"/>
      <c r="M81" s="23"/>
    </row>
    <row r="82" spans="2:23" x14ac:dyDescent="0.25">
      <c r="B82" s="11" t="s">
        <v>29</v>
      </c>
      <c r="C82" s="6">
        <f t="shared" ref="C82:H82" si="8">SUM(C70:C81)</f>
        <v>54224079</v>
      </c>
      <c r="D82" s="55">
        <f t="shared" si="8"/>
        <v>18818321</v>
      </c>
      <c r="E82" s="55">
        <f t="shared" si="8"/>
        <v>7176534</v>
      </c>
      <c r="F82" s="55">
        <f t="shared" si="8"/>
        <v>27739650</v>
      </c>
      <c r="G82" s="55">
        <f t="shared" si="8"/>
        <v>-29998</v>
      </c>
      <c r="H82" s="55">
        <f t="shared" si="8"/>
        <v>519572</v>
      </c>
      <c r="L82" s="22"/>
      <c r="M82" s="23"/>
    </row>
    <row r="83" spans="2:23" x14ac:dyDescent="0.25">
      <c r="C83" s="14"/>
      <c r="D83" s="15"/>
      <c r="L83" s="22"/>
      <c r="M83" s="23"/>
    </row>
    <row r="84" spans="2:23" x14ac:dyDescent="0.25">
      <c r="B84" s="29" t="s">
        <v>61</v>
      </c>
      <c r="C84" s="66">
        <f>+C82-C70</f>
        <v>74485</v>
      </c>
      <c r="D84" s="66">
        <f t="shared" ref="D84:E84" si="9">+D82-D70</f>
        <v>199419</v>
      </c>
      <c r="E84" s="66">
        <f t="shared" si="9"/>
        <v>-248124</v>
      </c>
      <c r="F84" s="19">
        <f>+F82-F70</f>
        <v>158760</v>
      </c>
      <c r="G84" s="19">
        <f>+G82-G70</f>
        <v>-27122</v>
      </c>
      <c r="H84" s="19">
        <f>+H82-H70</f>
        <v>-8448</v>
      </c>
      <c r="L84" s="22"/>
      <c r="M84" s="23"/>
    </row>
    <row r="85" spans="2:23" x14ac:dyDescent="0.25">
      <c r="B85" s="56" t="s">
        <v>62</v>
      </c>
      <c r="C85" s="274">
        <f>C84/C70</f>
        <v>1.3755412459786863E-3</v>
      </c>
      <c r="D85" s="274">
        <f t="shared" ref="D85:H85" si="10">D84/D70</f>
        <v>1.0710567143003384E-2</v>
      </c>
      <c r="E85" s="274">
        <f t="shared" si="10"/>
        <v>-3.3418913032761913E-2</v>
      </c>
      <c r="F85" s="274">
        <f t="shared" si="10"/>
        <v>5.7561594277777111E-3</v>
      </c>
      <c r="G85" s="274">
        <f t="shared" si="10"/>
        <v>9.4304589707927668</v>
      </c>
      <c r="H85" s="274">
        <f t="shared" si="10"/>
        <v>-1.5999393962349912E-2</v>
      </c>
      <c r="L85" s="22"/>
      <c r="M85" s="23"/>
    </row>
    <row r="86" spans="2:23" x14ac:dyDescent="0.25">
      <c r="B86" s="206"/>
      <c r="C86" s="61"/>
      <c r="D86" s="15"/>
      <c r="E86" s="15"/>
      <c r="K86" s="23"/>
      <c r="L86" s="23"/>
      <c r="M86" s="14"/>
      <c r="N86" s="24"/>
      <c r="V86" s="22"/>
      <c r="W86" s="23"/>
    </row>
    <row r="87" spans="2:23" x14ac:dyDescent="0.25">
      <c r="B87" s="29" t="s">
        <v>63</v>
      </c>
      <c r="C87" s="66">
        <f>(C82-'5. Vaccine Clinics and Testing'!D23)-('1. Reconciliation'!C70-'5. Vaccine Clinics and Testing'!C23)</f>
        <v>166355</v>
      </c>
      <c r="D87" s="15"/>
      <c r="E87" s="15"/>
      <c r="O87" s="22"/>
      <c r="P87" s="23"/>
    </row>
    <row r="88" spans="2:23" x14ac:dyDescent="0.25">
      <c r="B88" s="56" t="s">
        <v>64</v>
      </c>
      <c r="C88" s="292">
        <f>(C87)/(C70-'5. Vaccine Clinics and Testing'!C23)</f>
        <v>3.0955691353325774E-3</v>
      </c>
      <c r="D88" s="15"/>
      <c r="E88" s="15"/>
      <c r="O88" s="22"/>
      <c r="P88" s="23"/>
    </row>
    <row r="89" spans="2:23" x14ac:dyDescent="0.25">
      <c r="B89" s="206"/>
      <c r="C89" s="61"/>
      <c r="D89" s="61"/>
      <c r="E89" s="61"/>
      <c r="F89" s="61"/>
      <c r="G89" s="61"/>
      <c r="H89" s="61"/>
      <c r="O89" s="22"/>
      <c r="P89" s="23"/>
    </row>
    <row r="90" spans="2:23" ht="19.899999999999999" customHeight="1" x14ac:dyDescent="0.3">
      <c r="B90" s="93" t="s">
        <v>65</v>
      </c>
      <c r="C90" s="4"/>
      <c r="D90" s="15"/>
      <c r="E90" s="15"/>
      <c r="V90" s="22"/>
      <c r="W90" s="23"/>
    </row>
    <row r="91" spans="2:23" ht="18.75" x14ac:dyDescent="0.3">
      <c r="B91" s="93"/>
      <c r="C91" s="4"/>
      <c r="D91" s="15"/>
      <c r="E91" s="15"/>
      <c r="V91" s="22"/>
      <c r="W91" s="23"/>
    </row>
    <row r="92" spans="2:23" x14ac:dyDescent="0.25">
      <c r="B92" s="95" t="s">
        <v>37</v>
      </c>
      <c r="C92" s="95" t="s">
        <v>38</v>
      </c>
      <c r="D92" s="95" t="s">
        <v>39</v>
      </c>
      <c r="E92" s="62"/>
      <c r="V92" s="22"/>
      <c r="W92" s="23"/>
    </row>
    <row r="93" spans="2:23" x14ac:dyDescent="0.25">
      <c r="B93" s="5" t="s">
        <v>55</v>
      </c>
      <c r="C93" s="91">
        <v>55540454</v>
      </c>
      <c r="D93" s="7"/>
      <c r="E93" s="61"/>
      <c r="V93" s="22"/>
      <c r="W93" s="23"/>
    </row>
    <row r="94" spans="2:23" x14ac:dyDescent="0.25">
      <c r="B94" s="8" t="s">
        <v>41</v>
      </c>
      <c r="C94" s="92">
        <v>0</v>
      </c>
      <c r="D94" s="9">
        <f>+C94/$C$93</f>
        <v>0</v>
      </c>
      <c r="E94" s="63"/>
      <c r="V94" s="22"/>
    </row>
    <row r="95" spans="2:23" x14ac:dyDescent="0.25">
      <c r="B95" s="10" t="s">
        <v>42</v>
      </c>
      <c r="C95" s="92">
        <v>0</v>
      </c>
      <c r="D95" s="9">
        <f t="shared" ref="D95:D107" si="11">+C95/$C$93</f>
        <v>0</v>
      </c>
      <c r="E95" s="63"/>
      <c r="V95" s="22"/>
    </row>
    <row r="96" spans="2:23" x14ac:dyDescent="0.25">
      <c r="B96" s="10" t="s">
        <v>43</v>
      </c>
      <c r="C96" s="92">
        <v>-316796</v>
      </c>
      <c r="D96" s="9">
        <f t="shared" si="11"/>
        <v>-5.7038784738777971E-3</v>
      </c>
      <c r="E96" s="63"/>
      <c r="V96" s="22"/>
    </row>
    <row r="97" spans="2:22" x14ac:dyDescent="0.25">
      <c r="B97" s="10" t="s">
        <v>44</v>
      </c>
      <c r="C97" s="92">
        <v>-808486</v>
      </c>
      <c r="D97" s="9">
        <f t="shared" si="11"/>
        <v>-1.4556704919984989E-2</v>
      </c>
      <c r="E97" s="63"/>
      <c r="V97" s="22"/>
    </row>
    <row r="98" spans="2:22" x14ac:dyDescent="0.25">
      <c r="B98" s="10" t="s">
        <v>45</v>
      </c>
      <c r="C98" s="92">
        <v>-143511</v>
      </c>
      <c r="D98" s="9">
        <f t="shared" si="11"/>
        <v>-2.5839003764715355E-3</v>
      </c>
      <c r="E98" s="63"/>
      <c r="V98" s="22"/>
    </row>
    <row r="99" spans="2:22" x14ac:dyDescent="0.25">
      <c r="B99" s="10" t="s">
        <v>260</v>
      </c>
      <c r="C99" s="92">
        <v>0</v>
      </c>
      <c r="D99" s="9">
        <f t="shared" si="11"/>
        <v>0</v>
      </c>
      <c r="E99" s="63"/>
      <c r="V99" s="22"/>
    </row>
    <row r="100" spans="2:22" x14ac:dyDescent="0.25">
      <c r="B100" s="10" t="s">
        <v>46</v>
      </c>
      <c r="C100" s="92">
        <v>130244</v>
      </c>
      <c r="D100" s="9">
        <f t="shared" si="11"/>
        <v>2.345029444663884E-3</v>
      </c>
      <c r="E100" s="63"/>
    </row>
    <row r="101" spans="2:22" x14ac:dyDescent="0.25">
      <c r="B101" s="10" t="s">
        <v>47</v>
      </c>
      <c r="C101" s="92">
        <v>73807</v>
      </c>
      <c r="D101" s="9">
        <f t="shared" si="11"/>
        <v>1.3288872287576187E-3</v>
      </c>
      <c r="E101" s="63"/>
    </row>
    <row r="102" spans="2:22" x14ac:dyDescent="0.25">
      <c r="B102" s="10" t="s">
        <v>48</v>
      </c>
      <c r="C102" s="92">
        <v>0</v>
      </c>
      <c r="D102" s="9">
        <f t="shared" si="11"/>
        <v>0</v>
      </c>
      <c r="E102" s="63"/>
    </row>
    <row r="103" spans="2:22" x14ac:dyDescent="0.25">
      <c r="B103" s="90" t="s">
        <v>261</v>
      </c>
      <c r="C103" s="92">
        <v>257636</v>
      </c>
      <c r="D103" s="9">
        <f t="shared" si="11"/>
        <v>4.638708930971288E-3</v>
      </c>
      <c r="E103" s="63"/>
    </row>
    <row r="104" spans="2:22" x14ac:dyDescent="0.25">
      <c r="B104" s="90" t="s">
        <v>262</v>
      </c>
      <c r="C104" s="92">
        <v>-395470</v>
      </c>
      <c r="D104" s="9">
        <f t="shared" si="11"/>
        <v>-7.1203955228741917E-3</v>
      </c>
      <c r="E104" s="63"/>
    </row>
    <row r="105" spans="2:22" x14ac:dyDescent="0.25">
      <c r="B105" s="90" t="s">
        <v>263</v>
      </c>
      <c r="C105" s="92">
        <v>-1165085</v>
      </c>
      <c r="D105" s="9">
        <f t="shared" si="11"/>
        <v>-2.097723219907421E-2</v>
      </c>
      <c r="E105" s="63"/>
    </row>
    <row r="106" spans="2:22" x14ac:dyDescent="0.25">
      <c r="B106" s="90" t="s">
        <v>28</v>
      </c>
      <c r="C106" s="92"/>
      <c r="D106" s="9">
        <f t="shared" si="11"/>
        <v>0</v>
      </c>
      <c r="E106" s="63"/>
    </row>
    <row r="107" spans="2:22" x14ac:dyDescent="0.25">
      <c r="B107" s="90" t="s">
        <v>49</v>
      </c>
      <c r="C107" s="92"/>
      <c r="D107" s="9">
        <f t="shared" si="11"/>
        <v>0</v>
      </c>
      <c r="E107" s="63"/>
    </row>
    <row r="108" spans="2:22" x14ac:dyDescent="0.25">
      <c r="B108" s="11" t="s">
        <v>29</v>
      </c>
      <c r="C108" s="12">
        <f>SUM(C93:C107)</f>
        <v>53172793</v>
      </c>
      <c r="D108" s="13">
        <f>SUM(D94:D107)</f>
        <v>-4.2629485887889937E-2</v>
      </c>
      <c r="E108" s="63"/>
    </row>
    <row r="109" spans="2:22" x14ac:dyDescent="0.25">
      <c r="E109" s="58"/>
    </row>
    <row r="110" spans="2:22" x14ac:dyDescent="0.25">
      <c r="B110" s="29" t="s">
        <v>61</v>
      </c>
      <c r="C110" s="66">
        <f>+C108-C93</f>
        <v>-2367661</v>
      </c>
      <c r="E110" s="58"/>
    </row>
    <row r="111" spans="2:22" x14ac:dyDescent="0.25">
      <c r="B111" s="56" t="s">
        <v>62</v>
      </c>
      <c r="C111" s="268">
        <f>(C110)/C93</f>
        <v>-4.262948588788993E-2</v>
      </c>
      <c r="E111" s="58"/>
    </row>
    <row r="112" spans="2:22" x14ac:dyDescent="0.25">
      <c r="B112" s="206"/>
      <c r="C112" s="61"/>
      <c r="D112" s="61"/>
      <c r="E112" s="61"/>
      <c r="F112" s="61"/>
      <c r="G112" s="61"/>
      <c r="H112" s="61"/>
      <c r="O112" s="22"/>
      <c r="P112" s="23"/>
    </row>
    <row r="113" spans="2:23" x14ac:dyDescent="0.25">
      <c r="B113" s="29" t="s">
        <v>63</v>
      </c>
      <c r="C113" s="66">
        <f>(C108-'5. Vaccine Clinics and Testing'!D36)-('1. Reconciliation'!C93-'5. Vaccine Clinics and Testing'!C36)</f>
        <v>-2253911</v>
      </c>
      <c r="D113" s="61"/>
      <c r="E113" s="61"/>
      <c r="F113" s="61"/>
      <c r="G113" s="61"/>
      <c r="H113" s="61"/>
      <c r="O113" s="22"/>
      <c r="P113" s="23"/>
    </row>
    <row r="114" spans="2:23" x14ac:dyDescent="0.25">
      <c r="B114" s="56" t="s">
        <v>64</v>
      </c>
      <c r="C114" s="268">
        <f>(C113)/(C93-'5. Vaccine Clinics and Testing'!C36)</f>
        <v>-4.095566085731106E-2</v>
      </c>
      <c r="D114" s="15"/>
      <c r="E114" s="15"/>
      <c r="K114" s="23"/>
      <c r="L114" s="23"/>
      <c r="M114" s="14"/>
      <c r="N114" s="24"/>
      <c r="V114" s="22"/>
      <c r="W114" s="23"/>
    </row>
  </sheetData>
  <mergeCells count="7">
    <mergeCell ref="A71:A74"/>
    <mergeCell ref="B2:O2"/>
    <mergeCell ref="B3:O3"/>
    <mergeCell ref="B6:O6"/>
    <mergeCell ref="B4:O4"/>
    <mergeCell ref="B64:O64"/>
    <mergeCell ref="A12:A19"/>
  </mergeCells>
  <pageMargins left="0.7" right="0.7" top="0.5" bottom="0.5" header="0.3" footer="0.3"/>
  <pageSetup scale="48" fitToHeight="4" orientation="landscape" r:id="rId1"/>
  <headerFooter>
    <oddFooter>&amp;L&amp;D&amp;R&amp;F,&amp;A</oddFooter>
  </headerFooter>
  <rowBreaks count="1" manualBreakCount="1">
    <brk id="63"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K67"/>
  <sheetViews>
    <sheetView showGridLines="0" topLeftCell="A43" zoomScale="90" zoomScaleNormal="90" workbookViewId="0">
      <selection activeCell="I62" sqref="I62"/>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4" customWidth="1"/>
    <col min="9" max="11" width="17.7109375" style="1" customWidth="1"/>
    <col min="12" max="16384" width="8.85546875" style="1"/>
  </cols>
  <sheetData>
    <row r="2" spans="2:9" x14ac:dyDescent="0.25">
      <c r="B2" s="313" t="s">
        <v>66</v>
      </c>
      <c r="C2" s="313"/>
      <c r="D2" s="313"/>
      <c r="E2" s="313"/>
      <c r="F2" s="313"/>
      <c r="G2" s="313"/>
      <c r="H2" s="313"/>
      <c r="I2" s="313"/>
    </row>
    <row r="3" spans="2:9" ht="18.75" x14ac:dyDescent="0.3">
      <c r="B3" s="325" t="s">
        <v>13</v>
      </c>
      <c r="C3" s="326"/>
      <c r="D3" s="326"/>
      <c r="E3" s="326"/>
      <c r="F3" s="326"/>
      <c r="G3" s="326"/>
      <c r="H3" s="326"/>
      <c r="I3" s="327"/>
    </row>
    <row r="4" spans="2:9" ht="18.75" x14ac:dyDescent="0.3">
      <c r="B4" s="328" t="s">
        <v>67</v>
      </c>
      <c r="C4" s="329"/>
      <c r="D4" s="329"/>
      <c r="E4" s="329"/>
      <c r="F4" s="329"/>
      <c r="G4" s="329"/>
      <c r="H4" s="329"/>
      <c r="I4" s="330"/>
    </row>
    <row r="5" spans="2:9" ht="34.9" customHeight="1" x14ac:dyDescent="0.25">
      <c r="B5" s="324" t="s">
        <v>68</v>
      </c>
      <c r="C5" s="324"/>
      <c r="D5" s="324"/>
      <c r="E5" s="324"/>
      <c r="F5" s="324"/>
      <c r="G5" s="324"/>
      <c r="H5" s="211"/>
    </row>
    <row r="6" spans="2:9" x14ac:dyDescent="0.25">
      <c r="B6" s="212"/>
      <c r="C6" s="212"/>
      <c r="D6" s="212"/>
      <c r="E6" s="212"/>
      <c r="F6" s="212"/>
      <c r="G6" s="212"/>
      <c r="H6" s="211"/>
    </row>
    <row r="7" spans="2:9" ht="29.45" customHeight="1" x14ac:dyDescent="0.25">
      <c r="B7" s="332" t="s">
        <v>69</v>
      </c>
      <c r="C7" s="333"/>
      <c r="D7" s="334"/>
      <c r="H7" s="1"/>
    </row>
    <row r="8" spans="2:9" ht="15" customHeight="1" x14ac:dyDescent="0.25">
      <c r="B8" s="335" t="s">
        <v>70</v>
      </c>
      <c r="C8" s="336"/>
      <c r="D8" s="337"/>
      <c r="H8" s="1"/>
    </row>
    <row r="9" spans="2:9" ht="42.75" customHeight="1" x14ac:dyDescent="0.25">
      <c r="B9" s="3" t="s">
        <v>71</v>
      </c>
      <c r="C9" s="49" t="s">
        <v>72</v>
      </c>
      <c r="D9" s="49" t="s">
        <v>73</v>
      </c>
      <c r="H9" s="1"/>
    </row>
    <row r="10" spans="2:9" x14ac:dyDescent="0.25">
      <c r="B10" s="3"/>
      <c r="C10" s="3"/>
      <c r="D10" s="49"/>
      <c r="H10" s="1"/>
    </row>
    <row r="11" spans="2:9" x14ac:dyDescent="0.25">
      <c r="B11" s="3" t="s">
        <v>74</v>
      </c>
      <c r="C11" s="233">
        <v>157629</v>
      </c>
      <c r="D11" s="277">
        <v>3.5000000000000003E-2</v>
      </c>
      <c r="H11" s="1"/>
    </row>
    <row r="12" spans="2:9" x14ac:dyDescent="0.25">
      <c r="B12" s="3" t="s">
        <v>75</v>
      </c>
      <c r="C12" s="233">
        <v>849007</v>
      </c>
      <c r="D12" s="277">
        <v>3.5000000000000003E-2</v>
      </c>
      <c r="H12" s="1"/>
    </row>
    <row r="13" spans="2:9" x14ac:dyDescent="0.25">
      <c r="B13" s="3" t="s">
        <v>76</v>
      </c>
      <c r="C13" s="233">
        <v>75537</v>
      </c>
      <c r="D13" s="277">
        <v>3.5000000000000003E-2</v>
      </c>
      <c r="H13" s="1"/>
    </row>
    <row r="14" spans="2:9" x14ac:dyDescent="0.25">
      <c r="B14" s="3" t="s">
        <v>28</v>
      </c>
      <c r="C14" s="233">
        <v>0</v>
      </c>
      <c r="D14" s="50">
        <v>0</v>
      </c>
      <c r="H14" s="1"/>
    </row>
    <row r="15" spans="2:9" ht="30" x14ac:dyDescent="0.25">
      <c r="B15" s="60" t="s">
        <v>77</v>
      </c>
      <c r="C15" s="234">
        <f>SUM(C11:C14)</f>
        <v>1082173</v>
      </c>
      <c r="D15" s="219">
        <v>3.5000000000000003E-2</v>
      </c>
      <c r="H15" s="1"/>
    </row>
    <row r="16" spans="2:9" s="64" customFormat="1" x14ac:dyDescent="0.25">
      <c r="B16" s="213"/>
      <c r="C16" s="65"/>
      <c r="D16" s="65"/>
      <c r="E16" s="65"/>
      <c r="F16" s="65"/>
      <c r="G16" s="65"/>
      <c r="H16" s="65"/>
    </row>
    <row r="17" spans="2:11" ht="45" customHeight="1" x14ac:dyDescent="0.25">
      <c r="B17" s="332" t="s">
        <v>248</v>
      </c>
      <c r="C17" s="333"/>
      <c r="D17" s="333"/>
      <c r="E17" s="333"/>
      <c r="F17" s="333"/>
      <c r="G17" s="333"/>
      <c r="H17" s="333"/>
      <c r="I17" s="333"/>
      <c r="J17" s="334"/>
    </row>
    <row r="18" spans="2:11" ht="15" customHeight="1" x14ac:dyDescent="0.25">
      <c r="B18" s="335" t="s">
        <v>229</v>
      </c>
      <c r="C18" s="336"/>
      <c r="D18" s="336"/>
      <c r="E18" s="336"/>
      <c r="F18" s="336"/>
      <c r="G18" s="336"/>
      <c r="H18" s="336"/>
      <c r="I18" s="336"/>
      <c r="J18" s="337"/>
    </row>
    <row r="19" spans="2:11" ht="42.75" customHeight="1" x14ac:dyDescent="0.25">
      <c r="B19" s="3" t="s">
        <v>71</v>
      </c>
      <c r="C19" s="49" t="s">
        <v>223</v>
      </c>
      <c r="D19" s="49" t="s">
        <v>78</v>
      </c>
      <c r="E19" s="49" t="s">
        <v>224</v>
      </c>
      <c r="F19" s="343" t="s">
        <v>225</v>
      </c>
      <c r="G19" s="344"/>
      <c r="H19" s="214" t="s">
        <v>226</v>
      </c>
      <c r="I19" s="214" t="s">
        <v>227</v>
      </c>
      <c r="J19" s="214" t="s">
        <v>228</v>
      </c>
    </row>
    <row r="20" spans="2:11" x14ac:dyDescent="0.25">
      <c r="B20" s="3"/>
      <c r="C20" s="49"/>
      <c r="D20" s="215"/>
      <c r="E20" s="49"/>
      <c r="F20" s="49" t="s">
        <v>79</v>
      </c>
      <c r="G20" s="49" t="s">
        <v>80</v>
      </c>
      <c r="H20" s="49"/>
      <c r="I20" s="49"/>
      <c r="J20" s="49"/>
    </row>
    <row r="21" spans="2:11" x14ac:dyDescent="0.25">
      <c r="B21" s="3" t="s">
        <v>74</v>
      </c>
      <c r="C21" s="216">
        <v>27364719</v>
      </c>
      <c r="D21" s="217">
        <f>(E21/C21)-1</f>
        <v>8.5292562295267826E-2</v>
      </c>
      <c r="E21" s="84">
        <v>29698726</v>
      </c>
      <c r="F21" s="84">
        <v>6186165</v>
      </c>
      <c r="G21" s="84">
        <v>0</v>
      </c>
      <c r="H21" s="84">
        <v>922709</v>
      </c>
      <c r="I21" s="84">
        <v>4495846</v>
      </c>
      <c r="J21" s="84">
        <v>18094006</v>
      </c>
    </row>
    <row r="22" spans="2:11" x14ac:dyDescent="0.25">
      <c r="B22" s="3" t="s">
        <v>75</v>
      </c>
      <c r="C22" s="216">
        <v>74407095</v>
      </c>
      <c r="D22" s="217">
        <f t="shared" ref="D22:D23" si="0">(E22/C22)-1</f>
        <v>-3.4899561661424938E-2</v>
      </c>
      <c r="E22" s="84">
        <v>71810320</v>
      </c>
      <c r="F22" s="84">
        <v>27352551</v>
      </c>
      <c r="G22" s="84">
        <v>0</v>
      </c>
      <c r="H22" s="84">
        <v>2893956</v>
      </c>
      <c r="I22" s="84">
        <v>12983306</v>
      </c>
      <c r="J22" s="84">
        <v>28580507</v>
      </c>
      <c r="K22" s="111"/>
    </row>
    <row r="23" spans="2:11" x14ac:dyDescent="0.25">
      <c r="B23" s="3" t="s">
        <v>76</v>
      </c>
      <c r="C23" s="216">
        <v>18536546</v>
      </c>
      <c r="D23" s="217">
        <f t="shared" si="0"/>
        <v>1.5229050762747276E-2</v>
      </c>
      <c r="E23" s="84">
        <v>18818840</v>
      </c>
      <c r="F23" s="84">
        <v>6868877</v>
      </c>
      <c r="G23" s="84">
        <v>0</v>
      </c>
      <c r="H23" s="84">
        <v>754635</v>
      </c>
      <c r="I23" s="84">
        <v>2851054</v>
      </c>
      <c r="J23" s="84">
        <v>8344274</v>
      </c>
    </row>
    <row r="24" spans="2:11" x14ac:dyDescent="0.25">
      <c r="B24" s="3" t="s">
        <v>28</v>
      </c>
      <c r="C24" s="216">
        <v>0</v>
      </c>
      <c r="D24" s="217"/>
      <c r="E24" s="84">
        <f t="shared" ref="E24" si="1">SUM(F24:J24)</f>
        <v>0</v>
      </c>
      <c r="F24" s="84"/>
      <c r="G24" s="84"/>
      <c r="H24" s="84"/>
      <c r="I24" s="84"/>
      <c r="J24" s="84"/>
    </row>
    <row r="25" spans="2:11" ht="30" x14ac:dyDescent="0.25">
      <c r="B25" s="60" t="s">
        <v>238</v>
      </c>
      <c r="C25" s="218">
        <f>SUM(C21:C24)</f>
        <v>120308360</v>
      </c>
      <c r="D25" s="219">
        <v>0</v>
      </c>
      <c r="E25" s="218">
        <f t="shared" ref="E25:J25" si="2">SUM(E21:E24)</f>
        <v>120327886</v>
      </c>
      <c r="F25" s="85">
        <f t="shared" si="2"/>
        <v>40407593</v>
      </c>
      <c r="G25" s="85">
        <f t="shared" si="2"/>
        <v>0</v>
      </c>
      <c r="H25" s="85">
        <f t="shared" si="2"/>
        <v>4571300</v>
      </c>
      <c r="I25" s="85">
        <f t="shared" si="2"/>
        <v>20330206</v>
      </c>
      <c r="J25" s="85">
        <f t="shared" si="2"/>
        <v>55018787</v>
      </c>
    </row>
    <row r="26" spans="2:11" s="64" customFormat="1" x14ac:dyDescent="0.25">
      <c r="B26" s="213"/>
      <c r="C26" s="65" t="s">
        <v>245</v>
      </c>
      <c r="D26" s="65"/>
      <c r="E26" s="65" t="s">
        <v>245</v>
      </c>
      <c r="F26" s="65"/>
      <c r="G26" s="65"/>
      <c r="H26" s="65"/>
    </row>
    <row r="27" spans="2:11" s="64" customFormat="1" x14ac:dyDescent="0.25">
      <c r="B27" s="213"/>
      <c r="C27" s="65"/>
      <c r="D27" s="65"/>
      <c r="E27" s="65"/>
      <c r="F27" s="65"/>
      <c r="G27" s="65"/>
      <c r="H27" s="65"/>
    </row>
    <row r="28" spans="2:11" s="64" customFormat="1" ht="23.45" customHeight="1" x14ac:dyDescent="0.25">
      <c r="B28" s="332" t="s">
        <v>81</v>
      </c>
      <c r="C28" s="333"/>
      <c r="D28" s="333"/>
      <c r="E28" s="333"/>
      <c r="F28" s="333"/>
      <c r="G28" s="333"/>
      <c r="H28" s="333"/>
      <c r="I28" s="333"/>
      <c r="J28" s="334"/>
    </row>
    <row r="29" spans="2:11" x14ac:dyDescent="0.25">
      <c r="B29" s="335" t="s">
        <v>221</v>
      </c>
      <c r="C29" s="336"/>
      <c r="D29" s="336"/>
      <c r="E29" s="336"/>
      <c r="F29" s="336"/>
      <c r="G29" s="336"/>
      <c r="H29" s="336"/>
      <c r="I29" s="336"/>
      <c r="J29" s="337"/>
    </row>
    <row r="30" spans="2:11" ht="42.75" customHeight="1" x14ac:dyDescent="0.25">
      <c r="B30" s="3" t="s">
        <v>82</v>
      </c>
      <c r="C30" s="3" t="s">
        <v>83</v>
      </c>
      <c r="D30" s="49" t="s">
        <v>84</v>
      </c>
      <c r="E30" s="49" t="s">
        <v>85</v>
      </c>
      <c r="F30" s="338" t="s">
        <v>230</v>
      </c>
      <c r="G30" s="339"/>
      <c r="H30" s="49" t="s">
        <v>231</v>
      </c>
      <c r="I30" s="49" t="s">
        <v>232</v>
      </c>
      <c r="J30" s="49" t="s">
        <v>233</v>
      </c>
    </row>
    <row r="31" spans="2:11" ht="15.75" customHeight="1" x14ac:dyDescent="0.25">
      <c r="B31" s="3"/>
      <c r="C31" s="3"/>
      <c r="D31" s="3"/>
      <c r="E31" s="49"/>
      <c r="F31" s="49" t="s">
        <v>79</v>
      </c>
      <c r="G31" s="49" t="s">
        <v>80</v>
      </c>
      <c r="H31" s="49"/>
      <c r="I31" s="49"/>
      <c r="J31" s="49"/>
    </row>
    <row r="32" spans="2:11" x14ac:dyDescent="0.25">
      <c r="B32" s="3" t="s">
        <v>74</v>
      </c>
      <c r="C32" s="216">
        <v>7946591</v>
      </c>
      <c r="D32" s="216">
        <f>+E32-C32</f>
        <v>2858239</v>
      </c>
      <c r="E32" s="297">
        <v>10804830</v>
      </c>
      <c r="F32" s="297">
        <v>5320494</v>
      </c>
      <c r="G32" s="297">
        <v>0</v>
      </c>
      <c r="H32" s="297">
        <v>-172246</v>
      </c>
      <c r="I32" s="297">
        <v>975779</v>
      </c>
      <c r="J32" s="297">
        <v>4680803</v>
      </c>
    </row>
    <row r="33" spans="2:10" x14ac:dyDescent="0.25">
      <c r="B33" s="3" t="s">
        <v>75</v>
      </c>
      <c r="C33" s="216">
        <v>36715705</v>
      </c>
      <c r="D33" s="216">
        <f t="shared" ref="D33:D35" si="3">+E33-C33</f>
        <v>-1158023</v>
      </c>
      <c r="E33" s="297">
        <v>35557682</v>
      </c>
      <c r="F33" s="297">
        <v>19893650</v>
      </c>
      <c r="G33" s="297">
        <v>0</v>
      </c>
      <c r="H33" s="297">
        <v>190293</v>
      </c>
      <c r="I33" s="297">
        <v>2986160</v>
      </c>
      <c r="J33" s="297">
        <v>11968007</v>
      </c>
    </row>
    <row r="34" spans="2:10" x14ac:dyDescent="0.25">
      <c r="B34" s="3" t="s">
        <v>76</v>
      </c>
      <c r="C34" s="216">
        <v>4220856</v>
      </c>
      <c r="D34" s="216">
        <f t="shared" si="3"/>
        <v>597179</v>
      </c>
      <c r="E34" s="297">
        <v>4818035</v>
      </c>
      <c r="F34" s="297">
        <v>2525506</v>
      </c>
      <c r="G34" s="297">
        <v>0</v>
      </c>
      <c r="H34" s="297">
        <v>-48045</v>
      </c>
      <c r="I34" s="297">
        <v>171063</v>
      </c>
      <c r="J34" s="297">
        <v>2169511</v>
      </c>
    </row>
    <row r="35" spans="2:10" x14ac:dyDescent="0.25">
      <c r="B35" s="3" t="s">
        <v>28</v>
      </c>
      <c r="C35" s="216">
        <v>0</v>
      </c>
      <c r="D35" s="216">
        <f t="shared" si="3"/>
        <v>0</v>
      </c>
      <c r="E35" s="297">
        <v>0</v>
      </c>
      <c r="F35" s="297">
        <v>0</v>
      </c>
      <c r="G35" s="297">
        <v>0</v>
      </c>
      <c r="H35" s="297">
        <v>0</v>
      </c>
      <c r="I35" s="297">
        <v>0</v>
      </c>
      <c r="J35" s="297">
        <v>0</v>
      </c>
    </row>
    <row r="36" spans="2:10" x14ac:dyDescent="0.25">
      <c r="B36" s="3"/>
      <c r="C36" s="3"/>
      <c r="D36" s="3"/>
      <c r="E36" s="297"/>
      <c r="F36" s="297"/>
      <c r="G36" s="297"/>
      <c r="H36" s="297"/>
      <c r="I36" s="297"/>
      <c r="J36" s="297"/>
    </row>
    <row r="37" spans="2:10" x14ac:dyDescent="0.25">
      <c r="B37" s="3"/>
      <c r="C37" s="3"/>
      <c r="D37" s="3"/>
      <c r="E37" s="297"/>
      <c r="F37" s="297"/>
      <c r="G37" s="297"/>
      <c r="H37" s="297"/>
      <c r="I37" s="297"/>
      <c r="J37" s="297"/>
    </row>
    <row r="38" spans="2:10" x14ac:dyDescent="0.25">
      <c r="B38" s="3"/>
      <c r="C38" s="3"/>
      <c r="D38" s="3"/>
      <c r="E38" s="297"/>
      <c r="F38" s="297"/>
      <c r="G38" s="297"/>
      <c r="H38" s="297"/>
      <c r="I38" s="297"/>
      <c r="J38" s="297"/>
    </row>
    <row r="39" spans="2:10" x14ac:dyDescent="0.25">
      <c r="B39" s="60" t="s">
        <v>237</v>
      </c>
      <c r="C39" s="298">
        <f>SUM(C32:C38)</f>
        <v>48883152</v>
      </c>
      <c r="D39" s="298">
        <f>SUM(D32:D38)</f>
        <v>2297395</v>
      </c>
      <c r="E39" s="298">
        <f t="shared" ref="E39:J39" si="4">SUM(E32:E38)</f>
        <v>51180547</v>
      </c>
      <c r="F39" s="298">
        <f t="shared" si="4"/>
        <v>27739650</v>
      </c>
      <c r="G39" s="298">
        <f t="shared" si="4"/>
        <v>0</v>
      </c>
      <c r="H39" s="298">
        <f t="shared" si="4"/>
        <v>-29998</v>
      </c>
      <c r="I39" s="298">
        <f t="shared" si="4"/>
        <v>4133002</v>
      </c>
      <c r="J39" s="298">
        <f t="shared" si="4"/>
        <v>18818321</v>
      </c>
    </row>
    <row r="40" spans="2:10" s="64" customFormat="1" x14ac:dyDescent="0.25">
      <c r="C40" s="65"/>
      <c r="D40" s="299"/>
      <c r="E40" s="65"/>
      <c r="F40" s="222"/>
      <c r="G40" s="222"/>
      <c r="H40" s="222"/>
    </row>
    <row r="41" spans="2:10" s="64" customFormat="1" x14ac:dyDescent="0.25">
      <c r="C41" s="65"/>
      <c r="D41" s="65"/>
      <c r="E41" s="65"/>
      <c r="F41" s="222"/>
      <c r="G41" s="222"/>
      <c r="H41" s="222"/>
    </row>
    <row r="42" spans="2:10" s="64" customFormat="1" x14ac:dyDescent="0.25">
      <c r="B42" s="335" t="s">
        <v>222</v>
      </c>
      <c r="C42" s="336"/>
      <c r="D42" s="336"/>
      <c r="E42" s="336"/>
      <c r="F42" s="336"/>
      <c r="G42" s="336"/>
      <c r="H42" s="337"/>
    </row>
    <row r="43" spans="2:10" s="64" customFormat="1" ht="42.6" customHeight="1" x14ac:dyDescent="0.25">
      <c r="B43" s="3" t="s">
        <v>82</v>
      </c>
      <c r="C43" s="3" t="s">
        <v>86</v>
      </c>
      <c r="D43" s="49" t="s">
        <v>84</v>
      </c>
      <c r="E43" s="49" t="s">
        <v>87</v>
      </c>
      <c r="F43" s="245" t="s">
        <v>243</v>
      </c>
      <c r="G43" s="49" t="s">
        <v>234</v>
      </c>
      <c r="H43" s="49" t="s">
        <v>235</v>
      </c>
    </row>
    <row r="44" spans="2:10" s="64" customFormat="1" x14ac:dyDescent="0.25">
      <c r="B44" s="3" t="s">
        <v>74</v>
      </c>
      <c r="C44" s="216">
        <v>698434</v>
      </c>
      <c r="D44" s="216">
        <f>+E44-C44</f>
        <v>84399</v>
      </c>
      <c r="E44" s="297">
        <f>SUM(F44:H44)</f>
        <v>782833</v>
      </c>
      <c r="F44" s="297">
        <v>0</v>
      </c>
      <c r="G44" s="297">
        <v>782833</v>
      </c>
      <c r="H44" s="220">
        <v>0</v>
      </c>
    </row>
    <row r="45" spans="2:10" s="64" customFormat="1" x14ac:dyDescent="0.25">
      <c r="B45" s="3" t="s">
        <v>75</v>
      </c>
      <c r="C45" s="216">
        <v>2501566</v>
      </c>
      <c r="D45" s="216">
        <f>+E45-C45</f>
        <v>-240867</v>
      </c>
      <c r="E45" s="297">
        <f t="shared" ref="E45:E48" si="5">SUM(F45:H45)</f>
        <v>2260699</v>
      </c>
      <c r="F45" s="297">
        <v>0</v>
      </c>
      <c r="G45" s="297">
        <v>2260699</v>
      </c>
      <c r="H45" s="220">
        <v>0</v>
      </c>
    </row>
    <row r="46" spans="2:10" s="64" customFormat="1" x14ac:dyDescent="0.25">
      <c r="B46" s="3" t="s">
        <v>76</v>
      </c>
      <c r="C46" s="216">
        <v>0</v>
      </c>
      <c r="D46" s="216">
        <v>0</v>
      </c>
      <c r="E46" s="297">
        <f t="shared" si="5"/>
        <v>0</v>
      </c>
      <c r="F46" s="297">
        <v>0</v>
      </c>
      <c r="G46" s="297">
        <v>0</v>
      </c>
      <c r="H46" s="220">
        <v>0</v>
      </c>
    </row>
    <row r="47" spans="2:10" s="64" customFormat="1" x14ac:dyDescent="0.25">
      <c r="B47" s="3" t="s">
        <v>88</v>
      </c>
      <c r="C47" s="216">
        <v>0</v>
      </c>
      <c r="D47" s="216">
        <v>0</v>
      </c>
      <c r="E47" s="297">
        <f t="shared" si="5"/>
        <v>0</v>
      </c>
      <c r="F47" s="297">
        <v>0</v>
      </c>
      <c r="G47" s="297">
        <v>0</v>
      </c>
      <c r="H47" s="220">
        <v>0</v>
      </c>
    </row>
    <row r="48" spans="2:10" s="64" customFormat="1" x14ac:dyDescent="0.25">
      <c r="B48" s="3" t="s">
        <v>89</v>
      </c>
      <c r="C48" s="216">
        <v>0</v>
      </c>
      <c r="D48" s="216">
        <v>0</v>
      </c>
      <c r="E48" s="297">
        <f t="shared" si="5"/>
        <v>0</v>
      </c>
      <c r="F48" s="297">
        <v>0</v>
      </c>
      <c r="G48" s="297">
        <v>0</v>
      </c>
      <c r="H48" s="220">
        <v>0</v>
      </c>
    </row>
    <row r="49" spans="2:10" s="64" customFormat="1" x14ac:dyDescent="0.25">
      <c r="B49" s="60" t="s">
        <v>236</v>
      </c>
      <c r="C49" s="298">
        <f>SUM(C44:C48)</f>
        <v>3200000</v>
      </c>
      <c r="D49" s="298">
        <f>SUM(D44:D48)</f>
        <v>-156468</v>
      </c>
      <c r="E49" s="298">
        <f>SUM(E44:E48)</f>
        <v>3043532</v>
      </c>
      <c r="F49" s="298">
        <f t="shared" ref="F49:H49" si="6">SUM(F44:F48)</f>
        <v>0</v>
      </c>
      <c r="G49" s="298">
        <f t="shared" si="6"/>
        <v>3043532</v>
      </c>
      <c r="H49" s="221">
        <f t="shared" si="6"/>
        <v>0</v>
      </c>
    </row>
    <row r="50" spans="2:10" s="64" customFormat="1" x14ac:dyDescent="0.25">
      <c r="C50" s="65"/>
      <c r="D50" s="65"/>
      <c r="E50" s="65"/>
      <c r="F50" s="64" t="s">
        <v>244</v>
      </c>
      <c r="G50" s="222"/>
      <c r="H50" s="222"/>
    </row>
    <row r="51" spans="2:10" s="64" customFormat="1" ht="15.75" thickBot="1" x14ac:dyDescent="0.3">
      <c r="B51" s="211"/>
      <c r="C51" s="222"/>
      <c r="D51" s="222"/>
      <c r="E51" s="222"/>
      <c r="F51" s="222"/>
      <c r="G51" s="222"/>
      <c r="H51" s="222"/>
    </row>
    <row r="52" spans="2:10" s="64" customFormat="1" ht="30" x14ac:dyDescent="0.25">
      <c r="B52" s="223"/>
      <c r="C52" s="224" t="s">
        <v>90</v>
      </c>
      <c r="D52" s="224" t="s">
        <v>84</v>
      </c>
      <c r="E52" s="224" t="s">
        <v>78</v>
      </c>
      <c r="F52" s="225" t="s">
        <v>91</v>
      </c>
      <c r="G52" s="222"/>
      <c r="H52" s="222"/>
      <c r="I52" s="222"/>
    </row>
    <row r="53" spans="2:10" s="64" customFormat="1" x14ac:dyDescent="0.25">
      <c r="B53" s="235" t="s">
        <v>92</v>
      </c>
      <c r="C53" s="300">
        <f>C39+C49</f>
        <v>52083152</v>
      </c>
      <c r="D53" s="300">
        <f>D39+D49</f>
        <v>2140927</v>
      </c>
      <c r="E53" s="307">
        <f>D53/C53</f>
        <v>4.1105941514445979E-2</v>
      </c>
      <c r="F53" s="301">
        <f>E39+E49</f>
        <v>54224079</v>
      </c>
      <c r="G53" s="222"/>
      <c r="H53" s="222"/>
      <c r="I53" s="222"/>
    </row>
    <row r="54" spans="2:10" s="64" customFormat="1" x14ac:dyDescent="0.25">
      <c r="B54" s="235" t="s">
        <v>93</v>
      </c>
      <c r="C54" s="302">
        <f>'1. Reconciliation'!C11</f>
        <v>52083152</v>
      </c>
      <c r="D54" s="302">
        <f>'1. Reconciliation'!C25</f>
        <v>2140928</v>
      </c>
      <c r="E54" s="308">
        <f>'1. Reconciliation'!C26</f>
        <v>4.1105960714512821E-2</v>
      </c>
      <c r="F54" s="303">
        <f>'1. Reconciliation'!C23</f>
        <v>54224080</v>
      </c>
      <c r="G54" s="222"/>
      <c r="H54" s="222"/>
      <c r="I54" s="222"/>
    </row>
    <row r="55" spans="2:10" s="64" customFormat="1" ht="18" customHeight="1" thickBot="1" x14ac:dyDescent="0.3">
      <c r="B55" s="236" t="s">
        <v>94</v>
      </c>
      <c r="C55" s="304">
        <f>C53-C54</f>
        <v>0</v>
      </c>
      <c r="D55" s="304">
        <f t="shared" ref="D55:F55" si="7">D53-D54</f>
        <v>-1</v>
      </c>
      <c r="E55" s="306">
        <f t="shared" si="7"/>
        <v>-1.9200066841973396E-8</v>
      </c>
      <c r="F55" s="305">
        <f t="shared" si="7"/>
        <v>-1</v>
      </c>
      <c r="G55" s="222"/>
      <c r="H55" s="222"/>
      <c r="I55" s="222"/>
    </row>
    <row r="56" spans="2:10" s="64" customFormat="1" x14ac:dyDescent="0.25">
      <c r="G56" s="222"/>
      <c r="H56" s="222"/>
      <c r="I56" s="222"/>
      <c r="J56" s="1"/>
    </row>
    <row r="57" spans="2:10" x14ac:dyDescent="0.25">
      <c r="B57" s="226"/>
      <c r="C57" s="227"/>
      <c r="D57" s="228"/>
      <c r="E57" s="229"/>
      <c r="F57" s="229"/>
      <c r="G57" s="229"/>
      <c r="H57" s="230"/>
    </row>
    <row r="58" spans="2:10" x14ac:dyDescent="0.25">
      <c r="B58" s="340" t="s">
        <v>95</v>
      </c>
      <c r="C58" s="341"/>
      <c r="D58" s="341"/>
      <c r="E58" s="341"/>
      <c r="F58" s="341"/>
      <c r="G58" s="342"/>
      <c r="H58" s="230"/>
    </row>
    <row r="59" spans="2:10" x14ac:dyDescent="0.25">
      <c r="B59" s="335" t="s">
        <v>96</v>
      </c>
      <c r="C59" s="336"/>
      <c r="D59" s="336"/>
      <c r="E59" s="336"/>
      <c r="F59" s="336"/>
      <c r="G59" s="337"/>
      <c r="H59" s="231"/>
    </row>
    <row r="60" spans="2:10" x14ac:dyDescent="0.25">
      <c r="B60" s="331">
        <v>309192</v>
      </c>
      <c r="C60" s="331"/>
      <c r="D60" s="331"/>
      <c r="E60" s="331"/>
      <c r="F60" s="331"/>
      <c r="G60" s="331"/>
    </row>
    <row r="61" spans="2:10" x14ac:dyDescent="0.25">
      <c r="B61" s="331"/>
      <c r="C61" s="331"/>
      <c r="D61" s="331"/>
      <c r="E61" s="331"/>
      <c r="F61" s="331"/>
      <c r="G61" s="331"/>
    </row>
    <row r="62" spans="2:10" x14ac:dyDescent="0.25">
      <c r="B62" s="331"/>
      <c r="C62" s="331"/>
      <c r="D62" s="331"/>
      <c r="E62" s="331"/>
      <c r="F62" s="331"/>
      <c r="G62" s="331"/>
    </row>
    <row r="63" spans="2:10" x14ac:dyDescent="0.25">
      <c r="B63" s="331"/>
      <c r="C63" s="331"/>
      <c r="D63" s="331"/>
      <c r="E63" s="331"/>
      <c r="F63" s="331"/>
      <c r="G63" s="331"/>
    </row>
    <row r="64" spans="2:10" x14ac:dyDescent="0.25">
      <c r="B64" s="331"/>
      <c r="C64" s="331"/>
      <c r="D64" s="331"/>
      <c r="E64" s="331"/>
      <c r="F64" s="331"/>
      <c r="G64" s="331"/>
    </row>
    <row r="67" spans="3:3" x14ac:dyDescent="0.25">
      <c r="C67" s="20"/>
    </row>
  </sheetData>
  <mergeCells count="16">
    <mergeCell ref="B5:G5"/>
    <mergeCell ref="B2:I2"/>
    <mergeCell ref="B3:I3"/>
    <mergeCell ref="B4:I4"/>
    <mergeCell ref="B60:G64"/>
    <mergeCell ref="B7:D7"/>
    <mergeCell ref="B29:J29"/>
    <mergeCell ref="F30:G30"/>
    <mergeCell ref="B42:H42"/>
    <mergeCell ref="B58:G58"/>
    <mergeCell ref="B59:G59"/>
    <mergeCell ref="B17:J17"/>
    <mergeCell ref="F19:G19"/>
    <mergeCell ref="B28:J28"/>
    <mergeCell ref="B18:J18"/>
    <mergeCell ref="B8:D8"/>
  </mergeCells>
  <pageMargins left="0.7" right="0.7" top="0.75" bottom="0.75" header="0.3" footer="0.3"/>
  <pageSetup scale="66" orientation="landscape" r:id="rId1"/>
  <headerFooter>
    <oddFooter>&amp;L&amp;D&amp;R&amp;F,&amp;A,</oddFooter>
  </headerFooter>
  <ignoredErrors>
    <ignoredError sqref="E53:E5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F19"/>
  <sheetViews>
    <sheetView showGridLines="0" zoomScale="90" zoomScaleNormal="90" workbookViewId="0">
      <selection activeCell="D17" sqref="D17"/>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8" width="8.85546875" style="1"/>
    <col min="9" max="9" width="12.140625" style="1" bestFit="1" customWidth="1"/>
    <col min="10" max="16384" width="8.85546875" style="1"/>
  </cols>
  <sheetData>
    <row r="1" spans="2:6" x14ac:dyDescent="0.25">
      <c r="B1" s="345" t="s">
        <v>97</v>
      </c>
      <c r="C1" s="345"/>
      <c r="D1" s="345"/>
    </row>
    <row r="2" spans="2:6" ht="21" x14ac:dyDescent="0.35">
      <c r="B2" s="346" t="s">
        <v>5</v>
      </c>
      <c r="C2" s="347"/>
      <c r="D2" s="348"/>
    </row>
    <row r="3" spans="2:6" ht="18.75" x14ac:dyDescent="0.3">
      <c r="B3" s="350" t="s">
        <v>98</v>
      </c>
      <c r="C3" s="351"/>
      <c r="D3" s="352"/>
    </row>
    <row r="4" spans="2:6" ht="86.25" customHeight="1" x14ac:dyDescent="0.25">
      <c r="B4" s="349" t="s">
        <v>239</v>
      </c>
      <c r="C4" s="349"/>
      <c r="D4" s="349"/>
    </row>
    <row r="5" spans="2:6" x14ac:dyDescent="0.25">
      <c r="B5" s="21"/>
      <c r="C5" s="2"/>
      <c r="D5" s="2"/>
    </row>
    <row r="6" spans="2:6" x14ac:dyDescent="0.25">
      <c r="B6" s="354" t="s">
        <v>99</v>
      </c>
      <c r="C6" s="353" t="s">
        <v>100</v>
      </c>
      <c r="D6" s="353" t="s">
        <v>101</v>
      </c>
    </row>
    <row r="7" spans="2:6" x14ac:dyDescent="0.25">
      <c r="B7" s="354"/>
      <c r="C7" s="353"/>
      <c r="D7" s="353"/>
    </row>
    <row r="8" spans="2:6" x14ac:dyDescent="0.25">
      <c r="B8" s="82" t="s">
        <v>22</v>
      </c>
      <c r="C8" s="265"/>
      <c r="D8" s="266">
        <v>120308357</v>
      </c>
    </row>
    <row r="9" spans="2:6" x14ac:dyDescent="0.25">
      <c r="B9" s="110" t="s">
        <v>249</v>
      </c>
      <c r="C9" s="277">
        <f>D9/$D$8</f>
        <v>-9.4637814728032559E-3</v>
      </c>
      <c r="D9" s="267">
        <v>-1138572</v>
      </c>
    </row>
    <row r="10" spans="2:6" x14ac:dyDescent="0.25">
      <c r="B10" s="276" t="s">
        <v>250</v>
      </c>
      <c r="C10" s="277">
        <f t="shared" ref="C10:C14" si="0">D10/$D$8</f>
        <v>-6.943349745853482E-3</v>
      </c>
      <c r="D10" s="267">
        <v>-835343</v>
      </c>
    </row>
    <row r="11" spans="2:6" x14ac:dyDescent="0.25">
      <c r="B11" s="276" t="s">
        <v>251</v>
      </c>
      <c r="C11" s="277">
        <f t="shared" si="0"/>
        <v>1.0809947308980373E-2</v>
      </c>
      <c r="D11" s="267">
        <v>1300527</v>
      </c>
    </row>
    <row r="12" spans="2:6" x14ac:dyDescent="0.25">
      <c r="B12" s="276" t="s">
        <v>252</v>
      </c>
      <c r="C12" s="277">
        <f t="shared" si="0"/>
        <v>5.7658172490876927E-3</v>
      </c>
      <c r="D12" s="267">
        <v>693676</v>
      </c>
    </row>
    <row r="13" spans="2:6" x14ac:dyDescent="0.25">
      <c r="B13" s="276" t="s">
        <v>253</v>
      </c>
      <c r="C13" s="277">
        <f t="shared" si="0"/>
        <v>-5.0052133951093685E-3</v>
      </c>
      <c r="D13" s="267">
        <v>-602169</v>
      </c>
    </row>
    <row r="14" spans="2:6" x14ac:dyDescent="0.25">
      <c r="B14" s="276" t="s">
        <v>254</v>
      </c>
      <c r="C14" s="277">
        <f t="shared" si="0"/>
        <v>4.9989046064356111E-3</v>
      </c>
      <c r="D14" s="267">
        <f>54972+546438</f>
        <v>601410</v>
      </c>
    </row>
    <row r="15" spans="2:6" x14ac:dyDescent="0.25">
      <c r="B15" s="82" t="s">
        <v>29</v>
      </c>
      <c r="C15" s="278">
        <f>SUM(C8:C14)</f>
        <v>1.6232455073757115E-4</v>
      </c>
      <c r="D15" s="266">
        <f t="shared" ref="D15" si="1">SUM(D8:D14)</f>
        <v>120327886</v>
      </c>
      <c r="F15" s="279"/>
    </row>
    <row r="16" spans="2:6" x14ac:dyDescent="0.25">
      <c r="B16" s="78"/>
      <c r="C16" s="45"/>
      <c r="D16" s="45"/>
    </row>
    <row r="17" spans="2:4" x14ac:dyDescent="0.25">
      <c r="B17" s="29" t="s">
        <v>102</v>
      </c>
      <c r="C17" s="102"/>
      <c r="D17" s="83">
        <f>SUM(D9:D14)</f>
        <v>19529</v>
      </c>
    </row>
    <row r="18" spans="2:4" x14ac:dyDescent="0.25">
      <c r="B18" s="29" t="s">
        <v>103</v>
      </c>
      <c r="C18" s="280">
        <f>+(D8-D15)/D8</f>
        <v>-1.6232455073756846E-4</v>
      </c>
      <c r="D18" s="103"/>
    </row>
    <row r="19" spans="2:4" x14ac:dyDescent="0.25">
      <c r="B19" s="78" t="s">
        <v>104</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G19"/>
  <sheetViews>
    <sheetView showGridLines="0" topLeftCell="A2" zoomScaleNormal="100" workbookViewId="0">
      <selection activeCell="H13" sqref="H13"/>
    </sheetView>
  </sheetViews>
  <sheetFormatPr defaultRowHeight="15" x14ac:dyDescent="0.25"/>
  <cols>
    <col min="2" max="2" width="43.7109375" customWidth="1"/>
    <col min="3" max="3" width="18.85546875" customWidth="1"/>
    <col min="4" max="4" width="18.140625" customWidth="1"/>
    <col min="5" max="5" width="25.140625" customWidth="1"/>
    <col min="6" max="6" width="23.85546875" customWidth="1"/>
    <col min="7" max="7" width="45.5703125" customWidth="1"/>
  </cols>
  <sheetData>
    <row r="1" spans="2:7" x14ac:dyDescent="0.25">
      <c r="B1" s="313" t="s">
        <v>105</v>
      </c>
      <c r="C1" s="313"/>
      <c r="D1" s="313"/>
      <c r="E1" s="313"/>
      <c r="F1" s="313"/>
      <c r="G1" s="313"/>
    </row>
    <row r="2" spans="2:7" ht="18.75" x14ac:dyDescent="0.3">
      <c r="B2" s="356" t="s">
        <v>13</v>
      </c>
      <c r="C2" s="357"/>
      <c r="D2" s="357"/>
      <c r="E2" s="357"/>
      <c r="F2" s="357"/>
      <c r="G2" s="358"/>
    </row>
    <row r="3" spans="2:7" ht="18.75" x14ac:dyDescent="0.3">
      <c r="B3" s="350" t="s">
        <v>106</v>
      </c>
      <c r="C3" s="351"/>
      <c r="D3" s="351"/>
      <c r="E3" s="351"/>
      <c r="F3" s="351"/>
      <c r="G3" s="352"/>
    </row>
    <row r="4" spans="2:7" ht="63" customHeight="1" x14ac:dyDescent="0.25">
      <c r="B4" s="359" t="s">
        <v>217</v>
      </c>
      <c r="C4" s="359"/>
      <c r="D4" s="359"/>
      <c r="E4" s="359"/>
      <c r="F4" s="359"/>
      <c r="G4" s="359"/>
    </row>
    <row r="5" spans="2:7" ht="17.45" customHeight="1" x14ac:dyDescent="0.25">
      <c r="B5" s="48" t="s">
        <v>107</v>
      </c>
      <c r="C5" s="360" t="s">
        <v>108</v>
      </c>
      <c r="D5" s="361"/>
      <c r="E5" s="361"/>
      <c r="F5" s="362"/>
      <c r="G5" s="59" t="s">
        <v>109</v>
      </c>
    </row>
    <row r="6" spans="2:7" ht="31.5" customHeight="1" x14ac:dyDescent="0.25">
      <c r="B6" s="16"/>
      <c r="C6" s="51" t="s">
        <v>110</v>
      </c>
      <c r="D6" s="52" t="s">
        <v>111</v>
      </c>
      <c r="E6" s="237" t="s">
        <v>112</v>
      </c>
      <c r="F6" s="237" t="s">
        <v>246</v>
      </c>
      <c r="G6" s="16"/>
    </row>
    <row r="7" spans="2:7" ht="31.5" customHeight="1" x14ac:dyDescent="0.25">
      <c r="B7" s="238" t="s">
        <v>113</v>
      </c>
      <c r="C7" s="239">
        <v>0.02</v>
      </c>
      <c r="D7" s="240">
        <v>500000</v>
      </c>
      <c r="E7" s="241">
        <v>0.6</v>
      </c>
      <c r="F7" s="242">
        <f>C7*E7</f>
        <v>1.2E-2</v>
      </c>
      <c r="G7" s="238" t="s">
        <v>114</v>
      </c>
    </row>
    <row r="8" spans="2:7" ht="27" customHeight="1" x14ac:dyDescent="0.25">
      <c r="B8" s="16" t="s">
        <v>115</v>
      </c>
      <c r="C8" s="51">
        <v>0.02</v>
      </c>
      <c r="D8" s="52">
        <v>70326</v>
      </c>
      <c r="E8" s="51">
        <v>0.13</v>
      </c>
      <c r="F8" s="9">
        <f>C8*E8</f>
        <v>2.6000000000000003E-3</v>
      </c>
      <c r="G8" s="16"/>
    </row>
    <row r="9" spans="2:7" ht="27" customHeight="1" x14ac:dyDescent="0.25">
      <c r="B9" s="16" t="s">
        <v>116</v>
      </c>
      <c r="C9" s="51">
        <v>0.02</v>
      </c>
      <c r="D9" s="52">
        <f>384651-D8</f>
        <v>314325</v>
      </c>
      <c r="E9" s="51">
        <v>0.36</v>
      </c>
      <c r="F9" s="9">
        <f t="shared" ref="F9:F15" si="0">C9*E9</f>
        <v>7.1999999999999998E-3</v>
      </c>
      <c r="G9" s="16"/>
    </row>
    <row r="10" spans="2:7" ht="27" customHeight="1" x14ac:dyDescent="0.25">
      <c r="B10" s="16" t="s">
        <v>46</v>
      </c>
      <c r="C10" s="51">
        <v>0.05</v>
      </c>
      <c r="D10" s="52">
        <v>100122</v>
      </c>
      <c r="E10" s="51">
        <v>0.04</v>
      </c>
      <c r="F10" s="9">
        <f t="shared" si="0"/>
        <v>2E-3</v>
      </c>
      <c r="G10" s="16"/>
    </row>
    <row r="11" spans="2:7" ht="27" customHeight="1" x14ac:dyDescent="0.25">
      <c r="B11" s="16" t="s">
        <v>117</v>
      </c>
      <c r="C11" s="51">
        <v>0.03</v>
      </c>
      <c r="D11" s="52">
        <v>94500</v>
      </c>
      <c r="E11" s="51">
        <v>0.06</v>
      </c>
      <c r="F11" s="9">
        <f t="shared" si="0"/>
        <v>1.8E-3</v>
      </c>
      <c r="G11" s="16"/>
    </row>
    <row r="12" spans="2:7" ht="27" customHeight="1" x14ac:dyDescent="0.25">
      <c r="B12" s="16" t="s">
        <v>118</v>
      </c>
      <c r="C12" s="51">
        <v>0.02</v>
      </c>
      <c r="D12" s="52">
        <v>11278</v>
      </c>
      <c r="E12" s="51">
        <v>0.01</v>
      </c>
      <c r="F12" s="9">
        <f t="shared" si="0"/>
        <v>2.0000000000000001E-4</v>
      </c>
      <c r="G12" s="16"/>
    </row>
    <row r="13" spans="2:7" ht="27" customHeight="1" x14ac:dyDescent="0.25">
      <c r="B13" s="30" t="s">
        <v>255</v>
      </c>
      <c r="C13" s="51">
        <v>1.4999999999999999E-2</v>
      </c>
      <c r="D13" s="52">
        <v>64545</v>
      </c>
      <c r="E13" s="51">
        <v>0.12</v>
      </c>
      <c r="F13" s="9">
        <f t="shared" si="0"/>
        <v>1.8E-3</v>
      </c>
      <c r="G13" s="16"/>
    </row>
    <row r="14" spans="2:7" ht="27" customHeight="1" x14ac:dyDescent="0.25">
      <c r="B14" s="30" t="s">
        <v>256</v>
      </c>
      <c r="C14" s="51">
        <v>0.02</v>
      </c>
      <c r="D14" s="52">
        <f>204924-D12</f>
        <v>193646</v>
      </c>
      <c r="E14" s="51">
        <v>0.28000000000000003</v>
      </c>
      <c r="F14" s="9">
        <f t="shared" si="0"/>
        <v>5.6000000000000008E-3</v>
      </c>
      <c r="G14" s="16"/>
    </row>
    <row r="15" spans="2:7" ht="27" customHeight="1" x14ac:dyDescent="0.25">
      <c r="B15" s="30" t="s">
        <v>119</v>
      </c>
      <c r="C15" s="51"/>
      <c r="D15" s="52"/>
      <c r="E15" s="51"/>
      <c r="F15" s="9">
        <f t="shared" si="0"/>
        <v>0</v>
      </c>
      <c r="G15" s="16"/>
    </row>
    <row r="16" spans="2:7" x14ac:dyDescent="0.25">
      <c r="B16" s="11" t="s">
        <v>18</v>
      </c>
      <c r="C16" s="80" t="s">
        <v>120</v>
      </c>
      <c r="D16" s="81">
        <f>SUM(D8:D15)</f>
        <v>848742</v>
      </c>
      <c r="E16" s="81" t="s">
        <v>120</v>
      </c>
      <c r="F16" s="81" t="s">
        <v>120</v>
      </c>
      <c r="G16" s="11"/>
    </row>
    <row r="17" spans="2:6" x14ac:dyDescent="0.25">
      <c r="B17" s="18"/>
      <c r="E17" t="s">
        <v>121</v>
      </c>
    </row>
    <row r="19" spans="2:6" x14ac:dyDescent="0.25">
      <c r="B19" s="355" t="s">
        <v>122</v>
      </c>
      <c r="C19" s="355"/>
      <c r="D19" s="355"/>
      <c r="E19" s="355"/>
      <c r="F19" s="246"/>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DD81-7C75-4881-A377-7DA128E786DE}">
  <sheetPr>
    <tabColor rgb="FFFFC000"/>
    <pageSetUpPr fitToPage="1"/>
  </sheetPr>
  <dimension ref="A1:R80"/>
  <sheetViews>
    <sheetView showGridLines="0" zoomScale="50" zoomScaleNormal="50" zoomScaleSheetLayoutView="30" workbookViewId="0">
      <selection activeCell="D36" sqref="D36"/>
    </sheetView>
  </sheetViews>
  <sheetFormatPr defaultColWidth="9.140625" defaultRowHeight="15" outlineLevelRow="1" x14ac:dyDescent="0.25"/>
  <cols>
    <col min="1" max="1" width="1.5703125" style="195" customWidth="1"/>
    <col min="2" max="2" width="113.5703125" style="196" customWidth="1"/>
    <col min="3" max="3" width="59.85546875" style="196" customWidth="1"/>
    <col min="4" max="4" width="59.85546875" style="22" customWidth="1"/>
    <col min="5" max="17" width="9.140625" style="22"/>
    <col min="18" max="18" width="17.5703125" style="22" bestFit="1" customWidth="1"/>
    <col min="19" max="16384" width="9.140625" style="22"/>
  </cols>
  <sheetData>
    <row r="1" spans="1:6" s="113" customFormat="1" x14ac:dyDescent="0.25">
      <c r="A1" s="112"/>
    </row>
    <row r="2" spans="1:6" s="1" customFormat="1" ht="31.5" x14ac:dyDescent="0.5">
      <c r="B2" s="371" t="s">
        <v>123</v>
      </c>
      <c r="C2" s="371"/>
      <c r="D2" s="371"/>
      <c r="E2" s="210"/>
      <c r="F2" s="210"/>
    </row>
    <row r="3" spans="1:6" s="1" customFormat="1" ht="31.5" x14ac:dyDescent="0.5">
      <c r="B3" s="368" t="s">
        <v>2</v>
      </c>
      <c r="C3" s="369"/>
      <c r="D3" s="370"/>
      <c r="E3" s="115"/>
      <c r="F3" s="115"/>
    </row>
    <row r="4" spans="1:6" s="1" customFormat="1" ht="31.5" x14ac:dyDescent="0.5">
      <c r="B4" s="372" t="s">
        <v>124</v>
      </c>
      <c r="C4" s="373"/>
      <c r="D4" s="374"/>
    </row>
    <row r="5" spans="1:6" s="64" customFormat="1" ht="18.75" x14ac:dyDescent="0.3">
      <c r="B5" s="209"/>
      <c r="C5" s="209"/>
      <c r="D5" s="209"/>
      <c r="E5" s="209"/>
      <c r="F5" s="209"/>
    </row>
    <row r="6" spans="1:6" s="64" customFormat="1" ht="18.75" x14ac:dyDescent="0.3">
      <c r="B6" s="209"/>
      <c r="C6" s="209"/>
      <c r="D6" s="209"/>
      <c r="E6" s="209"/>
      <c r="F6" s="209"/>
    </row>
    <row r="7" spans="1:6" s="115" customFormat="1" ht="31.5" x14ac:dyDescent="0.5">
      <c r="A7" s="114"/>
      <c r="B7" s="363" t="s">
        <v>125</v>
      </c>
      <c r="C7" s="364"/>
      <c r="D7" s="365"/>
    </row>
    <row r="8" spans="1:6" s="119" customFormat="1" ht="31.5" x14ac:dyDescent="0.5">
      <c r="A8" s="116"/>
      <c r="B8" s="117"/>
      <c r="C8" s="202"/>
      <c r="D8" s="118"/>
    </row>
    <row r="9" spans="1:6" s="115" customFormat="1" ht="48" customHeight="1" x14ac:dyDescent="0.5">
      <c r="A9" s="114"/>
      <c r="B9" s="120" t="s">
        <v>126</v>
      </c>
      <c r="C9" s="203"/>
      <c r="D9" s="205"/>
    </row>
    <row r="10" spans="1:6" s="122" customFormat="1" ht="15.75" customHeight="1" x14ac:dyDescent="0.4">
      <c r="A10" s="121"/>
      <c r="B10" s="366"/>
      <c r="C10" s="367"/>
      <c r="D10" s="367"/>
    </row>
    <row r="11" spans="1:6" s="122" customFormat="1" ht="24.75" customHeight="1" x14ac:dyDescent="0.4">
      <c r="A11" s="121"/>
      <c r="B11" s="247"/>
      <c r="C11" s="248"/>
      <c r="D11" s="248"/>
    </row>
    <row r="12" spans="1:6" s="126" customFormat="1" ht="11.25" customHeight="1" x14ac:dyDescent="0.4">
      <c r="A12" s="123"/>
      <c r="B12" s="124"/>
      <c r="C12" s="204"/>
      <c r="D12" s="125"/>
    </row>
    <row r="13" spans="1:6" s="131" customFormat="1" ht="104.25" customHeight="1" x14ac:dyDescent="0.25">
      <c r="A13" s="127"/>
      <c r="B13" s="128" t="s">
        <v>127</v>
      </c>
      <c r="C13" s="129" t="s">
        <v>128</v>
      </c>
      <c r="D13" s="129" t="s">
        <v>129</v>
      </c>
      <c r="E13" s="130"/>
    </row>
    <row r="14" spans="1:6" s="119" customFormat="1" ht="31.5" x14ac:dyDescent="0.5">
      <c r="A14" s="132"/>
      <c r="B14" s="133" t="s">
        <v>130</v>
      </c>
      <c r="C14" s="134"/>
      <c r="D14" s="135"/>
    </row>
    <row r="15" spans="1:6" s="115" customFormat="1" ht="30" hidden="1" customHeight="1" x14ac:dyDescent="0.5">
      <c r="A15" s="136"/>
      <c r="B15" s="137" t="s">
        <v>131</v>
      </c>
      <c r="C15" s="138"/>
      <c r="D15" s="139"/>
      <c r="E15" s="140"/>
    </row>
    <row r="16" spans="1:6" s="119" customFormat="1" ht="30" hidden="1" customHeight="1" x14ac:dyDescent="0.5">
      <c r="A16" s="132"/>
      <c r="B16" s="141" t="s">
        <v>132</v>
      </c>
      <c r="C16" s="142"/>
      <c r="D16" s="143"/>
      <c r="E16" s="144"/>
    </row>
    <row r="17" spans="1:5" s="119" customFormat="1" ht="30" hidden="1" customHeight="1" x14ac:dyDescent="0.5">
      <c r="A17" s="132"/>
      <c r="B17" s="145" t="s">
        <v>133</v>
      </c>
      <c r="C17" s="142"/>
      <c r="D17" s="143"/>
      <c r="E17" s="144"/>
    </row>
    <row r="18" spans="1:5" s="119" customFormat="1" ht="30" hidden="1" customHeight="1" x14ac:dyDescent="0.5">
      <c r="A18" s="132"/>
      <c r="B18" s="141" t="s">
        <v>134</v>
      </c>
      <c r="C18" s="142"/>
      <c r="D18" s="143"/>
      <c r="E18" s="144"/>
    </row>
    <row r="19" spans="1:5" s="119" customFormat="1" ht="30" hidden="1" customHeight="1" x14ac:dyDescent="0.5">
      <c r="A19" s="132"/>
      <c r="B19" s="141" t="s">
        <v>135</v>
      </c>
      <c r="C19" s="142"/>
      <c r="D19" s="143"/>
      <c r="E19" s="144"/>
    </row>
    <row r="20" spans="1:5" s="119" customFormat="1" ht="30" hidden="1" customHeight="1" x14ac:dyDescent="0.5">
      <c r="A20" s="132"/>
      <c r="B20" s="141" t="s">
        <v>136</v>
      </c>
      <c r="C20" s="142"/>
      <c r="D20" s="143"/>
      <c r="E20" s="144"/>
    </row>
    <row r="21" spans="1:5" s="115" customFormat="1" ht="30" customHeight="1" x14ac:dyDescent="0.5">
      <c r="A21" s="136"/>
      <c r="B21" s="146" t="s">
        <v>137</v>
      </c>
      <c r="C21" s="147">
        <v>409880</v>
      </c>
      <c r="D21" s="147">
        <v>318010</v>
      </c>
      <c r="E21" s="140"/>
    </row>
    <row r="22" spans="1:5" s="119" customFormat="1" ht="30" customHeight="1" x14ac:dyDescent="0.5">
      <c r="A22" s="132"/>
      <c r="B22" s="148" t="s">
        <v>138</v>
      </c>
      <c r="C22" s="147">
        <v>0</v>
      </c>
      <c r="D22" s="149">
        <v>0</v>
      </c>
      <c r="E22" s="140"/>
    </row>
    <row r="23" spans="1:5" s="115" customFormat="1" ht="30" customHeight="1" x14ac:dyDescent="0.5">
      <c r="A23" s="136"/>
      <c r="B23" s="133" t="s">
        <v>139</v>
      </c>
      <c r="C23" s="150">
        <f>SUM(C21:C22)</f>
        <v>409880</v>
      </c>
      <c r="D23" s="150">
        <f>SUM(D21:D22)</f>
        <v>318010</v>
      </c>
      <c r="E23" s="140"/>
    </row>
    <row r="24" spans="1:5" s="156" customFormat="1" ht="15" customHeight="1" x14ac:dyDescent="0.5">
      <c r="A24" s="151"/>
      <c r="B24" s="152"/>
      <c r="C24" s="153"/>
      <c r="D24" s="154"/>
      <c r="E24" s="155"/>
    </row>
    <row r="25" spans="1:5" s="156" customFormat="1" ht="30" customHeight="1" x14ac:dyDescent="0.5">
      <c r="A25" s="151"/>
      <c r="B25" s="157" t="s">
        <v>140</v>
      </c>
      <c r="C25" s="153">
        <v>0</v>
      </c>
      <c r="D25" s="154">
        <v>0</v>
      </c>
      <c r="E25" s="155"/>
    </row>
    <row r="26" spans="1:5" s="156" customFormat="1" ht="30" customHeight="1" x14ac:dyDescent="0.5">
      <c r="A26" s="151"/>
      <c r="B26" s="158" t="s">
        <v>80</v>
      </c>
      <c r="C26" s="153">
        <v>0</v>
      </c>
      <c r="D26" s="154">
        <v>0</v>
      </c>
      <c r="E26" s="155"/>
    </row>
    <row r="27" spans="1:5" s="115" customFormat="1" ht="30" customHeight="1" x14ac:dyDescent="0.5">
      <c r="A27" s="136"/>
      <c r="B27" s="159" t="s">
        <v>141</v>
      </c>
      <c r="C27" s="138">
        <f>SUM(C24:C26)</f>
        <v>0</v>
      </c>
      <c r="D27" s="138">
        <f>SUM(D24:D26)</f>
        <v>0</v>
      </c>
      <c r="E27" s="140"/>
    </row>
    <row r="28" spans="1:5" s="119" customFormat="1" ht="30" customHeight="1" x14ac:dyDescent="0.5">
      <c r="A28" s="132"/>
      <c r="B28" s="160" t="s">
        <v>142</v>
      </c>
      <c r="C28" s="161">
        <f>C23+C27</f>
        <v>409880</v>
      </c>
      <c r="D28" s="161">
        <f>D23+D27</f>
        <v>318010</v>
      </c>
      <c r="E28" s="140"/>
    </row>
    <row r="29" spans="1:5" s="156" customFormat="1" ht="27" hidden="1" customHeight="1" x14ac:dyDescent="0.5">
      <c r="A29" s="151"/>
      <c r="B29" s="162" t="s">
        <v>37</v>
      </c>
      <c r="C29" s="163"/>
      <c r="D29" s="164"/>
      <c r="E29" s="165"/>
    </row>
    <row r="30" spans="1:5" s="119" customFormat="1" ht="30" hidden="1" customHeight="1" x14ac:dyDescent="0.5">
      <c r="A30" s="132"/>
      <c r="B30" s="166" t="s">
        <v>143</v>
      </c>
      <c r="C30" s="153"/>
      <c r="D30" s="143"/>
    </row>
    <row r="31" spans="1:5" s="119" customFormat="1" ht="30" hidden="1" customHeight="1" x14ac:dyDescent="0.5">
      <c r="A31" s="132"/>
      <c r="B31" s="167" t="s">
        <v>144</v>
      </c>
      <c r="C31" s="153"/>
      <c r="D31" s="143"/>
    </row>
    <row r="32" spans="1:5" s="119" customFormat="1" ht="30" hidden="1" customHeight="1" x14ac:dyDescent="0.5">
      <c r="A32" s="132"/>
      <c r="B32" s="167" t="s">
        <v>47</v>
      </c>
      <c r="C32" s="153"/>
      <c r="D32" s="143"/>
    </row>
    <row r="33" spans="1:18" s="119" customFormat="1" ht="30" hidden="1" customHeight="1" x14ac:dyDescent="0.5">
      <c r="A33" s="132"/>
      <c r="B33" s="167" t="s">
        <v>145</v>
      </c>
      <c r="C33" s="153"/>
      <c r="D33" s="143"/>
    </row>
    <row r="34" spans="1:18" s="119" customFormat="1" ht="30" hidden="1" customHeight="1" x14ac:dyDescent="0.5">
      <c r="A34" s="132"/>
      <c r="B34" s="167" t="s">
        <v>146</v>
      </c>
      <c r="C34" s="153"/>
      <c r="D34" s="143"/>
    </row>
    <row r="35" spans="1:18" s="119" customFormat="1" ht="30" hidden="1" customHeight="1" x14ac:dyDescent="0.5">
      <c r="A35" s="132"/>
      <c r="B35" s="168" t="s">
        <v>147</v>
      </c>
      <c r="C35" s="153"/>
      <c r="D35" s="143"/>
    </row>
    <row r="36" spans="1:18" s="119" customFormat="1" ht="30" customHeight="1" x14ac:dyDescent="0.5">
      <c r="A36" s="132"/>
      <c r="B36" s="169" t="s">
        <v>148</v>
      </c>
      <c r="C36" s="147">
        <v>507500</v>
      </c>
      <c r="D36" s="147">
        <v>393750</v>
      </c>
      <c r="E36" s="140"/>
    </row>
    <row r="37" spans="1:18" s="119" customFormat="1" ht="7.9" customHeight="1" x14ac:dyDescent="0.5">
      <c r="A37" s="132"/>
      <c r="B37" s="170"/>
      <c r="C37" s="171"/>
      <c r="D37" s="172"/>
    </row>
    <row r="38" spans="1:18" s="119" customFormat="1" ht="30" customHeight="1" x14ac:dyDescent="0.5">
      <c r="A38" s="132"/>
      <c r="B38" s="160" t="s">
        <v>149</v>
      </c>
      <c r="C38" s="161">
        <f>C28-C36</f>
        <v>-97620</v>
      </c>
      <c r="D38" s="161">
        <f>D28-D36</f>
        <v>-75740</v>
      </c>
      <c r="E38" s="140"/>
      <c r="R38" s="290"/>
    </row>
    <row r="39" spans="1:18" s="176" customFormat="1" ht="30" customHeight="1" x14ac:dyDescent="0.5">
      <c r="A39" s="173"/>
      <c r="B39" s="174"/>
      <c r="C39" s="175"/>
      <c r="D39" s="172"/>
      <c r="E39" s="140"/>
    </row>
    <row r="40" spans="1:18" s="115" customFormat="1" ht="30" customHeight="1" x14ac:dyDescent="0.5">
      <c r="A40" s="136"/>
      <c r="B40" s="177" t="s">
        <v>150</v>
      </c>
      <c r="C40" s="143">
        <v>0</v>
      </c>
      <c r="D40" s="143">
        <v>0</v>
      </c>
      <c r="E40" s="140"/>
    </row>
    <row r="41" spans="1:18" s="176" customFormat="1" ht="30" customHeight="1" x14ac:dyDescent="0.5">
      <c r="A41" s="173"/>
      <c r="B41" s="174"/>
      <c r="C41" s="175"/>
      <c r="D41" s="172"/>
      <c r="E41" s="140"/>
    </row>
    <row r="42" spans="1:18" s="119" customFormat="1" ht="30" customHeight="1" thickBot="1" x14ac:dyDescent="0.55000000000000004">
      <c r="A42" s="132"/>
      <c r="B42" s="178" t="s">
        <v>151</v>
      </c>
      <c r="C42" s="179">
        <f>C38+C40</f>
        <v>-97620</v>
      </c>
      <c r="D42" s="179">
        <f>D38+D40</f>
        <v>-75740</v>
      </c>
      <c r="E42" s="140"/>
    </row>
    <row r="43" spans="1:18" s="119" customFormat="1" ht="30" customHeight="1" thickTop="1" x14ac:dyDescent="0.5">
      <c r="A43" s="132"/>
      <c r="B43" s="180"/>
      <c r="C43" s="181"/>
      <c r="D43" s="182"/>
      <c r="E43" s="140"/>
    </row>
    <row r="44" spans="1:18" s="119" customFormat="1" ht="30" customHeight="1" outlineLevel="1" x14ac:dyDescent="0.5">
      <c r="A44" s="132"/>
      <c r="B44" s="183" t="s">
        <v>152</v>
      </c>
      <c r="C44" s="184"/>
      <c r="D44" s="185"/>
      <c r="E44" s="140"/>
    </row>
    <row r="45" spans="1:18" s="115" customFormat="1" ht="30" customHeight="1" outlineLevel="1" x14ac:dyDescent="0.5">
      <c r="A45" s="136"/>
      <c r="B45" s="186" t="s">
        <v>153</v>
      </c>
      <c r="C45" s="187">
        <f t="shared" ref="C45" si="0">C38/C28</f>
        <v>-0.23816726846882014</v>
      </c>
      <c r="D45" s="188">
        <f t="shared" ref="D45" si="1">D38/D28</f>
        <v>-0.23816861104996698</v>
      </c>
      <c r="E45" s="140"/>
    </row>
    <row r="46" spans="1:18" s="193" customFormat="1" ht="30" customHeight="1" outlineLevel="1" thickBot="1" x14ac:dyDescent="0.55000000000000004">
      <c r="A46" s="189"/>
      <c r="B46" s="190" t="s">
        <v>154</v>
      </c>
      <c r="C46" s="191">
        <f t="shared" ref="C46" si="2">C42/(C28+C40)</f>
        <v>-0.23816726846882014</v>
      </c>
      <c r="D46" s="192">
        <f t="shared" ref="D46" si="3">D42/(D28+D40)</f>
        <v>-0.23816861104996698</v>
      </c>
    </row>
    <row r="47" spans="1:18" s="119" customFormat="1" ht="30" customHeight="1" x14ac:dyDescent="0.5">
      <c r="A47" s="116"/>
      <c r="B47" s="194"/>
      <c r="C47" s="194"/>
    </row>
    <row r="48" spans="1:18" s="119" customFormat="1" ht="30" customHeight="1" x14ac:dyDescent="0.5">
      <c r="A48" s="116"/>
      <c r="B48" s="194"/>
      <c r="C48" s="194"/>
    </row>
    <row r="49" spans="2:5" ht="30" customHeight="1" x14ac:dyDescent="0.25"/>
    <row r="50" spans="2:5" ht="30" customHeight="1" x14ac:dyDescent="0.25"/>
    <row r="51" spans="2:5" ht="30" customHeight="1" x14ac:dyDescent="0.25"/>
    <row r="52" spans="2:5" ht="30" customHeight="1" x14ac:dyDescent="0.25"/>
    <row r="53" spans="2:5" ht="30" customHeight="1" x14ac:dyDescent="0.25"/>
    <row r="54" spans="2:5" s="195" customFormat="1" ht="30" customHeight="1" x14ac:dyDescent="0.25">
      <c r="B54" s="196"/>
      <c r="C54" s="196"/>
      <c r="D54" s="22"/>
      <c r="E54" s="22"/>
    </row>
    <row r="55" spans="2:5" s="195" customFormat="1" ht="30" customHeight="1" x14ac:dyDescent="0.25">
      <c r="B55" s="196"/>
      <c r="C55" s="196"/>
      <c r="D55" s="22"/>
      <c r="E55" s="22"/>
    </row>
    <row r="56" spans="2:5" s="195" customFormat="1" ht="30" customHeight="1" x14ac:dyDescent="0.25">
      <c r="B56" s="196"/>
      <c r="C56" s="196"/>
      <c r="D56" s="22"/>
      <c r="E56" s="22"/>
    </row>
    <row r="57" spans="2:5" s="195" customFormat="1" ht="30" customHeight="1" x14ac:dyDescent="0.25">
      <c r="B57" s="196"/>
      <c r="C57" s="196"/>
      <c r="D57" s="22"/>
      <c r="E57" s="22"/>
    </row>
    <row r="58" spans="2:5" s="195" customFormat="1" ht="30" customHeight="1" x14ac:dyDescent="0.25">
      <c r="B58" s="196"/>
      <c r="C58" s="196"/>
      <c r="D58" s="22"/>
      <c r="E58" s="22"/>
    </row>
    <row r="59" spans="2:5" s="195" customFormat="1" ht="30" customHeight="1" x14ac:dyDescent="0.25">
      <c r="B59" s="196"/>
      <c r="C59" s="196"/>
      <c r="D59" s="22"/>
      <c r="E59" s="22"/>
    </row>
    <row r="60" spans="2:5" s="195" customFormat="1" ht="30" customHeight="1" x14ac:dyDescent="0.25">
      <c r="B60" s="196"/>
      <c r="C60" s="196"/>
      <c r="D60" s="22"/>
      <c r="E60" s="22"/>
    </row>
    <row r="61" spans="2:5" s="195" customFormat="1" ht="30" customHeight="1" x14ac:dyDescent="0.25">
      <c r="B61" s="196"/>
      <c r="C61" s="196"/>
      <c r="D61" s="22"/>
      <c r="E61" s="22"/>
    </row>
    <row r="62" spans="2:5" s="195" customFormat="1" ht="30" customHeight="1" x14ac:dyDescent="0.25">
      <c r="B62" s="196"/>
      <c r="C62" s="196"/>
      <c r="D62" s="22"/>
      <c r="E62" s="22"/>
    </row>
    <row r="63" spans="2:5" s="195" customFormat="1" ht="30" customHeight="1" x14ac:dyDescent="0.25">
      <c r="B63" s="196"/>
      <c r="C63" s="196"/>
      <c r="D63" s="22"/>
      <c r="E63" s="22"/>
    </row>
    <row r="64" spans="2:5" s="195" customFormat="1" ht="30" customHeight="1" x14ac:dyDescent="0.25">
      <c r="B64" s="196"/>
      <c r="C64" s="196"/>
      <c r="D64" s="22"/>
      <c r="E64" s="22"/>
    </row>
    <row r="65" spans="1:5" s="195" customFormat="1" ht="30" customHeight="1" x14ac:dyDescent="0.25">
      <c r="B65" s="196"/>
      <c r="C65" s="196"/>
      <c r="D65" s="22"/>
      <c r="E65" s="22"/>
    </row>
    <row r="66" spans="1:5" s="195" customFormat="1" ht="30" customHeight="1" x14ac:dyDescent="0.25">
      <c r="B66" s="196"/>
      <c r="C66" s="196"/>
      <c r="D66" s="22"/>
      <c r="E66" s="22"/>
    </row>
    <row r="67" spans="1:5" s="195" customFormat="1" ht="30" customHeight="1" x14ac:dyDescent="0.25">
      <c r="B67" s="196"/>
      <c r="C67" s="196"/>
      <c r="D67" s="22"/>
      <c r="E67" s="22"/>
    </row>
    <row r="68" spans="1:5" s="195" customFormat="1" ht="30" customHeight="1" x14ac:dyDescent="0.25">
      <c r="B68" s="196"/>
      <c r="C68" s="196"/>
      <c r="D68" s="22"/>
      <c r="E68" s="22"/>
    </row>
    <row r="69" spans="1:5" s="195" customFormat="1" ht="30" customHeight="1" x14ac:dyDescent="0.25">
      <c r="B69" s="196"/>
      <c r="C69" s="196"/>
      <c r="D69" s="22"/>
      <c r="E69" s="22"/>
    </row>
    <row r="70" spans="1:5" ht="30" customHeight="1" x14ac:dyDescent="0.25"/>
    <row r="71" spans="1:5" ht="30" customHeight="1" x14ac:dyDescent="0.25"/>
    <row r="72" spans="1:5" ht="30" customHeight="1" x14ac:dyDescent="0.25"/>
    <row r="73" spans="1:5" ht="30" customHeight="1" x14ac:dyDescent="0.25"/>
    <row r="79" spans="1:5" s="200" customFormat="1" x14ac:dyDescent="0.25">
      <c r="A79" s="197"/>
      <c r="B79" s="198" t="s">
        <v>155</v>
      </c>
      <c r="C79" s="198"/>
      <c r="D79" s="199"/>
    </row>
    <row r="80" spans="1:5" x14ac:dyDescent="0.25">
      <c r="B80" s="201"/>
      <c r="C80" s="201"/>
      <c r="D80" s="200"/>
    </row>
  </sheetData>
  <mergeCells count="5">
    <mergeCell ref="B7:D7"/>
    <mergeCell ref="B10:D10"/>
    <mergeCell ref="B3:D3"/>
    <mergeCell ref="B2:D2"/>
    <mergeCell ref="B4:D4"/>
  </mergeCells>
  <pageMargins left="0.45" right="0.45" top="0.25" bottom="0.5" header="0.3" footer="0.3"/>
  <pageSetup scale="59" orientation="landscape" r:id="rId1"/>
  <headerFooter>
    <oddFooter>&amp;L&amp;16&amp;D, Page &amp;P&amp;C&amp;16Green Mountain Care Board&amp;R&amp;16&amp;F,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16"/>
  <sheetViews>
    <sheetView showGridLines="0" workbookViewId="0">
      <selection activeCell="F10" sqref="F10"/>
    </sheetView>
  </sheetViews>
  <sheetFormatPr defaultColWidth="8.85546875" defaultRowHeight="15" x14ac:dyDescent="0.25"/>
  <cols>
    <col min="1" max="1" width="8.85546875" style="1"/>
    <col min="2" max="2" width="32.28515625" style="42" customWidth="1"/>
    <col min="3" max="4" width="22.28515625" style="42" customWidth="1"/>
    <col min="5" max="5" width="17.5703125" style="42" customWidth="1"/>
    <col min="6" max="6" width="19.5703125" style="42" customWidth="1"/>
    <col min="7" max="16384" width="8.85546875" style="1"/>
  </cols>
  <sheetData>
    <row r="1" spans="2:6" s="106" customFormat="1" x14ac:dyDescent="0.25">
      <c r="B1" s="107"/>
      <c r="C1" s="107"/>
      <c r="D1" s="107"/>
      <c r="E1" s="107"/>
      <c r="F1" s="107"/>
    </row>
    <row r="2" spans="2:6" ht="15.75" x14ac:dyDescent="0.25">
      <c r="B2" s="376" t="s">
        <v>156</v>
      </c>
      <c r="C2" s="376"/>
      <c r="D2" s="376"/>
      <c r="E2" s="376"/>
      <c r="F2" s="376"/>
    </row>
    <row r="3" spans="2:6" ht="18.75" x14ac:dyDescent="0.3">
      <c r="B3" s="377" t="s">
        <v>2</v>
      </c>
      <c r="C3" s="378"/>
      <c r="D3" s="378"/>
      <c r="E3" s="378"/>
      <c r="F3" s="379"/>
    </row>
    <row r="4" spans="2:6" ht="18.75" x14ac:dyDescent="0.3">
      <c r="B4" s="350" t="s">
        <v>157</v>
      </c>
      <c r="C4" s="351"/>
      <c r="D4" s="351"/>
      <c r="E4" s="351"/>
      <c r="F4" s="352"/>
    </row>
    <row r="5" spans="2:6" ht="15.75" x14ac:dyDescent="0.25">
      <c r="B5" s="31"/>
      <c r="C5" s="31"/>
      <c r="D5" s="31"/>
      <c r="E5" s="31"/>
      <c r="F5" s="31"/>
    </row>
    <row r="6" spans="2:6" ht="28.5" customHeight="1" x14ac:dyDescent="0.25">
      <c r="B6" s="375" t="s">
        <v>158</v>
      </c>
      <c r="C6" s="375"/>
      <c r="D6" s="375"/>
      <c r="E6" s="375"/>
      <c r="F6" s="375"/>
    </row>
    <row r="7" spans="2:6" ht="15.75" x14ac:dyDescent="0.25">
      <c r="B7" s="31"/>
      <c r="C7" s="31"/>
      <c r="D7" s="31"/>
      <c r="E7" s="31"/>
      <c r="F7" s="31"/>
    </row>
    <row r="8" spans="2:6" ht="48" customHeight="1" x14ac:dyDescent="0.25">
      <c r="B8" s="32" t="s">
        <v>159</v>
      </c>
      <c r="C8" s="33" t="s">
        <v>160</v>
      </c>
      <c r="D8" s="33" t="s">
        <v>161</v>
      </c>
      <c r="E8" s="33" t="s">
        <v>162</v>
      </c>
      <c r="F8" s="34" t="s">
        <v>163</v>
      </c>
    </row>
    <row r="9" spans="2:6" ht="25.5" customHeight="1" x14ac:dyDescent="0.25">
      <c r="B9" s="35"/>
      <c r="C9" s="36" t="s">
        <v>164</v>
      </c>
      <c r="D9" s="36" t="s">
        <v>165</v>
      </c>
      <c r="E9" s="36" t="s">
        <v>165</v>
      </c>
      <c r="F9" s="37" t="s">
        <v>166</v>
      </c>
    </row>
    <row r="10" spans="2:6" ht="24" customHeight="1" x14ac:dyDescent="0.25">
      <c r="B10" s="38" t="s">
        <v>167</v>
      </c>
      <c r="C10" s="39" t="s">
        <v>265</v>
      </c>
      <c r="D10" s="295">
        <v>2949</v>
      </c>
      <c r="E10" s="295">
        <v>3463232</v>
      </c>
      <c r="F10" s="293">
        <v>350000</v>
      </c>
    </row>
    <row r="11" spans="2:6" ht="15.75" x14ac:dyDescent="0.25">
      <c r="B11" s="38" t="s">
        <v>168</v>
      </c>
      <c r="C11" s="39" t="s">
        <v>264</v>
      </c>
      <c r="D11" s="39"/>
      <c r="E11" s="39"/>
      <c r="F11" s="40"/>
    </row>
    <row r="12" spans="2:6" ht="15.75" x14ac:dyDescent="0.25">
      <c r="B12" s="38" t="s">
        <v>240</v>
      </c>
      <c r="C12" s="39" t="s">
        <v>265</v>
      </c>
      <c r="D12" s="39">
        <v>190</v>
      </c>
      <c r="E12" s="39"/>
      <c r="F12" s="293">
        <v>50000</v>
      </c>
    </row>
    <row r="13" spans="2:6" ht="15.75" x14ac:dyDescent="0.25">
      <c r="B13" s="38" t="s">
        <v>169</v>
      </c>
      <c r="C13" s="39" t="s">
        <v>264</v>
      </c>
      <c r="D13" s="39"/>
      <c r="E13" s="39"/>
      <c r="F13" s="40"/>
    </row>
    <row r="14" spans="2:6" ht="15.75" x14ac:dyDescent="0.25">
      <c r="B14" s="38" t="s">
        <v>170</v>
      </c>
      <c r="C14" s="41"/>
      <c r="D14" s="296">
        <f>SUM(D10:D13)</f>
        <v>3139</v>
      </c>
      <c r="E14" s="296">
        <f>SUM(E10:E13)</f>
        <v>3463232</v>
      </c>
      <c r="F14" s="294">
        <f>SUM(F10:F13)</f>
        <v>400000</v>
      </c>
    </row>
    <row r="15" spans="2:6" ht="15.75" x14ac:dyDescent="0.25">
      <c r="B15" s="31"/>
    </row>
    <row r="16" spans="2:6" ht="15.75" x14ac:dyDescent="0.25">
      <c r="B16" s="43"/>
      <c r="E16" s="44"/>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EE781-23F8-4B9C-A86C-1CCC302AC2C1}">
  <sheetPr>
    <tabColor theme="7"/>
    <pageSetUpPr fitToPage="1"/>
  </sheetPr>
  <dimension ref="B2:K24"/>
  <sheetViews>
    <sheetView showGridLines="0" zoomScale="94" zoomScaleNormal="100" zoomScaleSheetLayoutView="55" workbookViewId="0">
      <selection activeCell="J16" sqref="J16"/>
    </sheetView>
  </sheetViews>
  <sheetFormatPr defaultColWidth="9.140625" defaultRowHeight="15" customHeight="1" x14ac:dyDescent="0.25"/>
  <cols>
    <col min="1" max="1" width="3.5703125" style="104" customWidth="1"/>
    <col min="2" max="2" width="39.7109375" style="104" customWidth="1"/>
    <col min="3" max="3" width="24" style="104" customWidth="1"/>
    <col min="4" max="11" width="22.7109375" style="104" customWidth="1"/>
    <col min="12" max="16384" width="9.140625" style="104"/>
  </cols>
  <sheetData>
    <row r="2" spans="2:11" s="1" customFormat="1" ht="15.75" x14ac:dyDescent="0.25">
      <c r="B2" s="376" t="s">
        <v>171</v>
      </c>
      <c r="C2" s="376"/>
      <c r="D2" s="376"/>
      <c r="E2" s="376"/>
      <c r="F2" s="376"/>
      <c r="G2" s="376"/>
      <c r="H2" s="376"/>
      <c r="I2" s="376"/>
      <c r="J2" s="376"/>
      <c r="K2" s="376"/>
    </row>
    <row r="3" spans="2:11" s="1" customFormat="1" ht="18.75" x14ac:dyDescent="0.3">
      <c r="B3" s="377" t="s">
        <v>172</v>
      </c>
      <c r="C3" s="378"/>
      <c r="D3" s="378"/>
      <c r="E3" s="378"/>
      <c r="F3" s="378"/>
      <c r="G3" s="378"/>
      <c r="H3" s="378"/>
      <c r="I3" s="378"/>
      <c r="J3" s="378"/>
      <c r="K3" s="379"/>
    </row>
    <row r="4" spans="2:11" s="1" customFormat="1" ht="18.75" x14ac:dyDescent="0.3">
      <c r="B4" s="350" t="s">
        <v>173</v>
      </c>
      <c r="C4" s="351"/>
      <c r="D4" s="351"/>
      <c r="E4" s="351"/>
      <c r="F4" s="351"/>
      <c r="G4" s="351"/>
      <c r="H4" s="351"/>
      <c r="I4" s="351"/>
      <c r="J4" s="351"/>
      <c r="K4" s="352"/>
    </row>
    <row r="5" spans="2:11" s="106" customFormat="1" ht="18.75" x14ac:dyDescent="0.3">
      <c r="B5" s="244"/>
      <c r="C5" s="244"/>
      <c r="D5" s="244"/>
      <c r="E5" s="244"/>
      <c r="F5" s="244"/>
      <c r="G5" s="244"/>
      <c r="H5" s="244"/>
      <c r="I5" s="244"/>
      <c r="J5" s="244"/>
      <c r="K5" s="244"/>
    </row>
    <row r="6" spans="2:11" s="106" customFormat="1" ht="18.75" customHeight="1" x14ac:dyDescent="0.25">
      <c r="B6" s="380" t="s">
        <v>247</v>
      </c>
      <c r="C6" s="380"/>
      <c r="D6" s="380"/>
      <c r="E6" s="380"/>
      <c r="F6" s="380"/>
      <c r="G6" s="380"/>
      <c r="H6" s="380"/>
      <c r="I6" s="380"/>
      <c r="J6" s="380"/>
      <c r="K6" s="380"/>
    </row>
    <row r="7" spans="2:11" s="106" customFormat="1" ht="18.75" customHeight="1" x14ac:dyDescent="0.25">
      <c r="B7" s="380"/>
      <c r="C7" s="380"/>
      <c r="D7" s="380"/>
      <c r="E7" s="380"/>
      <c r="F7" s="380"/>
      <c r="G7" s="380"/>
      <c r="H7" s="380"/>
      <c r="I7" s="380"/>
      <c r="J7" s="380"/>
      <c r="K7" s="380"/>
    </row>
    <row r="8" spans="2:11" s="106" customFormat="1" ht="18.75" x14ac:dyDescent="0.3">
      <c r="B8" s="105"/>
      <c r="C8" s="105"/>
      <c r="D8" s="105"/>
      <c r="E8" s="105"/>
      <c r="F8" s="105"/>
      <c r="G8" s="105"/>
      <c r="H8" s="105"/>
    </row>
    <row r="9" spans="2:11" s="249" customFormat="1" x14ac:dyDescent="0.25">
      <c r="B9" s="250"/>
      <c r="D9" s="250"/>
      <c r="E9" s="250"/>
      <c r="F9" s="250"/>
      <c r="G9" s="250"/>
      <c r="H9" s="250"/>
      <c r="I9" s="251"/>
      <c r="J9" s="251"/>
      <c r="K9" s="251"/>
    </row>
    <row r="10" spans="2:11" s="243" customFormat="1" ht="15" customHeight="1" x14ac:dyDescent="0.25">
      <c r="B10" s="381" t="s">
        <v>174</v>
      </c>
      <c r="C10" s="262" t="s">
        <v>175</v>
      </c>
      <c r="D10" s="275" t="s">
        <v>175</v>
      </c>
      <c r="E10" s="257" t="s">
        <v>176</v>
      </c>
      <c r="F10" s="258" t="s">
        <v>177</v>
      </c>
      <c r="G10" s="275" t="s">
        <v>175</v>
      </c>
      <c r="H10" s="257" t="s">
        <v>176</v>
      </c>
      <c r="I10" s="258" t="s">
        <v>177</v>
      </c>
      <c r="J10" s="257" t="s">
        <v>176</v>
      </c>
      <c r="K10" s="258" t="s">
        <v>177</v>
      </c>
    </row>
    <row r="11" spans="2:11" s="243" customFormat="1" ht="15" customHeight="1" x14ac:dyDescent="0.25">
      <c r="B11" s="382"/>
      <c r="C11" s="261" t="s">
        <v>218</v>
      </c>
      <c r="D11" s="383" t="s">
        <v>178</v>
      </c>
      <c r="E11" s="384"/>
      <c r="F11" s="385"/>
      <c r="G11" s="383" t="s">
        <v>179</v>
      </c>
      <c r="H11" s="384"/>
      <c r="I11" s="385"/>
      <c r="J11" s="384" t="s">
        <v>180</v>
      </c>
      <c r="K11" s="385"/>
    </row>
    <row r="12" spans="2:11" ht="15" customHeight="1" x14ac:dyDescent="0.25">
      <c r="B12" s="252" t="s">
        <v>181</v>
      </c>
      <c r="C12" s="259">
        <f t="shared" ref="C12:C22" si="0">+D12+G12</f>
        <v>5148081</v>
      </c>
      <c r="D12" s="281">
        <v>5148081</v>
      </c>
      <c r="E12" s="282">
        <v>6598814</v>
      </c>
      <c r="F12" s="283">
        <v>0</v>
      </c>
      <c r="G12" s="281">
        <v>0</v>
      </c>
      <c r="H12" s="282">
        <v>0</v>
      </c>
      <c r="I12" s="283">
        <v>0</v>
      </c>
      <c r="J12" s="284">
        <v>0</v>
      </c>
      <c r="K12" s="283">
        <v>0</v>
      </c>
    </row>
    <row r="13" spans="2:11" ht="15" customHeight="1" x14ac:dyDescent="0.25">
      <c r="B13" s="252" t="s">
        <v>182</v>
      </c>
      <c r="C13" s="259">
        <f t="shared" si="0"/>
        <v>7100000</v>
      </c>
      <c r="D13" s="281">
        <v>7100000</v>
      </c>
      <c r="E13" s="284">
        <v>0</v>
      </c>
      <c r="F13" s="283">
        <f t="shared" ref="F13:F22" si="1">+D13-E13</f>
        <v>7100000</v>
      </c>
      <c r="G13" s="281">
        <v>0</v>
      </c>
      <c r="H13" s="282">
        <v>0</v>
      </c>
      <c r="I13" s="283">
        <v>5224075.0199999996</v>
      </c>
      <c r="J13" s="284">
        <v>0</v>
      </c>
      <c r="K13" s="283">
        <v>0</v>
      </c>
    </row>
    <row r="14" spans="2:11" ht="15" customHeight="1" x14ac:dyDescent="0.25">
      <c r="B14" s="252" t="s">
        <v>183</v>
      </c>
      <c r="C14" s="259">
        <f t="shared" si="0"/>
        <v>1845950</v>
      </c>
      <c r="D14" s="281">
        <v>1845950</v>
      </c>
      <c r="E14" s="284">
        <v>0</v>
      </c>
      <c r="F14" s="283">
        <f t="shared" si="1"/>
        <v>1845950</v>
      </c>
      <c r="G14" s="281">
        <v>0</v>
      </c>
      <c r="H14" s="282">
        <v>0</v>
      </c>
      <c r="I14" s="283">
        <v>0</v>
      </c>
      <c r="J14" s="284">
        <v>0</v>
      </c>
      <c r="K14" s="283">
        <v>0</v>
      </c>
    </row>
    <row r="15" spans="2:11" ht="15" customHeight="1" x14ac:dyDescent="0.25">
      <c r="B15" s="252" t="s">
        <v>184</v>
      </c>
      <c r="C15" s="259">
        <f t="shared" si="0"/>
        <v>0</v>
      </c>
      <c r="D15" s="282">
        <v>0</v>
      </c>
      <c r="E15" s="284">
        <f>+D15</f>
        <v>0</v>
      </c>
      <c r="F15" s="283">
        <f t="shared" si="1"/>
        <v>0</v>
      </c>
      <c r="G15" s="282">
        <v>0</v>
      </c>
      <c r="H15" s="282">
        <v>0</v>
      </c>
      <c r="I15" s="283">
        <v>0</v>
      </c>
      <c r="J15" s="285">
        <v>0</v>
      </c>
      <c r="K15" s="283">
        <v>0</v>
      </c>
    </row>
    <row r="16" spans="2:11" ht="15" customHeight="1" x14ac:dyDescent="0.25">
      <c r="B16" s="252" t="s">
        <v>185</v>
      </c>
      <c r="C16" s="259">
        <f t="shared" si="0"/>
        <v>232185.41</v>
      </c>
      <c r="D16" s="282">
        <v>232185.41</v>
      </c>
      <c r="E16" s="284">
        <v>208963.24</v>
      </c>
      <c r="F16" s="283">
        <f t="shared" si="1"/>
        <v>23222.170000000013</v>
      </c>
      <c r="G16" s="282">
        <v>0</v>
      </c>
      <c r="H16" s="282">
        <v>0</v>
      </c>
      <c r="I16" s="283">
        <v>23222.170000000013</v>
      </c>
      <c r="J16" s="285">
        <v>23222.170000000013</v>
      </c>
      <c r="K16" s="283">
        <v>0</v>
      </c>
    </row>
    <row r="17" spans="2:11" ht="15" customHeight="1" x14ac:dyDescent="0.25">
      <c r="B17" s="252" t="s">
        <v>186</v>
      </c>
      <c r="C17" s="259">
        <f t="shared" si="0"/>
        <v>855939</v>
      </c>
      <c r="D17" s="282">
        <v>855939</v>
      </c>
      <c r="E17" s="284">
        <f>+D17</f>
        <v>855939</v>
      </c>
      <c r="F17" s="283">
        <f t="shared" si="1"/>
        <v>0</v>
      </c>
      <c r="G17" s="282">
        <v>0</v>
      </c>
      <c r="H17" s="284">
        <v>0</v>
      </c>
      <c r="I17" s="283">
        <v>0</v>
      </c>
      <c r="J17" s="285">
        <v>0</v>
      </c>
      <c r="K17" s="283">
        <v>0</v>
      </c>
    </row>
    <row r="18" spans="2:11" ht="15" customHeight="1" x14ac:dyDescent="0.25">
      <c r="B18" s="252" t="s">
        <v>187</v>
      </c>
      <c r="C18" s="259">
        <f t="shared" si="0"/>
        <v>138261.13</v>
      </c>
      <c r="D18" s="282">
        <v>138261.13</v>
      </c>
      <c r="E18" s="284">
        <f>D18</f>
        <v>138261.13</v>
      </c>
      <c r="F18" s="283">
        <f t="shared" si="1"/>
        <v>0</v>
      </c>
      <c r="G18" s="282">
        <v>0</v>
      </c>
      <c r="H18" s="284">
        <v>0</v>
      </c>
      <c r="I18" s="283">
        <v>0</v>
      </c>
      <c r="J18" s="285">
        <v>0</v>
      </c>
      <c r="K18" s="283">
        <v>0</v>
      </c>
    </row>
    <row r="19" spans="2:11" ht="15" customHeight="1" x14ac:dyDescent="0.25">
      <c r="B19" s="252" t="s">
        <v>188</v>
      </c>
      <c r="C19" s="259">
        <f t="shared" si="0"/>
        <v>0</v>
      </c>
      <c r="D19" s="282">
        <v>0</v>
      </c>
      <c r="E19" s="284">
        <v>0</v>
      </c>
      <c r="F19" s="283">
        <f t="shared" si="1"/>
        <v>0</v>
      </c>
      <c r="G19" s="282">
        <v>0</v>
      </c>
      <c r="H19" s="282">
        <v>0</v>
      </c>
      <c r="I19" s="283">
        <v>0</v>
      </c>
      <c r="J19" s="285">
        <v>0</v>
      </c>
      <c r="K19" s="283">
        <v>0</v>
      </c>
    </row>
    <row r="20" spans="2:11" ht="15" customHeight="1" x14ac:dyDescent="0.25">
      <c r="B20" s="252" t="s">
        <v>219</v>
      </c>
      <c r="C20" s="259">
        <f t="shared" si="0"/>
        <v>0</v>
      </c>
      <c r="D20" s="282">
        <v>0</v>
      </c>
      <c r="E20" s="284">
        <v>0</v>
      </c>
      <c r="F20" s="283">
        <f t="shared" si="1"/>
        <v>0</v>
      </c>
      <c r="G20" s="282">
        <v>0</v>
      </c>
      <c r="H20" s="282">
        <v>0</v>
      </c>
      <c r="I20" s="283">
        <v>0</v>
      </c>
      <c r="J20" s="285">
        <v>0</v>
      </c>
      <c r="K20" s="283">
        <v>0</v>
      </c>
    </row>
    <row r="21" spans="2:11" ht="15" customHeight="1" x14ac:dyDescent="0.25">
      <c r="B21" s="286" t="s">
        <v>257</v>
      </c>
      <c r="C21" s="259">
        <f t="shared" si="0"/>
        <v>66989</v>
      </c>
      <c r="D21" s="282">
        <v>18442</v>
      </c>
      <c r="E21" s="284">
        <f>+D21</f>
        <v>18442</v>
      </c>
      <c r="F21" s="283">
        <f t="shared" si="1"/>
        <v>0</v>
      </c>
      <c r="G21" s="281">
        <v>48547</v>
      </c>
      <c r="H21" s="284">
        <f>+G21</f>
        <v>48547</v>
      </c>
      <c r="I21" s="283">
        <v>0</v>
      </c>
      <c r="J21" s="285">
        <v>0</v>
      </c>
      <c r="K21" s="283">
        <v>0</v>
      </c>
    </row>
    <row r="22" spans="2:11" ht="15" customHeight="1" x14ac:dyDescent="0.25">
      <c r="B22" s="287" t="s">
        <v>258</v>
      </c>
      <c r="C22" s="259">
        <f t="shared" si="0"/>
        <v>84317</v>
      </c>
      <c r="D22" s="288">
        <v>84317</v>
      </c>
      <c r="E22" s="288">
        <f>84317</f>
        <v>84317</v>
      </c>
      <c r="F22" s="289">
        <f t="shared" si="1"/>
        <v>0</v>
      </c>
      <c r="G22" s="288">
        <v>0</v>
      </c>
      <c r="H22" s="288">
        <v>0</v>
      </c>
      <c r="I22" s="283">
        <v>0</v>
      </c>
      <c r="J22" s="288"/>
      <c r="K22" s="289"/>
    </row>
    <row r="23" spans="2:11" ht="15" customHeight="1" thickBot="1" x14ac:dyDescent="0.3">
      <c r="B23" s="253" t="s">
        <v>189</v>
      </c>
      <c r="C23" s="254">
        <f t="shared" ref="C23:K23" si="2">SUM(C12:C22)</f>
        <v>15471722.540000001</v>
      </c>
      <c r="D23" s="260">
        <f t="shared" si="2"/>
        <v>15423175.540000001</v>
      </c>
      <c r="E23" s="255">
        <f t="shared" si="2"/>
        <v>7904736.3700000001</v>
      </c>
      <c r="F23" s="256">
        <f t="shared" si="2"/>
        <v>8969172.1699999999</v>
      </c>
      <c r="G23" s="260">
        <f t="shared" si="2"/>
        <v>48547</v>
      </c>
      <c r="H23" s="255">
        <f t="shared" si="2"/>
        <v>48547</v>
      </c>
      <c r="I23" s="256">
        <f t="shared" si="2"/>
        <v>5247297.1899999995</v>
      </c>
      <c r="J23" s="255">
        <f t="shared" si="2"/>
        <v>23222.170000000013</v>
      </c>
      <c r="K23" s="256">
        <f t="shared" si="2"/>
        <v>0</v>
      </c>
    </row>
    <row r="24" spans="2:11" ht="15" customHeight="1" thickTop="1" x14ac:dyDescent="0.25">
      <c r="B24" s="104" t="s">
        <v>259</v>
      </c>
    </row>
  </sheetData>
  <mergeCells count="8">
    <mergeCell ref="B2:K2"/>
    <mergeCell ref="B3:K3"/>
    <mergeCell ref="B4:K4"/>
    <mergeCell ref="B6:K7"/>
    <mergeCell ref="B10:B11"/>
    <mergeCell ref="D11:F11"/>
    <mergeCell ref="G11:I11"/>
    <mergeCell ref="J11:K11"/>
  </mergeCells>
  <pageMargins left="0.7" right="0.7" top="0.75" bottom="0.75" header="0.3" footer="0.3"/>
  <pageSetup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7" customWidth="1"/>
    <col min="2" max="2" width="13.85546875" style="67" customWidth="1"/>
  </cols>
  <sheetData>
    <row r="2" spans="1:2" x14ac:dyDescent="0.25">
      <c r="A2" s="386" t="s">
        <v>190</v>
      </c>
      <c r="B2" s="386"/>
    </row>
    <row r="3" spans="1:2" ht="15.75" x14ac:dyDescent="0.25">
      <c r="A3" s="387" t="s">
        <v>191</v>
      </c>
      <c r="B3" s="387"/>
    </row>
    <row r="4" spans="1:2" ht="24.6" customHeight="1" x14ac:dyDescent="0.25">
      <c r="A4" s="388" t="s">
        <v>192</v>
      </c>
      <c r="B4" s="388"/>
    </row>
    <row r="5" spans="1:2" x14ac:dyDescent="0.25">
      <c r="A5" s="68" t="s">
        <v>193</v>
      </c>
      <c r="B5" s="69">
        <f>'1. Reconciliation'!C23</f>
        <v>54224080</v>
      </c>
    </row>
    <row r="6" spans="1:2" x14ac:dyDescent="0.25">
      <c r="A6" s="68" t="s">
        <v>194</v>
      </c>
      <c r="B6" s="70">
        <f>'1. Reconciliation'!C26</f>
        <v>4.1105960714512821E-2</v>
      </c>
    </row>
    <row r="7" spans="1:2" x14ac:dyDescent="0.25">
      <c r="A7" s="68" t="s">
        <v>195</v>
      </c>
      <c r="B7" s="70">
        <f>'1. Reconciliation'!C85</f>
        <v>1.3755412459786863E-3</v>
      </c>
    </row>
    <row r="8" spans="1:2" x14ac:dyDescent="0.25">
      <c r="A8" s="71"/>
      <c r="B8" s="72"/>
    </row>
    <row r="9" spans="1:2" x14ac:dyDescent="0.25">
      <c r="A9" s="73" t="s">
        <v>196</v>
      </c>
      <c r="B9" s="74"/>
    </row>
    <row r="10" spans="1:2" ht="39.6" customHeight="1" x14ac:dyDescent="0.25">
      <c r="A10" s="68" t="s">
        <v>23</v>
      </c>
      <c r="B10" s="75">
        <f>+'1. Reconciliation'!C12</f>
        <v>1082173</v>
      </c>
    </row>
    <row r="11" spans="1:2" x14ac:dyDescent="0.25">
      <c r="A11" s="68" t="s">
        <v>24</v>
      </c>
      <c r="B11" s="75">
        <f>+'1. Reconciliation'!C14</f>
        <v>689457</v>
      </c>
    </row>
    <row r="12" spans="1:2" x14ac:dyDescent="0.25">
      <c r="A12" s="68" t="s">
        <v>25</v>
      </c>
      <c r="B12" s="75">
        <f>+'1. Reconciliation'!C16</f>
        <v>0</v>
      </c>
    </row>
    <row r="13" spans="1:2" x14ac:dyDescent="0.25">
      <c r="A13" s="68" t="s">
        <v>26</v>
      </c>
      <c r="B13" s="75">
        <f>+'1. Reconciliation'!C17</f>
        <v>0</v>
      </c>
    </row>
    <row r="14" spans="1:2" ht="44.45" customHeight="1" x14ac:dyDescent="0.25">
      <c r="A14" s="68" t="s">
        <v>27</v>
      </c>
      <c r="B14" s="75">
        <f>+'1. Reconciliation'!C18</f>
        <v>-682201</v>
      </c>
    </row>
    <row r="15" spans="1:2" x14ac:dyDescent="0.25">
      <c r="A15" s="76" t="s">
        <v>197</v>
      </c>
      <c r="B15" s="77">
        <f>SUM(B10:B14)</f>
        <v>1089429</v>
      </c>
    </row>
  </sheetData>
  <mergeCells count="3">
    <mergeCell ref="A2:B2"/>
    <mergeCell ref="A3:B3"/>
    <mergeCell ref="A4:B4"/>
  </mergeCells>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0" ma:contentTypeDescription="Create a new document." ma:contentTypeScope="" ma:versionID="1278417fdb9f8493a22335f0e63ebd5c">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495da0a1964501ca35e461a3d0667575"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D8BEBE-0F29-4D55-84E7-679A65C3B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3.xml><?xml version="1.0" encoding="utf-8"?>
<ds:datastoreItem xmlns:ds="http://schemas.openxmlformats.org/officeDocument/2006/customXml" ds:itemID="{80FDD72E-62BB-4083-B4E4-70A11D422880}">
  <ds:schemaRefs>
    <ds:schemaRef ds:uri="http://schemas.microsoft.com/office/2006/metadata/properties"/>
    <ds:schemaRef ds:uri="http://www.w3.org/XML/1998/namespace"/>
    <ds:schemaRef ds:uri="http://purl.org/dc/dcmitype/"/>
    <ds:schemaRef ds:uri="http://purl.org/dc/elements/1.1/"/>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Overview</vt:lpstr>
      <vt:lpstr>1. Reconciliation</vt:lpstr>
      <vt:lpstr>2. Charge and NPR Detail</vt:lpstr>
      <vt:lpstr>3. Utilization</vt:lpstr>
      <vt:lpstr>4. Inflation</vt:lpstr>
      <vt:lpstr>5. Vaccine Clinics and Testing</vt:lpstr>
      <vt:lpstr>6. Value Based Care Participati</vt:lpstr>
      <vt:lpstr>7. COVID-19 Advances, Relief</vt:lpstr>
      <vt:lpstr>Edit of Request Summary</vt:lpstr>
      <vt:lpstr>Non-Financial- Reimb. Ratio</vt:lpstr>
      <vt:lpstr>'1. Reconciliation'!Print_Area</vt:lpstr>
      <vt:lpstr>'2. Charge and NPR Detail'!Print_Area</vt:lpstr>
      <vt:lpstr>'3. Utilization'!Print_Area</vt:lpstr>
      <vt:lpstr>'4. Inflation'!Print_Area</vt:lpstr>
      <vt:lpstr>'5. Vaccine Clinics and Testing'!Print_Area</vt:lpstr>
      <vt:lpstr>'6.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Perry, Lori</cp:lastModifiedBy>
  <cp:revision/>
  <cp:lastPrinted>2021-03-15T17:17:47Z</cp:lastPrinted>
  <dcterms:created xsi:type="dcterms:W3CDTF">2020-01-09T18:52:12Z</dcterms:created>
  <dcterms:modified xsi:type="dcterms:W3CDTF">2021-07-01T15:11:14Z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