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AOA\GMCB\GMCB - Shared\HCA-Special\HOME\HOSP\B2023\Appendices\"/>
    </mc:Choice>
  </mc:AlternateContent>
  <xr:revisionPtr revIDLastSave="0" documentId="8_{274A5AA0-8CB1-4807-9726-8A79DB6E28D0}" xr6:coauthVersionLast="47" xr6:coauthVersionMax="47" xr10:uidLastSave="{00000000-0000-0000-0000-000000000000}"/>
  <bookViews>
    <workbookView xWindow="-28920" yWindow="15" windowWidth="29040" windowHeight="15840" tabRatio="734" activeTab="5" xr2:uid="{EDA287F5-79D0-4FF5-98F1-6BE045AC2F7D}"/>
  </bookViews>
  <sheets>
    <sheet name="Overview" sheetId="17" r:id="rId1"/>
    <sheet name="1. Reconciliation" sheetId="15" r:id="rId2"/>
    <sheet name="2. Charge and NPR Detail" sheetId="13" r:id="rId3"/>
    <sheet name="3. Utilization" sheetId="7" r:id="rId4"/>
    <sheet name="4. Inflation" sheetId="16" r:id="rId5"/>
    <sheet name="5. Value Based Care Participati" sheetId="8" r:id="rId6"/>
    <sheet name="6. COVID-19 Advances, Relief" sheetId="21" r:id="rId7"/>
    <sheet name="Edit of Request Summary" sheetId="4"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 localSheetId="6">#REF!</definedName>
    <definedName name="\B">#REF!</definedName>
    <definedName name="\D" localSheetId="6">#REF!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localSheetId="6" hidden="1">{"add",#N/A,FALSE,"code"}</definedName>
    <definedName name="Prescriptions" hidden="1">{"add",#N/A,FALSE,"code"}</definedName>
    <definedName name="primtbl">[4]Orientation!$C$23</definedName>
    <definedName name="_xlnm.Print_Area" localSheetId="1">'1. Reconciliation'!$B$6:$O$104</definedName>
    <definedName name="_xlnm.Print_Area" localSheetId="2">'2. Charge and NPR Detail'!$A$2:$H$69</definedName>
    <definedName name="_xlnm.Print_Area" localSheetId="3">'3. Utilization'!$B$1:$D$16</definedName>
    <definedName name="_xlnm.Print_Area" localSheetId="4">'4. Inflation'!$B$1:$D$20</definedName>
    <definedName name="_xlnm.Print_Area" localSheetId="5">'5. Value Based Care Participati'!$B$2:$F$17</definedName>
    <definedName name="_xlnm.Print_Area" localSheetId="0">Overview!$A$1:$B$11</definedName>
    <definedName name="_xlnm.Print_Titles" localSheetId="1">'1. Reconciliation'!$2:$4</definedName>
    <definedName name="_xlnm.Print_Titles" localSheetId="6">#REF!</definedName>
    <definedName name="_xlnm.Print_Titles">#REF!</definedName>
    <definedName name="prof" localSheetId="6">#REF!</definedName>
    <definedName name="prof">#REF!</definedName>
    <definedName name="Rate_nmc" localSheetId="6" hidden="1">#REF!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 localSheetId="6">#REF!</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localSheetId="6" hidden="1">{"add",#N/A,FALSE,"code"}</definedName>
    <definedName name="w" hidden="1">{"add",#N/A,FALSE,"code"}</definedName>
    <definedName name="WC_AR">#REF!</definedName>
    <definedName name="wrn.rep1." localSheetId="6" hidden="1">{"add",#N/A,FALSE,"code"}</definedName>
    <definedName name="wrn.rep1." hidden="1">{"add",#N/A,FALSE,"code"}</definedName>
    <definedName name="wrn.rep1._1" localSheetId="6" hidden="1">{"add",#N/A,FALSE,"code"}</definedName>
    <definedName name="wrn.rep1._1" hidden="1">{"add",#N/A,FALSE,"code"}</definedName>
    <definedName name="x" hidden="1">#REF!</definedName>
    <definedName name="xperiod">[4]Orientation!$G$15</definedName>
    <definedName name="xtabin">[4]Hidden!$D$10:$H$11</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3" i="21" l="1"/>
  <c r="J23" i="21"/>
  <c r="I23" i="21"/>
  <c r="G23" i="21"/>
  <c r="F23" i="21"/>
  <c r="E23" i="21"/>
  <c r="D23" i="21"/>
  <c r="C22" i="21"/>
  <c r="C21" i="21"/>
  <c r="C20" i="21"/>
  <c r="C19" i="21"/>
  <c r="C18" i="21"/>
  <c r="C17" i="21"/>
  <c r="C16" i="21"/>
  <c r="C15" i="21"/>
  <c r="C14" i="21"/>
  <c r="H13" i="21"/>
  <c r="H23" i="21" s="1"/>
  <c r="C13" i="21"/>
  <c r="C12" i="21"/>
  <c r="C23" i="21" l="1"/>
  <c r="C44" i="15"/>
  <c r="C47" i="15"/>
  <c r="C48" i="15"/>
  <c r="C43" i="15"/>
  <c r="C41" i="15"/>
  <c r="C39" i="15"/>
  <c r="C34" i="15"/>
  <c r="C97" i="15" l="1"/>
  <c r="D92" i="15"/>
  <c r="D93" i="15"/>
  <c r="C87" i="15"/>
  <c r="D87" i="15" s="1"/>
  <c r="D47" i="15"/>
  <c r="D41" i="15"/>
  <c r="D42" i="15"/>
  <c r="D43" i="15"/>
  <c r="D44" i="15"/>
  <c r="D45" i="15"/>
  <c r="D46" i="15"/>
  <c r="C35" i="15"/>
  <c r="C38" i="15"/>
  <c r="D37" i="15" l="1"/>
  <c r="C37" i="15"/>
  <c r="G68" i="15"/>
  <c r="F68" i="15"/>
  <c r="E68" i="15"/>
  <c r="D68" i="15"/>
  <c r="G18" i="15" l="1"/>
  <c r="F18" i="15"/>
  <c r="E18" i="15"/>
  <c r="D18" i="15"/>
  <c r="G61" i="15" l="1"/>
  <c r="D13" i="7" l="1"/>
  <c r="C13" i="7" s="1"/>
  <c r="C10" i="7"/>
  <c r="C11" i="7"/>
  <c r="C12" i="7"/>
  <c r="C14" i="7"/>
  <c r="C9" i="7"/>
  <c r="E52" i="13" l="1"/>
  <c r="D66" i="13" l="1"/>
  <c r="H54" i="13"/>
  <c r="E54" i="13" s="1"/>
  <c r="D54" i="13" s="1"/>
  <c r="H53" i="13"/>
  <c r="E53" i="13" s="1"/>
  <c r="D53" i="13" s="1"/>
  <c r="D65" i="13"/>
  <c r="D67" i="13"/>
  <c r="D64" i="13"/>
  <c r="C52" i="13"/>
  <c r="D52" i="13" s="1"/>
  <c r="C53" i="13"/>
  <c r="G11" i="15" l="1"/>
  <c r="E16" i="16" l="1"/>
  <c r="E35" i="13"/>
  <c r="C35" i="13"/>
  <c r="E25" i="13"/>
  <c r="C25" i="13"/>
  <c r="E15" i="13" l="1"/>
  <c r="G81" i="13" s="1"/>
  <c r="G84" i="13" s="1"/>
  <c r="D16" i="16"/>
  <c r="F7" i="16"/>
  <c r="D32" i="15"/>
  <c r="G73" i="15"/>
  <c r="G75" i="15" s="1"/>
  <c r="G76" i="15" s="1"/>
  <c r="G23" i="15"/>
  <c r="G25" i="15" s="1"/>
  <c r="G26" i="15" s="1"/>
  <c r="C64" i="15"/>
  <c r="C63" i="15"/>
  <c r="C62" i="15"/>
  <c r="C13" i="15"/>
  <c r="C12" i="15"/>
  <c r="B10" i="4" s="1"/>
  <c r="F73" i="15"/>
  <c r="F75" i="15" s="1"/>
  <c r="F76" i="15" s="1"/>
  <c r="F23" i="15"/>
  <c r="F25" i="15" s="1"/>
  <c r="F26" i="15" s="1"/>
  <c r="C19" i="15"/>
  <c r="C18" i="15"/>
  <c r="B14" i="4" s="1"/>
  <c r="C17" i="15"/>
  <c r="B13" i="4" s="1"/>
  <c r="C16" i="15"/>
  <c r="B12" i="4" s="1"/>
  <c r="C15" i="15"/>
  <c r="C14" i="15"/>
  <c r="B11" i="4" s="1"/>
  <c r="F15" i="16"/>
  <c r="F14" i="16"/>
  <c r="F13" i="16"/>
  <c r="F12" i="16"/>
  <c r="F11" i="16"/>
  <c r="F10" i="16"/>
  <c r="F9" i="16"/>
  <c r="F8" i="16"/>
  <c r="D41" i="13"/>
  <c r="D69" i="13"/>
  <c r="C69" i="13"/>
  <c r="C59" i="13"/>
  <c r="D59" i="13"/>
  <c r="C15" i="13"/>
  <c r="H69" i="13"/>
  <c r="G69" i="13"/>
  <c r="F69" i="13"/>
  <c r="E68" i="13"/>
  <c r="J59" i="13"/>
  <c r="I59" i="13"/>
  <c r="H59" i="13"/>
  <c r="G59" i="13"/>
  <c r="F59" i="13"/>
  <c r="E59" i="13"/>
  <c r="J45" i="13"/>
  <c r="I45" i="13"/>
  <c r="H45" i="13"/>
  <c r="G45" i="13"/>
  <c r="F45" i="13"/>
  <c r="C45" i="13"/>
  <c r="E44" i="13"/>
  <c r="E45" i="13" s="1"/>
  <c r="D43" i="13"/>
  <c r="D42" i="13"/>
  <c r="C99" i="15"/>
  <c r="D95" i="15"/>
  <c r="D94" i="15"/>
  <c r="D97" i="15"/>
  <c r="F16" i="16" l="1"/>
  <c r="C101" i="15"/>
  <c r="C102" i="15" s="1"/>
  <c r="C73" i="13"/>
  <c r="D73" i="13"/>
  <c r="E69" i="13"/>
  <c r="F73" i="13" s="1"/>
  <c r="D15" i="7"/>
  <c r="C18" i="7" s="1"/>
  <c r="C15" i="7"/>
  <c r="D17" i="7"/>
  <c r="C33" i="15"/>
  <c r="C49" i="15" s="1"/>
  <c r="D91" i="15"/>
  <c r="D96" i="15"/>
  <c r="D98" i="15"/>
  <c r="D48" i="15"/>
  <c r="D40" i="15"/>
  <c r="H73" i="15"/>
  <c r="H75" i="15" s="1"/>
  <c r="H76" i="15" s="1"/>
  <c r="E73" i="15"/>
  <c r="E75" i="15" s="1"/>
  <c r="E76" i="15" s="1"/>
  <c r="D73" i="15"/>
  <c r="D75" i="15" s="1"/>
  <c r="D76" i="15" s="1"/>
  <c r="C72" i="15"/>
  <c r="C71" i="15"/>
  <c r="C70" i="15"/>
  <c r="C69" i="15"/>
  <c r="C68" i="15"/>
  <c r="C67" i="15"/>
  <c r="C66" i="15"/>
  <c r="C65" i="15"/>
  <c r="C61" i="15"/>
  <c r="E23" i="15"/>
  <c r="E25" i="15" s="1"/>
  <c r="E26" i="15" s="1"/>
  <c r="H23" i="15"/>
  <c r="H25" i="15" s="1"/>
  <c r="H26" i="15" s="1"/>
  <c r="D23" i="15"/>
  <c r="D25" i="15" s="1"/>
  <c r="D26" i="15" s="1"/>
  <c r="C20" i="15"/>
  <c r="C21" i="15"/>
  <c r="C22" i="15"/>
  <c r="C11" i="15"/>
  <c r="C74" i="13" s="1"/>
  <c r="C75" i="13" l="1"/>
  <c r="E73" i="13"/>
  <c r="B15" i="4"/>
  <c r="C73" i="15"/>
  <c r="C75" i="15" l="1"/>
  <c r="C23" i="15"/>
  <c r="F74" i="13" l="1"/>
  <c r="F75" i="13" s="1"/>
  <c r="C25" i="15"/>
  <c r="C26" i="15" s="1"/>
  <c r="C76" i="15"/>
  <c r="B7" i="4" s="1"/>
  <c r="B5" i="4"/>
  <c r="D90" i="15"/>
  <c r="D89" i="15"/>
  <c r="D88" i="15"/>
  <c r="D86" i="15"/>
  <c r="D85" i="15"/>
  <c r="D84" i="15"/>
  <c r="D83" i="15"/>
  <c r="D82" i="15"/>
  <c r="D99" i="15" l="1"/>
  <c r="D39" i="15"/>
  <c r="D38" i="15"/>
  <c r="D36" i="15"/>
  <c r="D35" i="15"/>
  <c r="D34" i="15"/>
  <c r="D74" i="13" l="1"/>
  <c r="D75" i="13" s="1"/>
  <c r="D33" i="15"/>
  <c r="D49" i="15" s="1"/>
  <c r="B6" i="4" l="1"/>
  <c r="E74" i="13"/>
  <c r="E75" i="13" s="1"/>
  <c r="C51" i="15"/>
  <c r="C52" i="15" s="1"/>
</calcChain>
</file>

<file path=xl/sharedStrings.xml><?xml version="1.0" encoding="utf-8"?>
<sst xmlns="http://schemas.openxmlformats.org/spreadsheetml/2006/main" count="351" uniqueCount="239">
  <si>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</si>
  <si>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</si>
  <si>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</si>
  <si>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</si>
  <si>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</si>
  <si>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</si>
  <si>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</si>
  <si>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</si>
  <si>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</si>
  <si>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</si>
  <si>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</si>
  <si>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</si>
  <si>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</si>
  <si>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</si>
  <si>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</si>
  <si>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</si>
  <si>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</si>
  <si>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</si>
  <si>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</si>
  <si>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Rate Effect</t>
  </si>
  <si>
    <t>Disproportionate Share Payments (DSH)</t>
  </si>
  <si>
    <t>Utilization (not factoring in change in charge request)</t>
  </si>
  <si>
    <t>Fixed Prospective Payments</t>
  </si>
  <si>
    <t>Provider Acquisitions/Transfers</t>
  </si>
  <si>
    <t>Changes in Accounting</t>
  </si>
  <si>
    <t>Reimbursement/Payer Mix</t>
  </si>
  <si>
    <t>Bad Debt/Free Care</t>
  </si>
  <si>
    <t>Other (specify)</t>
  </si>
  <si>
    <t>Expenses</t>
  </si>
  <si>
    <t>Amount</t>
  </si>
  <si>
    <t>% over/under</t>
  </si>
  <si>
    <t>New Positions</t>
  </si>
  <si>
    <t>Inflation Increases</t>
  </si>
  <si>
    <t>Salaries</t>
  </si>
  <si>
    <t>Fringe</t>
  </si>
  <si>
    <t>Travelers (nurses)</t>
  </si>
  <si>
    <t>Locum tenans (MDs)</t>
  </si>
  <si>
    <t>Drugs</t>
  </si>
  <si>
    <t>Health Care Provider Tax</t>
  </si>
  <si>
    <t>Other (specify, add additional rows as necessary)</t>
  </si>
  <si>
    <t>Projection-to-Budget</t>
  </si>
  <si>
    <t>Projection derived as of:</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</si>
  <si>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</si>
  <si>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</si>
  <si>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</si>
  <si>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</si>
  <si>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</si>
  <si>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</si>
  <si>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</si>
  <si>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</si>
  <si>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</si>
  <si>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</si>
  <si>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</si>
  <si>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</si>
  <si>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</si>
  <si>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</si>
  <si>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</si>
  <si>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</si>
  <si>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</si>
  <si>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</si>
  <si>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</si>
  <si>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</si>
  <si>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</si>
  <si>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</si>
  <si>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</si>
  <si>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</si>
  <si>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</si>
  <si>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</si>
  <si>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</si>
  <si>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</si>
  <si>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</si>
  <si>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</si>
  <si>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</si>
  <si>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FPP ($) Analysis by Payer</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</si>
  <si>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</si>
  <si>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</si>
  <si>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</si>
  <si>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</si>
  <si>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</si>
  <si>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</si>
  <si>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</si>
  <si>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</si>
  <si>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</si>
  <si>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</si>
  <si>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</si>
  <si>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</si>
  <si>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</si>
  <si>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</si>
  <si>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</si>
  <si>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</si>
  <si>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</si>
  <si>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</si>
  <si>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</si>
  <si>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</si>
  <si>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</si>
  <si>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</si>
  <si>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</si>
  <si>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</si>
  <si>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Weighted Average 
(Column C * Column E)</t>
  </si>
  <si>
    <t>Example: Wages/Compensation- Medical Staff</t>
  </si>
  <si>
    <t>This is inflation price effect only, does not account for new hires (volume).</t>
  </si>
  <si>
    <t>Wages/Compensation - Medical Staff</t>
  </si>
  <si>
    <t>Wages/Compensation - Non-Medical Staff</t>
  </si>
  <si>
    <t>Medical Supplies</t>
  </si>
  <si>
    <t>Non-Medical Supplies</t>
  </si>
  <si>
    <t>Other (Please Specify)</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</si>
  <si>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</si>
  <si>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</si>
  <si>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</si>
  <si>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</si>
  <si>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</si>
  <si>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</si>
  <si>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</si>
  <si>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</si>
  <si>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</si>
  <si>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</si>
  <si>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</si>
  <si>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</si>
  <si>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</si>
  <si>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</si>
  <si>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</si>
  <si>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</si>
  <si>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</si>
  <si>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</si>
  <si>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</si>
  <si>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</si>
  <si>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</si>
  <si>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</si>
  <si>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</si>
  <si>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</si>
  <si>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</si>
  <si>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</si>
  <si>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</si>
  <si>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</si>
  <si>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</si>
  <si>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</si>
  <si>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</si>
  <si>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</si>
  <si>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</si>
  <si>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</si>
  <si>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</si>
  <si>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</si>
  <si>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</si>
  <si>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</si>
  <si>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</si>
  <si>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</si>
  <si>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</si>
  <si>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</si>
  <si>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</si>
  <si>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</si>
  <si>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</si>
  <si>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</si>
  <si>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</si>
  <si>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</si>
  <si>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</si>
  <si>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</si>
  <si>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</si>
  <si>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</si>
  <si>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</si>
  <si>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</si>
  <si>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</si>
  <si>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</si>
  <si>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</si>
  <si>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</si>
  <si>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</si>
  <si>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</si>
  <si>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</si>
  <si>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</si>
  <si>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</si>
  <si>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</si>
  <si>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</si>
  <si>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</si>
  <si>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</si>
  <si>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</si>
  <si>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</si>
  <si>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</si>
  <si>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</si>
  <si>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</si>
  <si>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</si>
  <si>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t>Inflation Increases (from Appendix 4. Inflation Price Effect Only)</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</si>
  <si>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</si>
  <si>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</si>
  <si>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Supplies</t>
  </si>
  <si>
    <t>Purchased Services</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</si>
  <si>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</si>
  <si>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</si>
  <si>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</si>
  <si>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</si>
  <si>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</si>
  <si>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</si>
  <si>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</si>
  <si>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</si>
  <si>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</si>
  <si>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</si>
  <si>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</si>
  <si>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</si>
  <si>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</si>
  <si>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</si>
  <si>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</si>
  <si>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</si>
  <si>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</si>
  <si>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</si>
  <si>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</si>
  <si>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</si>
  <si>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</si>
  <si>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</si>
  <si>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</si>
  <si>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EXAMPLE:</t>
  </si>
  <si>
    <t>**Column E should equal 100%</t>
  </si>
  <si>
    <t>Appendix 5: Value-Based Care Participation</t>
  </si>
  <si>
    <t>Appendix 6: COVID-19 Advances, Relief Funds, and Other Grants</t>
  </si>
  <si>
    <t>Category % of Total Operating Expense Budget</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</si>
  <si>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r>
      <rPr>
        <b/>
        <sz val="11"/>
        <color theme="1"/>
        <rFont val="Calibri"/>
        <family val="2"/>
        <scheme val="minor"/>
      </rPr>
      <t>TOTAL of D16 ($ Increase) will populate C33 of Table 2 on the Reconciliation tab with inflation expenses.</t>
    </r>
  </si>
  <si>
    <r>
      <t xml:space="preserve">NOTE: Unless the tax rate has changed, </t>
    </r>
    <r>
      <rPr>
        <u/>
        <sz val="11"/>
        <color theme="1"/>
        <rFont val="Calibri"/>
        <family val="2"/>
      </rPr>
      <t>DO NOT INCLUDE</t>
    </r>
    <r>
      <rPr>
        <sz val="11"/>
        <color theme="1"/>
        <rFont val="Calibri"/>
        <family val="2"/>
      </rPr>
      <t xml:space="preserve"> Provider Tax.</t>
    </r>
  </si>
  <si>
    <r>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r>
    <r>
      <rPr>
        <u/>
        <sz val="11"/>
        <color theme="1"/>
        <rFont val="Calibri"/>
        <family val="2"/>
      </rPr>
      <t>without</t>
    </r>
    <r>
      <rPr>
        <sz val="11"/>
        <color theme="1"/>
        <rFont val="Calibri"/>
        <family val="2"/>
      </rPr>
      <t xml:space="preserve"> the request Rate change. </t>
    </r>
  </si>
  <si>
    <t>FY2023 Budget Reporting Requirements</t>
  </si>
  <si>
    <t>FY22 Budget NPR/FPP</t>
  </si>
  <si>
    <t>Cost Report Settlement</t>
  </si>
  <si>
    <t>No</t>
  </si>
  <si>
    <t>Yes</t>
  </si>
  <si>
    <t>Diagnostic Imaging</t>
  </si>
  <si>
    <t>Operating Room</t>
  </si>
  <si>
    <t>Respiratory</t>
  </si>
  <si>
    <t>Anesthesiologists</t>
  </si>
  <si>
    <t>Medical Surgical and Supplies</t>
  </si>
  <si>
    <t>All Other</t>
  </si>
  <si>
    <t>March 2022 year-to-date</t>
  </si>
  <si>
    <t>Depreciation &amp; Interest</t>
  </si>
  <si>
    <t>Utilities</t>
  </si>
  <si>
    <t>EMR</t>
  </si>
  <si>
    <t>Physician Fees, Salaries, Fringe</t>
  </si>
  <si>
    <t>Management Contracts</t>
  </si>
  <si>
    <t>Other Non-Salary</t>
  </si>
  <si>
    <t>Other (Rent, Purchased Services, etc.)</t>
  </si>
  <si>
    <t>Other (Fuel Oil)</t>
  </si>
  <si>
    <t>Medicare Advance - Repayment</t>
  </si>
  <si>
    <t>VT Medicaid Retainer Funding</t>
  </si>
  <si>
    <t>VAHHS ASPR Grant</t>
  </si>
  <si>
    <t>Federal HHS ARP Rural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</si>
</sst>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sz val="20"/>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
      <u/>
      <sz val="11"/>
      <color theme="1"/>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29">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166" fontId="0" fillId="0" borderId="4" xfId="1" applyNumberFormat="1" applyFont="1" applyBorder="1" applyProtection="1">
      <protection locked="0"/>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9" fontId="4" fillId="0" borderId="0" xfId="3" applyFont="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0" fillId="3" borderId="4" xfId="3" applyNumberFormat="1" applyFont="1" applyFill="1" applyBorder="1"/>
    <xf numFmtId="164" fontId="20"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44" fontId="4" fillId="11" borderId="30" xfId="2" applyFont="1" applyFill="1" applyBorder="1"/>
    <xf numFmtId="44" fontId="4" fillId="11" borderId="14" xfId="2" applyFont="1" applyFill="1" applyBorder="1"/>
    <xf numFmtId="9" fontId="4" fillId="11" borderId="14" xfId="2" applyNumberFormat="1" applyFont="1" applyFill="1" applyBorder="1"/>
    <xf numFmtId="44" fontId="4" fillId="11" borderId="31" xfId="2"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4" fillId="14" borderId="29" xfId="2" applyFont="1" applyFill="1" applyBorder="1" applyAlignment="1">
      <alignment horizontal="center" wrapText="1"/>
    </xf>
    <xf numFmtId="44" fontId="0" fillId="0" borderId="4" xfId="2" applyFont="1" applyBorder="1" applyAlignment="1">
      <alignment horizontal="center" wrapText="1"/>
    </xf>
    <xf numFmtId="0" fontId="21" fillId="15" borderId="4" xfId="0" applyFont="1" applyFill="1" applyBorder="1" applyAlignment="1">
      <alignment wrapText="1"/>
    </xf>
    <xf numFmtId="9" fontId="21" fillId="15" borderId="4" xfId="3" applyFont="1" applyFill="1" applyBorder="1" applyAlignment="1">
      <alignment horizontal="center"/>
    </xf>
    <xf numFmtId="44" fontId="21" fillId="15" borderId="4" xfId="2" applyFont="1" applyFill="1" applyBorder="1" applyAlignment="1">
      <alignment horizontal="center"/>
    </xf>
    <xf numFmtId="9" fontId="21" fillId="15" borderId="4" xfId="3" applyFont="1" applyFill="1" applyBorder="1" applyAlignment="1">
      <alignment horizontal="center" wrapText="1"/>
    </xf>
    <xf numFmtId="164" fontId="21" fillId="15"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2" fillId="0" borderId="34" xfId="0" applyFont="1" applyBorder="1" applyAlignment="1">
      <alignment horizontal="left" indent="3"/>
    </xf>
    <xf numFmtId="0" fontId="2" fillId="0" borderId="18" xfId="0" applyFont="1" applyBorder="1" applyAlignment="1">
      <alignment horizontal="center"/>
    </xf>
    <xf numFmtId="0" fontId="2" fillId="0" borderId="7" xfId="0" applyFont="1" applyBorder="1" applyAlignment="1">
      <alignment horizontal="center"/>
    </xf>
    <xf numFmtId="0" fontId="2" fillId="0" borderId="16" xfId="0" applyFont="1" applyBorder="1" applyAlignment="1">
      <alignment horizontal="center" vertical="center"/>
    </xf>
    <xf numFmtId="0" fontId="2" fillId="0" borderId="35" xfId="0" applyFont="1" applyBorder="1" applyAlignment="1">
      <alignment horizontal="center" vertical="center"/>
    </xf>
    <xf numFmtId="166" fontId="0" fillId="2" borderId="4" xfId="1" applyNumberFormat="1" applyFont="1" applyFill="1" applyBorder="1" applyProtection="1"/>
    <xf numFmtId="9" fontId="4" fillId="6" borderId="4" xfId="3" applyFont="1" applyFill="1" applyBorder="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0" fillId="9" borderId="0" xfId="0" applyFill="1" applyAlignment="1">
      <alignment horizontal="center"/>
    </xf>
    <xf numFmtId="0" fontId="21" fillId="0" borderId="4" xfId="0" applyFont="1" applyBorder="1" applyAlignment="1">
      <alignment horizontal="right"/>
    </xf>
    <xf numFmtId="9" fontId="2" fillId="0" borderId="0" xfId="3" applyFont="1" applyFill="1" applyBorder="1"/>
    <xf numFmtId="0" fontId="0" fillId="0" borderId="0" xfId="0" applyFill="1" applyAlignment="1">
      <alignment horizontal="center"/>
    </xf>
    <xf numFmtId="9" fontId="0" fillId="0" borderId="0" xfId="3" applyFont="1" applyFill="1" applyBorder="1" applyAlignment="1">
      <alignment horizontal="center"/>
    </xf>
    <xf numFmtId="0" fontId="0" fillId="0" borderId="0" xfId="0" applyFill="1"/>
    <xf numFmtId="9" fontId="21" fillId="0" borderId="0" xfId="3" applyFont="1" applyFill="1" applyBorder="1" applyAlignment="1">
      <alignment horizontal="left"/>
    </xf>
    <xf numFmtId="0" fontId="5" fillId="0" borderId="4" xfId="8" applyFont="1" applyBorder="1" applyAlignment="1">
      <alignment horizontal="center"/>
    </xf>
    <xf numFmtId="165" fontId="4" fillId="0" borderId="4" xfId="2" applyNumberFormat="1" applyFont="1" applyBorder="1" applyAlignment="1"/>
    <xf numFmtId="44" fontId="4" fillId="0" borderId="23" xfId="2" applyFont="1" applyBorder="1" applyAlignment="1"/>
    <xf numFmtId="9" fontId="4" fillId="9" borderId="0" xfId="3" applyFont="1" applyFill="1" applyBorder="1"/>
    <xf numFmtId="0" fontId="8" fillId="4" borderId="9" xfId="5" applyFont="1" applyFill="1" applyBorder="1"/>
    <xf numFmtId="0" fontId="8" fillId="0" borderId="9" xfId="5" applyFont="1" applyBorder="1"/>
    <xf numFmtId="0" fontId="8" fillId="0" borderId="37" xfId="5" applyFont="1" applyBorder="1"/>
    <xf numFmtId="0" fontId="8" fillId="0" borderId="38" xfId="5" applyFont="1" applyBorder="1"/>
    <xf numFmtId="0" fontId="8" fillId="0" borderId="39" xfId="5" applyFont="1" applyBorder="1"/>
    <xf numFmtId="0" fontId="8" fillId="0" borderId="40" xfId="5" applyFont="1" applyBorder="1"/>
    <xf numFmtId="0" fontId="2" fillId="0" borderId="0" xfId="0" applyFont="1" applyFill="1" applyBorder="1" applyAlignment="1">
      <alignment horizontal="center"/>
    </xf>
    <xf numFmtId="0" fontId="2" fillId="0" borderId="18" xfId="0" applyFont="1" applyBorder="1" applyAlignment="1">
      <alignment horizontal="center" vertical="center"/>
    </xf>
    <xf numFmtId="0" fontId="18" fillId="9" borderId="0" xfId="0" applyFont="1" applyFill="1"/>
    <xf numFmtId="0" fontId="8" fillId="0" borderId="0" xfId="0" applyFont="1" applyFill="1" applyAlignment="1">
      <alignment vertical="center"/>
    </xf>
    <xf numFmtId="164" fontId="0" fillId="3" borderId="4" xfId="2" applyNumberFormat="1" applyFont="1" applyFill="1" applyBorder="1" applyAlignment="1">
      <alignment horizontal="center"/>
    </xf>
    <xf numFmtId="9" fontId="0" fillId="3" borderId="4" xfId="2" applyNumberFormat="1" applyFont="1" applyFill="1" applyBorder="1" applyAlignment="1">
      <alignment horizontal="center"/>
    </xf>
    <xf numFmtId="165" fontId="0" fillId="3" borderId="4" xfId="3" applyNumberFormat="1" applyFont="1" applyFill="1" applyBorder="1" applyProtection="1">
      <protection locked="0"/>
    </xf>
    <xf numFmtId="165" fontId="0" fillId="0" borderId="4" xfId="3" applyNumberFormat="1" applyFont="1" applyFill="1" applyBorder="1" applyProtection="1">
      <protection locked="0"/>
    </xf>
    <xf numFmtId="165" fontId="0" fillId="0" borderId="4" xfId="2" applyNumberFormat="1" applyFont="1" applyFill="1" applyBorder="1" applyProtection="1">
      <protection locked="0"/>
    </xf>
    <xf numFmtId="165" fontId="0" fillId="0" borderId="4" xfId="1" applyNumberFormat="1" applyFont="1" applyBorder="1" applyProtection="1">
      <protection locked="0"/>
    </xf>
    <xf numFmtId="165" fontId="0" fillId="0" borderId="4" xfId="1" quotePrefix="1" applyNumberFormat="1" applyFont="1" applyBorder="1" applyAlignment="1" applyProtection="1">
      <alignment horizontal="right"/>
      <protection locked="0"/>
    </xf>
    <xf numFmtId="165" fontId="4" fillId="0" borderId="4" xfId="2" applyNumberFormat="1" applyFont="1" applyBorder="1"/>
    <xf numFmtId="166" fontId="4" fillId="0" borderId="4" xfId="1" applyNumberFormat="1" applyFont="1" applyFill="1" applyBorder="1"/>
    <xf numFmtId="166" fontId="4" fillId="0" borderId="4" xfId="1" applyNumberFormat="1" applyFont="1" applyBorder="1"/>
    <xf numFmtId="166" fontId="5" fillId="0" borderId="4" xfId="1" applyNumberFormat="1" applyFont="1" applyBorder="1"/>
    <xf numFmtId="166" fontId="4" fillId="3" borderId="4" xfId="1" applyNumberFormat="1" applyFont="1" applyFill="1" applyBorder="1"/>
    <xf numFmtId="165" fontId="4" fillId="3" borderId="4" xfId="2" applyNumberFormat="1" applyFont="1" applyFill="1" applyBorder="1"/>
    <xf numFmtId="166" fontId="4" fillId="5" borderId="0" xfId="5" applyNumberFormat="1" applyFill="1"/>
    <xf numFmtId="9" fontId="4" fillId="11" borderId="0" xfId="3" applyFont="1" applyFill="1" applyBorder="1"/>
    <xf numFmtId="0" fontId="4" fillId="0" borderId="4" xfId="5" applyFont="1" applyBorder="1"/>
    <xf numFmtId="166" fontId="4" fillId="0" borderId="0" xfId="1" applyNumberFormat="1" applyFont="1"/>
    <xf numFmtId="166" fontId="4" fillId="0" borderId="0" xfId="5" applyNumberFormat="1"/>
    <xf numFmtId="164" fontId="4" fillId="0" borderId="4" xfId="3" applyNumberFormat="1" applyFont="1" applyBorder="1"/>
    <xf numFmtId="164" fontId="24" fillId="3" borderId="4" xfId="3" applyNumberFormat="1" applyFont="1" applyFill="1" applyBorder="1"/>
    <xf numFmtId="10" fontId="4" fillId="0" borderId="4" xfId="3" applyNumberFormat="1" applyFont="1" applyBorder="1"/>
    <xf numFmtId="10" fontId="24" fillId="3" borderId="4" xfId="3" applyNumberFormat="1" applyFont="1" applyFill="1" applyBorder="1"/>
    <xf numFmtId="0" fontId="5" fillId="0" borderId="4" xfId="5" applyFont="1" applyFill="1" applyBorder="1"/>
    <xf numFmtId="0" fontId="6" fillId="0" borderId="0" xfId="0" applyFont="1" applyFill="1"/>
    <xf numFmtId="164" fontId="5" fillId="0" borderId="4" xfId="3" applyNumberFormat="1" applyFont="1" applyBorder="1"/>
    <xf numFmtId="0" fontId="2" fillId="0" borderId="19" xfId="0" applyFont="1" applyBorder="1" applyAlignment="1">
      <alignment horizontal="center" vertical="center"/>
    </xf>
    <xf numFmtId="166" fontId="8" fillId="0" borderId="12" xfId="1" applyNumberFormat="1" applyFont="1" applyBorder="1"/>
    <xf numFmtId="166" fontId="8" fillId="0" borderId="13" xfId="1" applyNumberFormat="1" applyFont="1" applyBorder="1"/>
    <xf numFmtId="0" fontId="8" fillId="0" borderId="11" xfId="5" applyFont="1" applyFill="1" applyBorder="1" applyAlignment="1">
      <alignment horizontal="left" indent="2"/>
    </xf>
    <xf numFmtId="0" fontId="8" fillId="0" borderId="12" xfId="5" applyFont="1" applyFill="1" applyBorder="1"/>
    <xf numFmtId="0" fontId="8" fillId="0" borderId="13" xfId="5" applyFont="1" applyFill="1" applyBorder="1"/>
    <xf numFmtId="0" fontId="8" fillId="0" borderId="5" xfId="5" applyFont="1" applyFill="1" applyBorder="1" applyAlignment="1">
      <alignment horizontal="left" indent="2"/>
    </xf>
    <xf numFmtId="0" fontId="8" fillId="0" borderId="6" xfId="5" applyFont="1" applyFill="1" applyBorder="1"/>
    <xf numFmtId="0" fontId="8" fillId="0" borderId="36" xfId="5" applyFont="1" applyFill="1" applyBorder="1"/>
    <xf numFmtId="9" fontId="0" fillId="0" borderId="0" xfId="3" applyFont="1" applyFill="1" applyBorder="1" applyAlignment="1">
      <alignment horizontal="left"/>
    </xf>
    <xf numFmtId="166" fontId="0" fillId="0" borderId="4" xfId="1" applyNumberFormat="1" applyFont="1" applyFill="1" applyBorder="1" applyProtection="1">
      <protection locked="0"/>
    </xf>
    <xf numFmtId="165" fontId="1" fillId="0" borderId="22" xfId="2" applyNumberFormat="1" applyFont="1" applyFill="1" applyBorder="1"/>
    <xf numFmtId="165" fontId="1" fillId="0" borderId="15" xfId="2" applyNumberFormat="1" applyFont="1" applyFill="1" applyBorder="1"/>
    <xf numFmtId="165" fontId="1" fillId="0" borderId="0" xfId="2" applyNumberFormat="1" applyFont="1" applyFill="1" applyBorder="1"/>
    <xf numFmtId="165" fontId="1" fillId="0" borderId="17" xfId="2" applyNumberFormat="1" applyFont="1" applyFill="1" applyBorder="1"/>
    <xf numFmtId="165" fontId="0" fillId="0" borderId="0" xfId="2" applyNumberFormat="1" applyFont="1" applyFill="1" applyBorder="1"/>
    <xf numFmtId="165" fontId="1" fillId="0" borderId="0" xfId="2" applyNumberFormat="1" applyFont="1"/>
    <xf numFmtId="165" fontId="1" fillId="0" borderId="0" xfId="2" applyNumberFormat="1" applyFont="1" applyBorder="1"/>
    <xf numFmtId="165" fontId="1" fillId="0" borderId="17" xfId="2" applyNumberFormat="1" applyFont="1" applyBorder="1"/>
    <xf numFmtId="165" fontId="1" fillId="0" borderId="14" xfId="2" applyNumberFormat="1" applyFont="1" applyBorder="1"/>
    <xf numFmtId="165" fontId="1" fillId="0" borderId="10" xfId="2" applyNumberFormat="1" applyFont="1" applyBorder="1"/>
    <xf numFmtId="165" fontId="1" fillId="0" borderId="23" xfId="2" applyNumberFormat="1" applyFont="1" applyFill="1" applyBorder="1"/>
    <xf numFmtId="165" fontId="1" fillId="0" borderId="34" xfId="2" applyNumberFormat="1" applyFont="1" applyBorder="1"/>
    <xf numFmtId="165" fontId="1" fillId="0" borderId="32" xfId="2" applyNumberFormat="1" applyFont="1" applyBorder="1"/>
    <xf numFmtId="165" fontId="1" fillId="0" borderId="33" xfId="2" applyNumberFormat="1" applyFont="1" applyBorder="1"/>
    <xf numFmtId="0" fontId="2" fillId="0" borderId="18" xfId="0" applyFont="1" applyFill="1" applyBorder="1" applyAlignment="1">
      <alignment horizontal="center"/>
    </xf>
    <xf numFmtId="0" fontId="2" fillId="0" borderId="7" xfId="0" applyFont="1" applyFill="1" applyBorder="1" applyAlignment="1">
      <alignment horizontal="center"/>
    </xf>
    <xf numFmtId="165" fontId="1" fillId="0" borderId="0" xfId="2" applyNumberFormat="1" applyFont="1" applyFill="1"/>
    <xf numFmtId="165" fontId="1" fillId="0" borderId="14" xfId="2" applyNumberFormat="1" applyFont="1" applyFill="1" applyBorder="1"/>
    <xf numFmtId="165" fontId="1" fillId="0" borderId="10" xfId="2" applyNumberFormat="1" applyFont="1" applyFill="1" applyBorder="1"/>
    <xf numFmtId="165" fontId="1" fillId="0" borderId="32" xfId="2" applyNumberFormat="1" applyFont="1" applyFill="1" applyBorder="1"/>
    <xf numFmtId="165" fontId="1" fillId="0" borderId="33" xfId="2" applyNumberFormat="1" applyFont="1" applyFill="1" applyBorder="1"/>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4" fillId="0" borderId="1" xfId="8" applyBorder="1" applyAlignment="1">
      <alignment horizontal="left"/>
    </xf>
    <xf numFmtId="0" fontId="4" fillId="0" borderId="2" xfId="8" applyBorder="1" applyAlignment="1">
      <alignment horizontal="left"/>
    </xf>
    <xf numFmtId="0" fontId="4" fillId="0" borderId="3" xfId="8" applyBorder="1" applyAlignment="1">
      <alignment horizontal="left"/>
    </xf>
    <xf numFmtId="0" fontId="4" fillId="0" borderId="34" xfId="5" applyBorder="1" applyAlignment="1">
      <alignment horizontal="left"/>
    </xf>
    <xf numFmtId="0" fontId="4" fillId="0" borderId="32" xfId="5" applyBorder="1" applyAlignment="1">
      <alignment horizontal="left"/>
    </xf>
    <xf numFmtId="0" fontId="4" fillId="0" borderId="33" xfId="5" applyBorder="1" applyAlignment="1">
      <alignment horizontal="left"/>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0" borderId="1" xfId="5" applyFont="1" applyBorder="1" applyAlignment="1">
      <alignment horizontal="center" wrapText="1"/>
    </xf>
    <xf numFmtId="0" fontId="5" fillId="0" borderId="3" xfId="5" applyFont="1" applyBorder="1" applyAlignment="1">
      <alignment horizontal="center" wrapText="1"/>
    </xf>
    <xf numFmtId="0" fontId="19"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2" fillId="5" borderId="0" xfId="5" applyFont="1" applyFill="1" applyAlignment="1">
      <alignment horizontal="center" vertical="top"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9">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Normal 2 2" xfId="8" xr:uid="{A8155CDA-6B8A-4C17-BE65-E5EB055003A9}"/>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tyles" Target="styles.xml"/><Relationship Id="rId35"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297571</xdr:colOff>
      <xdr:row>15</xdr:row>
      <xdr:rowOff>139727</xdr:rowOff>
    </xdr:from>
    <xdr:ext cx="2168345" cy="2855356"/>
    <xdr:sp macro="" textlink="">
      <xdr:nvSpPr>
        <xdr:cNvPr id="2" name="Rectangle 1">
          <a:extLst>
            <a:ext uri="{FF2B5EF4-FFF2-40B4-BE49-F238E27FC236}">
              <a16:creationId xmlns:a16="http://schemas.microsoft.com/office/drawing/2014/main" id="{FF30F2DC-1A81-4427-A507-115D92C298F2}"/>
            </a:ext>
          </a:extLst>
        </xdr:cNvPr>
        <xdr:cNvSpPr/>
      </xdr:nvSpPr>
      <xdr:spPr>
        <a:xfrm>
          <a:off x="7906988" y="4066144"/>
          <a:ext cx="2168345" cy="2855356"/>
        </a:xfrm>
        <a:prstGeom prst="rect">
          <a:avLst/>
        </a:prstGeom>
        <a:noFill/>
      </xdr:spPr>
      <xdr:txBody>
        <a:bodyPr wrap="square" lIns="91440" tIns="45720" rIns="91440" bIns="45720">
          <a:noAutofit/>
        </a:bodyPr>
        <a:lstStyle/>
        <a:p>
          <a:pPr algn="ctr"/>
          <a:endParaRPr lang="en-US" sz="239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6</xdr:col>
      <xdr:colOff>2986616</xdr:colOff>
      <xdr:row>47</xdr:row>
      <xdr:rowOff>59267</xdr:rowOff>
    </xdr:to>
    <xdr:pic>
      <xdr:nvPicPr>
        <xdr:cNvPr id="2" name="Picture 1">
          <a:extLst>
            <a:ext uri="{FF2B5EF4-FFF2-40B4-BE49-F238E27FC236}">
              <a16:creationId xmlns:a16="http://schemas.microsoft.com/office/drawing/2014/main" id="{45E4F90D-846B-4774-B9F8-CC6FDF7FF150}"/>
            </a:ext>
          </a:extLst>
        </xdr:cNvPr>
        <xdr:cNvPicPr>
          <a:picLocks noChangeAspect="1"/>
        </xdr:cNvPicPr>
      </xdr:nvPicPr>
      <xdr:blipFill>
        <a:blip xmlns:r="http://schemas.openxmlformats.org/officeDocument/2006/relationships" r:embed="rId1"/>
        <a:stretch>
          <a:fillRect/>
        </a:stretch>
      </xdr:blipFill>
      <xdr:spPr>
        <a:xfrm>
          <a:off x="609600" y="6502400"/>
          <a:ext cx="11675533" cy="4902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C13"/>
  <sheetViews>
    <sheetView workbookViewId="0">
      <selection activeCell="A3" sqref="A3:B3"/>
    </sheetView>
  </sheetViews>
  <sheetFormatPr defaultRowHeight="14.4" x14ac:dyDescent="0.3"/>
  <cols>
    <col min="1" max="1" width="16.33203125" customWidth="1"/>
    <col min="2" max="2" width="66.6640625" style="27" customWidth="1"/>
    <col min="3" max="3" width="17.44140625" customWidth="1"/>
  </cols>
  <sheetData>
    <row r="1" spans="1:3" ht="18" x14ac:dyDescent="0.35">
      <c r="A1" s="244" t="s">
        <v>215</v>
      </c>
      <c r="B1" s="244"/>
    </row>
    <row r="2" spans="1:3" x14ac:dyDescent="0.3">
      <c r="A2" s="245" t="s">
        <v>0</v>
      </c>
      <c r="B2" s="245"/>
    </row>
    <row r="3" spans="1:3" ht="166.95" customHeight="1" x14ac:dyDescent="0.3">
      <c r="A3" s="243" t="s">
        <v>1</v>
      </c>
      <c r="B3" s="243"/>
    </row>
    <row r="4" spans="1:3" x14ac:dyDescent="0.3">
      <c r="B4" s="46"/>
    </row>
    <row r="5" spans="1:3" ht="15.6" x14ac:dyDescent="0.3">
      <c r="A5" s="107" t="s">
        <v>2</v>
      </c>
      <c r="B5" s="26" t="s">
        <v>3</v>
      </c>
      <c r="C5" s="45"/>
    </row>
    <row r="6" spans="1:3" ht="15.6" x14ac:dyDescent="0.3">
      <c r="A6" s="107" t="s">
        <v>2</v>
      </c>
      <c r="B6" s="45" t="s">
        <v>4</v>
      </c>
      <c r="C6" s="45"/>
    </row>
    <row r="7" spans="1:3" ht="15.6" x14ac:dyDescent="0.3">
      <c r="A7" s="106" t="s">
        <v>5</v>
      </c>
      <c r="B7" s="45" t="s">
        <v>6</v>
      </c>
      <c r="C7" s="45"/>
    </row>
    <row r="8" spans="1:3" ht="15.6" x14ac:dyDescent="0.3">
      <c r="A8" s="107" t="s">
        <v>2</v>
      </c>
      <c r="B8" s="26" t="s">
        <v>7</v>
      </c>
      <c r="C8" s="45"/>
    </row>
    <row r="9" spans="1:3" ht="15.6" x14ac:dyDescent="0.3">
      <c r="A9" s="107" t="s">
        <v>2</v>
      </c>
      <c r="B9" s="26" t="s">
        <v>209</v>
      </c>
      <c r="C9" s="45"/>
    </row>
    <row r="10" spans="1:3" ht="15.6" x14ac:dyDescent="0.3">
      <c r="A10" s="107" t="s">
        <v>2</v>
      </c>
      <c r="B10" s="185" t="s">
        <v>210</v>
      </c>
      <c r="C10" s="45"/>
    </row>
    <row r="11" spans="1:3" x14ac:dyDescent="0.3">
      <c r="C11" s="28"/>
    </row>
    <row r="12" spans="1:3" x14ac:dyDescent="0.3">
      <c r="C12" s="28"/>
    </row>
    <row r="13" spans="1:3" x14ac:dyDescent="0.3">
      <c r="C13"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F180-1378-404F-9C48-95730C787581}">
  <sheetPr>
    <tabColor theme="7"/>
  </sheetPr>
  <dimension ref="A2:W103"/>
  <sheetViews>
    <sheetView showGridLines="0" zoomScale="110" zoomScaleNormal="110" zoomScaleSheetLayoutView="80" workbookViewId="0">
      <selection activeCell="C49" sqref="C49"/>
    </sheetView>
  </sheetViews>
  <sheetFormatPr defaultRowHeight="14.4" x14ac:dyDescent="0.3"/>
  <cols>
    <col min="1" max="1" width="14.44140625" customWidth="1"/>
    <col min="2" max="2" width="58.109375" customWidth="1"/>
    <col min="3" max="5" width="16.44140625" customWidth="1"/>
    <col min="6" max="7" width="18.33203125" customWidth="1"/>
    <col min="8" max="8" width="19.6640625" customWidth="1"/>
    <col min="9" max="9" width="16.44140625" customWidth="1"/>
    <col min="10" max="10" width="25.33203125" customWidth="1"/>
    <col min="11" max="11" width="19.6640625" customWidth="1"/>
    <col min="12" max="12" width="16.44140625" customWidth="1"/>
    <col min="13" max="13" width="15.109375" customWidth="1"/>
    <col min="14" max="14" width="24.5546875" customWidth="1"/>
    <col min="16" max="16" width="36" customWidth="1"/>
    <col min="22" max="22" width="15.33203125" bestFit="1" customWidth="1"/>
    <col min="23" max="23" width="10.33203125" bestFit="1" customWidth="1"/>
  </cols>
  <sheetData>
    <row r="2" spans="1:15" x14ac:dyDescent="0.3">
      <c r="B2" s="247" t="s">
        <v>8</v>
      </c>
      <c r="C2" s="247"/>
      <c r="D2" s="247"/>
      <c r="E2" s="247"/>
      <c r="F2" s="247"/>
      <c r="G2" s="247"/>
      <c r="H2" s="247"/>
      <c r="I2" s="247"/>
      <c r="J2" s="247"/>
      <c r="K2" s="247"/>
      <c r="L2" s="247"/>
      <c r="M2" s="247"/>
      <c r="N2" s="247"/>
      <c r="O2" s="247"/>
    </row>
    <row r="3" spans="1:15" ht="21" x14ac:dyDescent="0.4">
      <c r="B3" s="248" t="s">
        <v>9</v>
      </c>
      <c r="C3" s="249"/>
      <c r="D3" s="249"/>
      <c r="E3" s="249"/>
      <c r="F3" s="249"/>
      <c r="G3" s="249"/>
      <c r="H3" s="249"/>
      <c r="I3" s="249"/>
      <c r="J3" s="249"/>
      <c r="K3" s="249"/>
      <c r="L3" s="249"/>
      <c r="M3" s="249"/>
      <c r="N3" s="249"/>
      <c r="O3" s="250"/>
    </row>
    <row r="4" spans="1:15" ht="21" x14ac:dyDescent="0.4">
      <c r="B4" s="254" t="s">
        <v>10</v>
      </c>
      <c r="C4" s="255"/>
      <c r="D4" s="255"/>
      <c r="E4" s="255"/>
      <c r="F4" s="255"/>
      <c r="G4" s="255"/>
      <c r="H4" s="255"/>
      <c r="I4" s="255"/>
      <c r="J4" s="255"/>
      <c r="K4" s="255"/>
      <c r="L4" s="255"/>
      <c r="M4" s="255"/>
      <c r="N4" s="255"/>
      <c r="O4" s="256"/>
    </row>
    <row r="6" spans="1:15" ht="18" x14ac:dyDescent="0.35">
      <c r="B6" s="251" t="s">
        <v>11</v>
      </c>
      <c r="C6" s="252"/>
      <c r="D6" s="252"/>
      <c r="E6" s="252"/>
      <c r="F6" s="252"/>
      <c r="G6" s="252"/>
      <c r="H6" s="252"/>
      <c r="I6" s="252"/>
      <c r="J6" s="252"/>
      <c r="K6" s="252"/>
      <c r="L6" s="252"/>
      <c r="M6" s="252"/>
      <c r="N6" s="252"/>
      <c r="O6" s="253"/>
    </row>
    <row r="7" spans="1:15" s="56" customFormat="1" ht="18" x14ac:dyDescent="0.35">
      <c r="B7" s="55"/>
      <c r="C7" s="55"/>
      <c r="D7" s="55"/>
      <c r="E7" s="55"/>
      <c r="F7" s="55"/>
      <c r="G7" s="55"/>
      <c r="H7" s="55"/>
      <c r="I7" s="55"/>
      <c r="J7" s="55"/>
      <c r="K7" s="55"/>
      <c r="L7" s="55"/>
      <c r="M7" s="55"/>
      <c r="N7" s="55"/>
      <c r="O7" s="55"/>
    </row>
    <row r="8" spans="1:15" ht="18" x14ac:dyDescent="0.35">
      <c r="B8" s="91" t="s">
        <v>155</v>
      </c>
      <c r="C8" s="4"/>
    </row>
    <row r="9" spans="1:15" ht="22.2" customHeight="1" x14ac:dyDescent="0.35">
      <c r="B9" s="4"/>
      <c r="C9" s="4"/>
      <c r="E9" s="84"/>
      <c r="F9" s="84"/>
      <c r="G9" s="84"/>
      <c r="H9" s="84"/>
      <c r="I9" s="84"/>
      <c r="K9" s="28"/>
    </row>
    <row r="10" spans="1:15" s="98" customFormat="1" ht="28.8" x14ac:dyDescent="0.3">
      <c r="B10" s="96" t="s">
        <v>12</v>
      </c>
      <c r="C10" s="96" t="s">
        <v>13</v>
      </c>
      <c r="D10" s="96" t="s">
        <v>14</v>
      </c>
      <c r="E10" s="96" t="s">
        <v>15</v>
      </c>
      <c r="F10" s="96" t="s">
        <v>16</v>
      </c>
      <c r="G10" s="96" t="s">
        <v>17</v>
      </c>
      <c r="H10" s="96" t="s">
        <v>18</v>
      </c>
      <c r="I10" s="97"/>
      <c r="J10" s="99"/>
    </row>
    <row r="11" spans="1:15" x14ac:dyDescent="0.3">
      <c r="B11" s="5" t="s">
        <v>156</v>
      </c>
      <c r="C11" s="89">
        <f>SUM(D11:H11)</f>
        <v>54224079</v>
      </c>
      <c r="D11" s="188">
        <v>18818321</v>
      </c>
      <c r="E11" s="89">
        <v>7176534</v>
      </c>
      <c r="F11" s="89">
        <v>27739650</v>
      </c>
      <c r="G11" s="89">
        <f>2863773-2893771</f>
        <v>-29998</v>
      </c>
      <c r="H11" s="89">
        <v>519572</v>
      </c>
      <c r="J11" s="28"/>
    </row>
    <row r="12" spans="1:15" ht="14.4" customHeight="1" x14ac:dyDescent="0.3">
      <c r="A12" s="257"/>
      <c r="B12" s="8" t="s">
        <v>19</v>
      </c>
      <c r="C12" s="89">
        <f>SUM(D12:H12)</f>
        <v>678887</v>
      </c>
      <c r="D12" s="189"/>
      <c r="E12" s="190"/>
      <c r="F12" s="191">
        <v>678887</v>
      </c>
      <c r="G12" s="191"/>
      <c r="H12" s="191"/>
      <c r="L12" s="22"/>
      <c r="M12" s="23"/>
    </row>
    <row r="13" spans="1:15" x14ac:dyDescent="0.3">
      <c r="A13" s="257"/>
      <c r="B13" s="8" t="s">
        <v>20</v>
      </c>
      <c r="C13" s="89">
        <f>SUM(D13:H13)</f>
        <v>-162128</v>
      </c>
      <c r="D13" s="189"/>
      <c r="E13" s="190"/>
      <c r="F13" s="191"/>
      <c r="G13" s="191"/>
      <c r="H13" s="191">
        <v>-162128</v>
      </c>
      <c r="L13" s="22"/>
      <c r="M13" s="23"/>
    </row>
    <row r="14" spans="1:15" x14ac:dyDescent="0.3">
      <c r="A14" s="257"/>
      <c r="B14" s="8" t="s">
        <v>21</v>
      </c>
      <c r="C14" s="89">
        <f>SUM(D14:H14)</f>
        <v>-334861</v>
      </c>
      <c r="D14" s="189">
        <v>5433392</v>
      </c>
      <c r="E14" s="190">
        <v>-2323797</v>
      </c>
      <c r="F14" s="191">
        <v>-3327252</v>
      </c>
      <c r="G14" s="191">
        <v>-117204</v>
      </c>
      <c r="H14" s="191"/>
      <c r="L14" s="22"/>
      <c r="M14" s="23"/>
    </row>
    <row r="15" spans="1:15" x14ac:dyDescent="0.3">
      <c r="A15" s="257"/>
      <c r="B15" s="8" t="s">
        <v>22</v>
      </c>
      <c r="C15" s="89">
        <f t="shared" ref="C15:C19" si="0">SUM(D15:H15)</f>
        <v>256468</v>
      </c>
      <c r="D15" s="189"/>
      <c r="E15" s="190">
        <v>256468</v>
      </c>
      <c r="F15" s="191"/>
      <c r="G15" s="191"/>
      <c r="H15" s="191"/>
      <c r="L15" s="22"/>
      <c r="M15" s="23"/>
    </row>
    <row r="16" spans="1:15" x14ac:dyDescent="0.3">
      <c r="A16" s="257"/>
      <c r="B16" s="10" t="s">
        <v>23</v>
      </c>
      <c r="C16" s="89">
        <f t="shared" si="0"/>
        <v>0</v>
      </c>
      <c r="D16" s="189"/>
      <c r="E16" s="190"/>
      <c r="F16" s="192"/>
      <c r="G16" s="192"/>
      <c r="H16" s="192"/>
      <c r="L16" s="22"/>
      <c r="M16" s="23"/>
    </row>
    <row r="17" spans="1:23" x14ac:dyDescent="0.3">
      <c r="A17" s="257"/>
      <c r="B17" s="10" t="s">
        <v>24</v>
      </c>
      <c r="C17" s="89">
        <f t="shared" si="0"/>
        <v>1200000</v>
      </c>
      <c r="D17" s="189">
        <v>2400000</v>
      </c>
      <c r="E17" s="190">
        <v>-1100000</v>
      </c>
      <c r="F17" s="191">
        <v>-100000</v>
      </c>
      <c r="G17" s="191"/>
      <c r="H17" s="191"/>
      <c r="L17" s="22"/>
      <c r="M17" s="23"/>
    </row>
    <row r="18" spans="1:23" x14ac:dyDescent="0.3">
      <c r="A18" s="257"/>
      <c r="B18" s="10" t="s">
        <v>25</v>
      </c>
      <c r="C18" s="89">
        <f t="shared" si="0"/>
        <v>1468108</v>
      </c>
      <c r="D18" s="189">
        <f>814898+352168</f>
        <v>1167066</v>
      </c>
      <c r="E18" s="190">
        <f>311761-11960</f>
        <v>299801</v>
      </c>
      <c r="F18" s="191">
        <f>-168227+179540</f>
        <v>11313</v>
      </c>
      <c r="G18" s="191">
        <f>-10724+652</f>
        <v>-10072</v>
      </c>
      <c r="H18" s="191"/>
      <c r="L18" s="22"/>
      <c r="M18" s="23"/>
    </row>
    <row r="19" spans="1:23" x14ac:dyDescent="0.3">
      <c r="A19" s="257"/>
      <c r="B19" s="10" t="s">
        <v>26</v>
      </c>
      <c r="C19" s="89">
        <f t="shared" si="0"/>
        <v>430124</v>
      </c>
      <c r="D19" s="189"/>
      <c r="E19" s="190"/>
      <c r="F19" s="191"/>
      <c r="G19" s="191">
        <v>430124</v>
      </c>
      <c r="H19" s="191"/>
      <c r="L19" s="22"/>
      <c r="M19" s="23"/>
    </row>
    <row r="20" spans="1:23" x14ac:dyDescent="0.3">
      <c r="B20" s="88" t="s">
        <v>217</v>
      </c>
      <c r="C20" s="89">
        <f>SUM(D20:H20)</f>
        <v>250000</v>
      </c>
      <c r="D20" s="189">
        <v>250000</v>
      </c>
      <c r="E20" s="190"/>
      <c r="F20" s="192"/>
      <c r="G20" s="192"/>
      <c r="H20" s="192"/>
      <c r="O20" s="22"/>
      <c r="P20" s="23"/>
    </row>
    <row r="21" spans="1:23" x14ac:dyDescent="0.3">
      <c r="B21" s="88" t="s">
        <v>27</v>
      </c>
      <c r="C21" s="89">
        <f>SUM(D21:H21)</f>
        <v>0</v>
      </c>
      <c r="D21" s="189"/>
      <c r="E21" s="190"/>
      <c r="F21" s="192"/>
      <c r="G21" s="192"/>
      <c r="H21" s="192"/>
      <c r="O21" s="22"/>
      <c r="P21" s="23"/>
    </row>
    <row r="22" spans="1:23" x14ac:dyDescent="0.3">
      <c r="B22" s="88" t="s">
        <v>27</v>
      </c>
      <c r="C22" s="89">
        <f>SUM(D22:H22)</f>
        <v>0</v>
      </c>
      <c r="D22" s="189"/>
      <c r="E22" s="190"/>
      <c r="F22" s="192"/>
      <c r="G22" s="192"/>
      <c r="H22" s="192"/>
      <c r="O22" s="22"/>
      <c r="P22" s="23"/>
    </row>
    <row r="23" spans="1:23" x14ac:dyDescent="0.3">
      <c r="B23" s="11" t="s">
        <v>157</v>
      </c>
      <c r="C23" s="6">
        <f t="shared" ref="C23:H23" si="1">SUM(C11:C22)</f>
        <v>58010677</v>
      </c>
      <c r="D23" s="52">
        <f t="shared" si="1"/>
        <v>28068779</v>
      </c>
      <c r="E23" s="52">
        <f t="shared" si="1"/>
        <v>4309006</v>
      </c>
      <c r="F23" s="52">
        <f t="shared" si="1"/>
        <v>25002598</v>
      </c>
      <c r="G23" s="52">
        <f t="shared" si="1"/>
        <v>272850</v>
      </c>
      <c r="H23" s="52">
        <f t="shared" si="1"/>
        <v>357444</v>
      </c>
      <c r="O23" s="22"/>
      <c r="P23" s="23"/>
    </row>
    <row r="24" spans="1:23" x14ac:dyDescent="0.3">
      <c r="C24" s="14"/>
      <c r="D24" s="15"/>
      <c r="O24" s="22"/>
      <c r="P24" s="23"/>
    </row>
    <row r="25" spans="1:23" x14ac:dyDescent="0.3">
      <c r="B25" s="29" t="s">
        <v>158</v>
      </c>
      <c r="C25" s="64">
        <f>+C23-C11</f>
        <v>3786598</v>
      </c>
      <c r="D25" s="19">
        <f t="shared" ref="D25:H25" si="2">+D23-D11</f>
        <v>9250458</v>
      </c>
      <c r="E25" s="19">
        <f t="shared" si="2"/>
        <v>-2867528</v>
      </c>
      <c r="F25" s="19">
        <f t="shared" si="2"/>
        <v>-2737052</v>
      </c>
      <c r="G25" s="19">
        <f t="shared" si="2"/>
        <v>302848</v>
      </c>
      <c r="H25" s="19">
        <f t="shared" si="2"/>
        <v>-162128</v>
      </c>
      <c r="O25" s="22"/>
      <c r="P25" s="23"/>
    </row>
    <row r="26" spans="1:23" x14ac:dyDescent="0.3">
      <c r="B26" s="53" t="s">
        <v>159</v>
      </c>
      <c r="C26" s="54">
        <f>(C25)/C11</f>
        <v>6.9832407849656608E-2</v>
      </c>
      <c r="D26" s="54">
        <f t="shared" ref="D26:H26" si="3">(D25)/D11</f>
        <v>0.49156659619102044</v>
      </c>
      <c r="E26" s="54">
        <f t="shared" si="3"/>
        <v>-0.39957004314338929</v>
      </c>
      <c r="F26" s="54">
        <f t="shared" si="3"/>
        <v>-9.8669305488713804E-2</v>
      </c>
      <c r="G26" s="54">
        <f t="shared" si="3"/>
        <v>-10.095606373758251</v>
      </c>
      <c r="H26" s="54">
        <f t="shared" si="3"/>
        <v>-0.31204144950074292</v>
      </c>
      <c r="O26" s="22"/>
      <c r="P26" s="23"/>
    </row>
    <row r="27" spans="1:23" x14ac:dyDescent="0.3">
      <c r="B27" s="110"/>
      <c r="C27" s="59"/>
      <c r="D27" s="59"/>
      <c r="E27" s="59"/>
      <c r="F27" s="59"/>
      <c r="G27" s="59"/>
      <c r="H27" s="59"/>
      <c r="O27" s="22"/>
      <c r="P27" s="23"/>
    </row>
    <row r="28" spans="1:23" ht="28.2" customHeight="1" x14ac:dyDescent="0.35">
      <c r="B28" s="91" t="s">
        <v>160</v>
      </c>
      <c r="C28" s="4"/>
      <c r="D28" s="15"/>
      <c r="E28" s="15"/>
      <c r="V28" s="22"/>
      <c r="W28" s="23"/>
    </row>
    <row r="29" spans="1:23" ht="18" x14ac:dyDescent="0.35">
      <c r="B29" s="91"/>
      <c r="C29" s="4"/>
      <c r="D29" s="15"/>
      <c r="E29" s="15"/>
      <c r="V29" s="22"/>
      <c r="W29" s="23"/>
    </row>
    <row r="30" spans="1:23" s="87" customFormat="1" x14ac:dyDescent="0.3">
      <c r="B30" s="93" t="s">
        <v>28</v>
      </c>
      <c r="C30" s="93" t="s">
        <v>29</v>
      </c>
      <c r="D30" s="93" t="s">
        <v>30</v>
      </c>
      <c r="E30" s="167"/>
      <c r="F30" s="168"/>
      <c r="G30" s="168"/>
      <c r="H30" s="168"/>
      <c r="V30" s="94"/>
      <c r="W30" s="95"/>
    </row>
    <row r="31" spans="1:23" x14ac:dyDescent="0.3">
      <c r="B31" s="5" t="s">
        <v>156</v>
      </c>
      <c r="C31" s="89">
        <v>53172793</v>
      </c>
      <c r="D31" s="7"/>
      <c r="E31" s="182"/>
      <c r="F31" s="182"/>
      <c r="G31" s="170"/>
      <c r="H31" s="170"/>
      <c r="V31" s="22"/>
      <c r="W31" s="23"/>
    </row>
    <row r="32" spans="1:23" x14ac:dyDescent="0.3">
      <c r="B32" s="8" t="s">
        <v>31</v>
      </c>
      <c r="C32" s="90">
        <v>280669</v>
      </c>
      <c r="D32" s="9">
        <f>+C32/C$31</f>
        <v>5.2784325246935963E-3</v>
      </c>
      <c r="E32" s="169"/>
      <c r="F32" s="85"/>
      <c r="G32" s="170"/>
      <c r="H32" s="170"/>
      <c r="V32" s="22"/>
    </row>
    <row r="33" spans="2:22" x14ac:dyDescent="0.3">
      <c r="B33" s="166" t="s">
        <v>179</v>
      </c>
      <c r="C33" s="160">
        <f>'4. Inflation'!D16</f>
        <v>930865</v>
      </c>
      <c r="D33" s="9">
        <f t="shared" ref="D33:D48" si="4">+C33/C$31</f>
        <v>1.7506415357944428E-2</v>
      </c>
      <c r="E33" s="171"/>
      <c r="F33" s="85"/>
      <c r="G33" s="170"/>
      <c r="H33" s="170"/>
      <c r="V33" s="22"/>
    </row>
    <row r="34" spans="2:22" x14ac:dyDescent="0.3">
      <c r="B34" s="10" t="s">
        <v>33</v>
      </c>
      <c r="C34" s="90">
        <f>-4773074-C32-'4. Inflation'!D9</f>
        <v>-5364515</v>
      </c>
      <c r="D34" s="9">
        <f t="shared" si="4"/>
        <v>-0.10088834340524486</v>
      </c>
      <c r="E34" s="169"/>
      <c r="F34" s="169"/>
      <c r="G34" s="170"/>
      <c r="H34" s="170"/>
      <c r="V34" s="22"/>
    </row>
    <row r="35" spans="2:22" x14ac:dyDescent="0.3">
      <c r="B35" s="10" t="s">
        <v>34</v>
      </c>
      <c r="C35" s="90">
        <f>-1574617+95300</f>
        <v>-1479317</v>
      </c>
      <c r="D35" s="9">
        <f t="shared" si="4"/>
        <v>-2.7820938426160912E-2</v>
      </c>
      <c r="E35" s="169"/>
      <c r="F35" s="169"/>
      <c r="G35" s="170"/>
      <c r="H35" s="170"/>
      <c r="V35" s="22"/>
    </row>
    <row r="36" spans="2:22" x14ac:dyDescent="0.3">
      <c r="B36" s="10" t="s">
        <v>35</v>
      </c>
      <c r="C36" s="90">
        <v>-24521</v>
      </c>
      <c r="D36" s="9">
        <f t="shared" si="4"/>
        <v>-4.6115689277409218E-4</v>
      </c>
      <c r="E36" s="169"/>
      <c r="F36" s="169"/>
      <c r="G36" s="170"/>
      <c r="H36" s="170"/>
      <c r="V36" s="22"/>
    </row>
    <row r="37" spans="2:22" x14ac:dyDescent="0.3">
      <c r="B37" s="10" t="s">
        <v>230</v>
      </c>
      <c r="C37" s="90">
        <f>49222-C38-'4. Inflation'!D8</f>
        <v>-153071</v>
      </c>
      <c r="D37" s="9">
        <f t="shared" si="4"/>
        <v>-2.8787466552678549E-3</v>
      </c>
      <c r="E37" s="169"/>
      <c r="F37" s="169"/>
      <c r="G37" s="170"/>
      <c r="H37" s="170"/>
      <c r="V37" s="22"/>
    </row>
    <row r="38" spans="2:22" x14ac:dyDescent="0.3">
      <c r="B38" s="10" t="s">
        <v>36</v>
      </c>
      <c r="C38" s="90">
        <f>374600-250000</f>
        <v>124600</v>
      </c>
      <c r="D38" s="9">
        <f t="shared" si="4"/>
        <v>2.3433036515497691E-3</v>
      </c>
      <c r="E38" s="220"/>
      <c r="F38" s="169"/>
      <c r="G38" s="170"/>
      <c r="H38" s="170"/>
      <c r="V38" s="22"/>
    </row>
    <row r="39" spans="2:22" x14ac:dyDescent="0.3">
      <c r="B39" s="10" t="s">
        <v>37</v>
      </c>
      <c r="C39" s="221">
        <f>-623237-'4. Inflation'!D10</f>
        <v>-780252</v>
      </c>
      <c r="D39" s="9">
        <f t="shared" si="4"/>
        <v>-1.4673895350955139E-2</v>
      </c>
      <c r="E39" s="169"/>
      <c r="F39" s="169"/>
      <c r="G39" s="170"/>
      <c r="H39" s="170"/>
    </row>
    <row r="40" spans="2:22" x14ac:dyDescent="0.3">
      <c r="B40" s="10" t="s">
        <v>38</v>
      </c>
      <c r="C40" s="90">
        <v>196875</v>
      </c>
      <c r="D40" s="9">
        <f t="shared" si="4"/>
        <v>3.7025514157211941E-3</v>
      </c>
      <c r="E40" s="169"/>
      <c r="F40" s="169"/>
      <c r="G40" s="170"/>
      <c r="H40" s="170"/>
    </row>
    <row r="41" spans="2:22" x14ac:dyDescent="0.3">
      <c r="B41" s="88" t="s">
        <v>182</v>
      </c>
      <c r="C41" s="90">
        <f>-450927-'4. Inflation'!D11</f>
        <v>-570207</v>
      </c>
      <c r="D41" s="9">
        <f t="shared" si="4"/>
        <v>-1.0723660876719415E-2</v>
      </c>
      <c r="E41" s="169"/>
      <c r="F41" s="169"/>
      <c r="G41" s="170"/>
      <c r="H41" s="170"/>
    </row>
    <row r="42" spans="2:22" x14ac:dyDescent="0.3">
      <c r="B42" s="88" t="s">
        <v>227</v>
      </c>
      <c r="C42" s="90">
        <v>198127</v>
      </c>
      <c r="D42" s="9">
        <f t="shared" si="4"/>
        <v>3.7260972918988851E-3</v>
      </c>
      <c r="E42" s="169"/>
      <c r="F42" s="169"/>
      <c r="G42" s="170"/>
      <c r="H42" s="170"/>
    </row>
    <row r="43" spans="2:22" x14ac:dyDescent="0.3">
      <c r="B43" s="88" t="s">
        <v>228</v>
      </c>
      <c r="C43" s="90">
        <f>229311-'4. Inflation'!D14</f>
        <v>63532</v>
      </c>
      <c r="D43" s="9">
        <f t="shared" si="4"/>
        <v>1.1948215697452642E-3</v>
      </c>
      <c r="E43" s="169"/>
      <c r="F43" s="169"/>
      <c r="G43" s="170"/>
      <c r="H43" s="170"/>
    </row>
    <row r="44" spans="2:22" x14ac:dyDescent="0.3">
      <c r="B44" s="88" t="s">
        <v>232</v>
      </c>
      <c r="C44" s="90">
        <f>-752326-'4. Inflation'!D12</f>
        <v>-839960</v>
      </c>
      <c r="D44" s="9">
        <f t="shared" si="4"/>
        <v>-1.5796800442662472E-2</v>
      </c>
      <c r="E44" s="169"/>
      <c r="F44" s="169"/>
      <c r="G44" s="170"/>
      <c r="H44" s="170"/>
    </row>
    <row r="45" spans="2:22" x14ac:dyDescent="0.3">
      <c r="B45" s="88" t="s">
        <v>229</v>
      </c>
      <c r="C45" s="90">
        <v>900000</v>
      </c>
      <c r="D45" s="9">
        <f t="shared" si="4"/>
        <v>1.6925949329011172E-2</v>
      </c>
      <c r="E45" s="169"/>
      <c r="F45" s="169"/>
      <c r="G45" s="170"/>
      <c r="H45" s="170"/>
    </row>
    <row r="46" spans="2:22" x14ac:dyDescent="0.3">
      <c r="B46" s="88" t="s">
        <v>231</v>
      </c>
      <c r="C46" s="90">
        <v>6720975</v>
      </c>
      <c r="D46" s="9">
        <f t="shared" si="4"/>
        <v>0.12639875810172319</v>
      </c>
      <c r="E46" s="169"/>
      <c r="F46" s="169"/>
      <c r="G46" s="170"/>
      <c r="H46" s="170"/>
    </row>
    <row r="47" spans="2:22" x14ac:dyDescent="0.3">
      <c r="B47" s="88" t="s">
        <v>183</v>
      </c>
      <c r="C47" s="90">
        <f>314480-C45-'4. Inflation'!D13</f>
        <v>-598212</v>
      </c>
      <c r="D47" s="9">
        <f t="shared" si="4"/>
        <v>-1.1250340000007146E-2</v>
      </c>
      <c r="E47" s="169"/>
      <c r="F47" s="169"/>
      <c r="G47" s="170"/>
      <c r="H47" s="170"/>
    </row>
    <row r="48" spans="2:22" x14ac:dyDescent="0.3">
      <c r="B48" s="88" t="s">
        <v>39</v>
      </c>
      <c r="C48" s="221">
        <f>9599-22386</f>
        <v>-12787</v>
      </c>
      <c r="D48" s="9">
        <f t="shared" si="4"/>
        <v>-2.4048012674451763E-4</v>
      </c>
      <c r="E48" s="169"/>
      <c r="F48" s="169"/>
      <c r="G48" s="170"/>
      <c r="H48" s="170"/>
    </row>
    <row r="49" spans="1:23" x14ac:dyDescent="0.3">
      <c r="B49" s="11" t="s">
        <v>157</v>
      </c>
      <c r="C49" s="12">
        <f>SUM(C31:C48)</f>
        <v>52765594</v>
      </c>
      <c r="D49" s="13">
        <f>SUM(D32:D48)</f>
        <v>-7.6580329342488965E-3</v>
      </c>
      <c r="E49" s="169"/>
      <c r="F49" s="169"/>
      <c r="G49" s="170"/>
      <c r="H49" s="170"/>
    </row>
    <row r="50" spans="1:23" x14ac:dyDescent="0.3">
      <c r="B50" s="85"/>
      <c r="C50" s="86"/>
      <c r="D50" s="77"/>
      <c r="E50" s="77"/>
    </row>
    <row r="51" spans="1:23" x14ac:dyDescent="0.3">
      <c r="B51" s="29" t="s">
        <v>158</v>
      </c>
      <c r="C51" s="64">
        <f>+C49-C31</f>
        <v>-407199</v>
      </c>
      <c r="D51" s="77"/>
      <c r="E51" s="77"/>
    </row>
    <row r="52" spans="1:23" x14ac:dyDescent="0.3">
      <c r="B52" s="53" t="s">
        <v>159</v>
      </c>
      <c r="C52" s="54">
        <f>(C51)/C31</f>
        <v>-7.6580329342489121E-3</v>
      </c>
      <c r="D52" s="77"/>
      <c r="E52" s="77"/>
    </row>
    <row r="53" spans="1:23" x14ac:dyDescent="0.3">
      <c r="B53" s="110"/>
      <c r="C53" s="59"/>
      <c r="D53" s="59"/>
      <c r="E53" s="59"/>
      <c r="F53" s="59"/>
      <c r="G53" s="59"/>
      <c r="H53" s="59"/>
      <c r="O53" s="22"/>
      <c r="P53" s="23"/>
    </row>
    <row r="55" spans="1:23" ht="18" x14ac:dyDescent="0.35">
      <c r="B55" s="251" t="s">
        <v>40</v>
      </c>
      <c r="C55" s="252"/>
      <c r="D55" s="252"/>
      <c r="E55" s="252"/>
      <c r="F55" s="252"/>
      <c r="G55" s="252"/>
      <c r="H55" s="252"/>
      <c r="I55" s="252"/>
      <c r="J55" s="252"/>
      <c r="K55" s="252"/>
      <c r="L55" s="252"/>
      <c r="M55" s="252"/>
      <c r="N55" s="252"/>
      <c r="O55" s="253"/>
      <c r="V55" s="22"/>
      <c r="W55" s="23"/>
    </row>
    <row r="56" spans="1:23" x14ac:dyDescent="0.3">
      <c r="B56" s="17"/>
    </row>
    <row r="57" spans="1:23" ht="18" x14ac:dyDescent="0.35">
      <c r="B57" s="91" t="s">
        <v>161</v>
      </c>
      <c r="C57" s="4"/>
    </row>
    <row r="58" spans="1:23" ht="18" x14ac:dyDescent="0.35">
      <c r="B58" s="91"/>
      <c r="C58" s="4"/>
    </row>
    <row r="59" spans="1:23" ht="18" x14ac:dyDescent="0.35">
      <c r="B59" s="91" t="s">
        <v>41</v>
      </c>
      <c r="C59" s="209" t="s">
        <v>226</v>
      </c>
    </row>
    <row r="60" spans="1:23" s="87" customFormat="1" ht="28.8" x14ac:dyDescent="0.3">
      <c r="B60" s="92" t="s">
        <v>12</v>
      </c>
      <c r="C60" s="92" t="s">
        <v>13</v>
      </c>
      <c r="D60" s="92" t="s">
        <v>14</v>
      </c>
      <c r="E60" s="92" t="s">
        <v>15</v>
      </c>
      <c r="F60" s="92" t="s">
        <v>16</v>
      </c>
      <c r="G60" s="92" t="s">
        <v>17</v>
      </c>
      <c r="H60" s="92" t="s">
        <v>18</v>
      </c>
    </row>
    <row r="61" spans="1:23" x14ac:dyDescent="0.3">
      <c r="B61" s="5" t="s">
        <v>162</v>
      </c>
      <c r="C61" s="89">
        <f>SUM(D61:H61)</f>
        <v>56996381</v>
      </c>
      <c r="D61" s="188">
        <v>27180396</v>
      </c>
      <c r="E61" s="89">
        <v>4640179</v>
      </c>
      <c r="F61" s="89">
        <v>24439213</v>
      </c>
      <c r="G61" s="89">
        <f>2753140+-2528467</f>
        <v>224673</v>
      </c>
      <c r="H61" s="89">
        <v>511920</v>
      </c>
    </row>
    <row r="62" spans="1:23" ht="14.4" customHeight="1" x14ac:dyDescent="0.3">
      <c r="A62" s="246"/>
      <c r="B62" s="8" t="s">
        <v>19</v>
      </c>
      <c r="C62" s="89">
        <f>SUM(D62:H62)</f>
        <v>679157</v>
      </c>
      <c r="D62" s="189"/>
      <c r="E62" s="190"/>
      <c r="F62" s="191">
        <v>679157</v>
      </c>
      <c r="G62" s="191"/>
      <c r="H62" s="191"/>
      <c r="L62" s="22"/>
      <c r="M62" s="23"/>
    </row>
    <row r="63" spans="1:23" x14ac:dyDescent="0.3">
      <c r="A63" s="246"/>
      <c r="B63" s="8" t="s">
        <v>20</v>
      </c>
      <c r="C63" s="89">
        <f>SUM(D63:H63)</f>
        <v>-154476</v>
      </c>
      <c r="D63" s="189"/>
      <c r="E63" s="190"/>
      <c r="F63" s="191"/>
      <c r="G63" s="191"/>
      <c r="H63" s="191">
        <v>-154476</v>
      </c>
      <c r="L63" s="22"/>
      <c r="M63" s="23"/>
    </row>
    <row r="64" spans="1:23" x14ac:dyDescent="0.3">
      <c r="A64" s="246"/>
      <c r="B64" s="8" t="s">
        <v>21</v>
      </c>
      <c r="C64" s="89">
        <f>SUM(D64:H64)</f>
        <v>19283</v>
      </c>
      <c r="D64" s="189">
        <v>385982</v>
      </c>
      <c r="E64" s="190">
        <v>-233937</v>
      </c>
      <c r="F64" s="191">
        <v>-116150</v>
      </c>
      <c r="G64" s="191">
        <v>-16612</v>
      </c>
      <c r="H64" s="191"/>
      <c r="L64" s="22"/>
      <c r="M64" s="23"/>
    </row>
    <row r="65" spans="1:23" x14ac:dyDescent="0.3">
      <c r="A65" s="246"/>
      <c r="B65" s="8" t="s">
        <v>22</v>
      </c>
      <c r="C65" s="89">
        <f t="shared" ref="C65:C72" si="5">SUM(D65:H65)</f>
        <v>-100000</v>
      </c>
      <c r="D65" s="189"/>
      <c r="E65" s="190">
        <v>-100000</v>
      </c>
      <c r="F65" s="191"/>
      <c r="G65" s="191"/>
      <c r="H65" s="191"/>
      <c r="L65" s="22"/>
      <c r="M65" s="23"/>
    </row>
    <row r="66" spans="1:23" x14ac:dyDescent="0.3">
      <c r="B66" s="10" t="s">
        <v>23</v>
      </c>
      <c r="C66" s="89">
        <f t="shared" si="5"/>
        <v>0</v>
      </c>
      <c r="D66" s="189"/>
      <c r="E66" s="190"/>
      <c r="F66" s="192"/>
      <c r="G66" s="192"/>
      <c r="H66" s="192"/>
      <c r="L66" s="22"/>
      <c r="M66" s="23"/>
    </row>
    <row r="67" spans="1:23" x14ac:dyDescent="0.3">
      <c r="B67" s="10" t="s">
        <v>24</v>
      </c>
      <c r="C67" s="89">
        <f t="shared" si="5"/>
        <v>0</v>
      </c>
      <c r="D67" s="189"/>
      <c r="E67" s="190"/>
      <c r="F67" s="191"/>
      <c r="G67" s="191"/>
      <c r="H67" s="191"/>
      <c r="L67" s="22"/>
      <c r="M67" s="23"/>
    </row>
    <row r="68" spans="1:23" x14ac:dyDescent="0.3">
      <c r="B68" s="10" t="s">
        <v>25</v>
      </c>
      <c r="C68" s="89">
        <f t="shared" si="5"/>
        <v>5512</v>
      </c>
      <c r="D68" s="189">
        <f>1655+746</f>
        <v>2401</v>
      </c>
      <c r="E68" s="190">
        <f>2552+212</f>
        <v>2764</v>
      </c>
      <c r="F68" s="191">
        <f>301+77</f>
        <v>378</v>
      </c>
      <c r="G68" s="191">
        <f>-37+6</f>
        <v>-31</v>
      </c>
      <c r="H68" s="191"/>
      <c r="L68" s="22"/>
      <c r="M68" s="23"/>
    </row>
    <row r="69" spans="1:23" x14ac:dyDescent="0.3">
      <c r="B69" s="10" t="s">
        <v>26</v>
      </c>
      <c r="C69" s="89">
        <f t="shared" si="5"/>
        <v>64820</v>
      </c>
      <c r="D69" s="189"/>
      <c r="E69" s="190"/>
      <c r="F69" s="191"/>
      <c r="G69" s="191">
        <v>64820</v>
      </c>
      <c r="H69" s="191"/>
      <c r="L69" s="22"/>
      <c r="M69" s="23"/>
    </row>
    <row r="70" spans="1:23" x14ac:dyDescent="0.3">
      <c r="B70" s="88" t="s">
        <v>217</v>
      </c>
      <c r="C70" s="89">
        <f t="shared" si="5"/>
        <v>500000</v>
      </c>
      <c r="D70" s="189">
        <v>500000</v>
      </c>
      <c r="E70" s="190"/>
      <c r="F70" s="192"/>
      <c r="G70" s="192"/>
      <c r="H70" s="192"/>
      <c r="L70" s="22"/>
      <c r="M70" s="23"/>
    </row>
    <row r="71" spans="1:23" x14ac:dyDescent="0.3">
      <c r="B71" s="88" t="s">
        <v>27</v>
      </c>
      <c r="C71" s="89">
        <f t="shared" si="5"/>
        <v>0</v>
      </c>
      <c r="D71" s="189"/>
      <c r="E71" s="190"/>
      <c r="F71" s="192"/>
      <c r="G71" s="192"/>
      <c r="H71" s="192"/>
      <c r="L71" s="22"/>
      <c r="M71" s="23"/>
    </row>
    <row r="72" spans="1:23" x14ac:dyDescent="0.3">
      <c r="B72" s="88" t="s">
        <v>27</v>
      </c>
      <c r="C72" s="89">
        <f t="shared" si="5"/>
        <v>0</v>
      </c>
      <c r="D72" s="189"/>
      <c r="E72" s="190"/>
      <c r="F72" s="192"/>
      <c r="G72" s="192"/>
      <c r="H72" s="192"/>
      <c r="L72" s="22"/>
      <c r="M72" s="23"/>
    </row>
    <row r="73" spans="1:23" x14ac:dyDescent="0.3">
      <c r="B73" s="11" t="s">
        <v>157</v>
      </c>
      <c r="C73" s="6">
        <f t="shared" ref="C73:H73" si="6">SUM(C61:C72)</f>
        <v>58010677</v>
      </c>
      <c r="D73" s="52">
        <f t="shared" si="6"/>
        <v>28068779</v>
      </c>
      <c r="E73" s="52">
        <f t="shared" si="6"/>
        <v>4309006</v>
      </c>
      <c r="F73" s="52">
        <f t="shared" si="6"/>
        <v>25002598</v>
      </c>
      <c r="G73" s="52">
        <f t="shared" si="6"/>
        <v>272850</v>
      </c>
      <c r="H73" s="52">
        <f t="shared" si="6"/>
        <v>357444</v>
      </c>
      <c r="L73" s="22"/>
      <c r="M73" s="23"/>
    </row>
    <row r="74" spans="1:23" x14ac:dyDescent="0.3">
      <c r="C74" s="14"/>
      <c r="D74" s="15"/>
      <c r="L74" s="22"/>
      <c r="M74" s="23"/>
    </row>
    <row r="75" spans="1:23" x14ac:dyDescent="0.3">
      <c r="B75" s="29" t="s">
        <v>165</v>
      </c>
      <c r="C75" s="64">
        <f>+C73-C61</f>
        <v>1014296</v>
      </c>
      <c r="D75" s="64">
        <f t="shared" ref="D75:E75" si="7">+D73-D61</f>
        <v>888383</v>
      </c>
      <c r="E75" s="64">
        <f t="shared" si="7"/>
        <v>-331173</v>
      </c>
      <c r="F75" s="19">
        <f>+F73-F61</f>
        <v>563385</v>
      </c>
      <c r="G75" s="19">
        <f>+G73-G61</f>
        <v>48177</v>
      </c>
      <c r="H75" s="19">
        <f>+H73-H61</f>
        <v>-154476</v>
      </c>
      <c r="L75" s="22"/>
      <c r="M75" s="23"/>
    </row>
    <row r="76" spans="1:23" x14ac:dyDescent="0.3">
      <c r="B76" s="53" t="s">
        <v>164</v>
      </c>
      <c r="C76" s="54">
        <f>(C75)/C61</f>
        <v>1.7795796543643709E-2</v>
      </c>
      <c r="D76" s="54">
        <f t="shared" ref="D76:H76" si="8">(D75)/D61</f>
        <v>3.2684696720386264E-2</v>
      </c>
      <c r="E76" s="54">
        <f t="shared" si="8"/>
        <v>-7.1370738068509854E-2</v>
      </c>
      <c r="F76" s="54">
        <f t="shared" si="8"/>
        <v>2.3052501731541029E-2</v>
      </c>
      <c r="G76" s="54">
        <f t="shared" si="8"/>
        <v>0.21443164065107956</v>
      </c>
      <c r="H76" s="54">
        <f t="shared" si="8"/>
        <v>-0.30175808720112518</v>
      </c>
      <c r="L76" s="22"/>
      <c r="M76" s="23"/>
    </row>
    <row r="77" spans="1:23" x14ac:dyDescent="0.3">
      <c r="B77" s="110"/>
      <c r="C77" s="59"/>
      <c r="D77" s="15"/>
      <c r="E77" s="15"/>
      <c r="K77" s="23"/>
      <c r="L77" s="23"/>
      <c r="M77" s="14"/>
      <c r="N77" s="24"/>
      <c r="V77" s="22"/>
      <c r="W77" s="23"/>
    </row>
    <row r="78" spans="1:23" ht="19.95" customHeight="1" x14ac:dyDescent="0.35">
      <c r="B78" s="91" t="s">
        <v>163</v>
      </c>
      <c r="C78" s="4"/>
      <c r="D78" s="15"/>
      <c r="E78" s="15"/>
      <c r="V78" s="22"/>
      <c r="W78" s="23"/>
    </row>
    <row r="79" spans="1:23" ht="18" x14ac:dyDescent="0.35">
      <c r="B79" s="91"/>
      <c r="C79" s="4"/>
      <c r="D79" s="15"/>
      <c r="E79" s="15"/>
      <c r="V79" s="22"/>
      <c r="W79" s="23"/>
    </row>
    <row r="80" spans="1:23" x14ac:dyDescent="0.3">
      <c r="B80" s="93" t="s">
        <v>28</v>
      </c>
      <c r="C80" s="93" t="s">
        <v>29</v>
      </c>
      <c r="D80" s="93" t="s">
        <v>30</v>
      </c>
      <c r="E80" s="60"/>
      <c r="V80" s="22"/>
      <c r="W80" s="23"/>
    </row>
    <row r="81" spans="2:23" x14ac:dyDescent="0.3">
      <c r="B81" s="5" t="s">
        <v>162</v>
      </c>
      <c r="C81" s="89">
        <v>56720881</v>
      </c>
      <c r="D81" s="7"/>
      <c r="E81" s="59"/>
      <c r="V81" s="22"/>
      <c r="W81" s="23"/>
    </row>
    <row r="82" spans="2:23" x14ac:dyDescent="0.3">
      <c r="B82" s="8" t="s">
        <v>31</v>
      </c>
      <c r="C82" s="90">
        <v>0</v>
      </c>
      <c r="D82" s="9">
        <f>+C82/C$31</f>
        <v>0</v>
      </c>
      <c r="E82" s="61"/>
      <c r="V82" s="22"/>
    </row>
    <row r="83" spans="2:23" x14ac:dyDescent="0.3">
      <c r="B83" s="10" t="s">
        <v>32</v>
      </c>
      <c r="C83" s="221">
        <v>0</v>
      </c>
      <c r="D83" s="9">
        <f t="shared" ref="D83:D98" si="9">+C83/C$31</f>
        <v>0</v>
      </c>
      <c r="E83" s="61"/>
      <c r="V83" s="22"/>
    </row>
    <row r="84" spans="2:23" x14ac:dyDescent="0.3">
      <c r="B84" s="10" t="s">
        <v>33</v>
      </c>
      <c r="C84" s="90">
        <v>652954</v>
      </c>
      <c r="D84" s="9">
        <f t="shared" si="9"/>
        <v>1.2279851464639068E-2</v>
      </c>
      <c r="E84" s="61"/>
      <c r="V84" s="22"/>
    </row>
    <row r="85" spans="2:23" x14ac:dyDescent="0.3">
      <c r="B85" s="10" t="s">
        <v>34</v>
      </c>
      <c r="C85" s="90">
        <v>-708721</v>
      </c>
      <c r="D85" s="9">
        <f t="shared" si="9"/>
        <v>-1.3328639704895697E-2</v>
      </c>
      <c r="E85" s="61"/>
      <c r="V85" s="22"/>
    </row>
    <row r="86" spans="2:23" x14ac:dyDescent="0.3">
      <c r="B86" s="10" t="s">
        <v>35</v>
      </c>
      <c r="C86" s="90">
        <v>-927251</v>
      </c>
      <c r="D86" s="9">
        <f t="shared" si="9"/>
        <v>-1.7438448268083266E-2</v>
      </c>
      <c r="E86" s="61"/>
      <c r="V86" s="22"/>
    </row>
    <row r="87" spans="2:23" x14ac:dyDescent="0.3">
      <c r="B87" s="10" t="s">
        <v>230</v>
      </c>
      <c r="C87" s="90">
        <f>-1563899-C88</f>
        <v>-313268</v>
      </c>
      <c r="D87" s="9">
        <f t="shared" si="9"/>
        <v>-5.8915092160007464E-3</v>
      </c>
      <c r="E87" s="61"/>
      <c r="V87" s="22"/>
    </row>
    <row r="88" spans="2:23" x14ac:dyDescent="0.3">
      <c r="B88" s="10" t="s">
        <v>36</v>
      </c>
      <c r="C88" s="90">
        <v>-1250631</v>
      </c>
      <c r="D88" s="9">
        <f t="shared" si="9"/>
        <v>-2.3520129928100635E-2</v>
      </c>
      <c r="E88" s="61"/>
      <c r="V88" s="22"/>
    </row>
    <row r="89" spans="2:23" x14ac:dyDescent="0.3">
      <c r="B89" s="10" t="s">
        <v>37</v>
      </c>
      <c r="C89" s="90">
        <v>-268636</v>
      </c>
      <c r="D89" s="9">
        <f t="shared" si="9"/>
        <v>-5.0521325821647175E-3</v>
      </c>
      <c r="E89" s="61"/>
    </row>
    <row r="90" spans="2:23" x14ac:dyDescent="0.3">
      <c r="B90" s="10" t="s">
        <v>38</v>
      </c>
      <c r="C90" s="90">
        <v>-230991</v>
      </c>
      <c r="D90" s="9">
        <f t="shared" si="9"/>
        <v>-4.3441577349529106E-3</v>
      </c>
      <c r="E90" s="61"/>
    </row>
    <row r="91" spans="2:23" x14ac:dyDescent="0.3">
      <c r="B91" s="88" t="s">
        <v>182</v>
      </c>
      <c r="C91" s="90">
        <v>-201627</v>
      </c>
      <c r="D91" s="9">
        <f t="shared" si="9"/>
        <v>-3.7919204281783732E-3</v>
      </c>
      <c r="E91" s="61"/>
    </row>
    <row r="92" spans="2:23" x14ac:dyDescent="0.3">
      <c r="B92" s="88" t="s">
        <v>227</v>
      </c>
      <c r="C92" s="90">
        <v>510044</v>
      </c>
      <c r="D92" s="9">
        <f t="shared" si="9"/>
        <v>9.59219877729575E-3</v>
      </c>
      <c r="E92" s="61"/>
    </row>
    <row r="93" spans="2:23" x14ac:dyDescent="0.3">
      <c r="B93" s="88" t="s">
        <v>228</v>
      </c>
      <c r="C93" s="90">
        <v>132413</v>
      </c>
      <c r="D93" s="9">
        <f t="shared" si="9"/>
        <v>2.4902396983359516E-3</v>
      </c>
      <c r="E93" s="61"/>
    </row>
    <row r="94" spans="2:23" x14ac:dyDescent="0.3">
      <c r="B94" s="88" t="s">
        <v>232</v>
      </c>
      <c r="C94" s="90">
        <v>-1328853</v>
      </c>
      <c r="D94" s="9">
        <f t="shared" ref="D94:D95" si="10">+C94/C$31</f>
        <v>-2.4991220604116095E-2</v>
      </c>
      <c r="E94" s="61"/>
    </row>
    <row r="95" spans="2:23" x14ac:dyDescent="0.3">
      <c r="B95" s="88" t="s">
        <v>229</v>
      </c>
      <c r="C95" s="90">
        <v>900000</v>
      </c>
      <c r="D95" s="9">
        <f t="shared" si="10"/>
        <v>1.6925949329011172E-2</v>
      </c>
      <c r="E95" s="61"/>
    </row>
    <row r="96" spans="2:23" x14ac:dyDescent="0.3">
      <c r="B96" s="88" t="s">
        <v>231</v>
      </c>
      <c r="C96" s="90">
        <v>272593</v>
      </c>
      <c r="D96" s="9">
        <f t="shared" si="9"/>
        <v>5.1265503393812693E-3</v>
      </c>
      <c r="E96" s="61"/>
    </row>
    <row r="97" spans="2:16" x14ac:dyDescent="0.3">
      <c r="B97" s="88" t="s">
        <v>183</v>
      </c>
      <c r="C97" s="90">
        <f>-281934-C95-1</f>
        <v>-1181935</v>
      </c>
      <c r="D97" s="9">
        <f t="shared" ref="D97" si="11">+C97/C$31</f>
        <v>-2.2228191022427578E-2</v>
      </c>
      <c r="E97" s="61"/>
    </row>
    <row r="98" spans="2:16" x14ac:dyDescent="0.3">
      <c r="B98" s="88" t="s">
        <v>39</v>
      </c>
      <c r="C98" s="90">
        <v>-11378</v>
      </c>
      <c r="D98" s="9">
        <f t="shared" si="9"/>
        <v>-2.1398161273943235E-4</v>
      </c>
      <c r="E98" s="61"/>
    </row>
    <row r="99" spans="2:16" x14ac:dyDescent="0.3">
      <c r="B99" s="11" t="s">
        <v>157</v>
      </c>
      <c r="C99" s="12">
        <f>SUM(C81:C98)</f>
        <v>52765594</v>
      </c>
      <c r="D99" s="13">
        <f>SUM(D82:D98)</f>
        <v>-7.4385541492996241E-2</v>
      </c>
      <c r="E99" s="61"/>
    </row>
    <row r="100" spans="2:16" x14ac:dyDescent="0.3">
      <c r="E100" s="56"/>
    </row>
    <row r="101" spans="2:16" x14ac:dyDescent="0.3">
      <c r="B101" s="29" t="s">
        <v>165</v>
      </c>
      <c r="C101" s="64">
        <f>+C99-C81</f>
        <v>-3955287</v>
      </c>
      <c r="E101" s="56"/>
    </row>
    <row r="102" spans="2:16" x14ac:dyDescent="0.3">
      <c r="B102" s="53" t="s">
        <v>164</v>
      </c>
      <c r="C102" s="54">
        <f>(C101)/C81</f>
        <v>-6.9732467660366559E-2</v>
      </c>
      <c r="E102" s="56"/>
    </row>
    <row r="103" spans="2:16" x14ac:dyDescent="0.3">
      <c r="B103" s="110"/>
      <c r="C103" s="59"/>
      <c r="D103" s="59"/>
      <c r="E103" s="59"/>
      <c r="F103" s="59"/>
      <c r="G103" s="59"/>
      <c r="H103" s="59"/>
      <c r="O103" s="22"/>
      <c r="P103" s="23"/>
    </row>
  </sheetData>
  <mergeCells count="7">
    <mergeCell ref="A62:A65"/>
    <mergeCell ref="B2:O2"/>
    <mergeCell ref="B3:O3"/>
    <mergeCell ref="B6:O6"/>
    <mergeCell ref="B4:O4"/>
    <mergeCell ref="B55:O55"/>
    <mergeCell ref="A12:A19"/>
  </mergeCells>
  <pageMargins left="0.7" right="0.7" top="0.5" bottom="0.5" header="0.3" footer="0.3"/>
  <pageSetup scale="48" fitToHeight="4" orientation="landscape" r:id="rId1"/>
  <headerFooter>
    <oddFooter>&amp;L&amp;D&amp;R&amp;F,&amp;A</oddFooter>
  </headerFooter>
  <rowBreaks count="1" manualBreakCount="1">
    <brk id="54" min="1" max="12" man="1"/>
  </rowBreaks>
  <ignoredErrors>
    <ignoredError sqref="C48 C87 C97 C38 C35 C34 C36:C37 C39:C4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theme="7"/>
    <pageSetUpPr fitToPage="1"/>
  </sheetPr>
  <dimension ref="B2:K87"/>
  <sheetViews>
    <sheetView showGridLines="0" zoomScale="120" zoomScaleNormal="120" workbookViewId="0">
      <selection activeCell="J45" sqref="J45"/>
    </sheetView>
  </sheetViews>
  <sheetFormatPr defaultColWidth="8.88671875" defaultRowHeight="14.4" x14ac:dyDescent="0.3"/>
  <cols>
    <col min="1" max="1" width="6.5546875" style="1" customWidth="1"/>
    <col min="2" max="2" width="34.88671875" style="1" customWidth="1"/>
    <col min="3" max="3" width="19.44140625" style="1" customWidth="1"/>
    <col min="4" max="7" width="17.6640625" style="1" customWidth="1"/>
    <col min="8" max="8" width="17.6640625" style="62" customWidth="1"/>
    <col min="9" max="11" width="17.6640625" style="1" customWidth="1"/>
    <col min="12" max="16384" width="8.88671875" style="1"/>
  </cols>
  <sheetData>
    <row r="2" spans="2:9" x14ac:dyDescent="0.3">
      <c r="B2" s="247" t="s">
        <v>42</v>
      </c>
      <c r="C2" s="247"/>
      <c r="D2" s="247"/>
      <c r="E2" s="247"/>
      <c r="F2" s="247"/>
      <c r="G2" s="247"/>
      <c r="H2" s="247"/>
      <c r="I2" s="247"/>
    </row>
    <row r="3" spans="2:9" ht="18" x14ac:dyDescent="0.35">
      <c r="B3" s="281" t="s">
        <v>9</v>
      </c>
      <c r="C3" s="282"/>
      <c r="D3" s="282"/>
      <c r="E3" s="282"/>
      <c r="F3" s="282"/>
      <c r="G3" s="282"/>
      <c r="H3" s="282"/>
      <c r="I3" s="283"/>
    </row>
    <row r="4" spans="2:9" ht="18" x14ac:dyDescent="0.35">
      <c r="B4" s="284" t="s">
        <v>43</v>
      </c>
      <c r="C4" s="285"/>
      <c r="D4" s="285"/>
      <c r="E4" s="285"/>
      <c r="F4" s="285"/>
      <c r="G4" s="285"/>
      <c r="H4" s="285"/>
      <c r="I4" s="286"/>
    </row>
    <row r="5" spans="2:9" ht="34.950000000000003" customHeight="1" x14ac:dyDescent="0.3">
      <c r="B5" s="280" t="s">
        <v>44</v>
      </c>
      <c r="C5" s="280"/>
      <c r="D5" s="280"/>
      <c r="E5" s="280"/>
      <c r="F5" s="280"/>
      <c r="G5" s="280"/>
      <c r="H5" s="111"/>
    </row>
    <row r="6" spans="2:9" x14ac:dyDescent="0.3">
      <c r="B6" s="112"/>
      <c r="C6" s="112"/>
      <c r="D6" s="112"/>
      <c r="E6" s="112"/>
      <c r="F6" s="112"/>
      <c r="G6" s="112"/>
      <c r="H6" s="111"/>
    </row>
    <row r="7" spans="2:9" ht="29.4" customHeight="1" x14ac:dyDescent="0.3">
      <c r="B7" s="287" t="s">
        <v>180</v>
      </c>
      <c r="C7" s="288"/>
      <c r="D7" s="288"/>
      <c r="E7" s="288"/>
      <c r="F7" s="289"/>
      <c r="H7" s="1"/>
    </row>
    <row r="8" spans="2:9" x14ac:dyDescent="0.3">
      <c r="B8" s="290" t="s">
        <v>45</v>
      </c>
      <c r="C8" s="291"/>
      <c r="D8" s="291"/>
      <c r="E8" s="291"/>
      <c r="F8" s="292"/>
      <c r="H8" s="1"/>
    </row>
    <row r="9" spans="2:9" ht="42.75" customHeight="1" x14ac:dyDescent="0.3">
      <c r="B9" s="3" t="s">
        <v>46</v>
      </c>
      <c r="C9" s="48" t="s">
        <v>47</v>
      </c>
      <c r="D9" s="48" t="s">
        <v>48</v>
      </c>
      <c r="E9" s="48" t="s">
        <v>166</v>
      </c>
      <c r="F9" s="48" t="s">
        <v>167</v>
      </c>
      <c r="H9" s="1"/>
    </row>
    <row r="10" spans="2:9" x14ac:dyDescent="0.3">
      <c r="B10" s="3"/>
      <c r="C10" s="3"/>
      <c r="D10" s="48"/>
      <c r="E10" s="3"/>
      <c r="F10" s="48"/>
      <c r="H10" s="1"/>
    </row>
    <row r="11" spans="2:9" x14ac:dyDescent="0.3">
      <c r="B11" s="3" t="s">
        <v>49</v>
      </c>
      <c r="C11" s="132">
        <v>157629</v>
      </c>
      <c r="D11" s="204">
        <v>3.5000000000000003E-2</v>
      </c>
      <c r="E11" s="132">
        <v>86237</v>
      </c>
      <c r="F11" s="206">
        <v>0.03</v>
      </c>
      <c r="H11" s="1"/>
    </row>
    <row r="12" spans="2:9" x14ac:dyDescent="0.3">
      <c r="B12" s="3" t="s">
        <v>50</v>
      </c>
      <c r="C12" s="132">
        <v>849007</v>
      </c>
      <c r="D12" s="204">
        <v>3.5000000000000003E-2</v>
      </c>
      <c r="E12" s="132">
        <v>557403</v>
      </c>
      <c r="F12" s="206">
        <v>3.2800000000000003E-2</v>
      </c>
      <c r="H12" s="1"/>
    </row>
    <row r="13" spans="2:9" x14ac:dyDescent="0.3">
      <c r="B13" s="3" t="s">
        <v>51</v>
      </c>
      <c r="C13" s="132">
        <v>75537</v>
      </c>
      <c r="D13" s="204">
        <v>3.4000000000000002E-2</v>
      </c>
      <c r="E13" s="132">
        <v>531350</v>
      </c>
      <c r="F13" s="206">
        <v>0.15</v>
      </c>
      <c r="H13" s="1"/>
    </row>
    <row r="14" spans="2:9" x14ac:dyDescent="0.3">
      <c r="B14" s="3" t="s">
        <v>27</v>
      </c>
      <c r="C14" s="132">
        <v>0</v>
      </c>
      <c r="D14" s="204">
        <v>0</v>
      </c>
      <c r="E14" s="132">
        <v>0</v>
      </c>
      <c r="F14" s="206">
        <v>0</v>
      </c>
      <c r="H14" s="1"/>
    </row>
    <row r="15" spans="2:9" ht="28.8" x14ac:dyDescent="0.3">
      <c r="B15" s="58" t="s">
        <v>52</v>
      </c>
      <c r="C15" s="133">
        <f>SUM(C11:C14)</f>
        <v>1082173</v>
      </c>
      <c r="D15" s="205">
        <v>3.5000000000000003E-2</v>
      </c>
      <c r="E15" s="133">
        <f>SUM(E11:E14)</f>
        <v>1174990</v>
      </c>
      <c r="F15" s="207">
        <v>3.6499999999999998E-2</v>
      </c>
      <c r="H15" s="1"/>
    </row>
    <row r="16" spans="2:9" s="62" customFormat="1" x14ac:dyDescent="0.3">
      <c r="B16" s="113"/>
      <c r="C16" s="63"/>
      <c r="D16" s="63"/>
      <c r="E16" s="63"/>
      <c r="F16" s="63"/>
      <c r="G16" s="63"/>
      <c r="H16" s="63"/>
    </row>
    <row r="17" spans="2:11" s="62" customFormat="1" hidden="1" x14ac:dyDescent="0.3">
      <c r="B17" s="287" t="s">
        <v>188</v>
      </c>
      <c r="C17" s="288"/>
      <c r="D17" s="288"/>
      <c r="E17" s="288"/>
      <c r="F17" s="289"/>
      <c r="G17" s="175"/>
      <c r="H17" s="175"/>
      <c r="I17" s="104"/>
      <c r="J17" s="104"/>
      <c r="K17" s="104"/>
    </row>
    <row r="18" spans="2:11" s="62" customFormat="1" hidden="1" x14ac:dyDescent="0.3">
      <c r="B18" s="290" t="s">
        <v>198</v>
      </c>
      <c r="C18" s="291"/>
      <c r="D18" s="291"/>
      <c r="E18" s="291"/>
      <c r="F18" s="292"/>
      <c r="G18" s="175"/>
      <c r="H18" s="175"/>
      <c r="I18" s="104"/>
      <c r="J18" s="104"/>
      <c r="K18" s="104"/>
    </row>
    <row r="19" spans="2:11" s="62" customFormat="1" hidden="1" x14ac:dyDescent="0.3">
      <c r="B19" s="3" t="s">
        <v>46</v>
      </c>
      <c r="C19" s="48" t="s">
        <v>189</v>
      </c>
      <c r="D19" s="48" t="s">
        <v>190</v>
      </c>
      <c r="E19" s="48" t="s">
        <v>191</v>
      </c>
      <c r="F19" s="48" t="s">
        <v>192</v>
      </c>
      <c r="G19" s="175"/>
      <c r="H19" s="175"/>
      <c r="I19" s="104"/>
      <c r="J19" s="104"/>
      <c r="K19" s="104"/>
    </row>
    <row r="20" spans="2:11" s="62" customFormat="1" hidden="1" x14ac:dyDescent="0.3">
      <c r="B20" s="3"/>
      <c r="C20" s="3"/>
      <c r="D20" s="48"/>
      <c r="E20" s="3"/>
      <c r="F20" s="48"/>
      <c r="G20" s="175"/>
      <c r="H20" s="175"/>
      <c r="I20" s="104"/>
      <c r="J20" s="104"/>
      <c r="K20" s="104"/>
    </row>
    <row r="21" spans="2:11" s="62" customFormat="1" hidden="1" x14ac:dyDescent="0.3">
      <c r="B21" s="3" t="s">
        <v>49</v>
      </c>
      <c r="C21" s="132">
        <v>0</v>
      </c>
      <c r="D21" s="132">
        <v>0</v>
      </c>
      <c r="E21" s="132">
        <v>0</v>
      </c>
      <c r="F21" s="132">
        <v>0</v>
      </c>
      <c r="G21" s="175"/>
      <c r="H21" s="175"/>
      <c r="I21" s="104"/>
      <c r="J21" s="104"/>
      <c r="K21" s="104"/>
    </row>
    <row r="22" spans="2:11" s="62" customFormat="1" hidden="1" x14ac:dyDescent="0.3">
      <c r="B22" s="3" t="s">
        <v>50</v>
      </c>
      <c r="C22" s="132">
        <v>0</v>
      </c>
      <c r="D22" s="132">
        <v>0</v>
      </c>
      <c r="E22" s="132">
        <v>0</v>
      </c>
      <c r="F22" s="132">
        <v>0</v>
      </c>
      <c r="G22" s="175"/>
      <c r="H22" s="175"/>
      <c r="I22" s="104"/>
      <c r="J22" s="104"/>
      <c r="K22" s="104"/>
    </row>
    <row r="23" spans="2:11" s="62" customFormat="1" hidden="1" x14ac:dyDescent="0.3">
      <c r="B23" s="3" t="s">
        <v>51</v>
      </c>
      <c r="C23" s="132">
        <v>0</v>
      </c>
      <c r="D23" s="132">
        <v>0</v>
      </c>
      <c r="E23" s="132">
        <v>0</v>
      </c>
      <c r="F23" s="132">
        <v>0</v>
      </c>
      <c r="G23" s="175"/>
      <c r="H23" s="175"/>
      <c r="I23" s="104"/>
      <c r="J23" s="104"/>
      <c r="K23" s="104"/>
    </row>
    <row r="24" spans="2:11" s="62" customFormat="1" hidden="1" x14ac:dyDescent="0.3">
      <c r="B24" s="3" t="s">
        <v>27</v>
      </c>
      <c r="C24" s="132">
        <v>0</v>
      </c>
      <c r="D24" s="132">
        <v>0</v>
      </c>
      <c r="E24" s="132">
        <v>0</v>
      </c>
      <c r="F24" s="132">
        <v>0</v>
      </c>
      <c r="G24" s="175"/>
      <c r="H24" s="175"/>
      <c r="I24" s="104"/>
      <c r="J24" s="104"/>
      <c r="K24" s="104"/>
    </row>
    <row r="25" spans="2:11" s="62" customFormat="1" ht="28.8" hidden="1" x14ac:dyDescent="0.3">
      <c r="B25" s="58" t="s">
        <v>52</v>
      </c>
      <c r="C25" s="133">
        <f>SUM(C21:C24)</f>
        <v>0</v>
      </c>
      <c r="D25" s="133">
        <v>0</v>
      </c>
      <c r="E25" s="133">
        <f>SUM(E21:E24)</f>
        <v>0</v>
      </c>
      <c r="F25" s="133">
        <v>0</v>
      </c>
      <c r="G25" s="175"/>
      <c r="H25" s="175"/>
      <c r="I25" s="104"/>
      <c r="J25" s="104"/>
      <c r="K25" s="104"/>
    </row>
    <row r="26" spans="2:11" s="62" customFormat="1" hidden="1" x14ac:dyDescent="0.3">
      <c r="B26" s="113"/>
      <c r="C26" s="63"/>
      <c r="D26" s="63"/>
      <c r="E26" s="63"/>
      <c r="F26" s="63"/>
      <c r="G26" s="175"/>
      <c r="H26" s="175"/>
      <c r="I26" s="104"/>
      <c r="J26" s="104"/>
      <c r="K26" s="104"/>
    </row>
    <row r="27" spans="2:11" s="62" customFormat="1" hidden="1" x14ac:dyDescent="0.3">
      <c r="B27" s="287" t="s">
        <v>193</v>
      </c>
      <c r="C27" s="288"/>
      <c r="D27" s="288"/>
      <c r="E27" s="288"/>
      <c r="F27" s="289"/>
      <c r="G27" s="175"/>
      <c r="H27" s="175"/>
      <c r="I27" s="104"/>
      <c r="J27" s="104"/>
      <c r="K27" s="104"/>
    </row>
    <row r="28" spans="2:11" s="62" customFormat="1" hidden="1" x14ac:dyDescent="0.3">
      <c r="B28" s="290" t="s">
        <v>199</v>
      </c>
      <c r="C28" s="291"/>
      <c r="D28" s="291"/>
      <c r="E28" s="291"/>
      <c r="F28" s="292"/>
      <c r="G28" s="175"/>
      <c r="H28" s="175"/>
      <c r="I28" s="104"/>
      <c r="J28" s="104"/>
      <c r="K28" s="104"/>
    </row>
    <row r="29" spans="2:11" s="62" customFormat="1" hidden="1" x14ac:dyDescent="0.3">
      <c r="B29" s="3" t="s">
        <v>46</v>
      </c>
      <c r="C29" s="48" t="s">
        <v>194</v>
      </c>
      <c r="D29" s="48" t="s">
        <v>195</v>
      </c>
      <c r="E29" s="48" t="s">
        <v>196</v>
      </c>
      <c r="F29" s="48" t="s">
        <v>197</v>
      </c>
      <c r="G29" s="175"/>
      <c r="H29" s="175"/>
      <c r="I29" s="104"/>
      <c r="J29" s="104"/>
      <c r="K29" s="104"/>
    </row>
    <row r="30" spans="2:11" s="62" customFormat="1" hidden="1" x14ac:dyDescent="0.3">
      <c r="B30" s="3"/>
      <c r="C30" s="3"/>
      <c r="D30" s="48"/>
      <c r="E30" s="3"/>
      <c r="F30" s="48"/>
      <c r="G30" s="175"/>
      <c r="H30" s="175"/>
      <c r="I30" s="104"/>
      <c r="J30" s="104"/>
      <c r="K30" s="104"/>
    </row>
    <row r="31" spans="2:11" s="62" customFormat="1" hidden="1" x14ac:dyDescent="0.3">
      <c r="B31" s="3" t="s">
        <v>49</v>
      </c>
      <c r="C31" s="132">
        <v>0</v>
      </c>
      <c r="D31" s="132">
        <v>0</v>
      </c>
      <c r="E31" s="132">
        <v>0</v>
      </c>
      <c r="F31" s="132">
        <v>0</v>
      </c>
      <c r="G31" s="175"/>
      <c r="H31" s="175"/>
      <c r="I31" s="104"/>
      <c r="J31" s="104"/>
      <c r="K31" s="104"/>
    </row>
    <row r="32" spans="2:11" s="62" customFormat="1" hidden="1" x14ac:dyDescent="0.3">
      <c r="B32" s="3" t="s">
        <v>50</v>
      </c>
      <c r="C32" s="132">
        <v>0</v>
      </c>
      <c r="D32" s="132">
        <v>0</v>
      </c>
      <c r="E32" s="132">
        <v>0</v>
      </c>
      <c r="F32" s="132">
        <v>0</v>
      </c>
      <c r="G32" s="175"/>
      <c r="H32" s="175"/>
      <c r="I32" s="104"/>
      <c r="J32" s="104"/>
      <c r="K32" s="104"/>
    </row>
    <row r="33" spans="2:11" s="62" customFormat="1" hidden="1" x14ac:dyDescent="0.3">
      <c r="B33" s="3" t="s">
        <v>51</v>
      </c>
      <c r="C33" s="132">
        <v>0</v>
      </c>
      <c r="D33" s="132">
        <v>0</v>
      </c>
      <c r="E33" s="132">
        <v>0</v>
      </c>
      <c r="F33" s="132">
        <v>0</v>
      </c>
      <c r="G33" s="175"/>
      <c r="H33" s="175"/>
      <c r="I33" s="104"/>
      <c r="J33" s="104"/>
      <c r="K33" s="104"/>
    </row>
    <row r="34" spans="2:11" s="62" customFormat="1" hidden="1" x14ac:dyDescent="0.3">
      <c r="B34" s="3" t="s">
        <v>27</v>
      </c>
      <c r="C34" s="132">
        <v>0</v>
      </c>
      <c r="D34" s="132">
        <v>0</v>
      </c>
      <c r="E34" s="132">
        <v>0</v>
      </c>
      <c r="F34" s="132">
        <v>0</v>
      </c>
      <c r="G34" s="175"/>
      <c r="H34" s="175"/>
      <c r="I34" s="104"/>
      <c r="J34" s="104"/>
      <c r="K34" s="104"/>
    </row>
    <row r="35" spans="2:11" s="62" customFormat="1" ht="28.8" hidden="1" x14ac:dyDescent="0.3">
      <c r="B35" s="58" t="s">
        <v>52</v>
      </c>
      <c r="C35" s="133">
        <f>SUM(C31:C34)</f>
        <v>0</v>
      </c>
      <c r="D35" s="133">
        <v>0</v>
      </c>
      <c r="E35" s="133">
        <f>SUM(E31:E34)</f>
        <v>0</v>
      </c>
      <c r="F35" s="133">
        <v>0</v>
      </c>
      <c r="G35" s="175"/>
      <c r="H35" s="175"/>
      <c r="I35" s="104"/>
      <c r="J35" s="104"/>
      <c r="K35" s="104"/>
    </row>
    <row r="36" spans="2:11" s="62" customFormat="1" x14ac:dyDescent="0.3">
      <c r="B36" s="113"/>
      <c r="C36" s="63"/>
      <c r="D36" s="63"/>
      <c r="E36" s="63"/>
      <c r="F36" s="63"/>
      <c r="G36" s="63"/>
      <c r="H36" s="63"/>
    </row>
    <row r="37" spans="2:11" ht="45" customHeight="1" x14ac:dyDescent="0.3">
      <c r="B37" s="275" t="s">
        <v>53</v>
      </c>
      <c r="C37" s="276"/>
      <c r="D37" s="276"/>
      <c r="E37" s="276"/>
      <c r="F37" s="276"/>
      <c r="G37" s="276"/>
      <c r="H37" s="276"/>
      <c r="I37" s="276"/>
      <c r="J37" s="277"/>
    </row>
    <row r="38" spans="2:11" x14ac:dyDescent="0.3">
      <c r="B38" s="264" t="s">
        <v>54</v>
      </c>
      <c r="C38" s="265"/>
      <c r="D38" s="265"/>
      <c r="E38" s="265"/>
      <c r="F38" s="265"/>
      <c r="G38" s="265"/>
      <c r="H38" s="265"/>
      <c r="I38" s="265"/>
      <c r="J38" s="266"/>
    </row>
    <row r="39" spans="2:11" ht="42.75" customHeight="1" x14ac:dyDescent="0.3">
      <c r="B39" s="3" t="s">
        <v>46</v>
      </c>
      <c r="C39" s="48" t="s">
        <v>168</v>
      </c>
      <c r="D39" s="48" t="s">
        <v>55</v>
      </c>
      <c r="E39" s="48" t="s">
        <v>169</v>
      </c>
      <c r="F39" s="273" t="s">
        <v>56</v>
      </c>
      <c r="G39" s="274"/>
      <c r="H39" s="114" t="s">
        <v>57</v>
      </c>
      <c r="I39" s="114" t="s">
        <v>58</v>
      </c>
      <c r="J39" s="114" t="s">
        <v>59</v>
      </c>
    </row>
    <row r="40" spans="2:11" x14ac:dyDescent="0.3">
      <c r="B40" s="3"/>
      <c r="C40" s="48"/>
      <c r="D40" s="115"/>
      <c r="E40" s="48"/>
      <c r="F40" s="48" t="s">
        <v>60</v>
      </c>
      <c r="G40" s="48" t="s">
        <v>61</v>
      </c>
      <c r="H40" s="48"/>
      <c r="I40" s="48"/>
      <c r="J40" s="48"/>
    </row>
    <row r="41" spans="2:11" x14ac:dyDescent="0.3">
      <c r="B41" s="3" t="s">
        <v>49</v>
      </c>
      <c r="C41" s="116">
        <v>29698726</v>
      </c>
      <c r="D41" s="117">
        <f>(E41/C41)-1</f>
        <v>-0.32052802534357872</v>
      </c>
      <c r="E41" s="82">
        <v>20179452</v>
      </c>
      <c r="F41" s="82">
        <v>3997723</v>
      </c>
      <c r="G41" s="82">
        <v>0</v>
      </c>
      <c r="H41" s="82">
        <v>349592</v>
      </c>
      <c r="I41" s="82">
        <v>2991607</v>
      </c>
      <c r="J41" s="82">
        <v>12840530</v>
      </c>
    </row>
    <row r="42" spans="2:11" x14ac:dyDescent="0.3">
      <c r="B42" s="3" t="s">
        <v>50</v>
      </c>
      <c r="C42" s="116">
        <v>71810320</v>
      </c>
      <c r="D42" s="117">
        <f t="shared" ref="D42:D43" si="0">(E42/C42)-1</f>
        <v>0.12909989817619527</v>
      </c>
      <c r="E42" s="82">
        <v>81081025</v>
      </c>
      <c r="F42" s="82">
        <v>24314223</v>
      </c>
      <c r="G42" s="82">
        <v>0</v>
      </c>
      <c r="H42" s="82">
        <v>2964113</v>
      </c>
      <c r="I42" s="82">
        <v>14738615</v>
      </c>
      <c r="J42" s="82">
        <v>39064074</v>
      </c>
      <c r="K42" s="109"/>
    </row>
    <row r="43" spans="2:11" x14ac:dyDescent="0.3">
      <c r="B43" s="3" t="s">
        <v>51</v>
      </c>
      <c r="C43" s="116">
        <v>18818840</v>
      </c>
      <c r="D43" s="117">
        <f t="shared" si="0"/>
        <v>-0.15647595707280582</v>
      </c>
      <c r="E43" s="82">
        <v>15874144</v>
      </c>
      <c r="F43" s="82">
        <v>4681122</v>
      </c>
      <c r="G43" s="82">
        <v>0</v>
      </c>
      <c r="H43" s="82">
        <v>536568</v>
      </c>
      <c r="I43" s="82">
        <v>2752631</v>
      </c>
      <c r="J43" s="82">
        <v>7903823</v>
      </c>
    </row>
    <row r="44" spans="2:11" x14ac:dyDescent="0.3">
      <c r="B44" s="3" t="s">
        <v>27</v>
      </c>
      <c r="C44" s="116">
        <v>0</v>
      </c>
      <c r="D44" s="117"/>
      <c r="E44" s="82">
        <f t="shared" ref="E44" si="1">SUM(F44:J44)</f>
        <v>0</v>
      </c>
      <c r="F44" s="82"/>
      <c r="G44" s="82"/>
      <c r="H44" s="82"/>
      <c r="I44" s="82"/>
      <c r="J44" s="82"/>
    </row>
    <row r="45" spans="2:11" ht="28.8" x14ac:dyDescent="0.3">
      <c r="B45" s="58" t="s">
        <v>62</v>
      </c>
      <c r="C45" s="118">
        <f>SUM(C41:C44)</f>
        <v>120327886</v>
      </c>
      <c r="D45" s="119">
        <v>0</v>
      </c>
      <c r="E45" s="118">
        <f t="shared" ref="E45:J45" si="2">SUM(E41:E44)</f>
        <v>117134621</v>
      </c>
      <c r="F45" s="83">
        <f t="shared" si="2"/>
        <v>32993068</v>
      </c>
      <c r="G45" s="83">
        <f t="shared" si="2"/>
        <v>0</v>
      </c>
      <c r="H45" s="83">
        <f t="shared" si="2"/>
        <v>3850273</v>
      </c>
      <c r="I45" s="83">
        <f t="shared" si="2"/>
        <v>20482853</v>
      </c>
      <c r="J45" s="83">
        <f t="shared" si="2"/>
        <v>59808427</v>
      </c>
    </row>
    <row r="46" spans="2:11" s="62" customFormat="1" x14ac:dyDescent="0.3">
      <c r="B46" s="113"/>
      <c r="C46" s="63" t="s">
        <v>63</v>
      </c>
      <c r="D46" s="63"/>
      <c r="E46" s="63" t="s">
        <v>63</v>
      </c>
      <c r="F46" s="63"/>
      <c r="G46" s="63"/>
      <c r="H46" s="63"/>
    </row>
    <row r="47" spans="2:11" s="62" customFormat="1" x14ac:dyDescent="0.3">
      <c r="B47" s="113"/>
      <c r="C47" s="63"/>
      <c r="D47" s="63"/>
      <c r="E47" s="63"/>
      <c r="F47" s="63"/>
      <c r="G47" s="63"/>
      <c r="H47" s="63"/>
    </row>
    <row r="48" spans="2:11" s="62" customFormat="1" ht="23.4" customHeight="1" x14ac:dyDescent="0.3">
      <c r="B48" s="275" t="s">
        <v>181</v>
      </c>
      <c r="C48" s="276"/>
      <c r="D48" s="276"/>
      <c r="E48" s="276"/>
      <c r="F48" s="276"/>
      <c r="G48" s="276"/>
      <c r="H48" s="276"/>
      <c r="I48" s="276"/>
      <c r="J48" s="277"/>
    </row>
    <row r="49" spans="2:10" x14ac:dyDescent="0.3">
      <c r="B49" s="264" t="s">
        <v>64</v>
      </c>
      <c r="C49" s="265"/>
      <c r="D49" s="265"/>
      <c r="E49" s="265"/>
      <c r="F49" s="265"/>
      <c r="G49" s="265"/>
      <c r="H49" s="265"/>
      <c r="I49" s="265"/>
      <c r="J49" s="266"/>
    </row>
    <row r="50" spans="2:10" ht="42.75" customHeight="1" x14ac:dyDescent="0.3">
      <c r="B50" s="3" t="s">
        <v>65</v>
      </c>
      <c r="C50" s="3" t="s">
        <v>67</v>
      </c>
      <c r="D50" s="48" t="s">
        <v>66</v>
      </c>
      <c r="E50" s="48" t="s">
        <v>170</v>
      </c>
      <c r="F50" s="278" t="s">
        <v>68</v>
      </c>
      <c r="G50" s="279"/>
      <c r="H50" s="48" t="s">
        <v>69</v>
      </c>
      <c r="I50" s="48" t="s">
        <v>70</v>
      </c>
      <c r="J50" s="48" t="s">
        <v>71</v>
      </c>
    </row>
    <row r="51" spans="2:10" ht="15.75" customHeight="1" x14ac:dyDescent="0.3">
      <c r="B51" s="3"/>
      <c r="C51" s="3"/>
      <c r="D51" s="3"/>
      <c r="E51" s="48"/>
      <c r="F51" s="48" t="s">
        <v>60</v>
      </c>
      <c r="G51" s="48" t="s">
        <v>61</v>
      </c>
      <c r="H51" s="48"/>
      <c r="I51" s="48"/>
      <c r="J51" s="48"/>
    </row>
    <row r="52" spans="2:10" x14ac:dyDescent="0.3">
      <c r="B52" s="3" t="s">
        <v>49</v>
      </c>
      <c r="C52" s="116">
        <f>14562588-782833</f>
        <v>13779755</v>
      </c>
      <c r="D52" s="116">
        <f>E52-C52</f>
        <v>146543</v>
      </c>
      <c r="E52" s="193">
        <f>F52+H52+I52+J52</f>
        <v>13926298</v>
      </c>
      <c r="F52" s="193">
        <v>3346525</v>
      </c>
      <c r="G52" s="120">
        <v>0</v>
      </c>
      <c r="H52" s="193">
        <v>314364</v>
      </c>
      <c r="I52" s="193">
        <v>492436</v>
      </c>
      <c r="J52" s="193">
        <v>9772973</v>
      </c>
    </row>
    <row r="53" spans="2:10" x14ac:dyDescent="0.3">
      <c r="B53" s="3" t="s">
        <v>50</v>
      </c>
      <c r="C53" s="116">
        <f>34843456-2260699</f>
        <v>32582757</v>
      </c>
      <c r="D53" s="116">
        <f t="shared" ref="D53:D54" si="3">E53-C53</f>
        <v>5058748</v>
      </c>
      <c r="E53" s="193">
        <f t="shared" ref="E53:E54" si="4">F53+H53+I53+J53</f>
        <v>37641505</v>
      </c>
      <c r="F53" s="193">
        <v>20034528</v>
      </c>
      <c r="G53" s="120">
        <v>0</v>
      </c>
      <c r="H53" s="193">
        <f>2029902-2160396+357444</f>
        <v>226950</v>
      </c>
      <c r="I53" s="193">
        <v>4834454</v>
      </c>
      <c r="J53" s="193">
        <v>12545573</v>
      </c>
    </row>
    <row r="54" spans="2:10" x14ac:dyDescent="0.3">
      <c r="B54" s="3" t="s">
        <v>51</v>
      </c>
      <c r="C54" s="116">
        <v>4818035</v>
      </c>
      <c r="D54" s="116">
        <f t="shared" si="3"/>
        <v>-1675162</v>
      </c>
      <c r="E54" s="193">
        <f t="shared" si="4"/>
        <v>3142873</v>
      </c>
      <c r="F54" s="193">
        <v>1621545</v>
      </c>
      <c r="G54" s="120">
        <v>0</v>
      </c>
      <c r="H54" s="193">
        <f>392230-303251</f>
        <v>88979</v>
      </c>
      <c r="I54" s="193">
        <v>-4317884</v>
      </c>
      <c r="J54" s="193">
        <v>5750233</v>
      </c>
    </row>
    <row r="55" spans="2:10" x14ac:dyDescent="0.3">
      <c r="B55" s="3" t="s">
        <v>27</v>
      </c>
      <c r="C55" s="116"/>
      <c r="D55" s="194">
        <v>0</v>
      </c>
      <c r="E55" s="193"/>
      <c r="F55" s="120"/>
      <c r="G55" s="120"/>
      <c r="H55" s="120"/>
      <c r="I55" s="120"/>
      <c r="J55" s="120"/>
    </row>
    <row r="56" spans="2:10" x14ac:dyDescent="0.3">
      <c r="B56" s="3"/>
      <c r="C56" s="116"/>
      <c r="D56" s="196"/>
      <c r="E56" s="193"/>
      <c r="F56" s="120"/>
      <c r="G56" s="120"/>
      <c r="H56" s="120"/>
      <c r="I56" s="120"/>
      <c r="J56" s="120"/>
    </row>
    <row r="57" spans="2:10" x14ac:dyDescent="0.3">
      <c r="B57" s="3"/>
      <c r="C57" s="196"/>
      <c r="D57" s="196"/>
      <c r="E57" s="195"/>
      <c r="F57" s="195"/>
      <c r="G57" s="195"/>
      <c r="H57" s="195"/>
      <c r="I57" s="195"/>
      <c r="J57" s="195"/>
    </row>
    <row r="58" spans="2:10" x14ac:dyDescent="0.3">
      <c r="B58" s="3"/>
      <c r="C58" s="196"/>
      <c r="D58" s="196"/>
      <c r="E58" s="195"/>
      <c r="F58" s="195"/>
      <c r="G58" s="195"/>
      <c r="H58" s="195"/>
      <c r="I58" s="195"/>
      <c r="J58" s="195"/>
    </row>
    <row r="59" spans="2:10" x14ac:dyDescent="0.3">
      <c r="B59" s="58" t="s">
        <v>72</v>
      </c>
      <c r="C59" s="197">
        <f>SUM(C52:C58)</f>
        <v>51180547</v>
      </c>
      <c r="D59" s="197">
        <f>SUM(D52:D58)</f>
        <v>3530129</v>
      </c>
      <c r="E59" s="197">
        <f t="shared" ref="E59:J59" si="5">SUM(E52:E58)</f>
        <v>54710676</v>
      </c>
      <c r="F59" s="197">
        <f t="shared" si="5"/>
        <v>25002598</v>
      </c>
      <c r="G59" s="197">
        <f t="shared" si="5"/>
        <v>0</v>
      </c>
      <c r="H59" s="197">
        <f t="shared" si="5"/>
        <v>630293</v>
      </c>
      <c r="I59" s="197">
        <f t="shared" si="5"/>
        <v>1009006</v>
      </c>
      <c r="J59" s="197">
        <f t="shared" si="5"/>
        <v>28068779</v>
      </c>
    </row>
    <row r="60" spans="2:10" s="62" customFormat="1" x14ac:dyDescent="0.3">
      <c r="C60" s="63"/>
      <c r="D60" s="63"/>
      <c r="E60" s="63"/>
      <c r="F60" s="122"/>
      <c r="G60" s="122"/>
      <c r="H60" s="122"/>
    </row>
    <row r="61" spans="2:10" s="62" customFormat="1" x14ac:dyDescent="0.3">
      <c r="C61" s="63"/>
      <c r="D61" s="63"/>
      <c r="E61" s="63"/>
      <c r="F61" s="122"/>
      <c r="G61" s="122"/>
      <c r="H61" s="122"/>
    </row>
    <row r="62" spans="2:10" s="62" customFormat="1" x14ac:dyDescent="0.3">
      <c r="B62" s="264" t="s">
        <v>73</v>
      </c>
      <c r="C62" s="265"/>
      <c r="D62" s="265"/>
      <c r="E62" s="265"/>
      <c r="F62" s="265"/>
      <c r="G62" s="265"/>
      <c r="H62" s="266"/>
      <c r="J62" s="199"/>
    </row>
    <row r="63" spans="2:10" s="62" customFormat="1" ht="42.6" customHeight="1" x14ac:dyDescent="0.3">
      <c r="B63" s="3" t="s">
        <v>65</v>
      </c>
      <c r="C63" s="3" t="s">
        <v>171</v>
      </c>
      <c r="D63" s="48" t="s">
        <v>66</v>
      </c>
      <c r="E63" s="48" t="s">
        <v>172</v>
      </c>
      <c r="F63" s="164" t="s">
        <v>74</v>
      </c>
      <c r="G63" s="48" t="s">
        <v>75</v>
      </c>
      <c r="H63" s="48" t="s">
        <v>76</v>
      </c>
    </row>
    <row r="64" spans="2:10" s="62" customFormat="1" x14ac:dyDescent="0.3">
      <c r="B64" s="3" t="s">
        <v>49</v>
      </c>
      <c r="C64" s="116">
        <v>782833</v>
      </c>
      <c r="D64" s="116">
        <f>E64-C64</f>
        <v>-458900</v>
      </c>
      <c r="E64" s="193">
        <v>323933</v>
      </c>
      <c r="F64" s="120">
        <v>0</v>
      </c>
      <c r="G64" s="193">
        <v>323933</v>
      </c>
      <c r="H64" s="120">
        <v>0</v>
      </c>
    </row>
    <row r="65" spans="2:10" s="62" customFormat="1" x14ac:dyDescent="0.3">
      <c r="B65" s="3" t="s">
        <v>50</v>
      </c>
      <c r="C65" s="116">
        <v>2260699</v>
      </c>
      <c r="D65" s="116">
        <f t="shared" ref="D65:D67" si="6">E65-C65</f>
        <v>211834</v>
      </c>
      <c r="E65" s="193">
        <v>2472533</v>
      </c>
      <c r="F65" s="120">
        <v>0</v>
      </c>
      <c r="G65" s="193">
        <v>2472533</v>
      </c>
      <c r="H65" s="120">
        <v>0</v>
      </c>
    </row>
    <row r="66" spans="2:10" s="62" customFormat="1" x14ac:dyDescent="0.3">
      <c r="B66" s="3" t="s">
        <v>51</v>
      </c>
      <c r="C66" s="116">
        <v>0</v>
      </c>
      <c r="D66" s="116">
        <f>E66-C66</f>
        <v>503534</v>
      </c>
      <c r="E66" s="193">
        <v>503534</v>
      </c>
      <c r="F66" s="120">
        <v>0</v>
      </c>
      <c r="G66" s="193">
        <v>503534</v>
      </c>
      <c r="H66" s="120">
        <v>0</v>
      </c>
    </row>
    <row r="67" spans="2:10" s="62" customFormat="1" x14ac:dyDescent="0.3">
      <c r="B67" s="208" t="s">
        <v>77</v>
      </c>
      <c r="C67" s="116">
        <v>0</v>
      </c>
      <c r="D67" s="116">
        <f t="shared" si="6"/>
        <v>0</v>
      </c>
      <c r="E67" s="193">
        <v>0</v>
      </c>
      <c r="F67" s="120">
        <v>0</v>
      </c>
      <c r="G67" s="193">
        <v>0</v>
      </c>
      <c r="H67" s="120">
        <v>0</v>
      </c>
    </row>
    <row r="68" spans="2:10" s="62" customFormat="1" x14ac:dyDescent="0.3">
      <c r="B68" s="3" t="s">
        <v>78</v>
      </c>
      <c r="C68" s="116">
        <v>0</v>
      </c>
      <c r="D68" s="116">
        <v>0</v>
      </c>
      <c r="E68" s="193">
        <f t="shared" ref="E68" si="7">SUM(F68:H68)</f>
        <v>0</v>
      </c>
      <c r="F68" s="120">
        <v>0</v>
      </c>
      <c r="G68" s="120">
        <v>0</v>
      </c>
      <c r="H68" s="120">
        <v>0</v>
      </c>
    </row>
    <row r="69" spans="2:10" s="62" customFormat="1" x14ac:dyDescent="0.3">
      <c r="B69" s="58" t="s">
        <v>79</v>
      </c>
      <c r="C69" s="121">
        <f>SUM(C64:C68)</f>
        <v>3043532</v>
      </c>
      <c r="D69" s="121">
        <f>SUM(D64:D68)</f>
        <v>256468</v>
      </c>
      <c r="E69" s="198">
        <f>SUM(E64:E68)</f>
        <v>3300000</v>
      </c>
      <c r="F69" s="121">
        <f t="shared" ref="F69:H69" si="8">SUM(F64:F68)</f>
        <v>0</v>
      </c>
      <c r="G69" s="198">
        <f t="shared" si="8"/>
        <v>3300000</v>
      </c>
      <c r="H69" s="121">
        <f t="shared" si="8"/>
        <v>0</v>
      </c>
    </row>
    <row r="70" spans="2:10" s="62" customFormat="1" x14ac:dyDescent="0.3">
      <c r="C70" s="63"/>
      <c r="D70" s="63"/>
      <c r="E70" s="63"/>
      <c r="F70" s="62" t="s">
        <v>80</v>
      </c>
      <c r="G70" s="122"/>
      <c r="H70" s="122"/>
    </row>
    <row r="71" spans="2:10" s="62" customFormat="1" ht="15" thickBot="1" x14ac:dyDescent="0.35">
      <c r="B71" s="111"/>
      <c r="C71" s="122"/>
      <c r="D71" s="122"/>
      <c r="E71" s="122"/>
      <c r="F71" s="122"/>
      <c r="G71" s="122"/>
      <c r="H71" s="122"/>
    </row>
    <row r="72" spans="2:10" s="62" customFormat="1" ht="28.8" x14ac:dyDescent="0.3">
      <c r="B72" s="123"/>
      <c r="C72" s="124" t="s">
        <v>216</v>
      </c>
      <c r="D72" s="124" t="s">
        <v>66</v>
      </c>
      <c r="E72" s="124" t="s">
        <v>55</v>
      </c>
      <c r="F72" s="125" t="s">
        <v>173</v>
      </c>
      <c r="G72" s="122"/>
      <c r="H72" s="122"/>
      <c r="I72" s="122"/>
    </row>
    <row r="73" spans="2:10" s="62" customFormat="1" x14ac:dyDescent="0.3">
      <c r="B73" s="135" t="s">
        <v>81</v>
      </c>
      <c r="C73" s="134">
        <f>C59+C69</f>
        <v>54224079</v>
      </c>
      <c r="D73" s="134">
        <f>D59+D69</f>
        <v>3786597</v>
      </c>
      <c r="E73" s="200">
        <f>D73/C73</f>
        <v>6.9832389407665188E-2</v>
      </c>
      <c r="F73" s="136">
        <f>E59+E69</f>
        <v>58010676</v>
      </c>
      <c r="G73" s="122"/>
      <c r="H73" s="122"/>
      <c r="I73" s="122"/>
    </row>
    <row r="74" spans="2:10" s="62" customFormat="1" x14ac:dyDescent="0.3">
      <c r="B74" s="135" t="s">
        <v>82</v>
      </c>
      <c r="C74" s="137">
        <f>'1. Reconciliation'!C11</f>
        <v>54224079</v>
      </c>
      <c r="D74" s="137">
        <f>'1. Reconciliation'!C25</f>
        <v>3786598</v>
      </c>
      <c r="E74" s="138">
        <f>'1. Reconciliation'!C26</f>
        <v>6.9832407849656608E-2</v>
      </c>
      <c r="F74" s="139">
        <f>'1. Reconciliation'!C23</f>
        <v>58010677</v>
      </c>
      <c r="G74" s="122"/>
      <c r="H74" s="122"/>
      <c r="I74" s="122"/>
    </row>
    <row r="75" spans="2:10" s="62" customFormat="1" ht="18" customHeight="1" thickBot="1" x14ac:dyDescent="0.35">
      <c r="B75" s="140" t="s">
        <v>83</v>
      </c>
      <c r="C75" s="141">
        <f>C73-C74</f>
        <v>0</v>
      </c>
      <c r="D75" s="141">
        <f t="shared" ref="D75:F75" si="9">D73-D74</f>
        <v>-1</v>
      </c>
      <c r="E75" s="141">
        <f t="shared" si="9"/>
        <v>-1.844199142009284E-8</v>
      </c>
      <c r="F75" s="142">
        <f t="shared" si="9"/>
        <v>-1</v>
      </c>
      <c r="G75" s="122"/>
      <c r="H75" s="122"/>
      <c r="I75" s="122"/>
    </row>
    <row r="76" spans="2:10" s="62" customFormat="1" x14ac:dyDescent="0.3">
      <c r="G76" s="122"/>
      <c r="H76" s="122"/>
      <c r="I76" s="122"/>
      <c r="J76" s="1"/>
    </row>
    <row r="77" spans="2:10" x14ac:dyDescent="0.3">
      <c r="B77" s="126"/>
      <c r="C77" s="127"/>
      <c r="D77" s="128"/>
      <c r="E77" s="129"/>
      <c r="F77" s="129"/>
      <c r="G77" s="129"/>
      <c r="H77" s="130"/>
    </row>
    <row r="78" spans="2:10" x14ac:dyDescent="0.3">
      <c r="B78" s="267" t="s">
        <v>187</v>
      </c>
      <c r="C78" s="268"/>
      <c r="D78" s="268"/>
      <c r="E78" s="268"/>
      <c r="F78" s="268"/>
      <c r="G78" s="269"/>
      <c r="H78" s="130"/>
    </row>
    <row r="79" spans="2:10" x14ac:dyDescent="0.3">
      <c r="B79" s="264" t="s">
        <v>84</v>
      </c>
      <c r="C79" s="265"/>
      <c r="D79" s="265"/>
      <c r="E79" s="265"/>
      <c r="F79" s="265"/>
      <c r="G79" s="266"/>
      <c r="H79" s="131"/>
    </row>
    <row r="80" spans="2:10" x14ac:dyDescent="0.3">
      <c r="B80" s="270" t="s">
        <v>184</v>
      </c>
      <c r="C80" s="271"/>
      <c r="D80" s="271"/>
      <c r="E80" s="271"/>
      <c r="F80" s="272"/>
      <c r="G80" s="172" t="s">
        <v>185</v>
      </c>
    </row>
    <row r="81" spans="2:7" x14ac:dyDescent="0.3">
      <c r="B81" s="258" t="s">
        <v>139</v>
      </c>
      <c r="C81" s="259"/>
      <c r="D81" s="259"/>
      <c r="E81" s="259"/>
      <c r="F81" s="260"/>
      <c r="G81" s="173">
        <f>E15/3.65</f>
        <v>321915.0684931507</v>
      </c>
    </row>
    <row r="82" spans="2:7" x14ac:dyDescent="0.3">
      <c r="B82" s="258" t="s">
        <v>116</v>
      </c>
      <c r="C82" s="259"/>
      <c r="D82" s="259"/>
      <c r="E82" s="259"/>
      <c r="F82" s="260"/>
      <c r="G82" s="173"/>
    </row>
    <row r="83" spans="2:7" x14ac:dyDescent="0.3">
      <c r="B83" s="258" t="s">
        <v>115</v>
      </c>
      <c r="C83" s="259"/>
      <c r="D83" s="259"/>
      <c r="E83" s="259"/>
      <c r="F83" s="260"/>
      <c r="G83" s="173"/>
    </row>
    <row r="84" spans="2:7" ht="15" thickBot="1" x14ac:dyDescent="0.35">
      <c r="B84" s="261" t="s">
        <v>186</v>
      </c>
      <c r="C84" s="262"/>
      <c r="D84" s="262"/>
      <c r="E84" s="262"/>
      <c r="F84" s="263"/>
      <c r="G84" s="174">
        <f>SUM(G81:G83)</f>
        <v>321915.0684931507</v>
      </c>
    </row>
    <row r="85" spans="2:7" ht="15" thickTop="1" x14ac:dyDescent="0.3"/>
    <row r="87" spans="2:7" x14ac:dyDescent="0.3">
      <c r="C87" s="20"/>
    </row>
  </sheetData>
  <mergeCells count="24">
    <mergeCell ref="B5:G5"/>
    <mergeCell ref="B2:I2"/>
    <mergeCell ref="B3:I3"/>
    <mergeCell ref="B4:I4"/>
    <mergeCell ref="B37:J37"/>
    <mergeCell ref="B17:F17"/>
    <mergeCell ref="B18:F18"/>
    <mergeCell ref="B27:F27"/>
    <mergeCell ref="B28:F28"/>
    <mergeCell ref="B7:F7"/>
    <mergeCell ref="B8:F8"/>
    <mergeCell ref="F39:G39"/>
    <mergeCell ref="B48:J48"/>
    <mergeCell ref="B38:J38"/>
    <mergeCell ref="B49:J49"/>
    <mergeCell ref="F50:G50"/>
    <mergeCell ref="B82:F82"/>
    <mergeCell ref="B83:F83"/>
    <mergeCell ref="B84:F84"/>
    <mergeCell ref="B62:H62"/>
    <mergeCell ref="B78:G78"/>
    <mergeCell ref="B79:G79"/>
    <mergeCell ref="B80:F80"/>
    <mergeCell ref="B81:F81"/>
  </mergeCells>
  <pageMargins left="0.7" right="0.7" top="0.75" bottom="0.75" header="0.3" footer="0.3"/>
  <pageSetup scale="66" orientation="landscape" r:id="rId1"/>
  <headerFooter>
    <oddFooter>&amp;L&amp;D&amp;R&amp;F,&amp;A,</oddFooter>
  </headerFooter>
  <ignoredErrors>
    <ignoredError sqref="E73:E75"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theme="4"/>
    <pageSetUpPr fitToPage="1"/>
  </sheetPr>
  <dimension ref="B1:F19"/>
  <sheetViews>
    <sheetView showGridLines="0" zoomScale="130" zoomScaleNormal="130" workbookViewId="0">
      <selection activeCell="C22" sqref="C22"/>
    </sheetView>
  </sheetViews>
  <sheetFormatPr defaultColWidth="8.88671875" defaultRowHeight="14.4" x14ac:dyDescent="0.3"/>
  <cols>
    <col min="1" max="1" width="19.88671875" style="1" customWidth="1"/>
    <col min="2" max="2" width="41.6640625" style="1" customWidth="1"/>
    <col min="3" max="3" width="24.6640625" style="1" customWidth="1"/>
    <col min="4" max="4" width="24" style="1" customWidth="1"/>
    <col min="5" max="5" width="16.109375" style="1" bestFit="1" customWidth="1"/>
    <col min="6" max="6" width="10.109375" style="1" bestFit="1" customWidth="1"/>
    <col min="7" max="16384" width="8.88671875" style="1"/>
  </cols>
  <sheetData>
    <row r="1" spans="2:6" x14ac:dyDescent="0.3">
      <c r="B1" s="293" t="s">
        <v>85</v>
      </c>
      <c r="C1" s="293"/>
      <c r="D1" s="293"/>
    </row>
    <row r="2" spans="2:6" ht="21" x14ac:dyDescent="0.4">
      <c r="B2" s="294" t="s">
        <v>5</v>
      </c>
      <c r="C2" s="295"/>
      <c r="D2" s="296"/>
    </row>
    <row r="3" spans="2:6" ht="18" x14ac:dyDescent="0.35">
      <c r="B3" s="298" t="s">
        <v>86</v>
      </c>
      <c r="C3" s="299"/>
      <c r="D3" s="300"/>
    </row>
    <row r="4" spans="2:6" ht="74.25" customHeight="1" x14ac:dyDescent="0.3">
      <c r="B4" s="297" t="s">
        <v>214</v>
      </c>
      <c r="C4" s="297"/>
      <c r="D4" s="297"/>
    </row>
    <row r="5" spans="2:6" x14ac:dyDescent="0.3">
      <c r="B5" s="21"/>
      <c r="C5" s="2"/>
      <c r="D5" s="2"/>
    </row>
    <row r="6" spans="2:6" x14ac:dyDescent="0.3">
      <c r="B6" s="302" t="s">
        <v>87</v>
      </c>
      <c r="C6" s="301" t="s">
        <v>88</v>
      </c>
      <c r="D6" s="301" t="s">
        <v>89</v>
      </c>
    </row>
    <row r="7" spans="2:6" x14ac:dyDescent="0.3">
      <c r="B7" s="302"/>
      <c r="C7" s="301"/>
      <c r="D7" s="301"/>
    </row>
    <row r="8" spans="2:6" x14ac:dyDescent="0.3">
      <c r="B8" s="80" t="s">
        <v>156</v>
      </c>
      <c r="C8" s="161"/>
      <c r="D8" s="162">
        <v>120327886</v>
      </c>
    </row>
    <row r="9" spans="2:6" x14ac:dyDescent="0.3">
      <c r="B9" s="108" t="s">
        <v>220</v>
      </c>
      <c r="C9" s="49">
        <f>D9/$D$8</f>
        <v>3.1134944064420779E-2</v>
      </c>
      <c r="D9" s="163">
        <v>3746402</v>
      </c>
    </row>
    <row r="10" spans="2:6" x14ac:dyDescent="0.3">
      <c r="B10" s="201" t="s">
        <v>221</v>
      </c>
      <c r="C10" s="49">
        <f t="shared" ref="C10:C14" si="0">D10/$D$8</f>
        <v>-1.5160882989334658E-2</v>
      </c>
      <c r="D10" s="163">
        <v>-1824277</v>
      </c>
    </row>
    <row r="11" spans="2:6" x14ac:dyDescent="0.3">
      <c r="B11" s="201" t="s">
        <v>222</v>
      </c>
      <c r="C11" s="49">
        <f t="shared" si="0"/>
        <v>-6.7617576195097449E-3</v>
      </c>
      <c r="D11" s="163">
        <v>-813628</v>
      </c>
    </row>
    <row r="12" spans="2:6" x14ac:dyDescent="0.3">
      <c r="B12" s="201" t="s">
        <v>223</v>
      </c>
      <c r="C12" s="49">
        <f t="shared" si="0"/>
        <v>-1.8121767717252175E-2</v>
      </c>
      <c r="D12" s="163">
        <v>-2180554</v>
      </c>
    </row>
    <row r="13" spans="2:6" x14ac:dyDescent="0.3">
      <c r="B13" s="201" t="s">
        <v>224</v>
      </c>
      <c r="C13" s="49">
        <f t="shared" si="0"/>
        <v>-1.4602658273245157E-2</v>
      </c>
      <c r="D13" s="163">
        <f>-763743-993364</f>
        <v>-1757107</v>
      </c>
    </row>
    <row r="14" spans="2:6" x14ac:dyDescent="0.3">
      <c r="B14" s="201" t="s">
        <v>225</v>
      </c>
      <c r="C14" s="49">
        <f t="shared" si="0"/>
        <v>-3.0259070619756421E-3</v>
      </c>
      <c r="D14" s="163">
        <v>-364101</v>
      </c>
    </row>
    <row r="15" spans="2:6" x14ac:dyDescent="0.3">
      <c r="B15" s="80" t="s">
        <v>157</v>
      </c>
      <c r="C15" s="161">
        <f>SUM(C8:C14)</f>
        <v>-2.6538029596896596E-2</v>
      </c>
      <c r="D15" s="162">
        <f t="shared" ref="D15" si="1">SUM(D8:D14)</f>
        <v>117134621</v>
      </c>
      <c r="E15" s="202"/>
      <c r="F15" s="203"/>
    </row>
    <row r="16" spans="2:6" x14ac:dyDescent="0.3">
      <c r="B16" s="76"/>
      <c r="C16" s="44"/>
      <c r="D16" s="44"/>
    </row>
    <row r="17" spans="2:4" x14ac:dyDescent="0.3">
      <c r="B17" s="29" t="s">
        <v>174</v>
      </c>
      <c r="C17" s="100"/>
      <c r="D17" s="81">
        <f>SUM(D9:D14)</f>
        <v>-3193265</v>
      </c>
    </row>
    <row r="18" spans="2:4" x14ac:dyDescent="0.3">
      <c r="B18" s="29" t="s">
        <v>175</v>
      </c>
      <c r="C18" s="210">
        <f>D15/D8-1</f>
        <v>-2.6538029596896551E-2</v>
      </c>
      <c r="D18" s="101"/>
    </row>
    <row r="19" spans="2:4" x14ac:dyDescent="0.3">
      <c r="B19" s="76" t="s">
        <v>90</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FFC000"/>
  </sheetPr>
  <dimension ref="B1:M39"/>
  <sheetViews>
    <sheetView showGridLines="0" zoomScale="90" zoomScaleNormal="90" workbookViewId="0">
      <selection activeCell="E13" sqref="E13"/>
    </sheetView>
  </sheetViews>
  <sheetFormatPr defaultRowHeight="14.4" x14ac:dyDescent="0.3"/>
  <cols>
    <col min="2" max="2" width="39.5546875" customWidth="1"/>
    <col min="3" max="3" width="18.88671875" customWidth="1"/>
    <col min="4" max="4" width="18.109375" customWidth="1"/>
    <col min="5" max="5" width="25.109375" customWidth="1"/>
    <col min="6" max="6" width="23.88671875" customWidth="1"/>
    <col min="7" max="7" width="45.5546875" customWidth="1"/>
    <col min="13" max="13" width="14.5546875" bestFit="1" customWidth="1"/>
  </cols>
  <sheetData>
    <row r="1" spans="2:7" x14ac:dyDescent="0.3">
      <c r="B1" s="247" t="s">
        <v>91</v>
      </c>
      <c r="C1" s="247"/>
      <c r="D1" s="247"/>
      <c r="E1" s="247"/>
      <c r="F1" s="247"/>
      <c r="G1" s="247"/>
    </row>
    <row r="2" spans="2:7" ht="18" x14ac:dyDescent="0.35">
      <c r="B2" s="304" t="s">
        <v>9</v>
      </c>
      <c r="C2" s="305"/>
      <c r="D2" s="305"/>
      <c r="E2" s="305"/>
      <c r="F2" s="305"/>
      <c r="G2" s="306"/>
    </row>
    <row r="3" spans="2:7" ht="18" x14ac:dyDescent="0.35">
      <c r="B3" s="298" t="s">
        <v>92</v>
      </c>
      <c r="C3" s="299"/>
      <c r="D3" s="299"/>
      <c r="E3" s="299"/>
      <c r="F3" s="299"/>
      <c r="G3" s="300"/>
    </row>
    <row r="4" spans="2:7" ht="63" customHeight="1" x14ac:dyDescent="0.3">
      <c r="B4" s="307" t="s">
        <v>212</v>
      </c>
      <c r="C4" s="308"/>
      <c r="D4" s="308"/>
      <c r="E4" s="308"/>
      <c r="F4" s="308"/>
      <c r="G4" s="309"/>
    </row>
    <row r="5" spans="2:7" ht="17.399999999999999" customHeight="1" x14ac:dyDescent="0.3">
      <c r="B5" s="47" t="s">
        <v>93</v>
      </c>
      <c r="C5" s="310" t="s">
        <v>94</v>
      </c>
      <c r="D5" s="311"/>
      <c r="E5" s="311"/>
      <c r="F5" s="312"/>
      <c r="G5" s="57" t="s">
        <v>95</v>
      </c>
    </row>
    <row r="6" spans="2:7" ht="31.5" customHeight="1" x14ac:dyDescent="0.3">
      <c r="B6" s="16"/>
      <c r="C6" s="50" t="s">
        <v>96</v>
      </c>
      <c r="D6" s="51" t="s">
        <v>97</v>
      </c>
      <c r="E6" s="143" t="s">
        <v>211</v>
      </c>
      <c r="F6" s="143" t="s">
        <v>98</v>
      </c>
      <c r="G6" s="16"/>
    </row>
    <row r="7" spans="2:7" ht="31.5" customHeight="1" x14ac:dyDescent="0.3">
      <c r="B7" s="144" t="s">
        <v>99</v>
      </c>
      <c r="C7" s="145">
        <v>0.02</v>
      </c>
      <c r="D7" s="146">
        <v>500000</v>
      </c>
      <c r="E7" s="147">
        <v>0.6</v>
      </c>
      <c r="F7" s="148">
        <f>C7*E7</f>
        <v>1.2E-2</v>
      </c>
      <c r="G7" s="144" t="s">
        <v>100</v>
      </c>
    </row>
    <row r="8" spans="2:7" ht="27" customHeight="1" x14ac:dyDescent="0.3">
      <c r="B8" s="16" t="s">
        <v>101</v>
      </c>
      <c r="C8" s="50">
        <v>0.02</v>
      </c>
      <c r="D8" s="51">
        <v>77693</v>
      </c>
      <c r="E8" s="9">
        <v>0.13300000000000001</v>
      </c>
      <c r="F8" s="9">
        <f>C8*E8</f>
        <v>2.66E-3</v>
      </c>
      <c r="G8" s="16"/>
    </row>
    <row r="9" spans="2:7" ht="27" customHeight="1" x14ac:dyDescent="0.3">
      <c r="B9" s="16" t="s">
        <v>102</v>
      </c>
      <c r="C9" s="50">
        <v>0.02</v>
      </c>
      <c r="D9" s="51">
        <v>310772</v>
      </c>
      <c r="E9" s="9">
        <v>0.26900000000000002</v>
      </c>
      <c r="F9" s="9">
        <f t="shared" ref="F9:F15" si="0">C9*E9</f>
        <v>5.3800000000000002E-3</v>
      </c>
      <c r="G9" s="16"/>
    </row>
    <row r="10" spans="2:7" ht="27" customHeight="1" x14ac:dyDescent="0.3">
      <c r="B10" s="16" t="s">
        <v>37</v>
      </c>
      <c r="C10" s="50">
        <v>7.0000000000000007E-2</v>
      </c>
      <c r="D10" s="51">
        <v>157015</v>
      </c>
      <c r="E10" s="9">
        <v>0.127</v>
      </c>
      <c r="F10" s="9">
        <f t="shared" si="0"/>
        <v>8.8900000000000003E-3</v>
      </c>
      <c r="G10" s="16"/>
    </row>
    <row r="11" spans="2:7" ht="27" customHeight="1" x14ac:dyDescent="0.3">
      <c r="B11" s="16" t="s">
        <v>103</v>
      </c>
      <c r="C11" s="50">
        <v>3.5000000000000003E-2</v>
      </c>
      <c r="D11" s="51">
        <v>119280</v>
      </c>
      <c r="E11" s="9">
        <v>5.2999999999999999E-2</v>
      </c>
      <c r="F11" s="9">
        <f t="shared" si="0"/>
        <v>1.8550000000000001E-3</v>
      </c>
      <c r="G11" s="16"/>
    </row>
    <row r="12" spans="2:7" ht="27" customHeight="1" x14ac:dyDescent="0.3">
      <c r="B12" s="16" t="s">
        <v>104</v>
      </c>
      <c r="C12" s="50">
        <v>4.4999999999999998E-2</v>
      </c>
      <c r="D12" s="51">
        <v>87634</v>
      </c>
      <c r="E12" s="9">
        <v>2.4E-2</v>
      </c>
      <c r="F12" s="9">
        <f t="shared" si="0"/>
        <v>1.08E-3</v>
      </c>
      <c r="G12" s="16"/>
    </row>
    <row r="13" spans="2:7" ht="27" customHeight="1" x14ac:dyDescent="0.3">
      <c r="B13" s="30" t="s">
        <v>233</v>
      </c>
      <c r="C13" s="50">
        <v>4.5999999999999999E-2</v>
      </c>
      <c r="D13" s="51">
        <v>12692</v>
      </c>
      <c r="E13" s="9">
        <v>8.5000000000000006E-2</v>
      </c>
      <c r="F13" s="9">
        <f t="shared" si="0"/>
        <v>3.9100000000000003E-3</v>
      </c>
      <c r="G13" s="16"/>
    </row>
    <row r="14" spans="2:7" ht="27" customHeight="1" x14ac:dyDescent="0.3">
      <c r="B14" s="30" t="s">
        <v>234</v>
      </c>
      <c r="C14" s="50">
        <v>0.47</v>
      </c>
      <c r="D14" s="51">
        <v>165779</v>
      </c>
      <c r="E14" s="9">
        <v>8.5000000000000006E-2</v>
      </c>
      <c r="F14" s="9">
        <f t="shared" si="0"/>
        <v>3.9949999999999999E-2</v>
      </c>
      <c r="G14" s="16"/>
    </row>
    <row r="15" spans="2:7" ht="27" customHeight="1" x14ac:dyDescent="0.3">
      <c r="B15" s="30" t="s">
        <v>105</v>
      </c>
      <c r="C15" s="50"/>
      <c r="D15" s="51"/>
      <c r="E15" s="50"/>
      <c r="F15" s="9">
        <f t="shared" si="0"/>
        <v>0</v>
      </c>
      <c r="G15" s="16"/>
    </row>
    <row r="16" spans="2:7" x14ac:dyDescent="0.3">
      <c r="B16" s="11" t="s">
        <v>13</v>
      </c>
      <c r="C16" s="78" t="s">
        <v>106</v>
      </c>
      <c r="D16" s="79">
        <f>SUM(D8:D15)</f>
        <v>930865</v>
      </c>
      <c r="E16" s="187">
        <f>SUM(E8:E15)</f>
        <v>0.77600000000000002</v>
      </c>
      <c r="F16" s="186">
        <f>SUM(F8:F15)</f>
        <v>6.3725000000000004E-2</v>
      </c>
      <c r="G16" s="11"/>
    </row>
    <row r="17" spans="2:6" x14ac:dyDescent="0.3">
      <c r="B17" s="18" t="s">
        <v>213</v>
      </c>
      <c r="E17" t="s">
        <v>208</v>
      </c>
    </row>
    <row r="19" spans="2:6" x14ac:dyDescent="0.3">
      <c r="B19" s="303" t="s">
        <v>107</v>
      </c>
      <c r="C19" s="303"/>
      <c r="D19" s="303"/>
      <c r="E19" s="303"/>
      <c r="F19" s="165"/>
    </row>
    <row r="21" spans="2:6" ht="25.8" x14ac:dyDescent="0.5">
      <c r="B21" s="184" t="s">
        <v>207</v>
      </c>
    </row>
    <row r="39" spans="13:13" x14ac:dyDescent="0.3">
      <c r="M39" s="14"/>
    </row>
  </sheetData>
  <mergeCells count="6">
    <mergeCell ref="B19:E19"/>
    <mergeCell ref="B1:G1"/>
    <mergeCell ref="B2:G2"/>
    <mergeCell ref="B4:G4"/>
    <mergeCell ref="C5:F5"/>
    <mergeCell ref="B3:G3"/>
  </mergeCells>
  <pageMargins left="0.7" right="0.7" top="0.75" bottom="0.75" header="0.3" footer="0.3"/>
  <pageSetup orientation="landscape" r:id="rId1"/>
  <headerFooter>
    <oddFooter>&amp;L&amp;D&amp;R&amp;F,&amp;A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theme="7"/>
  </sheetPr>
  <dimension ref="B1:F18"/>
  <sheetViews>
    <sheetView showGridLines="0" tabSelected="1" workbookViewId="0">
      <selection activeCell="J9" sqref="J9"/>
    </sheetView>
  </sheetViews>
  <sheetFormatPr defaultColWidth="8.88671875" defaultRowHeight="14.4" x14ac:dyDescent="0.3"/>
  <cols>
    <col min="1" max="1" width="8.88671875" style="1"/>
    <col min="2" max="2" width="32.33203125" style="41" customWidth="1"/>
    <col min="3" max="4" width="22.33203125" style="41" customWidth="1"/>
    <col min="5" max="5" width="17.5546875" style="41" customWidth="1"/>
    <col min="6" max="6" width="19.5546875" style="41" customWidth="1"/>
    <col min="7" max="16384" width="8.88671875" style="1"/>
  </cols>
  <sheetData>
    <row r="1" spans="2:6" s="104" customFormat="1" x14ac:dyDescent="0.3">
      <c r="B1" s="105"/>
      <c r="C1" s="105"/>
      <c r="D1" s="105"/>
      <c r="E1" s="105"/>
      <c r="F1" s="105"/>
    </row>
    <row r="2" spans="2:6" ht="15.6" x14ac:dyDescent="0.3">
      <c r="B2" s="314" t="s">
        <v>108</v>
      </c>
      <c r="C2" s="314"/>
      <c r="D2" s="314"/>
      <c r="E2" s="314"/>
      <c r="F2" s="314"/>
    </row>
    <row r="3" spans="2:6" ht="18" x14ac:dyDescent="0.35">
      <c r="B3" s="315" t="s">
        <v>2</v>
      </c>
      <c r="C3" s="316"/>
      <c r="D3" s="316"/>
      <c r="E3" s="316"/>
      <c r="F3" s="317"/>
    </row>
    <row r="4" spans="2:6" ht="18" x14ac:dyDescent="0.35">
      <c r="B4" s="298" t="s">
        <v>109</v>
      </c>
      <c r="C4" s="299"/>
      <c r="D4" s="299"/>
      <c r="E4" s="299"/>
      <c r="F4" s="300"/>
    </row>
    <row r="5" spans="2:6" ht="15.6" x14ac:dyDescent="0.3">
      <c r="B5" s="31"/>
      <c r="C5" s="31"/>
      <c r="D5" s="31"/>
      <c r="E5" s="31"/>
      <c r="F5" s="31"/>
    </row>
    <row r="6" spans="2:6" ht="67.5" customHeight="1" x14ac:dyDescent="0.3">
      <c r="B6" s="313" t="s">
        <v>202</v>
      </c>
      <c r="C6" s="313"/>
      <c r="D6" s="313"/>
      <c r="E6" s="313"/>
      <c r="F6" s="313"/>
    </row>
    <row r="7" spans="2:6" ht="15.6" x14ac:dyDescent="0.3">
      <c r="B7" s="31"/>
      <c r="C7" s="31"/>
      <c r="D7" s="31"/>
      <c r="E7" s="31"/>
      <c r="F7" s="31"/>
    </row>
    <row r="8" spans="2:6" ht="48" customHeight="1" x14ac:dyDescent="0.3">
      <c r="B8" s="32" t="s">
        <v>110</v>
      </c>
      <c r="C8" s="33" t="s">
        <v>176</v>
      </c>
      <c r="D8" s="33" t="s">
        <v>111</v>
      </c>
      <c r="E8" s="33" t="s">
        <v>112</v>
      </c>
      <c r="F8" s="34" t="s">
        <v>113</v>
      </c>
    </row>
    <row r="9" spans="2:6" ht="25.5" customHeight="1" x14ac:dyDescent="0.3">
      <c r="B9" s="35"/>
      <c r="C9" s="36" t="s">
        <v>114</v>
      </c>
      <c r="D9" s="36" t="s">
        <v>177</v>
      </c>
      <c r="E9" s="36" t="s">
        <v>177</v>
      </c>
      <c r="F9" s="37" t="s">
        <v>178</v>
      </c>
    </row>
    <row r="10" spans="2:6" ht="24" customHeight="1" x14ac:dyDescent="0.3">
      <c r="B10" s="38" t="s">
        <v>115</v>
      </c>
      <c r="C10" s="39" t="s">
        <v>219</v>
      </c>
      <c r="D10" s="212">
        <v>2950</v>
      </c>
      <c r="E10" s="212">
        <v>291656.67</v>
      </c>
      <c r="F10" s="213">
        <v>200000</v>
      </c>
    </row>
    <row r="11" spans="2:6" ht="15.6" x14ac:dyDescent="0.3">
      <c r="B11" s="38" t="s">
        <v>116</v>
      </c>
      <c r="C11" s="39" t="s">
        <v>218</v>
      </c>
      <c r="D11" s="39"/>
      <c r="E11" s="39"/>
      <c r="F11" s="40"/>
    </row>
    <row r="12" spans="2:6" ht="15.6" x14ac:dyDescent="0.3">
      <c r="B12" s="38" t="s">
        <v>139</v>
      </c>
      <c r="C12" s="39" t="s">
        <v>218</v>
      </c>
      <c r="D12" s="39"/>
      <c r="E12" s="39"/>
      <c r="F12" s="40"/>
    </row>
    <row r="13" spans="2:6" ht="15.6" x14ac:dyDescent="0.3">
      <c r="B13" s="214" t="s">
        <v>200</v>
      </c>
      <c r="C13" s="215" t="s">
        <v>218</v>
      </c>
      <c r="D13" s="215"/>
      <c r="E13" s="215"/>
      <c r="F13" s="216"/>
    </row>
    <row r="14" spans="2:6" ht="15.6" x14ac:dyDescent="0.3">
      <c r="B14" s="217" t="s">
        <v>201</v>
      </c>
      <c r="C14" s="218" t="s">
        <v>219</v>
      </c>
      <c r="D14" s="218">
        <v>200</v>
      </c>
      <c r="E14" s="218">
        <v>0</v>
      </c>
      <c r="F14" s="219">
        <v>0</v>
      </c>
    </row>
    <row r="15" spans="2:6" ht="16.2" thickBot="1" x14ac:dyDescent="0.35">
      <c r="B15" s="181" t="s">
        <v>117</v>
      </c>
      <c r="C15" s="179" t="s">
        <v>218</v>
      </c>
      <c r="D15" s="179"/>
      <c r="E15" s="179"/>
      <c r="F15" s="180"/>
    </row>
    <row r="16" spans="2:6" ht="15.6" x14ac:dyDescent="0.3">
      <c r="B16" s="35" t="s">
        <v>118</v>
      </c>
      <c r="C16" s="176"/>
      <c r="D16" s="177"/>
      <c r="E16" s="177"/>
      <c r="F16" s="178"/>
    </row>
    <row r="17" spans="2:5" ht="15.6" x14ac:dyDescent="0.3">
      <c r="B17" s="31"/>
    </row>
    <row r="18" spans="2:5" ht="15.6" x14ac:dyDescent="0.3">
      <c r="B18" s="42"/>
      <c r="E18" s="43"/>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C95A3-D539-49A7-A815-8026293680E0}">
  <sheetPr>
    <tabColor theme="7"/>
    <pageSetUpPr fitToPage="1"/>
  </sheetPr>
  <dimension ref="B2:K24"/>
  <sheetViews>
    <sheetView showGridLines="0" zoomScale="94" zoomScaleNormal="100" zoomScaleSheetLayoutView="55" workbookViewId="0">
      <selection activeCell="F28" sqref="F28"/>
    </sheetView>
  </sheetViews>
  <sheetFormatPr defaultColWidth="9.109375" defaultRowHeight="15" customHeight="1" x14ac:dyDescent="0.3"/>
  <cols>
    <col min="1" max="1" width="3.5546875" style="102" customWidth="1"/>
    <col min="2" max="2" width="39.6640625" style="102" customWidth="1"/>
    <col min="3" max="3" width="24" style="102" customWidth="1"/>
    <col min="4" max="11" width="22.6640625" style="102" customWidth="1"/>
    <col min="12" max="16384" width="9.109375" style="102"/>
  </cols>
  <sheetData>
    <row r="2" spans="2:11" s="1" customFormat="1" ht="15.6" x14ac:dyDescent="0.3">
      <c r="B2" s="314" t="s">
        <v>108</v>
      </c>
      <c r="C2" s="314"/>
      <c r="D2" s="314"/>
      <c r="E2" s="314"/>
      <c r="F2" s="314"/>
      <c r="G2" s="314"/>
      <c r="H2" s="314"/>
      <c r="I2" s="314"/>
      <c r="J2" s="314"/>
      <c r="K2" s="314"/>
    </row>
    <row r="3" spans="2:11" s="1" customFormat="1" ht="18" x14ac:dyDescent="0.35">
      <c r="B3" s="315" t="s">
        <v>119</v>
      </c>
      <c r="C3" s="316"/>
      <c r="D3" s="316"/>
      <c r="E3" s="316"/>
      <c r="F3" s="316"/>
      <c r="G3" s="316"/>
      <c r="H3" s="316"/>
      <c r="I3" s="316"/>
      <c r="J3" s="316"/>
      <c r="K3" s="317"/>
    </row>
    <row r="4" spans="2:11" s="1" customFormat="1" ht="18" x14ac:dyDescent="0.35">
      <c r="B4" s="298" t="s">
        <v>120</v>
      </c>
      <c r="C4" s="299"/>
      <c r="D4" s="299"/>
      <c r="E4" s="299"/>
      <c r="F4" s="299"/>
      <c r="G4" s="299"/>
      <c r="H4" s="299"/>
      <c r="I4" s="299"/>
      <c r="J4" s="299"/>
      <c r="K4" s="300"/>
    </row>
    <row r="5" spans="2:11" s="104" customFormat="1" ht="18" x14ac:dyDescent="0.35">
      <c r="B5" s="150"/>
      <c r="C5" s="150"/>
      <c r="D5" s="150"/>
      <c r="E5" s="150"/>
      <c r="F5" s="150"/>
      <c r="G5" s="150"/>
      <c r="H5" s="150"/>
      <c r="I5" s="150"/>
      <c r="J5" s="150"/>
      <c r="K5" s="150"/>
    </row>
    <row r="6" spans="2:11" s="104" customFormat="1" ht="18.75" customHeight="1" x14ac:dyDescent="0.3">
      <c r="B6" s="318" t="s">
        <v>206</v>
      </c>
      <c r="C6" s="318"/>
      <c r="D6" s="318"/>
      <c r="E6" s="318"/>
      <c r="F6" s="318"/>
      <c r="G6" s="318"/>
      <c r="H6" s="318"/>
      <c r="I6" s="318"/>
      <c r="J6" s="318"/>
      <c r="K6" s="318"/>
    </row>
    <row r="7" spans="2:11" s="104" customFormat="1" ht="18.75" customHeight="1" x14ac:dyDescent="0.3">
      <c r="B7" s="318"/>
      <c r="C7" s="318"/>
      <c r="D7" s="318"/>
      <c r="E7" s="318"/>
      <c r="F7" s="318"/>
      <c r="G7" s="318"/>
      <c r="H7" s="318"/>
      <c r="I7" s="318"/>
      <c r="J7" s="318"/>
      <c r="K7" s="318"/>
    </row>
    <row r="8" spans="2:11" s="104" customFormat="1" ht="18" x14ac:dyDescent="0.35">
      <c r="B8" s="103"/>
      <c r="C8" s="103"/>
      <c r="D8" s="103"/>
      <c r="E8" s="103"/>
      <c r="F8" s="103"/>
      <c r="G8" s="103"/>
      <c r="H8" s="103"/>
    </row>
    <row r="9" spans="2:11" s="151" customFormat="1" ht="14.4" x14ac:dyDescent="0.3">
      <c r="B9" s="152"/>
      <c r="D9" s="152"/>
      <c r="E9" s="152"/>
      <c r="F9" s="152"/>
      <c r="G9" s="152"/>
      <c r="H9" s="152"/>
      <c r="I9" s="153"/>
      <c r="J9" s="153"/>
      <c r="K9" s="153"/>
    </row>
    <row r="10" spans="2:11" s="149" customFormat="1" ht="15" customHeight="1" x14ac:dyDescent="0.3">
      <c r="B10" s="319" t="s">
        <v>121</v>
      </c>
      <c r="C10" s="159" t="s">
        <v>122</v>
      </c>
      <c r="D10" s="211" t="s">
        <v>122</v>
      </c>
      <c r="E10" s="156" t="s">
        <v>123</v>
      </c>
      <c r="F10" s="157" t="s">
        <v>205</v>
      </c>
      <c r="G10" s="183" t="s">
        <v>122</v>
      </c>
      <c r="H10" s="156" t="s">
        <v>123</v>
      </c>
      <c r="I10" s="157" t="s">
        <v>205</v>
      </c>
      <c r="J10" s="236" t="s">
        <v>123</v>
      </c>
      <c r="K10" s="237" t="s">
        <v>205</v>
      </c>
    </row>
    <row r="11" spans="2:11" s="149" customFormat="1" ht="14.4" x14ac:dyDescent="0.3">
      <c r="B11" s="320"/>
      <c r="C11" s="158" t="s">
        <v>124</v>
      </c>
      <c r="D11" s="321" t="s">
        <v>204</v>
      </c>
      <c r="E11" s="322"/>
      <c r="F11" s="323"/>
      <c r="G11" s="322" t="s">
        <v>125</v>
      </c>
      <c r="H11" s="322"/>
      <c r="I11" s="323"/>
      <c r="J11" s="324" t="s">
        <v>203</v>
      </c>
      <c r="K11" s="325"/>
    </row>
    <row r="12" spans="2:11" ht="15" customHeight="1" x14ac:dyDescent="0.3">
      <c r="B12" s="154" t="s">
        <v>235</v>
      </c>
      <c r="C12" s="222">
        <f t="shared" ref="C12:C22" si="0">+D12+G12</f>
        <v>0</v>
      </c>
      <c r="D12" s="223">
        <v>0</v>
      </c>
      <c r="E12" s="224">
        <v>0</v>
      </c>
      <c r="F12" s="225">
        <v>5277427.41</v>
      </c>
      <c r="G12" s="226">
        <v>0</v>
      </c>
      <c r="H12" s="226">
        <v>0</v>
      </c>
      <c r="I12" s="225">
        <v>0</v>
      </c>
      <c r="J12" s="238">
        <v>0</v>
      </c>
      <c r="K12" s="225">
        <v>0</v>
      </c>
    </row>
    <row r="13" spans="2:11" ht="15" customHeight="1" x14ac:dyDescent="0.3">
      <c r="B13" s="154" t="s">
        <v>236</v>
      </c>
      <c r="C13" s="222">
        <f t="shared" si="0"/>
        <v>0</v>
      </c>
      <c r="D13" s="223">
        <v>0</v>
      </c>
      <c r="E13" s="224">
        <v>0</v>
      </c>
      <c r="F13" s="225">
        <v>23222</v>
      </c>
      <c r="G13" s="226">
        <v>0</v>
      </c>
      <c r="H13" s="227">
        <f>+F13</f>
        <v>23222</v>
      </c>
      <c r="I13" s="225">
        <v>0</v>
      </c>
      <c r="J13" s="238">
        <v>0</v>
      </c>
      <c r="K13" s="225">
        <v>0</v>
      </c>
    </row>
    <row r="14" spans="2:11" ht="15" customHeight="1" x14ac:dyDescent="0.3">
      <c r="B14" s="154" t="s">
        <v>237</v>
      </c>
      <c r="C14" s="222">
        <f t="shared" si="0"/>
        <v>48547</v>
      </c>
      <c r="D14" s="223">
        <v>48547</v>
      </c>
      <c r="E14" s="224">
        <v>51689</v>
      </c>
      <c r="F14" s="225">
        <v>0</v>
      </c>
      <c r="G14" s="226">
        <v>0</v>
      </c>
      <c r="H14" s="226">
        <v>0</v>
      </c>
      <c r="I14" s="225">
        <v>0</v>
      </c>
      <c r="J14" s="238">
        <v>0</v>
      </c>
      <c r="K14" s="225">
        <v>0</v>
      </c>
    </row>
    <row r="15" spans="2:11" ht="15" customHeight="1" x14ac:dyDescent="0.3">
      <c r="B15" s="154" t="s">
        <v>238</v>
      </c>
      <c r="C15" s="222">
        <f t="shared" si="0"/>
        <v>1439462.1</v>
      </c>
      <c r="D15" s="223">
        <v>0</v>
      </c>
      <c r="E15" s="224">
        <v>0</v>
      </c>
      <c r="F15" s="225">
        <v>0</v>
      </c>
      <c r="G15" s="228">
        <v>1439462.1</v>
      </c>
      <c r="H15" s="227">
        <v>1439462.1</v>
      </c>
      <c r="I15" s="229">
        <v>0</v>
      </c>
      <c r="J15" s="238">
        <v>0</v>
      </c>
      <c r="K15" s="225">
        <v>0</v>
      </c>
    </row>
    <row r="16" spans="2:11" ht="15" customHeight="1" x14ac:dyDescent="0.3">
      <c r="B16" s="154"/>
      <c r="C16" s="222">
        <f t="shared" si="0"/>
        <v>0</v>
      </c>
      <c r="D16" s="223"/>
      <c r="E16" s="224"/>
      <c r="F16" s="225"/>
      <c r="G16" s="228"/>
      <c r="H16" s="227"/>
      <c r="I16" s="229"/>
      <c r="J16" s="238"/>
      <c r="K16" s="225"/>
    </row>
    <row r="17" spans="2:11" ht="15" customHeight="1" x14ac:dyDescent="0.3">
      <c r="B17" s="154"/>
      <c r="C17" s="222">
        <f t="shared" si="0"/>
        <v>0</v>
      </c>
      <c r="D17" s="223"/>
      <c r="E17" s="224"/>
      <c r="F17" s="225"/>
      <c r="G17" s="228"/>
      <c r="H17" s="227"/>
      <c r="I17" s="229"/>
      <c r="J17" s="238"/>
      <c r="K17" s="225"/>
    </row>
    <row r="18" spans="2:11" ht="15" customHeight="1" x14ac:dyDescent="0.3">
      <c r="B18" s="154"/>
      <c r="C18" s="222">
        <f t="shared" si="0"/>
        <v>0</v>
      </c>
      <c r="D18" s="223"/>
      <c r="E18" s="224"/>
      <c r="F18" s="225"/>
      <c r="G18" s="228"/>
      <c r="H18" s="227"/>
      <c r="I18" s="229"/>
      <c r="J18" s="238"/>
      <c r="K18" s="225"/>
    </row>
    <row r="19" spans="2:11" ht="15" customHeight="1" x14ac:dyDescent="0.3">
      <c r="B19" s="154"/>
      <c r="C19" s="222">
        <f t="shared" si="0"/>
        <v>0</v>
      </c>
      <c r="D19" s="223"/>
      <c r="E19" s="224"/>
      <c r="F19" s="225"/>
      <c r="G19" s="228"/>
      <c r="H19" s="227"/>
      <c r="I19" s="229"/>
      <c r="J19" s="238"/>
      <c r="K19" s="225"/>
    </row>
    <row r="20" spans="2:11" ht="15" customHeight="1" x14ac:dyDescent="0.3">
      <c r="B20" s="154"/>
      <c r="C20" s="222">
        <f t="shared" si="0"/>
        <v>0</v>
      </c>
      <c r="D20" s="223"/>
      <c r="E20" s="224"/>
      <c r="F20" s="225"/>
      <c r="G20" s="228"/>
      <c r="H20" s="227"/>
      <c r="I20" s="229"/>
      <c r="J20" s="238"/>
      <c r="K20" s="225"/>
    </row>
    <row r="21" spans="2:11" ht="15" customHeight="1" x14ac:dyDescent="0.3">
      <c r="B21" s="154"/>
      <c r="C21" s="222">
        <f t="shared" si="0"/>
        <v>0</v>
      </c>
      <c r="D21" s="223"/>
      <c r="E21" s="224"/>
      <c r="F21" s="225"/>
      <c r="G21" s="228"/>
      <c r="H21" s="227"/>
      <c r="I21" s="229"/>
      <c r="J21" s="238"/>
      <c r="K21" s="225"/>
    </row>
    <row r="22" spans="2:11" ht="15" customHeight="1" x14ac:dyDescent="0.3">
      <c r="B22" s="154"/>
      <c r="C22" s="222">
        <f t="shared" si="0"/>
        <v>0</v>
      </c>
      <c r="D22" s="223"/>
      <c r="E22" s="224"/>
      <c r="F22" s="225"/>
      <c r="G22" s="230"/>
      <c r="H22" s="230"/>
      <c r="I22" s="231"/>
      <c r="J22" s="239"/>
      <c r="K22" s="240"/>
    </row>
    <row r="23" spans="2:11" ht="15" customHeight="1" thickBot="1" x14ac:dyDescent="0.35">
      <c r="B23" s="155" t="s">
        <v>126</v>
      </c>
      <c r="C23" s="232">
        <f t="shared" ref="C23:K23" si="1">SUM(C12:C22)</f>
        <v>1488009.1</v>
      </c>
      <c r="D23" s="233">
        <f t="shared" si="1"/>
        <v>48547</v>
      </c>
      <c r="E23" s="234">
        <f t="shared" si="1"/>
        <v>51689</v>
      </c>
      <c r="F23" s="235">
        <f t="shared" si="1"/>
        <v>5300649.41</v>
      </c>
      <c r="G23" s="234">
        <f t="shared" si="1"/>
        <v>1439462.1</v>
      </c>
      <c r="H23" s="234">
        <f t="shared" si="1"/>
        <v>1462684.1</v>
      </c>
      <c r="I23" s="235">
        <f t="shared" si="1"/>
        <v>0</v>
      </c>
      <c r="J23" s="241">
        <f t="shared" si="1"/>
        <v>0</v>
      </c>
      <c r="K23" s="242">
        <f t="shared" si="1"/>
        <v>0</v>
      </c>
    </row>
    <row r="24" spans="2:11" ht="15" customHeight="1" thickTop="1" x14ac:dyDescent="0.3"/>
  </sheetData>
  <mergeCells count="8">
    <mergeCell ref="B2:K2"/>
    <mergeCell ref="B3:K3"/>
    <mergeCell ref="B4:K4"/>
    <mergeCell ref="B6:K7"/>
    <mergeCell ref="B10:B11"/>
    <mergeCell ref="D11:F11"/>
    <mergeCell ref="G11:I11"/>
    <mergeCell ref="J11:K11"/>
  </mergeCells>
  <pageMargins left="0.7" right="0.7" top="0.75" bottom="0.75" header="0.3" footer="0.3"/>
  <pageSetup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topLeftCell="A3" zoomScale="110" zoomScaleNormal="110" workbookViewId="0">
      <selection activeCell="C24" sqref="C24"/>
    </sheetView>
  </sheetViews>
  <sheetFormatPr defaultRowHeight="14.4" x14ac:dyDescent="0.3"/>
  <cols>
    <col min="1" max="1" width="42.6640625" style="65" customWidth="1"/>
    <col min="2" max="2" width="13.88671875" style="65" customWidth="1"/>
  </cols>
  <sheetData>
    <row r="2" spans="1:2" x14ac:dyDescent="0.3">
      <c r="A2" s="326" t="s">
        <v>127</v>
      </c>
      <c r="B2" s="326"/>
    </row>
    <row r="3" spans="1:2" ht="15.6" x14ac:dyDescent="0.3">
      <c r="A3" s="327" t="s">
        <v>128</v>
      </c>
      <c r="B3" s="327"/>
    </row>
    <row r="4" spans="1:2" ht="24.6" customHeight="1" x14ac:dyDescent="0.3">
      <c r="A4" s="328" t="s">
        <v>129</v>
      </c>
      <c r="B4" s="328"/>
    </row>
    <row r="5" spans="1:2" x14ac:dyDescent="0.3">
      <c r="A5" s="66" t="s">
        <v>130</v>
      </c>
      <c r="B5" s="67">
        <f>'1. Reconciliation'!C23</f>
        <v>58010677</v>
      </c>
    </row>
    <row r="6" spans="1:2" x14ac:dyDescent="0.3">
      <c r="A6" s="66" t="s">
        <v>131</v>
      </c>
      <c r="B6" s="68">
        <f>'1. Reconciliation'!C26</f>
        <v>6.9832407849656608E-2</v>
      </c>
    </row>
    <row r="7" spans="1:2" x14ac:dyDescent="0.3">
      <c r="A7" s="66" t="s">
        <v>132</v>
      </c>
      <c r="B7" s="68">
        <f>'1. Reconciliation'!C76</f>
        <v>1.7795796543643709E-2</v>
      </c>
    </row>
    <row r="8" spans="1:2" x14ac:dyDescent="0.3">
      <c r="A8" s="69"/>
      <c r="B8" s="70"/>
    </row>
    <row r="9" spans="1:2" x14ac:dyDescent="0.3">
      <c r="A9" s="71" t="s">
        <v>133</v>
      </c>
      <c r="B9" s="72"/>
    </row>
    <row r="10" spans="1:2" ht="39.6" customHeight="1" x14ac:dyDescent="0.3">
      <c r="A10" s="66" t="s">
        <v>134</v>
      </c>
      <c r="B10" s="73">
        <f>+'1. Reconciliation'!C12</f>
        <v>678887</v>
      </c>
    </row>
    <row r="11" spans="1:2" x14ac:dyDescent="0.3">
      <c r="A11" s="66" t="s">
        <v>135</v>
      </c>
      <c r="B11" s="73">
        <f>+'1. Reconciliation'!C14</f>
        <v>-334861</v>
      </c>
    </row>
    <row r="12" spans="1:2" x14ac:dyDescent="0.3">
      <c r="A12" s="66" t="s">
        <v>23</v>
      </c>
      <c r="B12" s="73">
        <f>+'1. Reconciliation'!C16</f>
        <v>0</v>
      </c>
    </row>
    <row r="13" spans="1:2" x14ac:dyDescent="0.3">
      <c r="A13" s="66" t="s">
        <v>24</v>
      </c>
      <c r="B13" s="73">
        <f>+'1. Reconciliation'!C17</f>
        <v>1200000</v>
      </c>
    </row>
    <row r="14" spans="1:2" ht="44.4" customHeight="1" x14ac:dyDescent="0.3">
      <c r="A14" s="66" t="s">
        <v>25</v>
      </c>
      <c r="B14" s="73">
        <f>+'1. Reconciliation'!C18</f>
        <v>1468108</v>
      </c>
    </row>
    <row r="15" spans="1:2" x14ac:dyDescent="0.3">
      <c r="A15" s="74" t="s">
        <v>136</v>
      </c>
      <c r="B15" s="75">
        <f>SUM(B10:B14)</f>
        <v>3012134</v>
      </c>
    </row>
  </sheetData>
  <mergeCells count="3">
    <mergeCell ref="A2:B2"/>
    <mergeCell ref="A3:B3"/>
    <mergeCell ref="A4:B4"/>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4.4" x14ac:dyDescent="0.3"/>
  <sheetData>
    <row r="1" spans="2:5" x14ac:dyDescent="0.3">
      <c r="B1" t="s">
        <v>137</v>
      </c>
    </row>
    <row r="3" spans="2:5" x14ac:dyDescent="0.3">
      <c r="B3" t="s">
        <v>138</v>
      </c>
      <c r="C3" t="s">
        <v>139</v>
      </c>
      <c r="D3" t="s">
        <v>116</v>
      </c>
      <c r="E3" t="s">
        <v>115</v>
      </c>
    </row>
    <row r="4" spans="2:5" x14ac:dyDescent="0.3">
      <c r="B4" s="16" t="s">
        <v>140</v>
      </c>
      <c r="C4" s="25">
        <v>180</v>
      </c>
      <c r="D4" s="25">
        <v>100</v>
      </c>
      <c r="E4" s="16" t="s">
        <v>141</v>
      </c>
    </row>
    <row r="5" spans="2:5" x14ac:dyDescent="0.3">
      <c r="B5" s="16" t="s">
        <v>142</v>
      </c>
      <c r="C5" s="25">
        <v>163</v>
      </c>
      <c r="D5" s="25">
        <v>100</v>
      </c>
      <c r="E5" s="25">
        <v>85</v>
      </c>
    </row>
    <row r="6" spans="2:5" x14ac:dyDescent="0.3">
      <c r="B6" s="16" t="s">
        <v>143</v>
      </c>
      <c r="C6" s="25">
        <v>186</v>
      </c>
      <c r="D6" s="25">
        <v>100</v>
      </c>
      <c r="E6" s="25">
        <v>58</v>
      </c>
    </row>
    <row r="7" spans="2:5" x14ac:dyDescent="0.3">
      <c r="B7" s="16" t="s">
        <v>144</v>
      </c>
      <c r="C7" s="25">
        <v>92</v>
      </c>
      <c r="D7" s="25">
        <v>100</v>
      </c>
      <c r="E7" s="25">
        <v>52</v>
      </c>
    </row>
    <row r="8" spans="2:5" x14ac:dyDescent="0.3">
      <c r="B8" s="16" t="s">
        <v>145</v>
      </c>
      <c r="C8" s="25">
        <v>166</v>
      </c>
      <c r="D8" s="25">
        <v>100</v>
      </c>
      <c r="E8" s="25">
        <v>76</v>
      </c>
    </row>
    <row r="9" spans="2:5" x14ac:dyDescent="0.3">
      <c r="B9" s="16" t="s">
        <v>146</v>
      </c>
      <c r="C9" s="25">
        <v>130</v>
      </c>
      <c r="D9" s="25">
        <v>100</v>
      </c>
      <c r="E9" s="25">
        <v>75</v>
      </c>
    </row>
    <row r="10" spans="2:5" x14ac:dyDescent="0.3">
      <c r="B10" s="16" t="s">
        <v>147</v>
      </c>
      <c r="C10" s="25">
        <v>160</v>
      </c>
      <c r="D10" s="25">
        <v>100</v>
      </c>
      <c r="E10" s="25">
        <v>79</v>
      </c>
    </row>
    <row r="11" spans="2:5" x14ac:dyDescent="0.3">
      <c r="B11" s="16" t="s">
        <v>148</v>
      </c>
      <c r="C11" s="25">
        <v>120</v>
      </c>
      <c r="D11" s="25">
        <v>100</v>
      </c>
      <c r="E11" s="25">
        <v>81</v>
      </c>
    </row>
    <row r="12" spans="2:5" x14ac:dyDescent="0.3">
      <c r="B12" s="16" t="s">
        <v>149</v>
      </c>
      <c r="C12" s="25">
        <v>160</v>
      </c>
      <c r="D12" s="25">
        <v>100</v>
      </c>
      <c r="E12" s="25">
        <v>72</v>
      </c>
    </row>
    <row r="13" spans="2:5" x14ac:dyDescent="0.3">
      <c r="B13" s="16" t="s">
        <v>150</v>
      </c>
      <c r="C13" s="25">
        <v>150</v>
      </c>
      <c r="D13" s="25">
        <v>100</v>
      </c>
      <c r="E13" s="16">
        <v>55</v>
      </c>
    </row>
    <row r="14" spans="2:5" x14ac:dyDescent="0.3">
      <c r="B14" s="16" t="s">
        <v>151</v>
      </c>
      <c r="C14" s="25">
        <v>264</v>
      </c>
      <c r="D14" s="25">
        <v>100</v>
      </c>
      <c r="E14" s="25">
        <v>44</v>
      </c>
    </row>
    <row r="15" spans="2:5" x14ac:dyDescent="0.3">
      <c r="B15" s="16" t="s">
        <v>152</v>
      </c>
      <c r="C15" s="25">
        <v>178</v>
      </c>
      <c r="D15" s="25">
        <v>100</v>
      </c>
      <c r="E15" s="25">
        <v>108</v>
      </c>
    </row>
    <row r="16" spans="2:5" x14ac:dyDescent="0.3">
      <c r="B16" s="16" t="s">
        <v>153</v>
      </c>
      <c r="C16" s="25">
        <v>185</v>
      </c>
      <c r="D16" s="25">
        <v>100</v>
      </c>
      <c r="E16" s="25">
        <v>89</v>
      </c>
    </row>
    <row r="17" spans="2:5" x14ac:dyDescent="0.3">
      <c r="B17" s="16" t="s">
        <v>154</v>
      </c>
      <c r="C17" s="25">
        <v>228</v>
      </c>
      <c r="D17" s="25">
        <v>100</v>
      </c>
      <c r="E17" s="25">
        <v>76</v>
      </c>
    </row>
  </sheetData>
  <sortState xmlns:xlrd2="http://schemas.microsoft.com/office/spreadsheetml/2017/richdata2" ref="B4:E17">
    <sortCondition ref="B4: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FDD72E-62BB-4083-B4E4-70A11D422880}">
  <ds:schemaRefs>
    <ds:schemaRef ds:uri="http://purl.org/dc/terms/"/>
    <ds:schemaRef ds:uri="http://purl.org/dc/elements/1.1/"/>
    <ds:schemaRef ds:uri="http://www.w3.org/XML/1998/namespace"/>
    <ds:schemaRef ds:uri="http://purl.org/dc/dcmitype/"/>
    <ds:schemaRef ds:uri="2819d22d-c924-42b3-954a-d3b43813cc67"/>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18dbc17e-cec9-4211-a89f-0bf74a616302"/>
  </ds:schemaRefs>
</ds:datastoreItem>
</file>

<file path=customXml/itemProps2.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35E319-B666-43F5-B785-F40D79B223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Pagan, Flora</cp:lastModifiedBy>
  <cp:revision/>
  <dcterms:created xsi:type="dcterms:W3CDTF">2020-01-09T18:52:12Z</dcterms:created>
  <dcterms:modified xsi:type="dcterms:W3CDTF">2022-08-17T12:26:10Z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