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S:\AOA\GMCB\GMCB - Shared\HCA-Special\HOME\HOSP\B2022\Appendix workbook\"/>
    </mc:Choice>
  </mc:AlternateContent>
  <xr:revisionPtr revIDLastSave="0" documentId="8_{0970C534-83B6-497C-9953-792A2D96B92A}" xr6:coauthVersionLast="47" xr6:coauthVersionMax="47" xr10:uidLastSave="{00000000-0000-0000-0000-000000000000}"/>
  <bookViews>
    <workbookView xWindow="-120" yWindow="-120" windowWidth="29040" windowHeight="15840" activeTab="1" xr2:uid="{EDA287F5-79D0-4FF5-98F1-6BE045AC2F7D}"/>
  </bookViews>
  <sheets>
    <sheet name="Overview" sheetId="17" r:id="rId1"/>
    <sheet name="1. Reconciliation" sheetId="15" r:id="rId2"/>
    <sheet name="2. Charge and NPR Detail" sheetId="13" r:id="rId3"/>
    <sheet name="3. Utilization" sheetId="7" r:id="rId4"/>
    <sheet name="4. Inflation" sheetId="16" r:id="rId5"/>
    <sheet name="5. Vaccine Clinics and Testing" sheetId="21" r:id="rId6"/>
    <sheet name="6. Value Based Care Participati" sheetId="8" r:id="rId7"/>
    <sheet name="7. COVID-19 Advances, Relief Fu" sheetId="20" r:id="rId8"/>
    <sheet name="Edit of Request Summary" sheetId="4" state="hidden" r:id="rId9"/>
    <sheet name="Non-Financial- Reimb. Ratio" sheetId="9"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Reconciliation'!$B$6:$O$115</definedName>
    <definedName name="_xlnm.Print_Area" localSheetId="2">'2. Charge and NPR Detail'!$A$2:$H$49</definedName>
    <definedName name="_xlnm.Print_Area" localSheetId="3">'3. Utilization'!$B$1:$D$16</definedName>
    <definedName name="_xlnm.Print_Area" localSheetId="4">'4. Inflation'!$B$1:$D$20</definedName>
    <definedName name="_xlnm.Print_Area" localSheetId="5">'5. Vaccine Clinics and Testing'!$B$7:$D$48</definedName>
    <definedName name="_xlnm.Print_Area" localSheetId="6">'6. Value Based Care Participati'!$B$2:$F$15</definedName>
    <definedName name="_xlnm.Print_Area" localSheetId="0">Overview!$A$1:$B$13</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13" l="1"/>
  <c r="F32" i="13"/>
  <c r="E34" i="13"/>
  <c r="D34" i="13" s="1"/>
  <c r="E35" i="13"/>
  <c r="E32" i="13"/>
  <c r="D32" i="13" s="1"/>
  <c r="E45" i="13"/>
  <c r="I32" i="13"/>
  <c r="J34" i="13"/>
  <c r="J33" i="13"/>
  <c r="J32" i="13"/>
  <c r="C33" i="13"/>
  <c r="C32" i="13"/>
  <c r="E33" i="13" l="1"/>
  <c r="D33" i="13" s="1"/>
  <c r="F23" i="13"/>
  <c r="F22" i="13"/>
  <c r="F21" i="13"/>
  <c r="E21" i="13" s="1"/>
  <c r="I21" i="13"/>
  <c r="J21" i="13"/>
  <c r="E22" i="13"/>
  <c r="E23" i="13"/>
  <c r="C21" i="13"/>
  <c r="C45" i="15" l="1"/>
  <c r="C101" i="15" l="1"/>
  <c r="D10" i="16"/>
  <c r="D9" i="16"/>
  <c r="D8" i="16"/>
  <c r="C22" i="20" l="1"/>
  <c r="C21" i="20"/>
  <c r="C20" i="20"/>
  <c r="C19" i="20"/>
  <c r="C18" i="20"/>
  <c r="C17" i="20"/>
  <c r="C16" i="20"/>
  <c r="C15" i="20"/>
  <c r="C14" i="20"/>
  <c r="C13" i="20"/>
  <c r="C12" i="20"/>
  <c r="D16" i="16"/>
  <c r="F7" i="16"/>
  <c r="D38" i="15"/>
  <c r="G82" i="15"/>
  <c r="G84" i="15" s="1"/>
  <c r="G85" i="15" s="1"/>
  <c r="G23" i="15"/>
  <c r="G25" i="15" s="1"/>
  <c r="G26" i="15" s="1"/>
  <c r="C73" i="15"/>
  <c r="C72" i="15"/>
  <c r="C71" i="15"/>
  <c r="C13" i="15"/>
  <c r="C12" i="15"/>
  <c r="B10" i="4" s="1"/>
  <c r="F82" i="15"/>
  <c r="F84" i="15" s="1"/>
  <c r="F85" i="15" s="1"/>
  <c r="F23" i="15"/>
  <c r="F25" i="15" s="1"/>
  <c r="F26" i="15" s="1"/>
  <c r="C19" i="15"/>
  <c r="C18" i="15"/>
  <c r="B14" i="4" s="1"/>
  <c r="C17" i="15"/>
  <c r="B13" i="4" s="1"/>
  <c r="C16" i="15"/>
  <c r="B12" i="4" s="1"/>
  <c r="C15" i="15"/>
  <c r="C14" i="15"/>
  <c r="B11" i="4" s="1"/>
  <c r="K23" i="20"/>
  <c r="J23" i="20"/>
  <c r="I23" i="20"/>
  <c r="H23" i="20"/>
  <c r="G23" i="20"/>
  <c r="D23" i="20"/>
  <c r="E23" i="20"/>
  <c r="F23" i="20"/>
  <c r="F15" i="16"/>
  <c r="F14" i="16"/>
  <c r="F13" i="16"/>
  <c r="F12" i="16"/>
  <c r="F11" i="16"/>
  <c r="F10" i="16"/>
  <c r="F9" i="16"/>
  <c r="F8" i="16"/>
  <c r="D21" i="13"/>
  <c r="D49" i="13"/>
  <c r="C49" i="13"/>
  <c r="C39" i="13"/>
  <c r="D39" i="13"/>
  <c r="C15" i="13"/>
  <c r="H49" i="13"/>
  <c r="G49" i="13"/>
  <c r="F49" i="13"/>
  <c r="E48" i="13"/>
  <c r="E47" i="13"/>
  <c r="E46" i="13"/>
  <c r="E44" i="13"/>
  <c r="J39" i="13"/>
  <c r="I39" i="13"/>
  <c r="H39" i="13"/>
  <c r="G39" i="13"/>
  <c r="F39" i="13"/>
  <c r="E39" i="13"/>
  <c r="J25" i="13"/>
  <c r="I25" i="13"/>
  <c r="H25" i="13"/>
  <c r="G25" i="13"/>
  <c r="F25" i="13"/>
  <c r="C25" i="13"/>
  <c r="E24" i="13"/>
  <c r="E25" i="13" s="1"/>
  <c r="D23" i="13"/>
  <c r="D22" i="13"/>
  <c r="C108" i="15"/>
  <c r="C113" i="15" s="1"/>
  <c r="C114" i="15" s="1"/>
  <c r="D104" i="15"/>
  <c r="D103" i="15"/>
  <c r="D106" i="15"/>
  <c r="D48" i="15"/>
  <c r="D47" i="15"/>
  <c r="D50" i="15"/>
  <c r="C57" i="15"/>
  <c r="C27" i="21"/>
  <c r="C23" i="21"/>
  <c r="D27" i="21"/>
  <c r="D23" i="21"/>
  <c r="D25" i="13" l="1"/>
  <c r="C110" i="15"/>
  <c r="C111" i="15" s="1"/>
  <c r="C53" i="13"/>
  <c r="C23" i="20"/>
  <c r="C28" i="21"/>
  <c r="C38" i="21" s="1"/>
  <c r="C42" i="21" s="1"/>
  <c r="C46" i="21" s="1"/>
  <c r="D53" i="13"/>
  <c r="E49" i="13"/>
  <c r="F53" i="13" s="1"/>
  <c r="D28" i="21"/>
  <c r="D38" i="21" s="1"/>
  <c r="D45" i="21" s="1"/>
  <c r="C28" i="15"/>
  <c r="D42" i="21"/>
  <c r="D46" i="21" s="1"/>
  <c r="D15" i="7"/>
  <c r="C15" i="7"/>
  <c r="C18" i="7" s="1"/>
  <c r="D17" i="7"/>
  <c r="C39" i="15"/>
  <c r="D102" i="15"/>
  <c r="D105" i="15"/>
  <c r="D107" i="15"/>
  <c r="D46" i="15"/>
  <c r="D51" i="15"/>
  <c r="D49" i="15"/>
  <c r="D45" i="15"/>
  <c r="H82" i="15"/>
  <c r="H84" i="15" s="1"/>
  <c r="H85" i="15" s="1"/>
  <c r="E82" i="15"/>
  <c r="E84" i="15" s="1"/>
  <c r="E85" i="15" s="1"/>
  <c r="D82" i="15"/>
  <c r="D84" i="15" s="1"/>
  <c r="D85" i="15" s="1"/>
  <c r="C81" i="15"/>
  <c r="C80" i="15"/>
  <c r="C79" i="15"/>
  <c r="C78" i="15"/>
  <c r="C77" i="15"/>
  <c r="C76" i="15"/>
  <c r="C75" i="15"/>
  <c r="C74" i="15"/>
  <c r="C70" i="15"/>
  <c r="E23" i="15"/>
  <c r="E25" i="15" s="1"/>
  <c r="E26" i="15" s="1"/>
  <c r="H23" i="15"/>
  <c r="H25" i="15" s="1"/>
  <c r="H26" i="15" s="1"/>
  <c r="D23" i="15"/>
  <c r="D25" i="15" s="1"/>
  <c r="D26" i="15" s="1"/>
  <c r="C20" i="15"/>
  <c r="C21" i="15"/>
  <c r="C22" i="15"/>
  <c r="C11" i="15"/>
  <c r="C54" i="13" s="1"/>
  <c r="C55" i="13" l="1"/>
  <c r="E53" i="13"/>
  <c r="C45" i="21"/>
  <c r="B15" i="4"/>
  <c r="C82" i="15"/>
  <c r="C87" i="15" s="1"/>
  <c r="C88" i="15" s="1"/>
  <c r="C84" i="15" l="1"/>
  <c r="C23" i="15"/>
  <c r="C85" i="15" l="1"/>
  <c r="B7" i="4" s="1"/>
  <c r="F54" i="13"/>
  <c r="F55" i="13" s="1"/>
  <c r="C29" i="15"/>
  <c r="C31" i="15" s="1"/>
  <c r="C32" i="15" s="1"/>
  <c r="C25" i="15"/>
  <c r="C26" i="15" s="1"/>
  <c r="B5" i="4"/>
  <c r="D101" i="15"/>
  <c r="D100" i="15"/>
  <c r="D99" i="15"/>
  <c r="D98" i="15"/>
  <c r="D97" i="15"/>
  <c r="D96" i="15"/>
  <c r="D95" i="15"/>
  <c r="D94" i="15"/>
  <c r="D108" i="15" l="1"/>
  <c r="D44" i="15"/>
  <c r="D43" i="15"/>
  <c r="D42" i="15"/>
  <c r="D41" i="15"/>
  <c r="D40" i="15"/>
  <c r="D54" i="13" l="1"/>
  <c r="D55" i="13" s="1"/>
  <c r="C52" i="15"/>
  <c r="C58" i="15" s="1"/>
  <c r="C60" i="15" s="1"/>
  <c r="C61" i="15" s="1"/>
  <c r="D39" i="15"/>
  <c r="D52" i="15" s="1"/>
  <c r="B6" i="4" l="1"/>
  <c r="E54" i="13"/>
  <c r="E55" i="13" s="1"/>
  <c r="C54" i="15"/>
  <c r="C55" i="15" s="1"/>
</calcChain>
</file>

<file path=xl/sharedStrings.xml><?xml version="1.0" encoding="utf-8"?>
<sst xmlns="http://schemas.openxmlformats.org/spreadsheetml/2006/main" count="366" uniqueCount="260">
  <si>
    <t>FY2022 Budget Reporting Requirements</t>
  </si>
  <si>
    <t>Appendices 1-7</t>
  </si>
  <si>
    <t>Do not Modify</t>
  </si>
  <si>
    <t>Appendix 1: Reconciliation Tables</t>
  </si>
  <si>
    <t>Appendix 2: Change in Charge</t>
  </si>
  <si>
    <t>Modify</t>
  </si>
  <si>
    <t>Appendix 3: Utilization</t>
  </si>
  <si>
    <t>Appendix 4: Inflation</t>
  </si>
  <si>
    <t>Appendix 5: Vaccine Clinics and Testing</t>
  </si>
  <si>
    <t>Appendix 6: Value-Based Care Participation</t>
  </si>
  <si>
    <t>Appendix 7: COVID-19 Advances, Relief Funds, and Other Grants</t>
  </si>
  <si>
    <t>Request Summary (automatically populated)</t>
  </si>
  <si>
    <t>Appendix 1</t>
  </si>
  <si>
    <t>Do not Modify, except for cells labeled "Other"</t>
  </si>
  <si>
    <t>Reconciliation Tables</t>
  </si>
  <si>
    <t>Budget-to-Budget</t>
  </si>
  <si>
    <t>Table 1: NPR Variance - FY 2021 Approved Budget to FY 2022 Proposed Budget</t>
  </si>
  <si>
    <t>NPR</t>
  </si>
  <si>
    <t>Total</t>
  </si>
  <si>
    <t>Total Medicare</t>
  </si>
  <si>
    <t>Total Medicaid</t>
  </si>
  <si>
    <t>Total Commercial</t>
  </si>
  <si>
    <t>FY 2021 Approved Budget</t>
  </si>
  <si>
    <t>NPR/FPP Rate Impact</t>
  </si>
  <si>
    <t>Utilization (not factored into change in charge request)</t>
  </si>
  <si>
    <t>Provider Acquisitions/Transfers</t>
  </si>
  <si>
    <t>Changes in Accounting</t>
  </si>
  <si>
    <t>Reimbursement/Payer Mix</t>
  </si>
  <si>
    <t>Other (specify)</t>
  </si>
  <si>
    <t>FY 2022 Proposed Budget</t>
  </si>
  <si>
    <t>$ Change from FY 2021 Approved Budget</t>
  </si>
  <si>
    <t>% Change from FY 2021 Approved Budget</t>
  </si>
  <si>
    <t>Impact of COVID-19 vaccination clinics and testing</t>
  </si>
  <si>
    <t>FY 2022 Proposed Budget without COVID-19 vaccination clinics and testing</t>
  </si>
  <si>
    <t>$ Change from FY 2021 Approved Budget to Adjusted FY 2022</t>
  </si>
  <si>
    <t>% Change from FY 2021 Approved Budget to Adjusted FY 2022</t>
  </si>
  <si>
    <t>Table 2: FY 2021 Approved Expenses to FY 2022 Proposed Budget</t>
  </si>
  <si>
    <t>Expenses</t>
  </si>
  <si>
    <t>Amount</t>
  </si>
  <si>
    <t>% over/under</t>
  </si>
  <si>
    <t>FY 21 Approved Budget</t>
  </si>
  <si>
    <t>New Positions</t>
  </si>
  <si>
    <t>Inflation Increases</t>
  </si>
  <si>
    <t>Salaries</t>
  </si>
  <si>
    <t>Fringe</t>
  </si>
  <si>
    <t>Travelers (nurses)</t>
  </si>
  <si>
    <t>Locum tenans (MDs)</t>
  </si>
  <si>
    <t>Drugs</t>
  </si>
  <si>
    <t>Health Care Provider Tax</t>
  </si>
  <si>
    <t>Cost Savings</t>
  </si>
  <si>
    <t>Other (specify, add additional rows as necessary)</t>
  </si>
  <si>
    <t>FY 22 Proposed Budget</t>
  </si>
  <si>
    <t>Projection-to-Budget</t>
  </si>
  <si>
    <t>Table 3: NPR Variance - FY 2021 Projection to FY 2022 Proposed Budget</t>
  </si>
  <si>
    <t>Projection derived as of:</t>
  </si>
  <si>
    <t>FY 2021 Projection</t>
  </si>
  <si>
    <t>Rate Effect</t>
  </si>
  <si>
    <t>Disproportionate Share Payments (DSH)</t>
  </si>
  <si>
    <t>Utilization (not factoring in change in charge request)</t>
  </si>
  <si>
    <t>Fixed Prospective Payments</t>
  </si>
  <si>
    <t>Bad Debt/Free Care</t>
  </si>
  <si>
    <t>$ Change from FY 2021 Projection</t>
  </si>
  <si>
    <t>% Change from FY 2021 Projection</t>
  </si>
  <si>
    <t>$ Change from FY 2021 Projection to Adjusted FY 2022</t>
  </si>
  <si>
    <t>% Change from FY 2021 Projection to Adjusted FY 2022</t>
  </si>
  <si>
    <t>Table 4: FY 2021 Projected Expenses to FY 2022 Proposed Budget</t>
  </si>
  <si>
    <t>Appendix 2</t>
  </si>
  <si>
    <t>Charge and NPR Detail</t>
  </si>
  <si>
    <t>The following tables demonstrate the hospital's charges by payer from your requested charge master increase.</t>
  </si>
  <si>
    <r>
      <rPr>
        <b/>
        <sz val="11"/>
        <color theme="1"/>
        <rFont val="Calibri"/>
        <family val="2"/>
      </rPr>
      <t>Table 1:</t>
    </r>
    <r>
      <rPr>
        <sz val="11"/>
        <color theme="1"/>
        <rFont val="Calibri"/>
        <family val="2"/>
      </rPr>
      <t xml:space="preserve">  Please provide the requested charge master increase by area of service without of utilization and acuity. </t>
    </r>
  </si>
  <si>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</si>
  <si>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</si>
  <si>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</si>
  <si>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</si>
  <si>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</si>
  <si>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</si>
  <si>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</si>
  <si>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</si>
  <si>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t>Budget-to-Budget Variance (%)</t>
  </si>
  <si>
    <t>In State</t>
  </si>
  <si>
    <t>Other</t>
  </si>
  <si>
    <r>
      <rPr>
        <b/>
        <sz val="11"/>
        <color theme="1"/>
        <rFont val="Calibri"/>
        <family val="2"/>
      </rPr>
      <t>Table 3:</t>
    </r>
    <r>
      <rPr>
        <sz val="11"/>
        <color theme="1"/>
        <rFont val="Calibri"/>
        <family val="2"/>
      </rPr>
      <t xml:space="preserve">  Please provide FY21 budgeted NPR/FPP and FY22 budgeted NPR/FPP by category of service taking into account the gross revenue assumptions in Table 2. </t>
    </r>
  </si>
  <si>
    <t>Areas of Service</t>
  </si>
  <si>
    <t>FY21 Budget NPR</t>
  </si>
  <si>
    <t>Budget-to-Budget Variance ($)</t>
  </si>
  <si>
    <t>FY22 Budget NPR</t>
  </si>
  <si>
    <t>FY21 Budget FPP</t>
  </si>
  <si>
    <t>FY22 Total Budget FPP</t>
  </si>
  <si>
    <t>Reserves</t>
  </si>
  <si>
    <t>Other Reform Payments</t>
  </si>
  <si>
    <t>FY21 Budget NPR/FPP</t>
  </si>
  <si>
    <t>FY22 Budget NPR/FPP</t>
  </si>
  <si>
    <t>Total Overall NPR/FPP</t>
  </si>
  <si>
    <t>From 1. Reconciliation tab</t>
  </si>
  <si>
    <t>Variance (should be 0)</t>
  </si>
  <si>
    <r>
      <rPr>
        <b/>
        <sz val="11"/>
        <color theme="1"/>
        <rFont val="Calibri"/>
        <family val="2"/>
      </rPr>
      <t>Table 4:</t>
    </r>
    <r>
      <rPr>
        <sz val="11"/>
        <color theme="1"/>
        <rFont val="Calibri"/>
        <family val="2"/>
      </rPr>
      <t xml:space="preserve"> Please indicate the NPR/FPP FY2022 dollar value of 1% overall change in charge.</t>
    </r>
  </si>
  <si>
    <t>NPR/FPP value of 1% Overall Change in Charge</t>
  </si>
  <si>
    <t>Appendix 3</t>
  </si>
  <si>
    <t>Utilization</t>
  </si>
  <si>
    <t>Category of Service</t>
  </si>
  <si>
    <t>Total increase in Gross Revenues (%)</t>
  </si>
  <si>
    <t>Total increase in Gross Revenues ($)</t>
  </si>
  <si>
    <t>$ Change from FY 2021 Approved budget</t>
  </si>
  <si>
    <t>% Change from FY 2021 Approved budget</t>
  </si>
  <si>
    <t>Does not need to tie to P&amp;L</t>
  </si>
  <si>
    <t>Appendix 4</t>
  </si>
  <si>
    <t>Inflation</t>
  </si>
  <si>
    <t>Expense Category</t>
  </si>
  <si>
    <t>Estimated Inflation</t>
  </si>
  <si>
    <t>Comment</t>
  </si>
  <si>
    <t>% Increase</t>
  </si>
  <si>
    <t>$ Increase</t>
  </si>
  <si>
    <t>Category % of Operating Expense Budget</t>
  </si>
  <si>
    <t>Example: Wages/Compensation- Medical Staff</t>
  </si>
  <si>
    <t>This is inflation price effect only, does not account for new hires (volume).</t>
  </si>
  <si>
    <t>Wages/Compensation - Medical Staff</t>
  </si>
  <si>
    <t>Wages/Compensation - Non-Medical Staff</t>
  </si>
  <si>
    <t>Medical Supplies</t>
  </si>
  <si>
    <t>Non-Medical Supplies</t>
  </si>
  <si>
    <t>%</t>
  </si>
  <si>
    <t>*should be 100%</t>
  </si>
  <si>
    <t>Not intended for systemwide look or comparative analysis</t>
  </si>
  <si>
    <t>Appendix 5</t>
  </si>
  <si>
    <t>Vaccine Clinics and Testing</t>
  </si>
  <si>
    <t>Where is your hospital reporting Vaccine/Testing Revenues and Expenses?</t>
  </si>
  <si>
    <t>Fiscal Year 2022 Budget Analysis</t>
  </si>
  <si>
    <t>INCOME STATEMENT</t>
  </si>
  <si>
    <t>2021 Projection Vaccine/Testing Income Statement Supplement</t>
  </si>
  <si>
    <t>2022 Budget Vaccine/Testing Income Statement Supplement</t>
  </si>
  <si>
    <t>Revenues</t>
  </si>
  <si>
    <t>Gross Patient Care Revenue</t>
  </si>
  <si>
    <t>Disproportionate Share Payments</t>
  </si>
  <si>
    <t>Graduate Medical Education (UVMMC only)</t>
  </si>
  <si>
    <t>Bad Debt</t>
  </si>
  <si>
    <t>Free Care</t>
  </si>
  <si>
    <t>Deductions from Revenue</t>
  </si>
  <si>
    <t>Net Patient Care Revenue</t>
  </si>
  <si>
    <t>Fixed Prospective Payments, Reserves &amp; Other</t>
  </si>
  <si>
    <t>Total NPR &amp; FPP</t>
  </si>
  <si>
    <t>COVID-19 Stimulus and Other Grant Funding</t>
  </si>
  <si>
    <t>Other Operating Revenue</t>
  </si>
  <si>
    <t>Total Operating Revenue</t>
  </si>
  <si>
    <t>Salaries, Fringe Benefits, Physician Fees, Contracts</t>
  </si>
  <si>
    <t>Medical/Surgical Drugs and Supplies</t>
  </si>
  <si>
    <t>Depreciation/Amortization</t>
  </si>
  <si>
    <t>Interest - Short and Long Term</t>
  </si>
  <si>
    <t>Other Operating Expenses (includes ACO Participation Fees)</t>
  </si>
  <si>
    <t>Operating Expense</t>
  </si>
  <si>
    <t>Net Operating Income</t>
  </si>
  <si>
    <t>Non Operating Revenue</t>
  </si>
  <si>
    <t>Excess (Deficit) of Rev over Exp</t>
  </si>
  <si>
    <t>Income Statement Metrics</t>
  </si>
  <si>
    <t>Operating Margin %</t>
  </si>
  <si>
    <t>Total Margin %</t>
  </si>
  <si>
    <t>edit from P&amp;L</t>
  </si>
  <si>
    <t>Appendix 6</t>
  </si>
  <si>
    <t>Value-Based Care Participation</t>
  </si>
  <si>
    <t>Complete the following table if the hospital is participating in one or more of value-based care programs. If the hospital is not participating in value-based care programs, please indicate in the narrative.</t>
  </si>
  <si>
    <t>Value-Based Care Program</t>
  </si>
  <si>
    <t xml:space="preserve">Participating in Program in Calendar Year (CY) 2022? </t>
  </si>
  <si>
    <t xml:space="preserve">Budgeted Number of Attributed Lives (monthly average </t>
  </si>
  <si>
    <t xml:space="preserve">Budgeted Amount of FPP (monthly average </t>
  </si>
  <si>
    <t xml:space="preserve">Budgeted Maximum Upside/Downside Risk </t>
  </si>
  <si>
    <t>(Yes/No)</t>
  </si>
  <si>
    <t xml:space="preserve"> for CY 2022)</t>
  </si>
  <si>
    <t xml:space="preserve"> for CY 2022</t>
  </si>
  <si>
    <t>Medicaid</t>
  </si>
  <si>
    <t>Medicare</t>
  </si>
  <si>
    <t>Self-Insured</t>
  </si>
  <si>
    <t>TOTAL</t>
  </si>
  <si>
    <t>Appendix 7</t>
  </si>
  <si>
    <t>Do not Modify, except cells labeled "Other"</t>
  </si>
  <si>
    <t>COVID-19 Advances, Relief Funds, and Other Grants</t>
  </si>
  <si>
    <t>Description</t>
  </si>
  <si>
    <t>Amounts Received</t>
  </si>
  <si>
    <t>Recognized in Revenues</t>
  </si>
  <si>
    <t>Recorded as a liability</t>
  </si>
  <si>
    <t>As of Sept. 30, 2020</t>
  </si>
  <si>
    <t>As of Sept. 30, 2021</t>
  </si>
  <si>
    <t>As of Sept. 30, 2022</t>
  </si>
  <si>
    <t>CARES Act Funding</t>
  </si>
  <si>
    <t>Medicare Advance - Repayment</t>
  </si>
  <si>
    <t>VT Blue Cross Advance</t>
  </si>
  <si>
    <t>VT Healthcare Stabilization Grant</t>
  </si>
  <si>
    <t>VT Medicaid Retainer Funding</t>
  </si>
  <si>
    <t>VT Hazard Pay Grant</t>
  </si>
  <si>
    <t>VT Unemployment Credit - CARES Act</t>
  </si>
  <si>
    <t>CARES Workforce Retention Credit</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</si>
  <si>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</si>
  <si>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</si>
  <si>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</si>
  <si>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</si>
  <si>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</si>
  <si>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</si>
  <si>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</si>
  <si>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</si>
  <si>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</si>
  <si>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</si>
  <si>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</si>
  <si>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</si>
  <si>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</si>
  <si>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</si>
  <si>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</si>
  <si>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</si>
  <si>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</si>
  <si>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</si>
  <si>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</si>
  <si>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</si>
  <si>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</si>
  <si>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</si>
  <si>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</si>
  <si>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</si>
  <si>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</si>
  <si>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</si>
  <si>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</si>
  <si>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</si>
  <si>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 xml:space="preserve">Identify key categories of operating expense inflation and provide the estimated inflation factor. This is not an assessment of overall growth of the category (i.e.-does not need to tie to the P&amp;L). It should focus on price effects only (not utilization growth or new hires).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</si>
  <si>
    <t>Grand Total</t>
  </si>
  <si>
    <t>PPP Funds</t>
  </si>
  <si>
    <t>Total Self-Pay/Other</t>
  </si>
  <si>
    <t>NPR ($) Analysis by Payer</t>
  </si>
  <si>
    <t>FPP ($) Analysis by Payer</t>
  </si>
  <si>
    <t>FY21 Budget Gross Revenue</t>
  </si>
  <si>
    <t>FY 22 Budget Gross Revenue</t>
  </si>
  <si>
    <t xml:space="preserve">Gross Revenue by Commercial Payer 
</t>
  </si>
  <si>
    <t xml:space="preserve">Gross Revenue by Self-Pay/Other      </t>
  </si>
  <si>
    <t xml:space="preserve">Gross Revenue by Medicaid
</t>
  </si>
  <si>
    <t xml:space="preserve">Gross Revenue by Medicare
</t>
  </si>
  <si>
    <t>Gross Revenue ($) Analysis by Payer</t>
  </si>
  <si>
    <t xml:space="preserve"> NPR by Commercial Payer</t>
  </si>
  <si>
    <t xml:space="preserve"> NPR by Self-Pay/Other</t>
  </si>
  <si>
    <t>NPR by Medicaid</t>
  </si>
  <si>
    <t>NPR by Medicare</t>
  </si>
  <si>
    <t>FPP by Medicaid</t>
  </si>
  <si>
    <t>FPP by Medicare</t>
  </si>
  <si>
    <t>Total FPP Across All Categories</t>
  </si>
  <si>
    <t>Total NPR Across All Categories</t>
  </si>
  <si>
    <t>Total Gross Revenues Across All Categories</t>
  </si>
  <si>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</si>
  <si>
    <t>Commercial (not Self-Insured)</t>
  </si>
  <si>
    <t>DSH</t>
  </si>
  <si>
    <t>from Appendix 4. Inflation (price effect only)</t>
  </si>
  <si>
    <t xml:space="preserve"> FPP by Commercial Payer (in state only)*</t>
  </si>
  <si>
    <t>*if possible</t>
  </si>
  <si>
    <t>tie to income statement</t>
  </si>
  <si>
    <t>Weighted Average 
(Column C * Column E)</t>
  </si>
  <si>
    <r>
      <t xml:space="preserve">Please denote the advances, relief funds, and other grants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2020, September 30, 2021 and September 30, 2022.</t>
    </r>
  </si>
  <si>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</si>
  <si>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Other: VAHHS Grant</t>
  </si>
  <si>
    <t>Other: VTDOH Grant</t>
  </si>
  <si>
    <t>April 2021 year-to-date</t>
  </si>
  <si>
    <t>Travelers</t>
  </si>
  <si>
    <t>Benefits</t>
  </si>
  <si>
    <t>All Other</t>
  </si>
  <si>
    <t>Depreciation</t>
  </si>
  <si>
    <t>Average annual increase of 2%</t>
  </si>
  <si>
    <t>Drastic change in rates required to hire</t>
  </si>
  <si>
    <t xml:space="preserve">No major changes in utilization are expected, </t>
  </si>
  <si>
    <t>or budgeted.  FY2022 budget based on current</t>
  </si>
  <si>
    <t>volumes in all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</si>
</sst>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3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sz val="11"/>
      <color rgb="FFFF0000"/>
      <name val="Calibri"/>
      <family val="2"/>
      <scheme val="minor"/>
    </font>
    <font>
      <b/>
      <sz val="24"/>
      <color theme="1"/>
      <name val="Calibri"/>
      <family val="2"/>
      <scheme val="minor"/>
    </font>
    <font>
      <sz val="24"/>
      <color theme="1"/>
      <name val="Calibri"/>
      <family val="2"/>
      <scheme val="minor"/>
    </font>
    <font>
      <b/>
      <sz val="20"/>
      <color theme="1"/>
      <name val="Calibri"/>
      <family val="2"/>
      <scheme val="minor"/>
    </font>
    <font>
      <sz val="20"/>
      <color theme="1"/>
      <name val="Calibri"/>
      <family val="2"/>
      <scheme val="minor"/>
    </font>
    <font>
      <b/>
      <sz val="26"/>
      <color theme="1"/>
      <name val="Calibri"/>
      <family val="2"/>
      <scheme val="minor"/>
    </font>
    <font>
      <b/>
      <i/>
      <sz val="11"/>
      <color theme="1"/>
      <name val="Calibri"/>
      <family val="2"/>
    </font>
    <font>
      <sz val="11"/>
      <name val="Calibri"/>
      <family val="2"/>
    </font>
    <font>
      <i/>
      <sz val="11"/>
      <color theme="1"/>
      <name val="Calibri"/>
      <family val="2"/>
      <scheme val="minor"/>
    </font>
    <font>
      <b/>
      <sz val="24"/>
      <color theme="1"/>
      <name val="Calibri"/>
      <family val="2"/>
    </font>
    <font>
      <sz val="12"/>
      <color theme="1"/>
      <name val="Calibri"/>
      <family val="2"/>
    </font>
    <font>
      <i/>
      <sz val="12"/>
      <color rgb="FFFF0000"/>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auto="1"/>
      </left>
      <right style="thin">
        <color auto="1"/>
      </right>
      <top/>
      <bottom/>
      <diagonal/>
    </border>
    <border>
      <left style="medium">
        <color indexed="64"/>
      </left>
      <right style="thin">
        <color indexed="64"/>
      </right>
      <top/>
      <bottom/>
      <diagonal/>
    </border>
    <border>
      <left style="medium">
        <color indexed="64"/>
      </left>
      <right style="thin">
        <color auto="1"/>
      </right>
      <top style="thin">
        <color indexed="64"/>
      </top>
      <bottom style="double">
        <color indexed="64"/>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thin">
        <color auto="1"/>
      </left>
      <right style="thin">
        <color auto="1"/>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cellStyleXfs>
  <cellXfs count="377">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0" borderId="13" xfId="5" applyFont="1" applyBorder="1"/>
    <xf numFmtId="0" fontId="8" fillId="4" borderId="12" xfId="5" applyFont="1" applyFill="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0" fontId="0" fillId="0" borderId="0" xfId="0" applyBorder="1" applyAlignment="1">
      <alignment horizontal="center"/>
    </xf>
    <xf numFmtId="164" fontId="0" fillId="0" borderId="0" xfId="3" applyNumberFormat="1"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44" fontId="0" fillId="3" borderId="4" xfId="3" applyNumberFormat="1" applyFont="1" applyFill="1" applyBorder="1" applyProtection="1">
      <protection locked="0"/>
    </xf>
    <xf numFmtId="44" fontId="0" fillId="3" borderId="4" xfId="2" applyNumberFormat="1" applyFont="1" applyFill="1" applyBorder="1" applyProtection="1">
      <protection locked="0"/>
    </xf>
    <xf numFmtId="0" fontId="0" fillId="0" borderId="4" xfId="3" applyNumberFormat="1" applyFont="1" applyBorder="1" applyAlignment="1">
      <alignment horizontal="center"/>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9" fontId="4" fillId="0" borderId="0" xfId="3" applyFont="1"/>
    <xf numFmtId="0" fontId="2" fillId="0" borderId="0" xfId="1" applyNumberFormat="1" applyFont="1" applyAlignment="1">
      <alignment horizontal="right"/>
    </xf>
    <xf numFmtId="0" fontId="2" fillId="0" borderId="0" xfId="1" applyNumberFormat="1" applyFont="1" applyAlignment="1">
      <alignment horizontal="center" wrapText="1"/>
    </xf>
    <xf numFmtId="0" fontId="19" fillId="0" borderId="0" xfId="1" applyNumberFormat="1" applyFont="1" applyAlignment="1">
      <alignment horizontal="right"/>
    </xf>
    <xf numFmtId="166" fontId="19" fillId="0" borderId="0" xfId="1" applyNumberFormat="1" applyFont="1"/>
    <xf numFmtId="0" fontId="20" fillId="0" borderId="0" xfId="1" applyNumberFormat="1" applyFont="1" applyAlignment="1">
      <alignment horizontal="right"/>
    </xf>
    <xf numFmtId="0" fontId="19" fillId="0" borderId="21" xfId="1" applyNumberFormat="1" applyFont="1" applyBorder="1"/>
    <xf numFmtId="166" fontId="20" fillId="0" borderId="14" xfId="1" applyNumberFormat="1" applyFont="1" applyBorder="1"/>
    <xf numFmtId="166" fontId="20" fillId="0" borderId="0" xfId="1" applyNumberFormat="1" applyFont="1"/>
    <xf numFmtId="0" fontId="19" fillId="11" borderId="22" xfId="1" applyNumberFormat="1" applyFont="1" applyFill="1" applyBorder="1"/>
    <xf numFmtId="0" fontId="21" fillId="0" borderId="0" xfId="1" applyNumberFormat="1" applyFont="1" applyFill="1" applyAlignment="1">
      <alignment horizontal="right"/>
    </xf>
    <xf numFmtId="166" fontId="21" fillId="0" borderId="0" xfId="1" applyNumberFormat="1" applyFont="1" applyFill="1"/>
    <xf numFmtId="0" fontId="22" fillId="0" borderId="0" xfId="1" applyNumberFormat="1" applyFont="1" applyAlignment="1">
      <alignment horizontal="right"/>
    </xf>
    <xf numFmtId="0" fontId="22" fillId="0" borderId="23" xfId="1" applyNumberFormat="1" applyFont="1" applyBorder="1"/>
    <xf numFmtId="166" fontId="22" fillId="0" borderId="0" xfId="1" applyNumberFormat="1" applyFont="1" applyBorder="1"/>
    <xf numFmtId="166" fontId="22" fillId="0" borderId="0" xfId="1" applyNumberFormat="1" applyFont="1"/>
    <xf numFmtId="0" fontId="23" fillId="0" borderId="19" xfId="1" applyNumberFormat="1" applyFont="1" applyBorder="1" applyAlignment="1">
      <alignment horizontal="center" vertical="center"/>
    </xf>
    <xf numFmtId="0" fontId="23" fillId="15" borderId="13" xfId="1" applyNumberFormat="1" applyFont="1" applyFill="1" applyBorder="1" applyAlignment="1">
      <alignment horizontal="center" vertical="center"/>
    </xf>
    <xf numFmtId="166" fontId="23" fillId="14" borderId="4" xfId="1" applyNumberFormat="1" applyFont="1" applyFill="1" applyBorder="1" applyAlignment="1">
      <alignment horizontal="center" vertical="center" wrapText="1"/>
    </xf>
    <xf numFmtId="166" fontId="23" fillId="0" borderId="0" xfId="1" applyNumberFormat="1" applyFont="1" applyAlignment="1">
      <alignment horizontal="center" vertical="center" wrapText="1"/>
    </xf>
    <xf numFmtId="166" fontId="23" fillId="0" borderId="0" xfId="1" applyNumberFormat="1" applyFont="1" applyAlignment="1">
      <alignment horizontal="center" vertical="center"/>
    </xf>
    <xf numFmtId="0" fontId="20" fillId="0" borderId="15" xfId="1" applyNumberFormat="1" applyFont="1" applyBorder="1" applyAlignment="1">
      <alignment horizontal="right"/>
    </xf>
    <xf numFmtId="0" fontId="19" fillId="16" borderId="23" xfId="1" applyNumberFormat="1" applyFont="1" applyFill="1" applyBorder="1"/>
    <xf numFmtId="166" fontId="20" fillId="16" borderId="24" xfId="1" applyNumberFormat="1" applyFont="1" applyFill="1" applyBorder="1"/>
    <xf numFmtId="166" fontId="20" fillId="16" borderId="17" xfId="1" applyNumberFormat="1" applyFont="1" applyFill="1" applyBorder="1"/>
    <xf numFmtId="0" fontId="19" fillId="0" borderId="15" xfId="1" applyNumberFormat="1" applyFont="1" applyBorder="1" applyAlignment="1">
      <alignment horizontal="right"/>
    </xf>
    <xf numFmtId="49" fontId="19" fillId="17" borderId="23" xfId="1" quotePrefix="1" applyNumberFormat="1" applyFont="1" applyFill="1" applyBorder="1"/>
    <xf numFmtId="167" fontId="19" fillId="17" borderId="24" xfId="2" quotePrefix="1" applyNumberFormat="1" applyFont="1" applyFill="1" applyBorder="1"/>
    <xf numFmtId="167" fontId="19" fillId="17" borderId="17" xfId="2" quotePrefix="1" applyNumberFormat="1" applyFont="1" applyFill="1" applyBorder="1"/>
    <xf numFmtId="164" fontId="19" fillId="0" borderId="0" xfId="3" applyNumberFormat="1" applyFont="1"/>
    <xf numFmtId="49" fontId="20" fillId="0" borderId="23" xfId="1" quotePrefix="1" applyNumberFormat="1" applyFont="1" applyBorder="1" applyAlignment="1">
      <alignment horizontal="right"/>
    </xf>
    <xf numFmtId="167" fontId="20" fillId="0" borderId="24" xfId="2" quotePrefix="1" applyNumberFormat="1" applyFont="1" applyBorder="1"/>
    <xf numFmtId="167" fontId="20" fillId="18" borderId="17" xfId="2" quotePrefix="1" applyNumberFormat="1" applyFont="1" applyFill="1" applyBorder="1"/>
    <xf numFmtId="164" fontId="20" fillId="0" borderId="0" xfId="3" applyNumberFormat="1" applyFont="1"/>
    <xf numFmtId="0" fontId="20" fillId="0" borderId="23" xfId="1" quotePrefix="1" applyNumberFormat="1" applyFont="1" applyBorder="1" applyAlignment="1">
      <alignment horizontal="right"/>
    </xf>
    <xf numFmtId="49" fontId="19" fillId="0" borderId="23" xfId="1" quotePrefix="1" applyNumberFormat="1" applyFont="1" applyFill="1" applyBorder="1"/>
    <xf numFmtId="167" fontId="19" fillId="0" borderId="24" xfId="2" quotePrefix="1" applyNumberFormat="1" applyFont="1" applyFill="1" applyBorder="1"/>
    <xf numFmtId="0" fontId="19" fillId="0" borderId="23" xfId="1" applyNumberFormat="1" applyFont="1" applyFill="1" applyBorder="1"/>
    <xf numFmtId="167" fontId="19" fillId="0" borderId="17" xfId="2" quotePrefix="1" applyNumberFormat="1" applyFont="1" applyFill="1" applyBorder="1"/>
    <xf numFmtId="167" fontId="19" fillId="16" borderId="24" xfId="1" applyNumberFormat="1" applyFont="1" applyFill="1" applyBorder="1"/>
    <xf numFmtId="0" fontId="20" fillId="0" borderId="15" xfId="1" applyNumberFormat="1" applyFont="1" applyFill="1" applyBorder="1" applyAlignment="1">
      <alignment horizontal="right"/>
    </xf>
    <xf numFmtId="0" fontId="20" fillId="0" borderId="23" xfId="1" quotePrefix="1" applyNumberFormat="1" applyFont="1" applyFill="1" applyBorder="1" applyAlignment="1">
      <alignment horizontal="right"/>
    </xf>
    <xf numFmtId="167" fontId="20" fillId="0" borderId="24" xfId="2" quotePrefix="1" applyNumberFormat="1" applyFont="1" applyFill="1" applyBorder="1"/>
    <xf numFmtId="167" fontId="20" fillId="0" borderId="17" xfId="2" quotePrefix="1" applyNumberFormat="1" applyFont="1" applyFill="1" applyBorder="1"/>
    <xf numFmtId="164" fontId="20" fillId="0" borderId="0" xfId="3" applyNumberFormat="1" applyFont="1" applyFill="1"/>
    <xf numFmtId="166" fontId="20" fillId="0" borderId="0" xfId="1" applyNumberFormat="1" applyFont="1" applyFill="1"/>
    <xf numFmtId="49" fontId="19" fillId="0" borderId="23" xfId="1" quotePrefix="1" applyNumberFormat="1" applyFont="1" applyFill="1" applyBorder="1" applyAlignment="1">
      <alignment horizontal="right"/>
    </xf>
    <xf numFmtId="49" fontId="20" fillId="0" borderId="23" xfId="1" quotePrefix="1" applyNumberFormat="1" applyFont="1" applyFill="1" applyBorder="1" applyAlignment="1">
      <alignment horizontal="right"/>
    </xf>
    <xf numFmtId="0" fontId="19" fillId="17" borderId="23" xfId="1" applyNumberFormat="1" applyFont="1" applyFill="1" applyBorder="1"/>
    <xf numFmtId="0" fontId="19" fillId="16" borderId="23" xfId="1" applyNumberFormat="1" applyFont="1" applyFill="1" applyBorder="1" applyAlignment="1">
      <alignment horizontal="left"/>
    </xf>
    <xf numFmtId="167" fontId="19" fillId="16" borderId="24" xfId="2" quotePrefix="1" applyNumberFormat="1" applyFont="1" applyFill="1" applyBorder="1"/>
    <xf numFmtId="0" fontId="19" fillId="11" borderId="23" xfId="1" applyNumberFormat="1" applyFont="1" applyFill="1" applyBorder="1"/>
    <xf numFmtId="167" fontId="20" fillId="11" borderId="24" xfId="1" applyNumberFormat="1" applyFont="1" applyFill="1" applyBorder="1"/>
    <xf numFmtId="167" fontId="20" fillId="11" borderId="17" xfId="1" applyNumberFormat="1" applyFont="1" applyFill="1" applyBorder="1"/>
    <xf numFmtId="164" fontId="19" fillId="0" borderId="0" xfId="3" applyNumberFormat="1" applyFont="1" applyFill="1"/>
    <xf numFmtId="0" fontId="20" fillId="0" borderId="23" xfId="1" applyNumberFormat="1" applyFont="1" applyFill="1" applyBorder="1" applyAlignment="1">
      <alignment horizontal="right"/>
    </xf>
    <xf numFmtId="49" fontId="20" fillId="0" borderId="23" xfId="1" applyNumberFormat="1" applyFont="1" applyFill="1" applyBorder="1" applyAlignment="1">
      <alignment horizontal="right"/>
    </xf>
    <xf numFmtId="49" fontId="20" fillId="0" borderId="23" xfId="1" applyNumberFormat="1" applyFont="1" applyBorder="1" applyAlignment="1">
      <alignment horizontal="right"/>
    </xf>
    <xf numFmtId="0" fontId="19" fillId="0" borderId="23" xfId="1" applyNumberFormat="1" applyFont="1" applyFill="1" applyBorder="1" applyAlignment="1">
      <alignment horizontal="left"/>
    </xf>
    <xf numFmtId="0" fontId="20" fillId="0" borderId="23" xfId="1" applyNumberFormat="1" applyFont="1" applyBorder="1"/>
    <xf numFmtId="167" fontId="20" fillId="0" borderId="24" xfId="1" applyNumberFormat="1" applyFont="1" applyBorder="1"/>
    <xf numFmtId="167" fontId="20" fillId="0" borderId="17" xfId="1" applyNumberFormat="1" applyFont="1" applyBorder="1"/>
    <xf numFmtId="0" fontId="19" fillId="5" borderId="15" xfId="1" applyNumberFormat="1" applyFont="1" applyFill="1" applyBorder="1" applyAlignment="1">
      <alignment horizontal="right"/>
    </xf>
    <xf numFmtId="0" fontId="19" fillId="5" borderId="23" xfId="1" applyNumberFormat="1" applyFont="1" applyFill="1" applyBorder="1"/>
    <xf numFmtId="167" fontId="19" fillId="5" borderId="24" xfId="2" applyNumberFormat="1" applyFont="1" applyFill="1" applyBorder="1"/>
    <xf numFmtId="166" fontId="19" fillId="5" borderId="0" xfId="1" applyNumberFormat="1" applyFont="1" applyFill="1"/>
    <xf numFmtId="0" fontId="19" fillId="5" borderId="25" xfId="1" applyNumberFormat="1" applyFont="1" applyFill="1" applyBorder="1"/>
    <xf numFmtId="167" fontId="19" fillId="18" borderId="17" xfId="2" quotePrefix="1" applyNumberFormat="1" applyFont="1" applyFill="1" applyBorder="1"/>
    <xf numFmtId="0" fontId="19" fillId="16" borderId="26" xfId="1" applyNumberFormat="1" applyFont="1" applyFill="1" applyBorder="1" applyAlignment="1">
      <alignment horizontal="left"/>
    </xf>
    <xf numFmtId="167" fontId="19" fillId="16" borderId="27" xfId="2" quotePrefix="1" applyNumberFormat="1" applyFont="1" applyFill="1" applyBorder="1"/>
    <xf numFmtId="0" fontId="19" fillId="0" borderId="23" xfId="1" applyNumberFormat="1" applyFont="1" applyBorder="1"/>
    <xf numFmtId="167" fontId="19" fillId="0" borderId="24" xfId="2" quotePrefix="1" applyNumberFormat="1" applyFont="1" applyBorder="1"/>
    <xf numFmtId="167" fontId="19" fillId="0" borderId="17" xfId="2" quotePrefix="1" applyNumberFormat="1" applyFont="1" applyBorder="1"/>
    <xf numFmtId="0" fontId="19" fillId="2" borderId="23" xfId="1" applyNumberFormat="1" applyFont="1" applyFill="1" applyBorder="1" applyAlignment="1">
      <alignment horizontal="left"/>
    </xf>
    <xf numFmtId="167" fontId="19" fillId="2" borderId="24" xfId="3" quotePrefix="1" applyNumberFormat="1" applyFont="1" applyFill="1" applyBorder="1"/>
    <xf numFmtId="167" fontId="19" fillId="2" borderId="17" xfId="3" quotePrefix="1" applyNumberFormat="1" applyFont="1" applyFill="1" applyBorder="1"/>
    <xf numFmtId="0" fontId="20" fillId="0" borderId="23" xfId="1" applyNumberFormat="1" applyFont="1" applyBorder="1" applyAlignment="1">
      <alignment horizontal="right"/>
    </xf>
    <xf numFmtId="164" fontId="20" fillId="0" borderId="24" xfId="3" quotePrefix="1" applyNumberFormat="1" applyFont="1" applyBorder="1"/>
    <xf numFmtId="164" fontId="20" fillId="0" borderId="17" xfId="3" quotePrefix="1" applyNumberFormat="1" applyFont="1" applyBorder="1"/>
    <xf numFmtId="0" fontId="20" fillId="0" borderId="20" xfId="1" applyNumberFormat="1" applyFont="1" applyBorder="1" applyAlignment="1">
      <alignment horizontal="right"/>
    </xf>
    <xf numFmtId="0" fontId="20" fillId="0" borderId="28" xfId="1" applyNumberFormat="1" applyFont="1" applyBorder="1" applyAlignment="1">
      <alignment horizontal="right"/>
    </xf>
    <xf numFmtId="164" fontId="20" fillId="0" borderId="29" xfId="3" quotePrefix="1" applyNumberFormat="1" applyFont="1" applyBorder="1"/>
    <xf numFmtId="164" fontId="20" fillId="0" borderId="30" xfId="3" quotePrefix="1" applyNumberFormat="1" applyFont="1" applyBorder="1"/>
    <xf numFmtId="166" fontId="20" fillId="0" borderId="0" xfId="1" applyNumberFormat="1" applyFont="1" applyBorder="1"/>
    <xf numFmtId="0" fontId="20" fillId="0" borderId="0" xfId="1" applyNumberFormat="1" applyFont="1"/>
    <xf numFmtId="0" fontId="0" fillId="0" borderId="0" xfId="1" applyNumberFormat="1" applyFont="1" applyAlignment="1">
      <alignment horizontal="right"/>
    </xf>
    <xf numFmtId="0" fontId="0" fillId="0" borderId="0" xfId="1" applyNumberFormat="1" applyFont="1"/>
    <xf numFmtId="0" fontId="18" fillId="0" borderId="0" xfId="1" applyNumberFormat="1" applyFont="1" applyAlignment="1">
      <alignment horizontal="right"/>
    </xf>
    <xf numFmtId="0" fontId="18" fillId="9" borderId="0" xfId="1" applyNumberFormat="1" applyFont="1" applyFill="1"/>
    <xf numFmtId="166" fontId="18" fillId="9" borderId="0" xfId="1" applyNumberFormat="1" applyFont="1" applyFill="1"/>
    <xf numFmtId="166" fontId="18" fillId="0" borderId="0" xfId="1" applyNumberFormat="1" applyFont="1"/>
    <xf numFmtId="0" fontId="18" fillId="0" borderId="0" xfId="1" applyNumberFormat="1" applyFont="1"/>
    <xf numFmtId="0" fontId="19" fillId="0" borderId="14" xfId="1" applyNumberFormat="1" applyFont="1" applyBorder="1"/>
    <xf numFmtId="0" fontId="19" fillId="11" borderId="2" xfId="1" applyNumberFormat="1" applyFont="1" applyFill="1" applyBorder="1"/>
    <xf numFmtId="0" fontId="22" fillId="0" borderId="0" xfId="1" applyNumberFormat="1" applyFont="1" applyBorder="1"/>
    <xf numFmtId="0" fontId="19" fillId="11" borderId="3" xfId="1" applyNumberFormat="1" applyFont="1" applyFill="1" applyBorder="1"/>
    <xf numFmtId="0" fontId="0" fillId="5" borderId="0" xfId="0" applyFont="1" applyFill="1" applyBorder="1" applyAlignment="1">
      <alignment horizontal="left"/>
    </xf>
    <xf numFmtId="0" fontId="0" fillId="5" borderId="4" xfId="0" applyFont="1" applyFill="1" applyBorder="1" applyAlignment="1">
      <alignment horizontal="left" wrapText="1"/>
    </xf>
    <xf numFmtId="165" fontId="0" fillId="5" borderId="4" xfId="3" applyNumberFormat="1" applyFont="1" applyFill="1" applyBorder="1"/>
    <xf numFmtId="0" fontId="10" fillId="5" borderId="0" xfId="5" applyFont="1" applyFill="1" applyAlignment="1">
      <alignment horizontal="center"/>
    </xf>
    <xf numFmtId="0" fontId="19" fillId="0" borderId="0" xfId="5" applyFont="1" applyAlignment="1"/>
    <xf numFmtId="0" fontId="4" fillId="5" borderId="0" xfId="5" applyFill="1" applyAlignment="1">
      <alignment wrapText="1"/>
    </xf>
    <xf numFmtId="0" fontId="4" fillId="0" borderId="0" xfId="5" applyAlignment="1">
      <alignment horizontal="left" wrapText="1"/>
    </xf>
    <xf numFmtId="9" fontId="25" fillId="3" borderId="4" xfId="3" applyFont="1" applyFill="1" applyBorder="1"/>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5"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31" xfId="5" applyFill="1" applyBorder="1" applyAlignment="1">
      <alignment wrapText="1"/>
    </xf>
    <xf numFmtId="44" fontId="5" fillId="11" borderId="32" xfId="2" applyFont="1" applyFill="1" applyBorder="1" applyAlignment="1">
      <alignment horizontal="center" wrapText="1"/>
    </xf>
    <xf numFmtId="44" fontId="5" fillId="11" borderId="33"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3" xfId="5" applyFont="1" applyFill="1" applyBorder="1" applyAlignment="1">
      <alignment wrapText="1"/>
    </xf>
    <xf numFmtId="44" fontId="4" fillId="11" borderId="36" xfId="2" applyFont="1" applyFill="1" applyBorder="1"/>
    <xf numFmtId="44" fontId="4" fillId="11" borderId="14" xfId="2" applyFont="1" applyFill="1" applyBorder="1"/>
    <xf numFmtId="9" fontId="4" fillId="11" borderId="14" xfId="2" applyNumberFormat="1" applyFont="1" applyFill="1" applyBorder="1"/>
    <xf numFmtId="44" fontId="4" fillId="11" borderId="37" xfId="2" applyFont="1" applyFill="1" applyBorder="1"/>
    <xf numFmtId="0" fontId="5" fillId="11" borderId="28" xfId="5" applyFont="1" applyFill="1" applyBorder="1" applyAlignment="1">
      <alignment horizontal="left" wrapText="1" indent="3"/>
    </xf>
    <xf numFmtId="44" fontId="4" fillId="17" borderId="34" xfId="2" applyFont="1" applyFill="1" applyBorder="1" applyAlignment="1">
      <alignment horizontal="center" wrapText="1"/>
    </xf>
    <xf numFmtId="44" fontId="4" fillId="17" borderId="35" xfId="2" applyFont="1" applyFill="1" applyBorder="1" applyAlignment="1">
      <alignment horizontal="center" wrapText="1"/>
    </xf>
    <xf numFmtId="44" fontId="0" fillId="0" borderId="4" xfId="2" applyFont="1" applyBorder="1" applyAlignment="1">
      <alignment horizontal="center" wrapText="1"/>
    </xf>
    <xf numFmtId="0" fontId="26" fillId="19" borderId="4" xfId="0" applyFont="1" applyFill="1" applyBorder="1" applyAlignment="1">
      <alignment wrapText="1"/>
    </xf>
    <xf numFmtId="9" fontId="26" fillId="19" borderId="4" xfId="3" applyFont="1" applyFill="1" applyBorder="1" applyAlignment="1">
      <alignment horizontal="center"/>
    </xf>
    <xf numFmtId="44" fontId="26" fillId="19" borderId="4" xfId="2" applyFont="1" applyFill="1" applyBorder="1" applyAlignment="1">
      <alignment horizontal="center"/>
    </xf>
    <xf numFmtId="9" fontId="26" fillId="19" borderId="4" xfId="3" applyFont="1" applyFill="1" applyBorder="1" applyAlignment="1">
      <alignment horizontal="center" wrapText="1"/>
    </xf>
    <xf numFmtId="164" fontId="26" fillId="19"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5" fillId="0" borderId="1" xfId="5" applyFont="1" applyBorder="1" applyAlignment="1">
      <alignment horizontal="center" wrapText="1"/>
    </xf>
    <xf numFmtId="0" fontId="0" fillId="9" borderId="0" xfId="0" applyFill="1" applyAlignment="1">
      <alignment horizontal="center"/>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1" fillId="0" borderId="0" xfId="0" applyFont="1" applyBorder="1"/>
    <xf numFmtId="0" fontId="1" fillId="0" borderId="0" xfId="0" applyFont="1"/>
    <xf numFmtId="0" fontId="1" fillId="0" borderId="17" xfId="0" applyFont="1" applyBorder="1"/>
    <xf numFmtId="0" fontId="1" fillId="0" borderId="14" xfId="0" applyFont="1" applyBorder="1"/>
    <xf numFmtId="0" fontId="1" fillId="0" borderId="10" xfId="0" applyFont="1" applyBorder="1"/>
    <xf numFmtId="0" fontId="2" fillId="0" borderId="40" xfId="0" applyFont="1" applyBorder="1" applyAlignment="1">
      <alignment horizontal="left" indent="3"/>
    </xf>
    <xf numFmtId="44" fontId="1" fillId="0" borderId="27" xfId="2" applyFont="1" applyBorder="1"/>
    <xf numFmtId="44" fontId="1" fillId="0" borderId="38" xfId="2" applyFont="1" applyBorder="1"/>
    <xf numFmtId="44" fontId="1" fillId="0" borderId="39" xfId="2" applyFont="1" applyBorder="1"/>
    <xf numFmtId="0" fontId="2" fillId="0" borderId="19" xfId="0" applyFont="1" applyBorder="1" applyAlignment="1">
      <alignment horizontal="center" vertical="center"/>
    </xf>
    <xf numFmtId="0" fontId="2" fillId="0" borderId="18" xfId="0" applyFont="1" applyBorder="1" applyAlignment="1">
      <alignment horizontal="center"/>
    </xf>
    <xf numFmtId="0" fontId="2" fillId="0" borderId="7" xfId="0" applyFont="1" applyBorder="1" applyAlignment="1">
      <alignment horizontal="center"/>
    </xf>
    <xf numFmtId="165" fontId="1" fillId="0" borderId="24" xfId="0" applyNumberFormat="1" applyFont="1" applyBorder="1"/>
    <xf numFmtId="44" fontId="1" fillId="0" borderId="40" xfId="2" applyFont="1" applyBorder="1"/>
    <xf numFmtId="0" fontId="2" fillId="0" borderId="16" xfId="0" applyFont="1" applyBorder="1" applyAlignment="1">
      <alignment horizontal="center" vertical="center"/>
    </xf>
    <xf numFmtId="0" fontId="2" fillId="0" borderId="41" xfId="0" applyFont="1" applyBorder="1" applyAlignment="1">
      <alignment horizontal="center" vertical="center"/>
    </xf>
    <xf numFmtId="166" fontId="0" fillId="2" borderId="4" xfId="1" applyNumberFormat="1" applyFont="1" applyFill="1" applyBorder="1" applyProtection="1"/>
    <xf numFmtId="164" fontId="26" fillId="0" borderId="0" xfId="3" applyNumberFormat="1" applyFont="1" applyBorder="1" applyAlignment="1">
      <alignment horizontal="left"/>
    </xf>
    <xf numFmtId="9" fontId="4" fillId="6" borderId="4" xfId="3" applyFont="1" applyFill="1" applyBorder="1"/>
    <xf numFmtId="0" fontId="5" fillId="0" borderId="4" xfId="3" applyNumberFormat="1" applyFont="1" applyBorder="1"/>
    <xf numFmtId="167" fontId="4" fillId="6" borderId="4" xfId="2" applyNumberFormat="1" applyFont="1" applyFill="1" applyBorder="1"/>
    <xf numFmtId="167" fontId="4" fillId="0" borderId="4" xfId="2" applyNumberFormat="1" applyFont="1" applyBorder="1"/>
    <xf numFmtId="0" fontId="0" fillId="0" borderId="0" xfId="0" applyFont="1" applyFill="1" applyBorder="1"/>
    <xf numFmtId="0" fontId="0" fillId="0" borderId="15" xfId="0" applyFont="1" applyBorder="1"/>
    <xf numFmtId="0" fontId="0" fillId="0" borderId="20" xfId="0" applyFont="1" applyBorder="1"/>
    <xf numFmtId="0" fontId="4" fillId="0" borderId="4" xfId="5" applyFont="1" applyBorder="1"/>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24"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6" fontId="4" fillId="0" borderId="4" xfId="5" applyNumberFormat="1" applyBorder="1" applyAlignment="1">
      <alignment horizontal="left"/>
    </xf>
    <xf numFmtId="0" fontId="4" fillId="0" borderId="4" xfId="5" applyBorder="1" applyAlignment="1">
      <alignment horizontal="left"/>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5" fillId="0" borderId="1" xfId="5" applyFont="1" applyBorder="1" applyAlignment="1">
      <alignment horizontal="center" wrapText="1"/>
    </xf>
    <xf numFmtId="0" fontId="5" fillId="0" borderId="3" xfId="5" applyFont="1" applyBorder="1" applyAlignment="1">
      <alignment horizontal="center" wrapText="1"/>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4"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19" fillId="11" borderId="1" xfId="1" applyNumberFormat="1" applyFont="1" applyFill="1" applyBorder="1" applyAlignment="1">
      <alignment horizontal="center"/>
    </xf>
    <xf numFmtId="0" fontId="19" fillId="11" borderId="2" xfId="1" applyNumberFormat="1" applyFont="1" applyFill="1" applyBorder="1" applyAlignment="1">
      <alignment horizontal="center"/>
    </xf>
    <xf numFmtId="0" fontId="19" fillId="11" borderId="3" xfId="1" applyNumberFormat="1" applyFont="1" applyFill="1" applyBorder="1" applyAlignment="1">
      <alignment horizontal="center"/>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19" fillId="8" borderId="1" xfId="5" applyFont="1" applyFill="1" applyBorder="1" applyAlignment="1">
      <alignment horizontal="center"/>
    </xf>
    <xf numFmtId="0" fontId="19" fillId="8" borderId="2" xfId="5" applyFont="1" applyFill="1" applyBorder="1" applyAlignment="1">
      <alignment horizontal="center"/>
    </xf>
    <xf numFmtId="0" fontId="19" fillId="8" borderId="3" xfId="5" applyFont="1" applyFill="1" applyBorder="1" applyAlignment="1">
      <alignment horizontal="center"/>
    </xf>
    <xf numFmtId="0" fontId="19" fillId="0" borderId="0" xfId="5" applyFont="1" applyAlignment="1">
      <alignment horizontal="center"/>
    </xf>
    <xf numFmtId="0" fontId="27" fillId="7" borderId="1" xfId="5" applyFont="1" applyFill="1" applyBorder="1" applyAlignment="1">
      <alignment horizontal="center"/>
    </xf>
    <xf numFmtId="0" fontId="27" fillId="7" borderId="2" xfId="5" applyFont="1" applyFill="1" applyBorder="1" applyAlignment="1">
      <alignment horizontal="center"/>
    </xf>
    <xf numFmtId="0" fontId="27" fillId="7" borderId="3" xfId="5"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8" fillId="9" borderId="0" xfId="5" applyFont="1" applyFill="1" applyAlignment="1">
      <alignment horizontal="center"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xf numFmtId="164" fontId="0" fillId="5" borderId="4" xfId="3" applyNumberFormat="1" applyFont="1" applyFill="1" applyBorder="1"/>
  </cellXfs>
  <cellStyles count="8">
    <cellStyle name="Comma" xfId="1" builtinId="3"/>
    <cellStyle name="Comma 2" xfId="7" xr:uid="{112CFAA7-624C-4552-8F74-E1A4E4EAF61C}"/>
    <cellStyle name="Currency" xfId="2" builtinId="4"/>
    <cellStyle name="Hyperlink" xfId="4" builtinId="8"/>
    <cellStyle name="Hyperlink 2" xfId="6" xr:uid="{F6922A4B-973E-4870-A963-CC81817AD9EE}"/>
    <cellStyle name="Normal" xfId="0" builtinId="0"/>
    <cellStyle name="Normal 2" xfId="5" xr:uid="{C3FDC763-6463-43D6-BFD0-98B707717801}"/>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theme" Target="theme/theme1.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82F7A-2E25-4EC8-B0CF-681785417AD5}">
  <sheetPr>
    <tabColor theme="0" tint="-4.9989318521683403E-2"/>
  </sheetPr>
  <dimension ref="A1:C15"/>
  <sheetViews>
    <sheetView topLeftCell="A4" workbookViewId="0">
      <selection activeCell="A3" sqref="A3:B3"/>
    </sheetView>
  </sheetViews>
  <sheetFormatPr defaultRowHeight="15" x14ac:dyDescent="0.25"/>
  <cols>
    <col min="1" max="1" width="16.28515625" customWidth="1"/>
    <col min="2" max="2" width="66.7109375" style="27" customWidth="1"/>
    <col min="3" max="3" width="17.42578125" customWidth="1"/>
  </cols>
  <sheetData>
    <row r="1" spans="1:3" ht="18.75" x14ac:dyDescent="0.3">
      <c r="A1" s="296" t="s">
        <v>0</v>
      </c>
      <c r="B1" s="296"/>
    </row>
    <row r="2" spans="1:3" x14ac:dyDescent="0.25">
      <c r="A2" s="297" t="s">
        <v>1</v>
      </c>
      <c r="B2" s="297"/>
    </row>
    <row r="3" spans="1:3" ht="166.9" customHeight="1" x14ac:dyDescent="0.25">
      <c r="A3" s="295" t="s">
        <v>215</v>
      </c>
      <c r="B3" s="295"/>
    </row>
    <row r="4" spans="1:3" x14ac:dyDescent="0.25">
      <c r="B4" s="47"/>
    </row>
    <row r="5" spans="1:3" ht="15.75" x14ac:dyDescent="0.25">
      <c r="A5" s="117" t="s">
        <v>2</v>
      </c>
      <c r="B5" s="26" t="s">
        <v>3</v>
      </c>
      <c r="C5" s="46"/>
    </row>
    <row r="6" spans="1:3" ht="15.75" x14ac:dyDescent="0.25">
      <c r="A6" s="117" t="s">
        <v>2</v>
      </c>
      <c r="B6" s="46" t="s">
        <v>4</v>
      </c>
      <c r="C6" s="46"/>
    </row>
    <row r="7" spans="1:3" ht="15.75" x14ac:dyDescent="0.25">
      <c r="A7" s="116" t="s">
        <v>5</v>
      </c>
      <c r="B7" s="46" t="s">
        <v>6</v>
      </c>
      <c r="C7" s="46"/>
    </row>
    <row r="8" spans="1:3" ht="15.75" x14ac:dyDescent="0.25">
      <c r="A8" s="117" t="s">
        <v>2</v>
      </c>
      <c r="B8" s="26" t="s">
        <v>7</v>
      </c>
      <c r="C8" s="46"/>
    </row>
    <row r="9" spans="1:3" ht="15.75" x14ac:dyDescent="0.25">
      <c r="A9" s="117" t="s">
        <v>2</v>
      </c>
      <c r="B9" s="26" t="s">
        <v>8</v>
      </c>
      <c r="C9" s="46"/>
    </row>
    <row r="10" spans="1:3" ht="15.75" x14ac:dyDescent="0.25">
      <c r="A10" s="117" t="s">
        <v>2</v>
      </c>
      <c r="B10" s="26" t="s">
        <v>9</v>
      </c>
      <c r="C10" s="46"/>
    </row>
    <row r="11" spans="1:3" ht="15.75" x14ac:dyDescent="0.25">
      <c r="A11" s="117" t="s">
        <v>2</v>
      </c>
      <c r="B11" s="26" t="s">
        <v>10</v>
      </c>
      <c r="C11" s="46"/>
    </row>
    <row r="12" spans="1:3" ht="15.75" x14ac:dyDescent="0.25">
      <c r="A12" s="117" t="s">
        <v>2</v>
      </c>
      <c r="B12" s="46" t="s">
        <v>11</v>
      </c>
      <c r="C12" s="46"/>
    </row>
    <row r="13" spans="1:3" x14ac:dyDescent="0.25">
      <c r="C13" s="28"/>
    </row>
    <row r="14" spans="1:3" x14ac:dyDescent="0.25">
      <c r="C14" s="28"/>
    </row>
    <row r="15" spans="1:3" x14ac:dyDescent="0.25">
      <c r="C15"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493C-6629-4D23-9F49-D2BA8BBE2DC4}">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197</v>
      </c>
    </row>
    <row r="3" spans="2:5" x14ac:dyDescent="0.25">
      <c r="B3" t="s">
        <v>198</v>
      </c>
      <c r="C3" t="s">
        <v>199</v>
      </c>
      <c r="D3" t="s">
        <v>167</v>
      </c>
      <c r="E3" t="s">
        <v>166</v>
      </c>
    </row>
    <row r="4" spans="2:5" x14ac:dyDescent="0.25">
      <c r="B4" s="16" t="s">
        <v>200</v>
      </c>
      <c r="C4" s="25">
        <v>180</v>
      </c>
      <c r="D4" s="25">
        <v>100</v>
      </c>
      <c r="E4" s="16" t="s">
        <v>201</v>
      </c>
    </row>
    <row r="5" spans="2:5" x14ac:dyDescent="0.25">
      <c r="B5" s="16" t="s">
        <v>202</v>
      </c>
      <c r="C5" s="25">
        <v>163</v>
      </c>
      <c r="D5" s="25">
        <v>100</v>
      </c>
      <c r="E5" s="25">
        <v>85</v>
      </c>
    </row>
    <row r="6" spans="2:5" x14ac:dyDescent="0.25">
      <c r="B6" s="16" t="s">
        <v>203</v>
      </c>
      <c r="C6" s="25">
        <v>186</v>
      </c>
      <c r="D6" s="25">
        <v>100</v>
      </c>
      <c r="E6" s="25">
        <v>58</v>
      </c>
    </row>
    <row r="7" spans="2:5" x14ac:dyDescent="0.25">
      <c r="B7" s="16" t="s">
        <v>204</v>
      </c>
      <c r="C7" s="25">
        <v>92</v>
      </c>
      <c r="D7" s="25">
        <v>100</v>
      </c>
      <c r="E7" s="25">
        <v>52</v>
      </c>
    </row>
    <row r="8" spans="2:5" x14ac:dyDescent="0.25">
      <c r="B8" s="16" t="s">
        <v>205</v>
      </c>
      <c r="C8" s="25">
        <v>166</v>
      </c>
      <c r="D8" s="25">
        <v>100</v>
      </c>
      <c r="E8" s="25">
        <v>76</v>
      </c>
    </row>
    <row r="9" spans="2:5" x14ac:dyDescent="0.25">
      <c r="B9" s="16" t="s">
        <v>206</v>
      </c>
      <c r="C9" s="25">
        <v>130</v>
      </c>
      <c r="D9" s="25">
        <v>100</v>
      </c>
      <c r="E9" s="25">
        <v>75</v>
      </c>
    </row>
    <row r="10" spans="2:5" x14ac:dyDescent="0.25">
      <c r="B10" s="16" t="s">
        <v>207</v>
      </c>
      <c r="C10" s="25">
        <v>160</v>
      </c>
      <c r="D10" s="25">
        <v>100</v>
      </c>
      <c r="E10" s="25">
        <v>79</v>
      </c>
    </row>
    <row r="11" spans="2:5" x14ac:dyDescent="0.25">
      <c r="B11" s="16" t="s">
        <v>208</v>
      </c>
      <c r="C11" s="25">
        <v>120</v>
      </c>
      <c r="D11" s="25">
        <v>100</v>
      </c>
      <c r="E11" s="25">
        <v>81</v>
      </c>
    </row>
    <row r="12" spans="2:5" x14ac:dyDescent="0.25">
      <c r="B12" s="16" t="s">
        <v>209</v>
      </c>
      <c r="C12" s="25">
        <v>160</v>
      </c>
      <c r="D12" s="25">
        <v>100</v>
      </c>
      <c r="E12" s="25">
        <v>72</v>
      </c>
    </row>
    <row r="13" spans="2:5" x14ac:dyDescent="0.25">
      <c r="B13" s="16" t="s">
        <v>210</v>
      </c>
      <c r="C13" s="25">
        <v>150</v>
      </c>
      <c r="D13" s="25">
        <v>100</v>
      </c>
      <c r="E13" s="16">
        <v>55</v>
      </c>
    </row>
    <row r="14" spans="2:5" x14ac:dyDescent="0.25">
      <c r="B14" s="16" t="s">
        <v>211</v>
      </c>
      <c r="C14" s="25">
        <v>264</v>
      </c>
      <c r="D14" s="25">
        <v>100</v>
      </c>
      <c r="E14" s="25">
        <v>44</v>
      </c>
    </row>
    <row r="15" spans="2:5" x14ac:dyDescent="0.25">
      <c r="B15" s="16" t="s">
        <v>212</v>
      </c>
      <c r="C15" s="25">
        <v>178</v>
      </c>
      <c r="D15" s="25">
        <v>100</v>
      </c>
      <c r="E15" s="25">
        <v>108</v>
      </c>
    </row>
    <row r="16" spans="2:5" x14ac:dyDescent="0.25">
      <c r="B16" s="16" t="s">
        <v>213</v>
      </c>
      <c r="C16" s="25">
        <v>185</v>
      </c>
      <c r="D16" s="25">
        <v>100</v>
      </c>
      <c r="E16" s="25">
        <v>89</v>
      </c>
    </row>
    <row r="17" spans="2:5" x14ac:dyDescent="0.25">
      <c r="B17" s="16" t="s">
        <v>214</v>
      </c>
      <c r="C17" s="25">
        <v>228</v>
      </c>
      <c r="D17" s="25">
        <v>100</v>
      </c>
      <c r="E17" s="25">
        <v>76</v>
      </c>
    </row>
  </sheetData>
  <sortState xmlns:xlrd2="http://schemas.microsoft.com/office/spreadsheetml/2017/richdata2" ref="B4:E17">
    <sortCondition ref="B4:B1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F180-1378-404F-9C48-95730C787581}">
  <sheetPr>
    <tabColor theme="7"/>
  </sheetPr>
  <dimension ref="A2:W114"/>
  <sheetViews>
    <sheetView showGridLines="0" tabSelected="1" zoomScaleNormal="100" zoomScaleSheetLayoutView="80" workbookViewId="0">
      <selection activeCell="J18" sqref="J18"/>
    </sheetView>
  </sheetViews>
  <sheetFormatPr defaultRowHeight="15" x14ac:dyDescent="0.25"/>
  <cols>
    <col min="1" max="1" width="14.42578125" customWidth="1"/>
    <col min="2" max="2" width="58.140625" customWidth="1"/>
    <col min="3" max="5" width="16.42578125" customWidth="1"/>
    <col min="6" max="8" width="18.2851562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299" t="s">
        <v>12</v>
      </c>
      <c r="C2" s="299"/>
      <c r="D2" s="299"/>
      <c r="E2" s="299"/>
      <c r="F2" s="299"/>
      <c r="G2" s="299"/>
      <c r="H2" s="299"/>
      <c r="I2" s="299"/>
      <c r="J2" s="299"/>
      <c r="K2" s="299"/>
      <c r="L2" s="299"/>
      <c r="M2" s="299"/>
      <c r="N2" s="299"/>
      <c r="O2" s="299"/>
    </row>
    <row r="3" spans="1:15" ht="21" x14ac:dyDescent="0.35">
      <c r="B3" s="300" t="s">
        <v>13</v>
      </c>
      <c r="C3" s="301"/>
      <c r="D3" s="301"/>
      <c r="E3" s="301"/>
      <c r="F3" s="301"/>
      <c r="G3" s="301"/>
      <c r="H3" s="301"/>
      <c r="I3" s="301"/>
      <c r="J3" s="301"/>
      <c r="K3" s="301"/>
      <c r="L3" s="301"/>
      <c r="M3" s="301"/>
      <c r="N3" s="301"/>
      <c r="O3" s="302"/>
    </row>
    <row r="4" spans="1:15" ht="21" x14ac:dyDescent="0.35">
      <c r="B4" s="306" t="s">
        <v>14</v>
      </c>
      <c r="C4" s="307"/>
      <c r="D4" s="307"/>
      <c r="E4" s="307"/>
      <c r="F4" s="307"/>
      <c r="G4" s="307"/>
      <c r="H4" s="307"/>
      <c r="I4" s="307"/>
      <c r="J4" s="307"/>
      <c r="K4" s="307"/>
      <c r="L4" s="307"/>
      <c r="M4" s="307"/>
      <c r="N4" s="307"/>
      <c r="O4" s="308"/>
    </row>
    <row r="6" spans="1:15" ht="18.75" x14ac:dyDescent="0.3">
      <c r="B6" s="303" t="s">
        <v>15</v>
      </c>
      <c r="C6" s="304"/>
      <c r="D6" s="304"/>
      <c r="E6" s="304"/>
      <c r="F6" s="304"/>
      <c r="G6" s="304"/>
      <c r="H6" s="304"/>
      <c r="I6" s="304"/>
      <c r="J6" s="304"/>
      <c r="K6" s="304"/>
      <c r="L6" s="304"/>
      <c r="M6" s="304"/>
      <c r="N6" s="304"/>
      <c r="O6" s="305"/>
    </row>
    <row r="7" spans="1:15" s="59" customFormat="1" ht="18.75" x14ac:dyDescent="0.3">
      <c r="B7" s="58"/>
      <c r="C7" s="58"/>
      <c r="D7" s="58"/>
      <c r="E7" s="58"/>
      <c r="F7" s="58"/>
      <c r="G7" s="58"/>
      <c r="H7" s="58"/>
      <c r="I7" s="58"/>
      <c r="J7" s="58"/>
      <c r="K7" s="58"/>
      <c r="L7" s="58"/>
      <c r="M7" s="58"/>
      <c r="N7" s="58"/>
      <c r="O7" s="58"/>
    </row>
    <row r="8" spans="1:15" ht="18.75" x14ac:dyDescent="0.3">
      <c r="B8" s="101" t="s">
        <v>16</v>
      </c>
      <c r="C8" s="4"/>
    </row>
    <row r="9" spans="1:15" ht="22.15" customHeight="1" x14ac:dyDescent="0.3">
      <c r="B9" s="4"/>
      <c r="C9" s="4"/>
      <c r="E9" s="87"/>
      <c r="F9" s="87"/>
      <c r="G9" s="87"/>
      <c r="H9" s="87"/>
      <c r="I9" s="87"/>
      <c r="K9" s="28"/>
    </row>
    <row r="10" spans="1:15" s="108" customFormat="1" ht="30" x14ac:dyDescent="0.25">
      <c r="B10" s="106" t="s">
        <v>17</v>
      </c>
      <c r="C10" s="106" t="s">
        <v>18</v>
      </c>
      <c r="D10" s="106" t="s">
        <v>19</v>
      </c>
      <c r="E10" s="106" t="s">
        <v>20</v>
      </c>
      <c r="F10" s="106" t="s">
        <v>21</v>
      </c>
      <c r="G10" s="106" t="s">
        <v>219</v>
      </c>
      <c r="H10" s="106" t="s">
        <v>240</v>
      </c>
      <c r="I10" s="107"/>
      <c r="J10" s="109"/>
    </row>
    <row r="11" spans="1:15" x14ac:dyDescent="0.25">
      <c r="B11" s="5" t="s">
        <v>22</v>
      </c>
      <c r="C11" s="92">
        <f>SUM(D11:H11)</f>
        <v>20666695</v>
      </c>
      <c r="D11" s="98">
        <v>12258955</v>
      </c>
      <c r="E11" s="99">
        <v>1450831</v>
      </c>
      <c r="F11" s="99">
        <v>6667300</v>
      </c>
      <c r="G11" s="99">
        <v>289609</v>
      </c>
      <c r="H11" s="99"/>
      <c r="J11" s="28"/>
    </row>
    <row r="12" spans="1:15" ht="14.45" customHeight="1" x14ac:dyDescent="0.25">
      <c r="A12" s="309"/>
      <c r="B12" s="8" t="s">
        <v>56</v>
      </c>
      <c r="C12" s="92">
        <f>SUM(D12:H12)</f>
        <v>774848</v>
      </c>
      <c r="D12" s="93">
        <v>511253</v>
      </c>
      <c r="E12" s="94">
        <v>16883</v>
      </c>
      <c r="F12" s="95">
        <v>224823</v>
      </c>
      <c r="G12" s="95">
        <v>21889</v>
      </c>
      <c r="H12" s="95"/>
      <c r="L12" s="22"/>
      <c r="M12" s="23"/>
    </row>
    <row r="13" spans="1:15" x14ac:dyDescent="0.25">
      <c r="A13" s="309"/>
      <c r="B13" s="8" t="s">
        <v>57</v>
      </c>
      <c r="C13" s="92">
        <f>SUM(D13:H13)</f>
        <v>0</v>
      </c>
      <c r="D13" s="93"/>
      <c r="E13" s="94"/>
      <c r="F13" s="95"/>
      <c r="G13" s="95"/>
      <c r="H13" s="95"/>
      <c r="L13" s="22"/>
      <c r="M13" s="23"/>
    </row>
    <row r="14" spans="1:15" x14ac:dyDescent="0.25">
      <c r="A14" s="309"/>
      <c r="B14" s="8" t="s">
        <v>58</v>
      </c>
      <c r="C14" s="92">
        <f>SUM(D14:H14)</f>
        <v>0</v>
      </c>
      <c r="D14" s="93"/>
      <c r="E14" s="94"/>
      <c r="F14" s="95"/>
      <c r="G14" s="95"/>
      <c r="H14" s="95"/>
      <c r="L14" s="22"/>
      <c r="M14" s="23"/>
    </row>
    <row r="15" spans="1:15" x14ac:dyDescent="0.25">
      <c r="A15" s="309"/>
      <c r="B15" s="8" t="s">
        <v>59</v>
      </c>
      <c r="C15" s="92">
        <f t="shared" ref="C15:C19" si="0">SUM(D15:H15)</f>
        <v>0</v>
      </c>
      <c r="D15" s="93"/>
      <c r="E15" s="94"/>
      <c r="F15" s="95"/>
      <c r="G15" s="95"/>
      <c r="H15" s="95"/>
      <c r="L15" s="22"/>
      <c r="M15" s="23"/>
    </row>
    <row r="16" spans="1:15" x14ac:dyDescent="0.25">
      <c r="A16" s="309"/>
      <c r="B16" s="10" t="s">
        <v>25</v>
      </c>
      <c r="C16" s="92">
        <f t="shared" si="0"/>
        <v>0</v>
      </c>
      <c r="D16" s="93"/>
      <c r="E16" s="94"/>
      <c r="F16" s="96"/>
      <c r="G16" s="96"/>
      <c r="H16" s="96"/>
      <c r="L16" s="22"/>
      <c r="M16" s="23"/>
    </row>
    <row r="17" spans="1:23" x14ac:dyDescent="0.25">
      <c r="A17" s="309"/>
      <c r="B17" s="10" t="s">
        <v>26</v>
      </c>
      <c r="C17" s="92">
        <f t="shared" si="0"/>
        <v>0</v>
      </c>
      <c r="D17" s="93"/>
      <c r="E17" s="94"/>
      <c r="F17" s="95"/>
      <c r="G17" s="95"/>
      <c r="H17" s="95"/>
      <c r="L17" s="22"/>
      <c r="M17" s="23"/>
    </row>
    <row r="18" spans="1:23" x14ac:dyDescent="0.25">
      <c r="A18" s="309"/>
      <c r="B18" s="10" t="s">
        <v>27</v>
      </c>
      <c r="C18" s="92">
        <f t="shared" si="0"/>
        <v>850785</v>
      </c>
      <c r="D18" s="93">
        <v>619967</v>
      </c>
      <c r="E18" s="94">
        <v>329947</v>
      </c>
      <c r="F18" s="95">
        <v>-225403</v>
      </c>
      <c r="G18" s="95">
        <v>126274</v>
      </c>
      <c r="H18" s="95"/>
      <c r="L18" s="22"/>
      <c r="M18" s="23"/>
    </row>
    <row r="19" spans="1:23" x14ac:dyDescent="0.25">
      <c r="A19" s="309"/>
      <c r="B19" s="10" t="s">
        <v>60</v>
      </c>
      <c r="C19" s="92">
        <f t="shared" si="0"/>
        <v>61202</v>
      </c>
      <c r="D19" s="93"/>
      <c r="E19" s="94"/>
      <c r="F19" s="95">
        <v>61202</v>
      </c>
      <c r="G19" s="95"/>
      <c r="H19" s="95"/>
      <c r="L19" s="22"/>
      <c r="M19" s="23"/>
    </row>
    <row r="20" spans="1:23" x14ac:dyDescent="0.25">
      <c r="B20" s="91" t="s">
        <v>28</v>
      </c>
      <c r="C20" s="92">
        <f>SUM(D20:H20)</f>
        <v>0</v>
      </c>
      <c r="D20" s="93"/>
      <c r="E20" s="94"/>
      <c r="F20" s="96"/>
      <c r="G20" s="96"/>
      <c r="H20" s="96"/>
      <c r="O20" s="22"/>
      <c r="P20" s="23"/>
    </row>
    <row r="21" spans="1:23" x14ac:dyDescent="0.25">
      <c r="B21" s="91" t="s">
        <v>28</v>
      </c>
      <c r="C21" s="92">
        <f>SUM(D21:H21)</f>
        <v>0</v>
      </c>
      <c r="D21" s="93"/>
      <c r="E21" s="94"/>
      <c r="F21" s="96"/>
      <c r="G21" s="96"/>
      <c r="H21" s="96"/>
      <c r="O21" s="22"/>
      <c r="P21" s="23"/>
    </row>
    <row r="22" spans="1:23" x14ac:dyDescent="0.25">
      <c r="B22" s="91" t="s">
        <v>28</v>
      </c>
      <c r="C22" s="92">
        <f>SUM(D22:H22)</f>
        <v>0</v>
      </c>
      <c r="D22" s="93"/>
      <c r="E22" s="94"/>
      <c r="F22" s="96"/>
      <c r="G22" s="96"/>
      <c r="H22" s="96"/>
      <c r="O22" s="22"/>
      <c r="P22" s="23"/>
    </row>
    <row r="23" spans="1:23" x14ac:dyDescent="0.25">
      <c r="B23" s="11" t="s">
        <v>29</v>
      </c>
      <c r="C23" s="6">
        <f t="shared" ref="C23:H23" si="1">SUM(C11:C22)</f>
        <v>22353530</v>
      </c>
      <c r="D23" s="55">
        <f t="shared" si="1"/>
        <v>13390175</v>
      </c>
      <c r="E23" s="55">
        <f t="shared" si="1"/>
        <v>1797661</v>
      </c>
      <c r="F23" s="55">
        <f t="shared" si="1"/>
        <v>6727922</v>
      </c>
      <c r="G23" s="55">
        <f t="shared" si="1"/>
        <v>437772</v>
      </c>
      <c r="H23" s="55">
        <f t="shared" si="1"/>
        <v>0</v>
      </c>
      <c r="O23" s="22"/>
      <c r="P23" s="23"/>
    </row>
    <row r="24" spans="1:23" x14ac:dyDescent="0.25">
      <c r="C24" s="14"/>
      <c r="D24" s="15"/>
      <c r="O24" s="22"/>
      <c r="P24" s="23"/>
    </row>
    <row r="25" spans="1:23" x14ac:dyDescent="0.25">
      <c r="B25" s="29" t="s">
        <v>30</v>
      </c>
      <c r="C25" s="67">
        <f>+C23-C11</f>
        <v>1686835</v>
      </c>
      <c r="D25" s="19">
        <f t="shared" ref="D25:H25" si="2">+D23-D11</f>
        <v>1131220</v>
      </c>
      <c r="E25" s="19">
        <f t="shared" si="2"/>
        <v>346830</v>
      </c>
      <c r="F25" s="19">
        <f t="shared" si="2"/>
        <v>60622</v>
      </c>
      <c r="G25" s="19">
        <f t="shared" si="2"/>
        <v>148163</v>
      </c>
      <c r="H25" s="19">
        <f t="shared" si="2"/>
        <v>0</v>
      </c>
      <c r="O25" s="22"/>
      <c r="P25" s="23"/>
    </row>
    <row r="26" spans="1:23" x14ac:dyDescent="0.25">
      <c r="B26" s="56" t="s">
        <v>31</v>
      </c>
      <c r="C26" s="57">
        <f>(C25)/C11</f>
        <v>8.1620936487425785E-2</v>
      </c>
      <c r="D26" s="57">
        <f t="shared" ref="D26:H26" si="3">(D25)/D11</f>
        <v>9.2277033401297254E-2</v>
      </c>
      <c r="E26" s="57">
        <f t="shared" si="3"/>
        <v>0.23905609957327903</v>
      </c>
      <c r="F26" s="57">
        <f t="shared" si="3"/>
        <v>9.0924362185592373E-3</v>
      </c>
      <c r="G26" s="57">
        <f t="shared" si="3"/>
        <v>0.51159666999299058</v>
      </c>
      <c r="H26" s="57" t="e">
        <f t="shared" si="3"/>
        <v>#DIV/0!</v>
      </c>
      <c r="O26" s="22"/>
      <c r="P26" s="23"/>
    </row>
    <row r="27" spans="1:23" x14ac:dyDescent="0.25">
      <c r="B27" s="215"/>
      <c r="C27" s="62"/>
      <c r="D27" s="62"/>
      <c r="E27" s="62"/>
      <c r="F27" s="62"/>
      <c r="G27" s="62"/>
      <c r="H27" s="62"/>
      <c r="O27" s="22"/>
      <c r="P27" s="23"/>
    </row>
    <row r="28" spans="1:23" x14ac:dyDescent="0.25">
      <c r="B28" s="29" t="s">
        <v>32</v>
      </c>
      <c r="C28" s="67">
        <f>'5. Vaccine Clinics and Testing'!D23</f>
        <v>0</v>
      </c>
      <c r="D28" s="62"/>
      <c r="E28" s="62"/>
      <c r="F28" s="62"/>
      <c r="G28" s="62"/>
      <c r="H28" s="62"/>
      <c r="O28" s="22"/>
      <c r="P28" s="23"/>
    </row>
    <row r="29" spans="1:23" ht="30" x14ac:dyDescent="0.25">
      <c r="B29" s="216" t="s">
        <v>33</v>
      </c>
      <c r="C29" s="217">
        <f>C23-C28</f>
        <v>22353530</v>
      </c>
      <c r="D29" s="15"/>
      <c r="E29" s="15"/>
      <c r="K29" s="23"/>
      <c r="L29" s="23"/>
      <c r="M29" s="14"/>
      <c r="N29" s="24"/>
      <c r="V29" s="22"/>
      <c r="W29" s="23"/>
    </row>
    <row r="30" spans="1:23" x14ac:dyDescent="0.25">
      <c r="B30" s="215"/>
      <c r="C30" s="62"/>
      <c r="D30" s="15"/>
      <c r="E30" s="15"/>
      <c r="K30" s="23"/>
      <c r="L30" s="23"/>
      <c r="M30" s="14"/>
      <c r="N30" s="24"/>
      <c r="V30" s="22"/>
      <c r="W30" s="23"/>
    </row>
    <row r="31" spans="1:23" x14ac:dyDescent="0.25">
      <c r="B31" s="29" t="s">
        <v>34</v>
      </c>
      <c r="C31" s="67">
        <f>C29-C11</f>
        <v>1686835</v>
      </c>
      <c r="D31" s="15"/>
      <c r="E31" s="15"/>
      <c r="O31" s="22"/>
      <c r="P31" s="23"/>
    </row>
    <row r="32" spans="1:23" x14ac:dyDescent="0.25">
      <c r="B32" s="56" t="s">
        <v>35</v>
      </c>
      <c r="C32" s="57">
        <f>(C31)/C11</f>
        <v>8.1620936487425785E-2</v>
      </c>
      <c r="D32" s="15"/>
      <c r="E32" s="15"/>
      <c r="O32" s="22"/>
      <c r="P32" s="23"/>
    </row>
    <row r="33" spans="2:23" x14ac:dyDescent="0.25">
      <c r="B33" s="215"/>
      <c r="C33" s="62"/>
      <c r="D33" s="62"/>
      <c r="E33" s="62"/>
      <c r="F33" s="62"/>
      <c r="G33" s="62"/>
      <c r="H33" s="62"/>
      <c r="O33" s="22"/>
      <c r="P33" s="23"/>
    </row>
    <row r="34" spans="2:23" ht="28.15" customHeight="1" x14ac:dyDescent="0.3">
      <c r="B34" s="101" t="s">
        <v>36</v>
      </c>
      <c r="C34" s="4"/>
      <c r="D34" s="15"/>
      <c r="E34" s="15"/>
      <c r="V34" s="22"/>
      <c r="W34" s="23"/>
    </row>
    <row r="35" spans="2:23" ht="18.75" x14ac:dyDescent="0.3">
      <c r="B35" s="101"/>
      <c r="C35" s="4"/>
      <c r="D35" s="15"/>
      <c r="E35" s="15"/>
      <c r="V35" s="22"/>
      <c r="W35" s="23"/>
    </row>
    <row r="36" spans="2:23" s="90" customFormat="1" x14ac:dyDescent="0.25">
      <c r="B36" s="103" t="s">
        <v>37</v>
      </c>
      <c r="C36" s="103" t="s">
        <v>38</v>
      </c>
      <c r="D36" s="103" t="s">
        <v>39</v>
      </c>
      <c r="E36" s="53"/>
      <c r="V36" s="104"/>
      <c r="W36" s="105"/>
    </row>
    <row r="37" spans="2:23" x14ac:dyDescent="0.25">
      <c r="B37" s="5" t="s">
        <v>40</v>
      </c>
      <c r="C37" s="92">
        <v>22388659</v>
      </c>
      <c r="D37" s="7"/>
      <c r="E37" s="62"/>
      <c r="V37" s="22"/>
      <c r="W37" s="23"/>
    </row>
    <row r="38" spans="2:23" x14ac:dyDescent="0.25">
      <c r="B38" s="8" t="s">
        <v>41</v>
      </c>
      <c r="C38" s="97">
        <v>572847</v>
      </c>
      <c r="D38" s="100">
        <f>+C38/C$37</f>
        <v>2.5586481084016691E-2</v>
      </c>
      <c r="E38" s="54"/>
      <c r="V38" s="22"/>
    </row>
    <row r="39" spans="2:23" x14ac:dyDescent="0.25">
      <c r="B39" s="10" t="s">
        <v>42</v>
      </c>
      <c r="C39" s="285">
        <f>'4. Inflation'!D16</f>
        <v>920532.76</v>
      </c>
      <c r="D39" s="9">
        <f t="shared" ref="D39:D51" si="4">+C39/C$37</f>
        <v>4.1116029325382997E-2</v>
      </c>
      <c r="E39" s="286" t="s">
        <v>241</v>
      </c>
      <c r="V39" s="22"/>
    </row>
    <row r="40" spans="2:23" x14ac:dyDescent="0.25">
      <c r="B40" s="10" t="s">
        <v>43</v>
      </c>
      <c r="C40" s="97">
        <v>373966</v>
      </c>
      <c r="D40" s="9">
        <f t="shared" si="4"/>
        <v>1.6703367539788783E-2</v>
      </c>
      <c r="E40" s="54"/>
      <c r="V40" s="22"/>
    </row>
    <row r="41" spans="2:23" x14ac:dyDescent="0.25">
      <c r="B41" s="10" t="s">
        <v>44</v>
      </c>
      <c r="C41" s="97">
        <v>64309</v>
      </c>
      <c r="D41" s="9">
        <f t="shared" si="4"/>
        <v>2.8723917765686637E-3</v>
      </c>
      <c r="E41" s="54"/>
      <c r="V41" s="22"/>
    </row>
    <row r="42" spans="2:23" x14ac:dyDescent="0.25">
      <c r="B42" s="10" t="s">
        <v>45</v>
      </c>
      <c r="C42" s="97"/>
      <c r="D42" s="9">
        <f t="shared" si="4"/>
        <v>0</v>
      </c>
      <c r="E42" s="54"/>
      <c r="V42" s="22"/>
    </row>
    <row r="43" spans="2:23" x14ac:dyDescent="0.25">
      <c r="B43" s="10" t="s">
        <v>46</v>
      </c>
      <c r="C43" s="97"/>
      <c r="D43" s="9">
        <f t="shared" si="4"/>
        <v>0</v>
      </c>
      <c r="E43" s="54"/>
      <c r="V43" s="22"/>
    </row>
    <row r="44" spans="2:23" x14ac:dyDescent="0.25">
      <c r="B44" s="10" t="s">
        <v>47</v>
      </c>
      <c r="C44" s="97"/>
      <c r="D44" s="9">
        <f t="shared" si="4"/>
        <v>0</v>
      </c>
      <c r="E44" s="54"/>
    </row>
    <row r="45" spans="2:23" x14ac:dyDescent="0.25">
      <c r="B45" s="10" t="s">
        <v>48</v>
      </c>
      <c r="C45" s="97">
        <f>733091-635355</f>
        <v>97736</v>
      </c>
      <c r="D45" s="100">
        <f t="shared" si="4"/>
        <v>4.3654244767406571E-3</v>
      </c>
      <c r="E45" s="54"/>
    </row>
    <row r="46" spans="2:23" x14ac:dyDescent="0.25">
      <c r="B46" s="10" t="s">
        <v>49</v>
      </c>
      <c r="C46" s="97"/>
      <c r="D46" s="100">
        <f>+C46/C$37</f>
        <v>0</v>
      </c>
      <c r="E46" s="80"/>
    </row>
    <row r="47" spans="2:23" x14ac:dyDescent="0.25">
      <c r="B47" s="91" t="s">
        <v>254</v>
      </c>
      <c r="C47" s="97">
        <v>100835</v>
      </c>
      <c r="D47" s="100">
        <f t="shared" ref="D47:D48" si="5">+C47/C$37</f>
        <v>4.5038427714674647E-3</v>
      </c>
      <c r="E47" s="54"/>
    </row>
    <row r="48" spans="2:23" x14ac:dyDescent="0.25">
      <c r="B48" s="91" t="s">
        <v>28</v>
      </c>
      <c r="C48" s="97"/>
      <c r="D48" s="100">
        <f t="shared" si="5"/>
        <v>0</v>
      </c>
      <c r="E48" s="54"/>
    </row>
    <row r="49" spans="2:23" x14ac:dyDescent="0.25">
      <c r="B49" s="91" t="s">
        <v>28</v>
      </c>
      <c r="C49" s="97"/>
      <c r="D49" s="100">
        <f t="shared" si="4"/>
        <v>0</v>
      </c>
      <c r="E49" s="54"/>
    </row>
    <row r="50" spans="2:23" x14ac:dyDescent="0.25">
      <c r="B50" s="91" t="s">
        <v>28</v>
      </c>
      <c r="C50" s="97"/>
      <c r="D50" s="100">
        <f t="shared" ref="D50" si="6">+C50/C$37</f>
        <v>0</v>
      </c>
      <c r="E50" s="54"/>
    </row>
    <row r="51" spans="2:23" x14ac:dyDescent="0.25">
      <c r="B51" s="91" t="s">
        <v>50</v>
      </c>
      <c r="C51" s="97"/>
      <c r="D51" s="100">
        <f t="shared" si="4"/>
        <v>0</v>
      </c>
      <c r="E51" s="54"/>
    </row>
    <row r="52" spans="2:23" x14ac:dyDescent="0.25">
      <c r="B52" s="11" t="s">
        <v>51</v>
      </c>
      <c r="C52" s="12">
        <f>SUM(C37:C51)</f>
        <v>24518884.760000002</v>
      </c>
      <c r="D52" s="13">
        <f>SUM(D38:D51)</f>
        <v>9.5147536973965247E-2</v>
      </c>
      <c r="E52" s="80"/>
    </row>
    <row r="53" spans="2:23" x14ac:dyDescent="0.25">
      <c r="B53" s="88"/>
      <c r="C53" s="89"/>
      <c r="D53" s="80"/>
      <c r="E53" s="80"/>
    </row>
    <row r="54" spans="2:23" x14ac:dyDescent="0.25">
      <c r="B54" s="29" t="s">
        <v>30</v>
      </c>
      <c r="C54" s="67">
        <f>+C52-C37</f>
        <v>2130225.7600000016</v>
      </c>
      <c r="D54" s="80"/>
      <c r="E54" s="80"/>
    </row>
    <row r="55" spans="2:23" x14ac:dyDescent="0.25">
      <c r="B55" s="56" t="s">
        <v>31</v>
      </c>
      <c r="C55" s="57">
        <f>(C54)/C37</f>
        <v>9.514753697396533E-2</v>
      </c>
      <c r="D55" s="80"/>
      <c r="E55" s="80"/>
    </row>
    <row r="56" spans="2:23" x14ac:dyDescent="0.25">
      <c r="B56" s="215"/>
      <c r="C56" s="62"/>
      <c r="D56" s="62"/>
      <c r="E56" s="62"/>
      <c r="F56" s="62"/>
      <c r="G56" s="62"/>
      <c r="H56" s="62"/>
      <c r="O56" s="22"/>
      <c r="P56" s="23"/>
    </row>
    <row r="57" spans="2:23" x14ac:dyDescent="0.25">
      <c r="B57" s="29" t="s">
        <v>32</v>
      </c>
      <c r="C57" s="67">
        <f>'5. Vaccine Clinics and Testing'!D36</f>
        <v>0</v>
      </c>
      <c r="D57" s="62"/>
      <c r="E57" s="62"/>
      <c r="F57" s="62"/>
      <c r="G57" s="62"/>
      <c r="H57" s="62"/>
      <c r="O57" s="22"/>
      <c r="P57" s="23"/>
    </row>
    <row r="58" spans="2:23" ht="30" x14ac:dyDescent="0.25">
      <c r="B58" s="216" t="s">
        <v>33</v>
      </c>
      <c r="C58" s="217">
        <f>C52-C57</f>
        <v>24518884.760000002</v>
      </c>
      <c r="D58" s="15"/>
      <c r="E58" s="15"/>
      <c r="K58" s="23"/>
      <c r="L58" s="23"/>
      <c r="M58" s="14"/>
      <c r="N58" s="24"/>
      <c r="V58" s="22"/>
      <c r="W58" s="23"/>
    </row>
    <row r="59" spans="2:23" x14ac:dyDescent="0.25">
      <c r="B59" s="215"/>
      <c r="C59" s="62"/>
      <c r="D59" s="15"/>
      <c r="E59" s="15"/>
      <c r="K59" s="23"/>
      <c r="L59" s="23"/>
      <c r="M59" s="14"/>
      <c r="N59" s="24"/>
      <c r="V59" s="22"/>
      <c r="W59" s="23"/>
    </row>
    <row r="60" spans="2:23" x14ac:dyDescent="0.25">
      <c r="B60" s="29" t="s">
        <v>34</v>
      </c>
      <c r="C60" s="67">
        <f>C58-C37</f>
        <v>2130225.7600000016</v>
      </c>
      <c r="D60" s="15"/>
      <c r="E60" s="15"/>
      <c r="O60" s="22"/>
      <c r="P60" s="23"/>
    </row>
    <row r="61" spans="2:23" x14ac:dyDescent="0.25">
      <c r="B61" s="56" t="s">
        <v>35</v>
      </c>
      <c r="C61" s="57">
        <f>(C60)/C37</f>
        <v>9.514753697396533E-2</v>
      </c>
      <c r="D61" s="15"/>
      <c r="E61" s="15"/>
      <c r="O61" s="22"/>
      <c r="P61" s="23"/>
    </row>
    <row r="62" spans="2:23" x14ac:dyDescent="0.25">
      <c r="B62" s="215"/>
      <c r="C62" s="62"/>
      <c r="D62" s="62"/>
      <c r="E62" s="62"/>
      <c r="F62" s="62"/>
      <c r="G62" s="62"/>
      <c r="H62" s="62"/>
      <c r="O62" s="22"/>
      <c r="P62" s="23"/>
    </row>
    <row r="64" spans="2:23" ht="18.75" x14ac:dyDescent="0.3">
      <c r="B64" s="303" t="s">
        <v>52</v>
      </c>
      <c r="C64" s="304"/>
      <c r="D64" s="304"/>
      <c r="E64" s="304"/>
      <c r="F64" s="304"/>
      <c r="G64" s="304"/>
      <c r="H64" s="304"/>
      <c r="I64" s="304"/>
      <c r="J64" s="304"/>
      <c r="K64" s="304"/>
      <c r="L64" s="304"/>
      <c r="M64" s="304"/>
      <c r="N64" s="304"/>
      <c r="O64" s="305"/>
      <c r="V64" s="22"/>
      <c r="W64" s="23"/>
    </row>
    <row r="65" spans="1:13" x14ac:dyDescent="0.25">
      <c r="B65" s="17"/>
    </row>
    <row r="66" spans="1:13" ht="18.75" x14ac:dyDescent="0.3">
      <c r="B66" s="101" t="s">
        <v>53</v>
      </c>
      <c r="C66" s="4"/>
    </row>
    <row r="67" spans="1:13" ht="18.75" x14ac:dyDescent="0.3">
      <c r="B67" s="101"/>
      <c r="C67" s="4"/>
    </row>
    <row r="68" spans="1:13" ht="18.75" x14ac:dyDescent="0.3">
      <c r="B68" s="101" t="s">
        <v>54</v>
      </c>
      <c r="C68" s="241" t="s">
        <v>250</v>
      </c>
    </row>
    <row r="69" spans="1:13" s="90" customFormat="1" ht="30" x14ac:dyDescent="0.25">
      <c r="B69" s="102" t="s">
        <v>17</v>
      </c>
      <c r="C69" s="102" t="s">
        <v>18</v>
      </c>
      <c r="D69" s="102" t="s">
        <v>19</v>
      </c>
      <c r="E69" s="102" t="s">
        <v>20</v>
      </c>
      <c r="F69" s="102" t="s">
        <v>21</v>
      </c>
      <c r="G69" s="102" t="s">
        <v>219</v>
      </c>
      <c r="H69" s="102" t="s">
        <v>240</v>
      </c>
    </row>
    <row r="70" spans="1:13" x14ac:dyDescent="0.25">
      <c r="B70" s="5" t="s">
        <v>55</v>
      </c>
      <c r="C70" s="92">
        <f>SUM(D70:H70)</f>
        <v>21330891</v>
      </c>
      <c r="D70" s="98">
        <v>12781320</v>
      </c>
      <c r="E70" s="99">
        <v>1688279</v>
      </c>
      <c r="F70" s="99">
        <v>6423520</v>
      </c>
      <c r="G70" s="99">
        <v>437772</v>
      </c>
      <c r="H70" s="99"/>
    </row>
    <row r="71" spans="1:13" ht="14.45" customHeight="1" x14ac:dyDescent="0.25">
      <c r="A71" s="298"/>
      <c r="B71" s="8" t="s">
        <v>56</v>
      </c>
      <c r="C71" s="92">
        <f>SUM(D71:H71)</f>
        <v>774848</v>
      </c>
      <c r="D71" s="93">
        <v>511253</v>
      </c>
      <c r="E71" s="94">
        <v>16883</v>
      </c>
      <c r="F71" s="95">
        <v>224823</v>
      </c>
      <c r="G71" s="95">
        <v>21889</v>
      </c>
      <c r="H71" s="95"/>
      <c r="L71" s="22"/>
      <c r="M71" s="23"/>
    </row>
    <row r="72" spans="1:13" x14ac:dyDescent="0.25">
      <c r="A72" s="298"/>
      <c r="B72" s="8" t="s">
        <v>57</v>
      </c>
      <c r="C72" s="92">
        <f>SUM(D72:H72)</f>
        <v>0</v>
      </c>
      <c r="D72" s="93"/>
      <c r="E72" s="94"/>
      <c r="F72" s="95"/>
      <c r="G72" s="95"/>
      <c r="H72" s="95"/>
      <c r="L72" s="22"/>
      <c r="M72" s="23"/>
    </row>
    <row r="73" spans="1:13" x14ac:dyDescent="0.25">
      <c r="A73" s="298"/>
      <c r="B73" s="8" t="s">
        <v>58</v>
      </c>
      <c r="C73" s="92">
        <f>SUM(D73:H73)</f>
        <v>-286548</v>
      </c>
      <c r="D73" s="93">
        <v>-170720</v>
      </c>
      <c r="E73" s="94">
        <v>-22550</v>
      </c>
      <c r="F73" s="95">
        <v>-85799</v>
      </c>
      <c r="G73" s="95">
        <v>-7479</v>
      </c>
      <c r="H73" s="95"/>
      <c r="L73" s="22"/>
      <c r="M73" s="23"/>
    </row>
    <row r="74" spans="1:13" x14ac:dyDescent="0.25">
      <c r="A74" s="298"/>
      <c r="B74" s="8" t="s">
        <v>59</v>
      </c>
      <c r="C74" s="92">
        <f t="shared" ref="C74:C81" si="7">SUM(D74:H74)</f>
        <v>0</v>
      </c>
      <c r="D74" s="93"/>
      <c r="E74" s="94"/>
      <c r="F74" s="95"/>
      <c r="G74" s="95"/>
      <c r="H74" s="95"/>
      <c r="L74" s="22"/>
      <c r="M74" s="23"/>
    </row>
    <row r="75" spans="1:13" x14ac:dyDescent="0.25">
      <c r="B75" s="10" t="s">
        <v>25</v>
      </c>
      <c r="C75" s="92">
        <f t="shared" si="7"/>
        <v>0</v>
      </c>
      <c r="D75" s="93"/>
      <c r="E75" s="94"/>
      <c r="F75" s="96"/>
      <c r="G75" s="96"/>
      <c r="H75" s="96"/>
      <c r="L75" s="22"/>
      <c r="M75" s="23"/>
    </row>
    <row r="76" spans="1:13" x14ac:dyDescent="0.25">
      <c r="B76" s="10" t="s">
        <v>26</v>
      </c>
      <c r="C76" s="92">
        <f t="shared" si="7"/>
        <v>0</v>
      </c>
      <c r="D76" s="93"/>
      <c r="E76" s="94"/>
      <c r="F76" s="95"/>
      <c r="G76" s="95"/>
      <c r="H76" s="95"/>
      <c r="L76" s="22"/>
      <c r="M76" s="23"/>
    </row>
    <row r="77" spans="1:13" x14ac:dyDescent="0.25">
      <c r="B77" s="10" t="s">
        <v>27</v>
      </c>
      <c r="C77" s="92">
        <f t="shared" si="7"/>
        <v>562526</v>
      </c>
      <c r="D77" s="93">
        <v>268322</v>
      </c>
      <c r="E77" s="94">
        <v>115049</v>
      </c>
      <c r="F77" s="95">
        <v>179155</v>
      </c>
      <c r="G77" s="95"/>
      <c r="H77" s="95"/>
      <c r="L77" s="22"/>
      <c r="M77" s="23"/>
    </row>
    <row r="78" spans="1:13" x14ac:dyDescent="0.25">
      <c r="B78" s="10" t="s">
        <v>60</v>
      </c>
      <c r="C78" s="92">
        <f t="shared" si="7"/>
        <v>-28187</v>
      </c>
      <c r="D78" s="93"/>
      <c r="E78" s="94"/>
      <c r="F78" s="95">
        <v>-28187</v>
      </c>
      <c r="G78" s="95"/>
      <c r="H78" s="95"/>
      <c r="L78" s="22"/>
      <c r="M78" s="23"/>
    </row>
    <row r="79" spans="1:13" x14ac:dyDescent="0.25">
      <c r="B79" s="91" t="s">
        <v>28</v>
      </c>
      <c r="C79" s="92">
        <f t="shared" si="7"/>
        <v>0</v>
      </c>
      <c r="D79" s="93"/>
      <c r="E79" s="94"/>
      <c r="F79" s="96"/>
      <c r="G79" s="96"/>
      <c r="H79" s="96"/>
      <c r="L79" s="22"/>
      <c r="M79" s="23"/>
    </row>
    <row r="80" spans="1:13" x14ac:dyDescent="0.25">
      <c r="B80" s="91" t="s">
        <v>28</v>
      </c>
      <c r="C80" s="92">
        <f t="shared" si="7"/>
        <v>0</v>
      </c>
      <c r="D80" s="93"/>
      <c r="E80" s="94"/>
      <c r="F80" s="96"/>
      <c r="G80" s="96"/>
      <c r="H80" s="96"/>
      <c r="L80" s="22"/>
      <c r="M80" s="23"/>
    </row>
    <row r="81" spans="2:23" x14ac:dyDescent="0.25">
      <c r="B81" s="91" t="s">
        <v>28</v>
      </c>
      <c r="C81" s="92">
        <f t="shared" si="7"/>
        <v>0</v>
      </c>
      <c r="D81" s="93"/>
      <c r="E81" s="94"/>
      <c r="F81" s="96"/>
      <c r="G81" s="96"/>
      <c r="H81" s="96"/>
      <c r="L81" s="22"/>
      <c r="M81" s="23"/>
    </row>
    <row r="82" spans="2:23" x14ac:dyDescent="0.25">
      <c r="B82" s="11" t="s">
        <v>29</v>
      </c>
      <c r="C82" s="6">
        <f t="shared" ref="C82:H82" si="8">SUM(C70:C81)</f>
        <v>22353530</v>
      </c>
      <c r="D82" s="55">
        <f t="shared" si="8"/>
        <v>13390175</v>
      </c>
      <c r="E82" s="55">
        <f t="shared" si="8"/>
        <v>1797661</v>
      </c>
      <c r="F82" s="55">
        <f t="shared" si="8"/>
        <v>6713512</v>
      </c>
      <c r="G82" s="55">
        <f t="shared" si="8"/>
        <v>452182</v>
      </c>
      <c r="H82" s="55">
        <f t="shared" si="8"/>
        <v>0</v>
      </c>
      <c r="L82" s="22"/>
      <c r="M82" s="23"/>
    </row>
    <row r="83" spans="2:23" x14ac:dyDescent="0.25">
      <c r="C83" s="14"/>
      <c r="D83" s="15"/>
      <c r="L83" s="22"/>
      <c r="M83" s="23"/>
    </row>
    <row r="84" spans="2:23" x14ac:dyDescent="0.25">
      <c r="B84" s="29" t="s">
        <v>61</v>
      </c>
      <c r="C84" s="67">
        <f>+C82-C70</f>
        <v>1022639</v>
      </c>
      <c r="D84" s="67">
        <f t="shared" ref="D84:E84" si="9">+D82-D70</f>
        <v>608855</v>
      </c>
      <c r="E84" s="67">
        <f t="shared" si="9"/>
        <v>109382</v>
      </c>
      <c r="F84" s="19">
        <f>+F82-F70</f>
        <v>289992</v>
      </c>
      <c r="G84" s="19">
        <f>+G82-G70</f>
        <v>14410</v>
      </c>
      <c r="H84" s="19">
        <f>+H82-H70</f>
        <v>0</v>
      </c>
      <c r="L84" s="22"/>
      <c r="M84" s="23"/>
    </row>
    <row r="85" spans="2:23" x14ac:dyDescent="0.25">
      <c r="B85" s="56" t="s">
        <v>62</v>
      </c>
      <c r="C85" s="376">
        <f>(C84)/C70</f>
        <v>4.794169169961067E-2</v>
      </c>
      <c r="D85" s="57">
        <f t="shared" ref="D85:H85" si="10">(D84)/D70</f>
        <v>4.7636316123843232E-2</v>
      </c>
      <c r="E85" s="57">
        <f t="shared" si="10"/>
        <v>6.478905441576896E-2</v>
      </c>
      <c r="F85" s="57">
        <f t="shared" si="10"/>
        <v>4.5145340872294319E-2</v>
      </c>
      <c r="G85" s="57">
        <f t="shared" si="10"/>
        <v>3.2916678088137204E-2</v>
      </c>
      <c r="H85" s="57" t="e">
        <f t="shared" si="10"/>
        <v>#DIV/0!</v>
      </c>
      <c r="L85" s="22"/>
      <c r="M85" s="23"/>
    </row>
    <row r="86" spans="2:23" x14ac:dyDescent="0.25">
      <c r="B86" s="215"/>
      <c r="C86" s="62"/>
      <c r="D86" s="15"/>
      <c r="E86" s="15"/>
      <c r="K86" s="23"/>
      <c r="L86" s="23"/>
      <c r="M86" s="14"/>
      <c r="N86" s="24"/>
      <c r="V86" s="22"/>
      <c r="W86" s="23"/>
    </row>
    <row r="87" spans="2:23" x14ac:dyDescent="0.25">
      <c r="B87" s="29" t="s">
        <v>63</v>
      </c>
      <c r="C87" s="67">
        <f>(C82-'5. Vaccine Clinics and Testing'!D23)-('1. Reconciliation'!C70-'5. Vaccine Clinics and Testing'!C23)</f>
        <v>1289497</v>
      </c>
      <c r="D87" s="15"/>
      <c r="E87" s="15"/>
      <c r="O87" s="22"/>
      <c r="P87" s="23"/>
    </row>
    <row r="88" spans="2:23" x14ac:dyDescent="0.25">
      <c r="B88" s="56" t="s">
        <v>64</v>
      </c>
      <c r="C88" s="376">
        <f>(C87)/(C70-'5. Vaccine Clinics and Testing'!C23)</f>
        <v>6.1217953845780625E-2</v>
      </c>
      <c r="D88" s="15"/>
      <c r="E88" s="15"/>
      <c r="O88" s="22"/>
      <c r="P88" s="23"/>
    </row>
    <row r="89" spans="2:23" x14ac:dyDescent="0.25">
      <c r="B89" s="215"/>
      <c r="C89" s="62"/>
      <c r="D89" s="62"/>
      <c r="E89" s="62"/>
      <c r="F89" s="62"/>
      <c r="G89" s="62"/>
      <c r="H89" s="62"/>
      <c r="O89" s="22"/>
      <c r="P89" s="23"/>
    </row>
    <row r="90" spans="2:23" ht="19.899999999999999" customHeight="1" x14ac:dyDescent="0.3">
      <c r="B90" s="101" t="s">
        <v>65</v>
      </c>
      <c r="C90" s="4"/>
      <c r="D90" s="15"/>
      <c r="E90" s="15"/>
      <c r="V90" s="22"/>
      <c r="W90" s="23"/>
    </row>
    <row r="91" spans="2:23" ht="18.75" x14ac:dyDescent="0.3">
      <c r="B91" s="101"/>
      <c r="C91" s="4"/>
      <c r="D91" s="15"/>
      <c r="E91" s="15"/>
      <c r="V91" s="22"/>
      <c r="W91" s="23"/>
    </row>
    <row r="92" spans="2:23" x14ac:dyDescent="0.25">
      <c r="B92" s="103" t="s">
        <v>37</v>
      </c>
      <c r="C92" s="103" t="s">
        <v>38</v>
      </c>
      <c r="D92" s="103" t="s">
        <v>39</v>
      </c>
      <c r="E92" s="63"/>
      <c r="V92" s="22"/>
      <c r="W92" s="23"/>
    </row>
    <row r="93" spans="2:23" x14ac:dyDescent="0.25">
      <c r="B93" s="5" t="s">
        <v>55</v>
      </c>
      <c r="C93" s="92">
        <v>23409263</v>
      </c>
      <c r="D93" s="7"/>
      <c r="E93" s="62"/>
      <c r="V93" s="22"/>
      <c r="W93" s="23"/>
    </row>
    <row r="94" spans="2:23" x14ac:dyDescent="0.25">
      <c r="B94" s="8" t="s">
        <v>41</v>
      </c>
      <c r="C94" s="97"/>
      <c r="D94" s="9">
        <f>+C94/C$37</f>
        <v>0</v>
      </c>
      <c r="E94" s="64"/>
      <c r="V94" s="22"/>
    </row>
    <row r="95" spans="2:23" x14ac:dyDescent="0.25">
      <c r="B95" s="10" t="s">
        <v>42</v>
      </c>
      <c r="C95" s="97">
        <v>319197</v>
      </c>
      <c r="D95" s="9">
        <f t="shared" ref="D95:D107" si="11">+C95/C$37</f>
        <v>1.4257084356861212E-2</v>
      </c>
      <c r="E95" s="64"/>
      <c r="V95" s="22"/>
    </row>
    <row r="96" spans="2:23" x14ac:dyDescent="0.25">
      <c r="B96" s="10" t="s">
        <v>43</v>
      </c>
      <c r="C96" s="97">
        <v>466413</v>
      </c>
      <c r="D96" s="9">
        <f t="shared" si="11"/>
        <v>2.0832556340243513E-2</v>
      </c>
      <c r="E96" s="64"/>
      <c r="V96" s="22"/>
    </row>
    <row r="97" spans="2:22" x14ac:dyDescent="0.25">
      <c r="B97" s="10" t="s">
        <v>44</v>
      </c>
      <c r="C97" s="97">
        <v>106434</v>
      </c>
      <c r="D97" s="9">
        <f t="shared" si="11"/>
        <v>4.7539247437731755E-3</v>
      </c>
      <c r="E97" s="64"/>
      <c r="V97" s="22"/>
    </row>
    <row r="98" spans="2:22" x14ac:dyDescent="0.25">
      <c r="B98" s="10" t="s">
        <v>45</v>
      </c>
      <c r="C98" s="97"/>
      <c r="D98" s="9">
        <f t="shared" si="11"/>
        <v>0</v>
      </c>
      <c r="E98" s="64"/>
      <c r="V98" s="22"/>
    </row>
    <row r="99" spans="2:22" x14ac:dyDescent="0.25">
      <c r="B99" s="10" t="s">
        <v>46</v>
      </c>
      <c r="C99" s="97"/>
      <c r="D99" s="9">
        <f t="shared" si="11"/>
        <v>0</v>
      </c>
      <c r="E99" s="64"/>
      <c r="V99" s="22"/>
    </row>
    <row r="100" spans="2:22" x14ac:dyDescent="0.25">
      <c r="B100" s="10" t="s">
        <v>47</v>
      </c>
      <c r="C100" s="97"/>
      <c r="D100" s="9">
        <f t="shared" si="11"/>
        <v>0</v>
      </c>
      <c r="E100" s="64"/>
    </row>
    <row r="101" spans="2:22" x14ac:dyDescent="0.25">
      <c r="B101" s="10" t="s">
        <v>48</v>
      </c>
      <c r="C101" s="97">
        <f>733091-624168</f>
        <v>108923</v>
      </c>
      <c r="D101" s="9">
        <f t="shared" si="11"/>
        <v>4.8650971011707312E-3</v>
      </c>
      <c r="E101" s="64"/>
    </row>
    <row r="102" spans="2:22" x14ac:dyDescent="0.25">
      <c r="B102" s="10" t="s">
        <v>49</v>
      </c>
      <c r="C102" s="97"/>
      <c r="D102" s="9">
        <f t="shared" si="11"/>
        <v>0</v>
      </c>
      <c r="E102" s="64"/>
    </row>
    <row r="103" spans="2:22" x14ac:dyDescent="0.25">
      <c r="B103" s="91" t="s">
        <v>254</v>
      </c>
      <c r="C103" s="97">
        <v>108655</v>
      </c>
      <c r="D103" s="9">
        <f t="shared" ref="D103:D104" si="12">+C103/C$37</f>
        <v>4.8531267549342724E-3</v>
      </c>
      <c r="E103" s="64"/>
    </row>
    <row r="104" spans="2:22" x14ac:dyDescent="0.25">
      <c r="B104" s="91" t="s">
        <v>28</v>
      </c>
      <c r="C104" s="97"/>
      <c r="D104" s="9">
        <f t="shared" si="12"/>
        <v>0</v>
      </c>
      <c r="E104" s="64"/>
    </row>
    <row r="105" spans="2:22" x14ac:dyDescent="0.25">
      <c r="B105" s="91" t="s">
        <v>28</v>
      </c>
      <c r="C105" s="97"/>
      <c r="D105" s="9">
        <f t="shared" si="11"/>
        <v>0</v>
      </c>
      <c r="E105" s="64"/>
    </row>
    <row r="106" spans="2:22" x14ac:dyDescent="0.25">
      <c r="B106" s="91" t="s">
        <v>28</v>
      </c>
      <c r="C106" s="97"/>
      <c r="D106" s="9">
        <f t="shared" ref="D106" si="13">+C106/C$37</f>
        <v>0</v>
      </c>
      <c r="E106" s="64"/>
    </row>
    <row r="107" spans="2:22" x14ac:dyDescent="0.25">
      <c r="B107" s="91" t="s">
        <v>50</v>
      </c>
      <c r="C107" s="97"/>
      <c r="D107" s="9">
        <f t="shared" si="11"/>
        <v>0</v>
      </c>
      <c r="E107" s="64"/>
    </row>
    <row r="108" spans="2:22" x14ac:dyDescent="0.25">
      <c r="B108" s="11" t="s">
        <v>29</v>
      </c>
      <c r="C108" s="12">
        <f>SUM(C93:C107)</f>
        <v>24518885</v>
      </c>
      <c r="D108" s="13">
        <f>SUM(D94:D107)</f>
        <v>4.9561789296982905E-2</v>
      </c>
      <c r="E108" s="64"/>
    </row>
    <row r="109" spans="2:22" x14ac:dyDescent="0.25">
      <c r="E109" s="59"/>
    </row>
    <row r="110" spans="2:22" x14ac:dyDescent="0.25">
      <c r="B110" s="29" t="s">
        <v>61</v>
      </c>
      <c r="C110" s="67">
        <f>+C108-C93</f>
        <v>1109622</v>
      </c>
      <c r="E110" s="59"/>
    </row>
    <row r="111" spans="2:22" x14ac:dyDescent="0.25">
      <c r="B111" s="56" t="s">
        <v>62</v>
      </c>
      <c r="C111" s="57">
        <f>(C110)/C93</f>
        <v>4.7400979689108537E-2</v>
      </c>
      <c r="E111" s="59"/>
    </row>
    <row r="112" spans="2:22" x14ac:dyDescent="0.25">
      <c r="B112" s="215"/>
      <c r="C112" s="62"/>
      <c r="D112" s="62"/>
      <c r="E112" s="62"/>
      <c r="F112" s="62"/>
      <c r="G112" s="62"/>
      <c r="H112" s="62"/>
      <c r="O112" s="22"/>
      <c r="P112" s="23"/>
    </row>
    <row r="113" spans="2:23" x14ac:dyDescent="0.25">
      <c r="B113" s="29" t="s">
        <v>63</v>
      </c>
      <c r="C113" s="67">
        <f>(C108-'5. Vaccine Clinics and Testing'!D36)-('1. Reconciliation'!C93-'5. Vaccine Clinics and Testing'!C36)</f>
        <v>1275051</v>
      </c>
      <c r="D113" s="62"/>
      <c r="E113" s="62"/>
      <c r="F113" s="62"/>
      <c r="G113" s="62"/>
      <c r="H113" s="62"/>
      <c r="O113" s="22"/>
      <c r="P113" s="23"/>
    </row>
    <row r="114" spans="2:23" x14ac:dyDescent="0.25">
      <c r="B114" s="56" t="s">
        <v>64</v>
      </c>
      <c r="C114" s="57">
        <f>(C113)/(C93-'5. Vaccine Clinics and Testing'!C36)</f>
        <v>5.4855451127382861E-2</v>
      </c>
      <c r="D114" s="15"/>
      <c r="E114" s="15"/>
      <c r="K114" s="23"/>
      <c r="L114" s="23"/>
      <c r="M114" s="14"/>
      <c r="N114" s="24"/>
      <c r="V114" s="22"/>
      <c r="W114" s="23"/>
    </row>
  </sheetData>
  <mergeCells count="7">
    <mergeCell ref="A71:A74"/>
    <mergeCell ref="B2:O2"/>
    <mergeCell ref="B3:O3"/>
    <mergeCell ref="B6:O6"/>
    <mergeCell ref="B4:O4"/>
    <mergeCell ref="B64:O64"/>
    <mergeCell ref="A12:A19"/>
  </mergeCells>
  <pageMargins left="0.7" right="0.7" top="0.5" bottom="0.5" header="0.3" footer="0.3"/>
  <pageSetup scale="48" fitToHeight="4" orientation="landscape" r:id="rId1"/>
  <headerFooter>
    <oddFooter>&amp;L&amp;D&amp;R&amp;F,&amp;A</oddFooter>
  </headerFooter>
  <rowBreaks count="1" manualBreakCount="1">
    <brk id="63"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7D58-C467-4A18-BF72-48A69D1CD3C0}">
  <sheetPr>
    <tabColor theme="7"/>
    <pageSetUpPr fitToPage="1"/>
  </sheetPr>
  <dimension ref="B2:K67"/>
  <sheetViews>
    <sheetView showGridLines="0" topLeftCell="A7" zoomScale="90" zoomScaleNormal="90" workbookViewId="0">
      <selection activeCell="D25" sqref="D25"/>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5" customWidth="1"/>
    <col min="9" max="11" width="17.7109375" style="1" customWidth="1"/>
    <col min="12" max="16384" width="8.85546875" style="1"/>
  </cols>
  <sheetData>
    <row r="2" spans="2:9" x14ac:dyDescent="0.25">
      <c r="B2" s="299" t="s">
        <v>66</v>
      </c>
      <c r="C2" s="299"/>
      <c r="D2" s="299"/>
      <c r="E2" s="299"/>
      <c r="F2" s="299"/>
      <c r="G2" s="299"/>
      <c r="H2" s="299"/>
      <c r="I2" s="299"/>
    </row>
    <row r="3" spans="2:9" ht="18.75" x14ac:dyDescent="0.3">
      <c r="B3" s="311" t="s">
        <v>13</v>
      </c>
      <c r="C3" s="312"/>
      <c r="D3" s="312"/>
      <c r="E3" s="312"/>
      <c r="F3" s="312"/>
      <c r="G3" s="312"/>
      <c r="H3" s="312"/>
      <c r="I3" s="313"/>
    </row>
    <row r="4" spans="2:9" ht="18.75" x14ac:dyDescent="0.3">
      <c r="B4" s="314" t="s">
        <v>67</v>
      </c>
      <c r="C4" s="315"/>
      <c r="D4" s="315"/>
      <c r="E4" s="315"/>
      <c r="F4" s="315"/>
      <c r="G4" s="315"/>
      <c r="H4" s="315"/>
      <c r="I4" s="316"/>
    </row>
    <row r="5" spans="2:9" ht="34.9" customHeight="1" x14ac:dyDescent="0.25">
      <c r="B5" s="310" t="s">
        <v>68</v>
      </c>
      <c r="C5" s="310"/>
      <c r="D5" s="310"/>
      <c r="E5" s="310"/>
      <c r="F5" s="310"/>
      <c r="G5" s="310"/>
      <c r="H5" s="220"/>
    </row>
    <row r="6" spans="2:9" x14ac:dyDescent="0.25">
      <c r="B6" s="221"/>
      <c r="C6" s="221"/>
      <c r="D6" s="221"/>
      <c r="E6" s="221"/>
      <c r="F6" s="221"/>
      <c r="G6" s="221"/>
      <c r="H6" s="220"/>
    </row>
    <row r="7" spans="2:9" ht="29.45" customHeight="1" x14ac:dyDescent="0.25">
      <c r="B7" s="319" t="s">
        <v>69</v>
      </c>
      <c r="C7" s="320"/>
      <c r="D7" s="321"/>
      <c r="H7" s="1"/>
    </row>
    <row r="8" spans="2:9" ht="15" customHeight="1" x14ac:dyDescent="0.25">
      <c r="B8" s="322" t="s">
        <v>70</v>
      </c>
      <c r="C8" s="323"/>
      <c r="D8" s="324"/>
      <c r="H8" s="1"/>
    </row>
    <row r="9" spans="2:9" ht="42.75" customHeight="1" x14ac:dyDescent="0.25">
      <c r="B9" s="3" t="s">
        <v>71</v>
      </c>
      <c r="C9" s="49" t="s">
        <v>72</v>
      </c>
      <c r="D9" s="49" t="s">
        <v>73</v>
      </c>
      <c r="H9" s="1"/>
    </row>
    <row r="10" spans="2:9" x14ac:dyDescent="0.25">
      <c r="B10" s="3"/>
      <c r="C10" s="3"/>
      <c r="D10" s="49"/>
      <c r="H10" s="1"/>
    </row>
    <row r="11" spans="2:9" x14ac:dyDescent="0.25">
      <c r="B11" s="3" t="s">
        <v>74</v>
      </c>
      <c r="C11" s="242">
        <v>453045</v>
      </c>
      <c r="D11" s="50">
        <v>0.05</v>
      </c>
      <c r="H11" s="1"/>
    </row>
    <row r="12" spans="2:9" x14ac:dyDescent="0.25">
      <c r="B12" s="3" t="s">
        <v>75</v>
      </c>
      <c r="C12" s="242">
        <v>708541</v>
      </c>
      <c r="D12" s="50">
        <v>0.05</v>
      </c>
      <c r="H12" s="1"/>
    </row>
    <row r="13" spans="2:9" x14ac:dyDescent="0.25">
      <c r="B13" s="3" t="s">
        <v>76</v>
      </c>
      <c r="C13" s="242">
        <v>40132</v>
      </c>
      <c r="D13" s="50">
        <v>0.05</v>
      </c>
      <c r="H13" s="1"/>
    </row>
    <row r="14" spans="2:9" x14ac:dyDescent="0.25">
      <c r="B14" s="3" t="s">
        <v>28</v>
      </c>
      <c r="C14" s="242">
        <v>0</v>
      </c>
      <c r="D14" s="50">
        <v>0</v>
      </c>
      <c r="H14" s="1"/>
    </row>
    <row r="15" spans="2:9" ht="30" x14ac:dyDescent="0.25">
      <c r="B15" s="61" t="s">
        <v>77</v>
      </c>
      <c r="C15" s="243">
        <f>SUM(C11:C14)</f>
        <v>1201718</v>
      </c>
      <c r="D15" s="222">
        <v>0.05</v>
      </c>
      <c r="H15" s="1"/>
    </row>
    <row r="16" spans="2:9" s="65" customFormat="1" x14ac:dyDescent="0.25">
      <c r="B16" s="223"/>
      <c r="C16" s="66"/>
      <c r="D16" s="66"/>
      <c r="E16" s="66"/>
      <c r="F16" s="66"/>
      <c r="G16" s="66"/>
      <c r="H16" s="66"/>
    </row>
    <row r="17" spans="2:11" ht="45" customHeight="1" x14ac:dyDescent="0.25">
      <c r="B17" s="319" t="s">
        <v>247</v>
      </c>
      <c r="C17" s="320"/>
      <c r="D17" s="320"/>
      <c r="E17" s="320"/>
      <c r="F17" s="320"/>
      <c r="G17" s="320"/>
      <c r="H17" s="320"/>
      <c r="I17" s="320"/>
      <c r="J17" s="321"/>
    </row>
    <row r="18" spans="2:11" ht="15" customHeight="1" x14ac:dyDescent="0.25">
      <c r="B18" s="322" t="s">
        <v>228</v>
      </c>
      <c r="C18" s="323"/>
      <c r="D18" s="323"/>
      <c r="E18" s="323"/>
      <c r="F18" s="323"/>
      <c r="G18" s="323"/>
      <c r="H18" s="323"/>
      <c r="I18" s="323"/>
      <c r="J18" s="324"/>
    </row>
    <row r="19" spans="2:11" ht="42.75" customHeight="1" x14ac:dyDescent="0.25">
      <c r="B19" s="3" t="s">
        <v>71</v>
      </c>
      <c r="C19" s="49" t="s">
        <v>222</v>
      </c>
      <c r="D19" s="49" t="s">
        <v>78</v>
      </c>
      <c r="E19" s="49" t="s">
        <v>223</v>
      </c>
      <c r="F19" s="330" t="s">
        <v>224</v>
      </c>
      <c r="G19" s="331"/>
      <c r="H19" s="224" t="s">
        <v>225</v>
      </c>
      <c r="I19" s="224" t="s">
        <v>226</v>
      </c>
      <c r="J19" s="224" t="s">
        <v>227</v>
      </c>
    </row>
    <row r="20" spans="2:11" x14ac:dyDescent="0.25">
      <c r="B20" s="3"/>
      <c r="C20" s="49"/>
      <c r="D20" s="225"/>
      <c r="E20" s="49"/>
      <c r="F20" s="49" t="s">
        <v>79</v>
      </c>
      <c r="G20" s="49" t="s">
        <v>80</v>
      </c>
      <c r="H20" s="49"/>
      <c r="I20" s="49"/>
      <c r="J20" s="49"/>
    </row>
    <row r="21" spans="2:11" x14ac:dyDescent="0.25">
      <c r="B21" s="3" t="s">
        <v>74</v>
      </c>
      <c r="C21" s="226">
        <f>2086927+7605992</f>
        <v>9692919</v>
      </c>
      <c r="D21" s="227">
        <f>(E21/C21)-1</f>
        <v>-2.0107668288572356E-2</v>
      </c>
      <c r="E21" s="85">
        <f t="shared" ref="E21:E24" si="0">SUM(F21:J21)</f>
        <v>9498017</v>
      </c>
      <c r="F21" s="85">
        <f>567094+816113+34534</f>
        <v>1417741</v>
      </c>
      <c r="G21" s="85">
        <v>0</v>
      </c>
      <c r="H21" s="85">
        <v>47714</v>
      </c>
      <c r="I21" s="85">
        <f>272656+238074</f>
        <v>510730</v>
      </c>
      <c r="J21" s="85">
        <f>683793+6838039</f>
        <v>7521832</v>
      </c>
    </row>
    <row r="22" spans="2:11" x14ac:dyDescent="0.25">
      <c r="B22" s="3" t="s">
        <v>75</v>
      </c>
      <c r="C22" s="226">
        <v>18558317</v>
      </c>
      <c r="D22" s="227">
        <f t="shared" ref="D22:D23" si="1">(E22/C22)-1</f>
        <v>4.6943480920171865E-2</v>
      </c>
      <c r="E22" s="85">
        <f t="shared" si="0"/>
        <v>19429509</v>
      </c>
      <c r="F22" s="85">
        <f>8209385+238067</f>
        <v>8447452</v>
      </c>
      <c r="G22" s="85">
        <v>0</v>
      </c>
      <c r="H22" s="85">
        <v>316948</v>
      </c>
      <c r="I22" s="85">
        <v>3170357</v>
      </c>
      <c r="J22" s="85">
        <v>7494752</v>
      </c>
      <c r="K22" s="119"/>
    </row>
    <row r="23" spans="2:11" x14ac:dyDescent="0.25">
      <c r="B23" s="3" t="s">
        <v>76</v>
      </c>
      <c r="C23" s="226">
        <v>5209711</v>
      </c>
      <c r="D23" s="227">
        <f t="shared" si="1"/>
        <v>4.8433396785349414E-2</v>
      </c>
      <c r="E23" s="85">
        <f t="shared" si="0"/>
        <v>5462035</v>
      </c>
      <c r="F23" s="85">
        <f>2243629+15596</f>
        <v>2259225</v>
      </c>
      <c r="G23" s="85">
        <v>0</v>
      </c>
      <c r="H23" s="85">
        <v>87520</v>
      </c>
      <c r="I23" s="85">
        <v>1234394</v>
      </c>
      <c r="J23" s="85">
        <v>1880896</v>
      </c>
    </row>
    <row r="24" spans="2:11" x14ac:dyDescent="0.25">
      <c r="B24" s="3" t="s">
        <v>28</v>
      </c>
      <c r="C24" s="226">
        <v>0</v>
      </c>
      <c r="D24" s="227"/>
      <c r="E24" s="85">
        <f t="shared" si="0"/>
        <v>0</v>
      </c>
      <c r="F24" s="85"/>
      <c r="G24" s="85"/>
      <c r="H24" s="85"/>
      <c r="I24" s="85"/>
      <c r="J24" s="85"/>
    </row>
    <row r="25" spans="2:11" ht="30" x14ac:dyDescent="0.25">
      <c r="B25" s="61" t="s">
        <v>237</v>
      </c>
      <c r="C25" s="228">
        <f>SUM(C21:C24)</f>
        <v>33460947</v>
      </c>
      <c r="D25" s="227">
        <f>(E25/C25)-1</f>
        <v>2.7752173302208138E-2</v>
      </c>
      <c r="E25" s="228">
        <f t="shared" ref="E25:J25" si="2">SUM(E21:E24)</f>
        <v>34389561</v>
      </c>
      <c r="F25" s="86">
        <f t="shared" si="2"/>
        <v>12124418</v>
      </c>
      <c r="G25" s="86">
        <f t="shared" si="2"/>
        <v>0</v>
      </c>
      <c r="H25" s="86">
        <f t="shared" si="2"/>
        <v>452182</v>
      </c>
      <c r="I25" s="86">
        <f t="shared" si="2"/>
        <v>4915481</v>
      </c>
      <c r="J25" s="86">
        <f t="shared" si="2"/>
        <v>16897480</v>
      </c>
    </row>
    <row r="26" spans="2:11" s="65" customFormat="1" x14ac:dyDescent="0.25">
      <c r="B26" s="223"/>
      <c r="C26" s="66" t="s">
        <v>244</v>
      </c>
      <c r="D26" s="66"/>
      <c r="E26" s="66" t="s">
        <v>244</v>
      </c>
      <c r="F26" s="66"/>
      <c r="G26" s="66"/>
      <c r="H26" s="66"/>
    </row>
    <row r="27" spans="2:11" s="65" customFormat="1" x14ac:dyDescent="0.25">
      <c r="B27" s="223"/>
      <c r="C27" s="66"/>
      <c r="D27" s="66"/>
      <c r="E27" s="66"/>
      <c r="F27" s="66"/>
      <c r="G27" s="66"/>
      <c r="H27" s="66"/>
    </row>
    <row r="28" spans="2:11" s="65" customFormat="1" ht="23.45" customHeight="1" x14ac:dyDescent="0.25">
      <c r="B28" s="319" t="s">
        <v>81</v>
      </c>
      <c r="C28" s="320"/>
      <c r="D28" s="320"/>
      <c r="E28" s="320"/>
      <c r="F28" s="320"/>
      <c r="G28" s="320"/>
      <c r="H28" s="320"/>
      <c r="I28" s="320"/>
      <c r="J28" s="321"/>
    </row>
    <row r="29" spans="2:11" x14ac:dyDescent="0.25">
      <c r="B29" s="322" t="s">
        <v>220</v>
      </c>
      <c r="C29" s="323"/>
      <c r="D29" s="323"/>
      <c r="E29" s="323"/>
      <c r="F29" s="323"/>
      <c r="G29" s="323"/>
      <c r="H29" s="323"/>
      <c r="I29" s="323"/>
      <c r="J29" s="324"/>
    </row>
    <row r="30" spans="2:11" ht="42.75" customHeight="1" x14ac:dyDescent="0.25">
      <c r="B30" s="3" t="s">
        <v>82</v>
      </c>
      <c r="C30" s="3" t="s">
        <v>83</v>
      </c>
      <c r="D30" s="49" t="s">
        <v>84</v>
      </c>
      <c r="E30" s="49" t="s">
        <v>85</v>
      </c>
      <c r="F30" s="325" t="s">
        <v>229</v>
      </c>
      <c r="G30" s="326"/>
      <c r="H30" s="49" t="s">
        <v>230</v>
      </c>
      <c r="I30" s="49" t="s">
        <v>231</v>
      </c>
      <c r="J30" s="49" t="s">
        <v>232</v>
      </c>
    </row>
    <row r="31" spans="2:11" ht="15.75" customHeight="1" x14ac:dyDescent="0.25">
      <c r="B31" s="3"/>
      <c r="C31" s="3"/>
      <c r="D31" s="3"/>
      <c r="E31" s="49"/>
      <c r="F31" s="49" t="s">
        <v>79</v>
      </c>
      <c r="G31" s="49" t="s">
        <v>80</v>
      </c>
      <c r="H31" s="49"/>
      <c r="I31" s="49"/>
      <c r="J31" s="49"/>
    </row>
    <row r="32" spans="2:11" x14ac:dyDescent="0.25">
      <c r="B32" s="3" t="s">
        <v>74</v>
      </c>
      <c r="C32" s="226">
        <f>998593+6950339</f>
        <v>7948932</v>
      </c>
      <c r="D32" s="226">
        <f>E32-C32</f>
        <v>2031694</v>
      </c>
      <c r="E32" s="229">
        <f>SUM(F32:J32)</f>
        <v>9980626</v>
      </c>
      <c r="F32" s="229">
        <f>409621+667988</f>
        <v>1077609</v>
      </c>
      <c r="G32" s="229">
        <v>0</v>
      </c>
      <c r="H32" s="229">
        <v>47714</v>
      </c>
      <c r="I32" s="229">
        <f>163375+40889</f>
        <v>204264</v>
      </c>
      <c r="J32" s="229">
        <f>534164+8116875</f>
        <v>8651039</v>
      </c>
    </row>
    <row r="33" spans="2:10" x14ac:dyDescent="0.25">
      <c r="B33" s="3" t="s">
        <v>75</v>
      </c>
      <c r="C33" s="226">
        <f>10033648-746784-283775-2</f>
        <v>9003087</v>
      </c>
      <c r="D33" s="226">
        <f t="shared" ref="D33:D34" si="3">E33-C33</f>
        <v>-528124</v>
      </c>
      <c r="E33" s="229">
        <f t="shared" ref="E33:E35" si="4">SUM(F33:J33)</f>
        <v>8474963</v>
      </c>
      <c r="F33" s="229">
        <f>5502935-318693-650664+2</f>
        <v>4533580</v>
      </c>
      <c r="G33" s="229">
        <v>0</v>
      </c>
      <c r="H33" s="229">
        <v>316948</v>
      </c>
      <c r="I33" s="229">
        <v>797452</v>
      </c>
      <c r="J33" s="229">
        <f>2826983</f>
        <v>2826983</v>
      </c>
    </row>
    <row r="34" spans="2:10" x14ac:dyDescent="0.25">
      <c r="B34" s="3" t="s">
        <v>76</v>
      </c>
      <c r="C34" s="226">
        <v>3714676</v>
      </c>
      <c r="D34" s="226">
        <f t="shared" si="3"/>
        <v>183265</v>
      </c>
      <c r="E34" s="229">
        <f t="shared" si="4"/>
        <v>3897941</v>
      </c>
      <c r="F34" s="229">
        <v>1102324</v>
      </c>
      <c r="G34" s="229">
        <v>0</v>
      </c>
      <c r="H34" s="229">
        <v>87520</v>
      </c>
      <c r="I34" s="229">
        <v>795944</v>
      </c>
      <c r="J34" s="229">
        <f>1912153</f>
        <v>1912153</v>
      </c>
    </row>
    <row r="35" spans="2:10" x14ac:dyDescent="0.25">
      <c r="B35" s="3" t="s">
        <v>28</v>
      </c>
      <c r="C35" s="226">
        <v>0</v>
      </c>
      <c r="D35" s="226">
        <v>0</v>
      </c>
      <c r="E35" s="229">
        <f t="shared" si="4"/>
        <v>0</v>
      </c>
      <c r="F35" s="229">
        <v>0</v>
      </c>
      <c r="G35" s="229">
        <v>0</v>
      </c>
      <c r="H35" s="229">
        <v>0</v>
      </c>
      <c r="I35" s="229">
        <v>0</v>
      </c>
      <c r="J35" s="229">
        <v>0</v>
      </c>
    </row>
    <row r="36" spans="2:10" x14ac:dyDescent="0.25">
      <c r="B36" s="3"/>
      <c r="C36" s="3"/>
      <c r="D36" s="3"/>
      <c r="E36" s="229"/>
      <c r="F36" s="229"/>
      <c r="G36" s="229"/>
      <c r="H36" s="229"/>
      <c r="I36" s="229"/>
      <c r="J36" s="229"/>
    </row>
    <row r="37" spans="2:10" x14ac:dyDescent="0.25">
      <c r="B37" s="3"/>
      <c r="C37" s="3"/>
      <c r="D37" s="3"/>
      <c r="E37" s="229"/>
      <c r="F37" s="229"/>
      <c r="G37" s="229"/>
      <c r="H37" s="229"/>
      <c r="I37" s="229"/>
      <c r="J37" s="229"/>
    </row>
    <row r="38" spans="2:10" x14ac:dyDescent="0.25">
      <c r="B38" s="3"/>
      <c r="C38" s="3"/>
      <c r="D38" s="3"/>
      <c r="E38" s="229"/>
      <c r="F38" s="229"/>
      <c r="G38" s="229"/>
      <c r="H38" s="229"/>
      <c r="I38" s="229"/>
      <c r="J38" s="229"/>
    </row>
    <row r="39" spans="2:10" x14ac:dyDescent="0.25">
      <c r="B39" s="61" t="s">
        <v>236</v>
      </c>
      <c r="C39" s="230">
        <f>SUM(C32:C38)</f>
        <v>20666695</v>
      </c>
      <c r="D39" s="230">
        <f>SUM(D32:D38)</f>
        <v>1686835</v>
      </c>
      <c r="E39" s="230">
        <f t="shared" ref="E39:J39" si="5">SUM(E32:E38)</f>
        <v>22353530</v>
      </c>
      <c r="F39" s="230">
        <f t="shared" si="5"/>
        <v>6713513</v>
      </c>
      <c r="G39" s="230">
        <f t="shared" si="5"/>
        <v>0</v>
      </c>
      <c r="H39" s="230">
        <f t="shared" si="5"/>
        <v>452182</v>
      </c>
      <c r="I39" s="230">
        <f t="shared" si="5"/>
        <v>1797660</v>
      </c>
      <c r="J39" s="230">
        <f t="shared" si="5"/>
        <v>13390175</v>
      </c>
    </row>
    <row r="40" spans="2:10" s="65" customFormat="1" x14ac:dyDescent="0.25">
      <c r="C40" s="66"/>
      <c r="D40" s="66"/>
      <c r="E40" s="66"/>
      <c r="F40" s="231"/>
      <c r="G40" s="231"/>
      <c r="H40" s="231"/>
    </row>
    <row r="41" spans="2:10" s="65" customFormat="1" x14ac:dyDescent="0.25">
      <c r="C41" s="66"/>
      <c r="D41" s="66"/>
      <c r="E41" s="66"/>
      <c r="F41" s="231"/>
      <c r="G41" s="231"/>
      <c r="H41" s="231"/>
    </row>
    <row r="42" spans="2:10" s="65" customFormat="1" x14ac:dyDescent="0.25">
      <c r="B42" s="322" t="s">
        <v>221</v>
      </c>
      <c r="C42" s="323"/>
      <c r="D42" s="323"/>
      <c r="E42" s="323"/>
      <c r="F42" s="323"/>
      <c r="G42" s="323"/>
      <c r="H42" s="324"/>
    </row>
    <row r="43" spans="2:10" s="65" customFormat="1" ht="42.6" customHeight="1" x14ac:dyDescent="0.25">
      <c r="B43" s="3" t="s">
        <v>82</v>
      </c>
      <c r="C43" s="3" t="s">
        <v>86</v>
      </c>
      <c r="D43" s="49" t="s">
        <v>84</v>
      </c>
      <c r="E43" s="49" t="s">
        <v>87</v>
      </c>
      <c r="F43" s="261" t="s">
        <v>242</v>
      </c>
      <c r="G43" s="49" t="s">
        <v>233</v>
      </c>
      <c r="H43" s="49" t="s">
        <v>234</v>
      </c>
    </row>
    <row r="44" spans="2:10" s="65" customFormat="1" x14ac:dyDescent="0.25">
      <c r="B44" s="3" t="s">
        <v>74</v>
      </c>
      <c r="C44" s="226">
        <v>0</v>
      </c>
      <c r="D44" s="226">
        <v>0</v>
      </c>
      <c r="E44" s="229">
        <f>SUM(F44:H44)</f>
        <v>0</v>
      </c>
      <c r="F44" s="229">
        <v>0</v>
      </c>
      <c r="G44" s="229">
        <v>0</v>
      </c>
      <c r="H44" s="229">
        <v>0</v>
      </c>
    </row>
    <row r="45" spans="2:10" s="65" customFormat="1" x14ac:dyDescent="0.25">
      <c r="B45" s="3" t="s">
        <v>75</v>
      </c>
      <c r="C45" s="226">
        <v>0</v>
      </c>
      <c r="D45" s="226">
        <v>0</v>
      </c>
      <c r="E45" s="229">
        <f t="shared" ref="E45:E48" si="6">SUM(F45:H45)</f>
        <v>0</v>
      </c>
      <c r="F45" s="229">
        <v>0</v>
      </c>
      <c r="G45" s="229">
        <v>0</v>
      </c>
      <c r="H45" s="229">
        <v>0</v>
      </c>
    </row>
    <row r="46" spans="2:10" s="65" customFormat="1" x14ac:dyDescent="0.25">
      <c r="B46" s="3" t="s">
        <v>76</v>
      </c>
      <c r="C46" s="226">
        <v>0</v>
      </c>
      <c r="D46" s="226">
        <v>0</v>
      </c>
      <c r="E46" s="229">
        <f t="shared" si="6"/>
        <v>0</v>
      </c>
      <c r="F46" s="229">
        <v>0</v>
      </c>
      <c r="G46" s="229">
        <v>0</v>
      </c>
      <c r="H46" s="229">
        <v>0</v>
      </c>
    </row>
    <row r="47" spans="2:10" s="65" customFormat="1" x14ac:dyDescent="0.25">
      <c r="B47" s="3" t="s">
        <v>88</v>
      </c>
      <c r="C47" s="226">
        <v>0</v>
      </c>
      <c r="D47" s="226">
        <v>0</v>
      </c>
      <c r="E47" s="229">
        <f t="shared" si="6"/>
        <v>0</v>
      </c>
      <c r="F47" s="229">
        <v>0</v>
      </c>
      <c r="G47" s="229">
        <v>0</v>
      </c>
      <c r="H47" s="229">
        <v>0</v>
      </c>
    </row>
    <row r="48" spans="2:10" s="65" customFormat="1" x14ac:dyDescent="0.25">
      <c r="B48" s="3" t="s">
        <v>89</v>
      </c>
      <c r="C48" s="226">
        <v>0</v>
      </c>
      <c r="D48" s="226">
        <v>0</v>
      </c>
      <c r="E48" s="229">
        <f t="shared" si="6"/>
        <v>0</v>
      </c>
      <c r="F48" s="229">
        <v>0</v>
      </c>
      <c r="G48" s="229">
        <v>0</v>
      </c>
      <c r="H48" s="229">
        <v>0</v>
      </c>
    </row>
    <row r="49" spans="2:10" s="65" customFormat="1" x14ac:dyDescent="0.25">
      <c r="B49" s="61" t="s">
        <v>235</v>
      </c>
      <c r="C49" s="230">
        <f>SUM(C44:C48)</f>
        <v>0</v>
      </c>
      <c r="D49" s="230">
        <f>SUM(D44:D48)</f>
        <v>0</v>
      </c>
      <c r="E49" s="230">
        <f>SUM(E44:E48)</f>
        <v>0</v>
      </c>
      <c r="F49" s="230">
        <f t="shared" ref="F49:H49" si="7">SUM(F44:F48)</f>
        <v>0</v>
      </c>
      <c r="G49" s="230">
        <f t="shared" si="7"/>
        <v>0</v>
      </c>
      <c r="H49" s="230">
        <f t="shared" si="7"/>
        <v>0</v>
      </c>
    </row>
    <row r="50" spans="2:10" s="65" customFormat="1" x14ac:dyDescent="0.25">
      <c r="C50" s="66"/>
      <c r="D50" s="66"/>
      <c r="E50" s="66"/>
      <c r="F50" s="65" t="s">
        <v>243</v>
      </c>
      <c r="G50" s="231"/>
      <c r="H50" s="231"/>
    </row>
    <row r="51" spans="2:10" s="65" customFormat="1" ht="15.75" thickBot="1" x14ac:dyDescent="0.3">
      <c r="B51" s="220"/>
      <c r="C51" s="231"/>
      <c r="D51" s="231"/>
      <c r="E51" s="231"/>
      <c r="F51" s="231"/>
      <c r="G51" s="231"/>
      <c r="H51" s="231"/>
    </row>
    <row r="52" spans="2:10" s="65" customFormat="1" ht="30" x14ac:dyDescent="0.25">
      <c r="B52" s="232"/>
      <c r="C52" s="233" t="s">
        <v>90</v>
      </c>
      <c r="D52" s="233" t="s">
        <v>84</v>
      </c>
      <c r="E52" s="233" t="s">
        <v>78</v>
      </c>
      <c r="F52" s="234" t="s">
        <v>91</v>
      </c>
      <c r="G52" s="231"/>
      <c r="H52" s="231"/>
      <c r="I52" s="231"/>
    </row>
    <row r="53" spans="2:10" s="65" customFormat="1" x14ac:dyDescent="0.25">
      <c r="B53" s="245" t="s">
        <v>92</v>
      </c>
      <c r="C53" s="244">
        <f>C39+C49</f>
        <v>20666695</v>
      </c>
      <c r="D53" s="244">
        <f>D39+D49</f>
        <v>1686835</v>
      </c>
      <c r="E53" s="244">
        <f>D53/C53</f>
        <v>8.1620936487425785E-2</v>
      </c>
      <c r="F53" s="246">
        <f>E39+E49</f>
        <v>22353530</v>
      </c>
      <c r="G53" s="231"/>
      <c r="H53" s="231"/>
      <c r="I53" s="231"/>
    </row>
    <row r="54" spans="2:10" s="65" customFormat="1" x14ac:dyDescent="0.25">
      <c r="B54" s="245" t="s">
        <v>93</v>
      </c>
      <c r="C54" s="247">
        <f>'1. Reconciliation'!C11</f>
        <v>20666695</v>
      </c>
      <c r="D54" s="247">
        <f>'1. Reconciliation'!C25</f>
        <v>1686835</v>
      </c>
      <c r="E54" s="248">
        <f>'1. Reconciliation'!C26</f>
        <v>8.1620936487425785E-2</v>
      </c>
      <c r="F54" s="249">
        <f>'1. Reconciliation'!C23</f>
        <v>22353530</v>
      </c>
      <c r="G54" s="231"/>
      <c r="H54" s="231"/>
      <c r="I54" s="231"/>
    </row>
    <row r="55" spans="2:10" s="65" customFormat="1" ht="18" customHeight="1" thickBot="1" x14ac:dyDescent="0.3">
      <c r="B55" s="250" t="s">
        <v>94</v>
      </c>
      <c r="C55" s="251">
        <f>C53-C54</f>
        <v>0</v>
      </c>
      <c r="D55" s="251">
        <f t="shared" ref="D55:F55" si="8">D53-D54</f>
        <v>0</v>
      </c>
      <c r="E55" s="251">
        <f t="shared" si="8"/>
        <v>0</v>
      </c>
      <c r="F55" s="252">
        <f t="shared" si="8"/>
        <v>0</v>
      </c>
      <c r="G55" s="231"/>
      <c r="H55" s="231"/>
      <c r="I55" s="231"/>
    </row>
    <row r="56" spans="2:10" s="65" customFormat="1" x14ac:dyDescent="0.25">
      <c r="G56" s="231"/>
      <c r="H56" s="231"/>
      <c r="I56" s="231"/>
      <c r="J56" s="1"/>
    </row>
    <row r="57" spans="2:10" x14ac:dyDescent="0.25">
      <c r="B57" s="235"/>
      <c r="C57" s="236"/>
      <c r="D57" s="237"/>
      <c r="E57" s="238"/>
      <c r="F57" s="238"/>
      <c r="G57" s="238"/>
      <c r="H57" s="239"/>
    </row>
    <row r="58" spans="2:10" x14ac:dyDescent="0.25">
      <c r="B58" s="327" t="s">
        <v>95</v>
      </c>
      <c r="C58" s="328"/>
      <c r="D58" s="328"/>
      <c r="E58" s="328"/>
      <c r="F58" s="328"/>
      <c r="G58" s="329"/>
      <c r="H58" s="239"/>
    </row>
    <row r="59" spans="2:10" x14ac:dyDescent="0.25">
      <c r="B59" s="322" t="s">
        <v>96</v>
      </c>
      <c r="C59" s="323"/>
      <c r="D59" s="323"/>
      <c r="E59" s="323"/>
      <c r="F59" s="323"/>
      <c r="G59" s="324"/>
      <c r="H59" s="240"/>
    </row>
    <row r="60" spans="2:10" x14ac:dyDescent="0.25">
      <c r="B60" s="317">
        <v>212891</v>
      </c>
      <c r="C60" s="318"/>
      <c r="D60" s="318"/>
      <c r="E60" s="318"/>
      <c r="F60" s="318"/>
      <c r="G60" s="318"/>
    </row>
    <row r="61" spans="2:10" x14ac:dyDescent="0.25">
      <c r="B61" s="318"/>
      <c r="C61" s="318"/>
      <c r="D61" s="318"/>
      <c r="E61" s="318"/>
      <c r="F61" s="318"/>
      <c r="G61" s="318"/>
    </row>
    <row r="62" spans="2:10" x14ac:dyDescent="0.25">
      <c r="B62" s="318"/>
      <c r="C62" s="318"/>
      <c r="D62" s="318"/>
      <c r="E62" s="318"/>
      <c r="F62" s="318"/>
      <c r="G62" s="318"/>
    </row>
    <row r="63" spans="2:10" x14ac:dyDescent="0.25">
      <c r="B63" s="318"/>
      <c r="C63" s="318"/>
      <c r="D63" s="318"/>
      <c r="E63" s="318"/>
      <c r="F63" s="318"/>
      <c r="G63" s="318"/>
    </row>
    <row r="64" spans="2:10" x14ac:dyDescent="0.25">
      <c r="B64" s="318"/>
      <c r="C64" s="318"/>
      <c r="D64" s="318"/>
      <c r="E64" s="318"/>
      <c r="F64" s="318"/>
      <c r="G64" s="318"/>
    </row>
    <row r="67" spans="3:3" x14ac:dyDescent="0.25">
      <c r="C67" s="20"/>
    </row>
  </sheetData>
  <mergeCells count="16">
    <mergeCell ref="B5:G5"/>
    <mergeCell ref="B2:I2"/>
    <mergeCell ref="B3:I3"/>
    <mergeCell ref="B4:I4"/>
    <mergeCell ref="B60:G64"/>
    <mergeCell ref="B7:D7"/>
    <mergeCell ref="B29:J29"/>
    <mergeCell ref="F30:G30"/>
    <mergeCell ref="B42:H42"/>
    <mergeCell ref="B58:G58"/>
    <mergeCell ref="B59:G59"/>
    <mergeCell ref="B17:J17"/>
    <mergeCell ref="F19:G19"/>
    <mergeCell ref="B28:J28"/>
    <mergeCell ref="B18:J18"/>
    <mergeCell ref="B8:D8"/>
  </mergeCells>
  <pageMargins left="0.7" right="0.7" top="0.75" bottom="0.75" header="0.3" footer="0.3"/>
  <pageSetup scale="66" orientation="landscape" r:id="rId1"/>
  <headerFooter>
    <oddFooter>&amp;L&amp;D&amp;R&amp;F,&amp;A,</oddFooter>
  </headerFooter>
  <ignoredErrors>
    <ignoredError sqref="E53:E55"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377F-67C6-4814-9847-6B64740DD444}">
  <sheetPr>
    <tabColor theme="4"/>
    <pageSetUpPr fitToPage="1"/>
  </sheetPr>
  <dimension ref="B1:D19"/>
  <sheetViews>
    <sheetView showGridLines="0" zoomScale="90" zoomScaleNormal="90" workbookViewId="0">
      <selection activeCell="E28" sqref="E28"/>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16384" width="8.85546875" style="1"/>
  </cols>
  <sheetData>
    <row r="1" spans="2:4" x14ac:dyDescent="0.25">
      <c r="B1" s="332" t="s">
        <v>97</v>
      </c>
      <c r="C1" s="332"/>
      <c r="D1" s="332"/>
    </row>
    <row r="2" spans="2:4" ht="21" x14ac:dyDescent="0.35">
      <c r="B2" s="333" t="s">
        <v>5</v>
      </c>
      <c r="C2" s="334"/>
      <c r="D2" s="335"/>
    </row>
    <row r="3" spans="2:4" ht="18.75" x14ac:dyDescent="0.3">
      <c r="B3" s="337" t="s">
        <v>98</v>
      </c>
      <c r="C3" s="338"/>
      <c r="D3" s="339"/>
    </row>
    <row r="4" spans="2:4" ht="65.25" customHeight="1" x14ac:dyDescent="0.25">
      <c r="B4" s="336" t="s">
        <v>238</v>
      </c>
      <c r="C4" s="336"/>
      <c r="D4" s="336"/>
    </row>
    <row r="5" spans="2:4" x14ac:dyDescent="0.25">
      <c r="B5" s="21"/>
      <c r="C5" s="2"/>
      <c r="D5" s="2"/>
    </row>
    <row r="6" spans="2:4" x14ac:dyDescent="0.25">
      <c r="B6" s="341" t="s">
        <v>99</v>
      </c>
      <c r="C6" s="340" t="s">
        <v>100</v>
      </c>
      <c r="D6" s="340" t="s">
        <v>101</v>
      </c>
    </row>
    <row r="7" spans="2:4" x14ac:dyDescent="0.25">
      <c r="B7" s="341"/>
      <c r="C7" s="340"/>
      <c r="D7" s="340"/>
    </row>
    <row r="8" spans="2:4" x14ac:dyDescent="0.25">
      <c r="B8" s="83" t="s">
        <v>22</v>
      </c>
      <c r="C8" s="287"/>
      <c r="D8" s="289">
        <v>33460947</v>
      </c>
    </row>
    <row r="9" spans="2:4" x14ac:dyDescent="0.25">
      <c r="B9" s="118"/>
      <c r="C9" s="50"/>
      <c r="D9" s="290"/>
    </row>
    <row r="10" spans="2:4" x14ac:dyDescent="0.25">
      <c r="B10" s="294" t="s">
        <v>257</v>
      </c>
      <c r="C10" s="50"/>
      <c r="D10" s="290"/>
    </row>
    <row r="11" spans="2:4" x14ac:dyDescent="0.25">
      <c r="B11" s="294" t="s">
        <v>258</v>
      </c>
      <c r="C11" s="50"/>
      <c r="D11" s="290"/>
    </row>
    <row r="12" spans="2:4" x14ac:dyDescent="0.25">
      <c r="B12" s="294" t="s">
        <v>259</v>
      </c>
      <c r="C12" s="50"/>
      <c r="D12" s="290"/>
    </row>
    <row r="13" spans="2:4" x14ac:dyDescent="0.25">
      <c r="B13" s="3"/>
      <c r="C13" s="50"/>
      <c r="D13" s="290"/>
    </row>
    <row r="14" spans="2:4" x14ac:dyDescent="0.25">
      <c r="B14" s="3"/>
      <c r="C14" s="50"/>
      <c r="D14" s="290"/>
    </row>
    <row r="15" spans="2:4" x14ac:dyDescent="0.25">
      <c r="B15" s="83" t="s">
        <v>29</v>
      </c>
      <c r="C15" s="287">
        <f>SUM(C8:C14)</f>
        <v>0</v>
      </c>
      <c r="D15" s="289">
        <f t="shared" ref="D15" si="0">SUM(D8:D14)</f>
        <v>33460947</v>
      </c>
    </row>
    <row r="16" spans="2:4" x14ac:dyDescent="0.25">
      <c r="B16" s="79"/>
      <c r="C16" s="45"/>
      <c r="D16" s="45"/>
    </row>
    <row r="17" spans="2:4" x14ac:dyDescent="0.25">
      <c r="B17" s="29" t="s">
        <v>102</v>
      </c>
      <c r="C17" s="110"/>
      <c r="D17" s="84">
        <f>SUM(D9:D14)</f>
        <v>0</v>
      </c>
    </row>
    <row r="18" spans="2:4" x14ac:dyDescent="0.25">
      <c r="B18" s="29" t="s">
        <v>103</v>
      </c>
      <c r="C18" s="288" t="e">
        <f>C15/C8-1</f>
        <v>#DIV/0!</v>
      </c>
      <c r="D18" s="111"/>
    </row>
    <row r="19" spans="2:4" x14ac:dyDescent="0.25">
      <c r="B19" s="79" t="s">
        <v>104</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0016-BEB2-4D6F-9A07-9EEF1E62C0DE}">
  <sheetPr>
    <tabColor rgb="FFFFC000"/>
  </sheetPr>
  <dimension ref="B1:G19"/>
  <sheetViews>
    <sheetView showGridLines="0" zoomScale="77" zoomScaleNormal="110" workbookViewId="0">
      <selection activeCell="G14" sqref="G14"/>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s>
  <sheetData>
    <row r="1" spans="2:7" x14ac:dyDescent="0.25">
      <c r="B1" s="299" t="s">
        <v>105</v>
      </c>
      <c r="C1" s="299"/>
      <c r="D1" s="299"/>
      <c r="E1" s="299"/>
      <c r="F1" s="299"/>
      <c r="G1" s="299"/>
    </row>
    <row r="2" spans="2:7" ht="18.75" x14ac:dyDescent="0.3">
      <c r="B2" s="343" t="s">
        <v>13</v>
      </c>
      <c r="C2" s="344"/>
      <c r="D2" s="344"/>
      <c r="E2" s="344"/>
      <c r="F2" s="344"/>
      <c r="G2" s="345"/>
    </row>
    <row r="3" spans="2:7" ht="18.75" x14ac:dyDescent="0.3">
      <c r="B3" s="337" t="s">
        <v>106</v>
      </c>
      <c r="C3" s="338"/>
      <c r="D3" s="338"/>
      <c r="E3" s="338"/>
      <c r="F3" s="338"/>
      <c r="G3" s="339"/>
    </row>
    <row r="4" spans="2:7" ht="63" customHeight="1" x14ac:dyDescent="0.25">
      <c r="B4" s="346" t="s">
        <v>216</v>
      </c>
      <c r="C4" s="346"/>
      <c r="D4" s="346"/>
      <c r="E4" s="346"/>
      <c r="F4" s="346"/>
      <c r="G4" s="346"/>
    </row>
    <row r="5" spans="2:7" ht="17.45" customHeight="1" x14ac:dyDescent="0.25">
      <c r="B5" s="48" t="s">
        <v>107</v>
      </c>
      <c r="C5" s="347" t="s">
        <v>108</v>
      </c>
      <c r="D5" s="348"/>
      <c r="E5" s="348"/>
      <c r="F5" s="349"/>
      <c r="G5" s="60" t="s">
        <v>109</v>
      </c>
    </row>
    <row r="6" spans="2:7" ht="31.5" customHeight="1" x14ac:dyDescent="0.25">
      <c r="B6" s="16"/>
      <c r="C6" s="51" t="s">
        <v>110</v>
      </c>
      <c r="D6" s="52" t="s">
        <v>111</v>
      </c>
      <c r="E6" s="253" t="s">
        <v>112</v>
      </c>
      <c r="F6" s="253" t="s">
        <v>245</v>
      </c>
      <c r="G6" s="16"/>
    </row>
    <row r="7" spans="2:7" ht="31.5" customHeight="1" x14ac:dyDescent="0.25">
      <c r="B7" s="254" t="s">
        <v>113</v>
      </c>
      <c r="C7" s="255">
        <v>0.02</v>
      </c>
      <c r="D7" s="256">
        <v>500000</v>
      </c>
      <c r="E7" s="257">
        <v>0.6</v>
      </c>
      <c r="F7" s="258">
        <f>C7*E7</f>
        <v>1.2E-2</v>
      </c>
      <c r="G7" s="254" t="s">
        <v>114</v>
      </c>
    </row>
    <row r="8" spans="2:7" ht="27" customHeight="1" x14ac:dyDescent="0.25">
      <c r="B8" s="16" t="s">
        <v>115</v>
      </c>
      <c r="C8" s="51">
        <v>0.02</v>
      </c>
      <c r="D8" s="52">
        <f>1584653*C8</f>
        <v>31693.06</v>
      </c>
      <c r="E8" s="51">
        <v>0.5</v>
      </c>
      <c r="F8" s="9">
        <f>C8*E8</f>
        <v>0.01</v>
      </c>
      <c r="G8" s="16" t="s">
        <v>255</v>
      </c>
    </row>
    <row r="9" spans="2:7" ht="27" customHeight="1" x14ac:dyDescent="0.25">
      <c r="B9" s="16" t="s">
        <v>116</v>
      </c>
      <c r="C9" s="51">
        <v>0.02</v>
      </c>
      <c r="D9" s="52">
        <f>11086521*C9</f>
        <v>221730.42</v>
      </c>
      <c r="E9" s="51">
        <v>7.0000000000000007E-2</v>
      </c>
      <c r="F9" s="9">
        <f t="shared" ref="F9:F15" si="0">C9*E9</f>
        <v>1.4000000000000002E-3</v>
      </c>
      <c r="G9" s="16" t="s">
        <v>255</v>
      </c>
    </row>
    <row r="10" spans="2:7" ht="27" customHeight="1" x14ac:dyDescent="0.25">
      <c r="B10" s="16" t="s">
        <v>47</v>
      </c>
      <c r="C10" s="51">
        <v>0.03</v>
      </c>
      <c r="D10" s="52">
        <f>203676*C10</f>
        <v>6110.28</v>
      </c>
      <c r="E10" s="51">
        <v>0.01</v>
      </c>
      <c r="F10" s="9">
        <f t="shared" si="0"/>
        <v>2.9999999999999997E-4</v>
      </c>
      <c r="G10" s="16"/>
    </row>
    <row r="11" spans="2:7" ht="27" customHeight="1" x14ac:dyDescent="0.25">
      <c r="B11" s="16" t="s">
        <v>117</v>
      </c>
      <c r="C11" s="51">
        <v>0.03</v>
      </c>
      <c r="D11" s="52">
        <v>11984</v>
      </c>
      <c r="E11" s="51">
        <v>0.02</v>
      </c>
      <c r="F11" s="9">
        <f t="shared" si="0"/>
        <v>5.9999999999999995E-4</v>
      </c>
      <c r="G11" s="16"/>
    </row>
    <row r="12" spans="2:7" ht="27" customHeight="1" x14ac:dyDescent="0.25">
      <c r="B12" s="16" t="s">
        <v>118</v>
      </c>
      <c r="C12" s="51">
        <v>0.03</v>
      </c>
      <c r="D12" s="52">
        <v>5781</v>
      </c>
      <c r="E12" s="51">
        <v>0.01</v>
      </c>
      <c r="F12" s="9">
        <f t="shared" si="0"/>
        <v>2.9999999999999997E-4</v>
      </c>
      <c r="G12" s="16"/>
    </row>
    <row r="13" spans="2:7" ht="27" customHeight="1" x14ac:dyDescent="0.25">
      <c r="B13" s="30" t="s">
        <v>251</v>
      </c>
      <c r="C13" s="51">
        <v>0.5</v>
      </c>
      <c r="D13" s="52">
        <v>90000</v>
      </c>
      <c r="E13" s="51">
        <v>0.01</v>
      </c>
      <c r="F13" s="9">
        <f t="shared" si="0"/>
        <v>5.0000000000000001E-3</v>
      </c>
      <c r="G13" s="16" t="s">
        <v>256</v>
      </c>
    </row>
    <row r="14" spans="2:7" ht="27" customHeight="1" x14ac:dyDescent="0.25">
      <c r="B14" s="30" t="s">
        <v>252</v>
      </c>
      <c r="C14" s="51">
        <v>0.05</v>
      </c>
      <c r="D14" s="52">
        <v>217403</v>
      </c>
      <c r="E14" s="51">
        <v>0.2</v>
      </c>
      <c r="F14" s="9">
        <f t="shared" si="0"/>
        <v>1.0000000000000002E-2</v>
      </c>
      <c r="G14" s="16"/>
    </row>
    <row r="15" spans="2:7" ht="27" customHeight="1" x14ac:dyDescent="0.25">
      <c r="B15" s="30" t="s">
        <v>253</v>
      </c>
      <c r="C15" s="51">
        <v>1.4999999999999999E-2</v>
      </c>
      <c r="D15" s="52">
        <v>335831</v>
      </c>
      <c r="E15" s="51">
        <v>0.18</v>
      </c>
      <c r="F15" s="9">
        <f t="shared" si="0"/>
        <v>2.6999999999999997E-3</v>
      </c>
      <c r="G15" s="16"/>
    </row>
    <row r="16" spans="2:7" x14ac:dyDescent="0.25">
      <c r="B16" s="11" t="s">
        <v>18</v>
      </c>
      <c r="C16" s="81" t="s">
        <v>119</v>
      </c>
      <c r="D16" s="82">
        <f>SUM(D8:D15)</f>
        <v>920532.76</v>
      </c>
      <c r="E16" s="82" t="s">
        <v>119</v>
      </c>
      <c r="F16" s="82" t="s">
        <v>119</v>
      </c>
      <c r="G16" s="11"/>
    </row>
    <row r="17" spans="2:6" x14ac:dyDescent="0.25">
      <c r="B17" s="18"/>
      <c r="E17" t="s">
        <v>120</v>
      </c>
    </row>
    <row r="19" spans="2:6" x14ac:dyDescent="0.25">
      <c r="B19" s="342" t="s">
        <v>121</v>
      </c>
      <c r="C19" s="342"/>
      <c r="D19" s="342"/>
      <c r="E19" s="342"/>
      <c r="F19" s="262"/>
    </row>
  </sheetData>
  <mergeCells count="6">
    <mergeCell ref="B19:E19"/>
    <mergeCell ref="B1:G1"/>
    <mergeCell ref="B2:G2"/>
    <mergeCell ref="B4:G4"/>
    <mergeCell ref="C5:F5"/>
    <mergeCell ref="B3:G3"/>
  </mergeCells>
  <pageMargins left="0.7" right="0.7" top="0.75" bottom="0.75" header="0.3" footer="0.3"/>
  <pageSetup orientation="landscape" r:id="rId1"/>
  <headerFooter>
    <oddFooter>&amp;L&amp;D&amp;R&amp;F,&amp;A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7DD81-7C75-4881-A377-7DA128E786DE}">
  <sheetPr>
    <tabColor rgb="FFFFC000"/>
    <pageSetUpPr fitToPage="1"/>
  </sheetPr>
  <dimension ref="A1:F80"/>
  <sheetViews>
    <sheetView showGridLines="0" zoomScale="50" zoomScaleNormal="50" zoomScaleSheetLayoutView="30" workbookViewId="0">
      <selection activeCell="M21" sqref="M21"/>
    </sheetView>
  </sheetViews>
  <sheetFormatPr defaultColWidth="9.140625" defaultRowHeight="15" outlineLevelRow="1" x14ac:dyDescent="0.25"/>
  <cols>
    <col min="1" max="1" width="1.5703125" style="204" customWidth="1"/>
    <col min="2" max="2" width="113.5703125" style="205" customWidth="1"/>
    <col min="3" max="3" width="59.85546875" style="205" customWidth="1"/>
    <col min="4" max="4" width="59.85546875" style="22" customWidth="1"/>
    <col min="5" max="16384" width="9.140625" style="22"/>
  </cols>
  <sheetData>
    <row r="1" spans="1:6" s="121" customFormat="1" x14ac:dyDescent="0.25">
      <c r="A1" s="120"/>
    </row>
    <row r="2" spans="1:6" s="1" customFormat="1" ht="31.5" x14ac:dyDescent="0.5">
      <c r="B2" s="358" t="s">
        <v>122</v>
      </c>
      <c r="C2" s="358"/>
      <c r="D2" s="358"/>
      <c r="E2" s="219"/>
      <c r="F2" s="219"/>
    </row>
    <row r="3" spans="1:6" s="1" customFormat="1" ht="31.5" x14ac:dyDescent="0.5">
      <c r="B3" s="355" t="s">
        <v>2</v>
      </c>
      <c r="C3" s="356"/>
      <c r="D3" s="357"/>
      <c r="E3" s="123"/>
      <c r="F3" s="123"/>
    </row>
    <row r="4" spans="1:6" s="1" customFormat="1" ht="31.5" x14ac:dyDescent="0.5">
      <c r="B4" s="359" t="s">
        <v>123</v>
      </c>
      <c r="C4" s="360"/>
      <c r="D4" s="361"/>
    </row>
    <row r="5" spans="1:6" s="65" customFormat="1" ht="18.75" x14ac:dyDescent="0.3">
      <c r="B5" s="218"/>
      <c r="C5" s="218"/>
      <c r="D5" s="218"/>
      <c r="E5" s="218"/>
      <c r="F5" s="218"/>
    </row>
    <row r="6" spans="1:6" s="65" customFormat="1" ht="18.75" x14ac:dyDescent="0.3">
      <c r="B6" s="218"/>
      <c r="C6" s="218"/>
      <c r="D6" s="218"/>
      <c r="E6" s="218"/>
      <c r="F6" s="218"/>
    </row>
    <row r="7" spans="1:6" s="123" customFormat="1" ht="31.5" x14ac:dyDescent="0.5">
      <c r="A7" s="122"/>
      <c r="B7" s="350" t="s">
        <v>124</v>
      </c>
      <c r="C7" s="351"/>
      <c r="D7" s="352"/>
    </row>
    <row r="8" spans="1:6" s="127" customFormat="1" ht="31.5" x14ac:dyDescent="0.5">
      <c r="A8" s="124"/>
      <c r="B8" s="125"/>
      <c r="C8" s="211"/>
      <c r="D8" s="126"/>
    </row>
    <row r="9" spans="1:6" s="123" customFormat="1" ht="48" customHeight="1" x14ac:dyDescent="0.5">
      <c r="A9" s="122"/>
      <c r="B9" s="128" t="s">
        <v>125</v>
      </c>
      <c r="C9" s="212"/>
      <c r="D9" s="214"/>
    </row>
    <row r="10" spans="1:6" s="130" customFormat="1" ht="15.75" customHeight="1" x14ac:dyDescent="0.4">
      <c r="A10" s="129"/>
      <c r="B10" s="353"/>
      <c r="C10" s="354"/>
      <c r="D10" s="354"/>
    </row>
    <row r="11" spans="1:6" s="130" customFormat="1" ht="24.75" customHeight="1" x14ac:dyDescent="0.4">
      <c r="A11" s="129"/>
      <c r="B11" s="263"/>
      <c r="C11" s="264"/>
      <c r="D11" s="264"/>
    </row>
    <row r="12" spans="1:6" s="134" customFormat="1" ht="11.25" customHeight="1" x14ac:dyDescent="0.4">
      <c r="A12" s="131"/>
      <c r="B12" s="132"/>
      <c r="C12" s="213"/>
      <c r="D12" s="133"/>
    </row>
    <row r="13" spans="1:6" s="139" customFormat="1" ht="104.25" customHeight="1" x14ac:dyDescent="0.25">
      <c r="A13" s="135"/>
      <c r="B13" s="136" t="s">
        <v>126</v>
      </c>
      <c r="C13" s="137" t="s">
        <v>127</v>
      </c>
      <c r="D13" s="137" t="s">
        <v>128</v>
      </c>
      <c r="E13" s="138"/>
    </row>
    <row r="14" spans="1:6" s="127" customFormat="1" ht="31.5" x14ac:dyDescent="0.5">
      <c r="A14" s="140"/>
      <c r="B14" s="141" t="s">
        <v>129</v>
      </c>
      <c r="C14" s="142"/>
      <c r="D14" s="143"/>
    </row>
    <row r="15" spans="1:6" s="123" customFormat="1" ht="30" hidden="1" customHeight="1" x14ac:dyDescent="0.5">
      <c r="A15" s="144"/>
      <c r="B15" s="145" t="s">
        <v>130</v>
      </c>
      <c r="C15" s="146"/>
      <c r="D15" s="147"/>
      <c r="E15" s="148"/>
    </row>
    <row r="16" spans="1:6" s="127" customFormat="1" ht="30" hidden="1" customHeight="1" x14ac:dyDescent="0.5">
      <c r="A16" s="140"/>
      <c r="B16" s="149" t="s">
        <v>131</v>
      </c>
      <c r="C16" s="150"/>
      <c r="D16" s="151"/>
      <c r="E16" s="152"/>
    </row>
    <row r="17" spans="1:5" s="127" customFormat="1" ht="30" hidden="1" customHeight="1" x14ac:dyDescent="0.5">
      <c r="A17" s="140"/>
      <c r="B17" s="153" t="s">
        <v>132</v>
      </c>
      <c r="C17" s="150"/>
      <c r="D17" s="151"/>
      <c r="E17" s="152"/>
    </row>
    <row r="18" spans="1:5" s="127" customFormat="1" ht="30" hidden="1" customHeight="1" x14ac:dyDescent="0.5">
      <c r="A18" s="140"/>
      <c r="B18" s="149" t="s">
        <v>133</v>
      </c>
      <c r="C18" s="150"/>
      <c r="D18" s="151"/>
      <c r="E18" s="152"/>
    </row>
    <row r="19" spans="1:5" s="127" customFormat="1" ht="30" hidden="1" customHeight="1" x14ac:dyDescent="0.5">
      <c r="A19" s="140"/>
      <c r="B19" s="149" t="s">
        <v>134</v>
      </c>
      <c r="C19" s="150"/>
      <c r="D19" s="151"/>
      <c r="E19" s="152"/>
    </row>
    <row r="20" spans="1:5" s="127" customFormat="1" ht="30" hidden="1" customHeight="1" x14ac:dyDescent="0.5">
      <c r="A20" s="140"/>
      <c r="B20" s="149" t="s">
        <v>135</v>
      </c>
      <c r="C20" s="150"/>
      <c r="D20" s="151"/>
      <c r="E20" s="152"/>
    </row>
    <row r="21" spans="1:5" s="123" customFormat="1" ht="30" customHeight="1" x14ac:dyDescent="0.5">
      <c r="A21" s="144"/>
      <c r="B21" s="154" t="s">
        <v>136</v>
      </c>
      <c r="C21" s="155">
        <v>266858</v>
      </c>
      <c r="D21" s="155"/>
      <c r="E21" s="148"/>
    </row>
    <row r="22" spans="1:5" s="127" customFormat="1" ht="30" customHeight="1" x14ac:dyDescent="0.5">
      <c r="A22" s="140"/>
      <c r="B22" s="156" t="s">
        <v>137</v>
      </c>
      <c r="C22" s="155"/>
      <c r="D22" s="157"/>
      <c r="E22" s="148"/>
    </row>
    <row r="23" spans="1:5" s="123" customFormat="1" ht="30" customHeight="1" x14ac:dyDescent="0.5">
      <c r="A23" s="144"/>
      <c r="B23" s="141" t="s">
        <v>138</v>
      </c>
      <c r="C23" s="158">
        <f>SUM(C21:C22)</f>
        <v>266858</v>
      </c>
      <c r="D23" s="158">
        <f>SUM(D21:D22)</f>
        <v>0</v>
      </c>
      <c r="E23" s="148"/>
    </row>
    <row r="24" spans="1:5" s="164" customFormat="1" ht="15" customHeight="1" x14ac:dyDescent="0.5">
      <c r="A24" s="159"/>
      <c r="B24" s="160"/>
      <c r="C24" s="161"/>
      <c r="D24" s="162"/>
      <c r="E24" s="163"/>
    </row>
    <row r="25" spans="1:5" s="164" customFormat="1" ht="30" customHeight="1" x14ac:dyDescent="0.5">
      <c r="A25" s="159"/>
      <c r="B25" s="165" t="s">
        <v>139</v>
      </c>
      <c r="C25" s="161"/>
      <c r="D25" s="162"/>
      <c r="E25" s="163"/>
    </row>
    <row r="26" spans="1:5" s="164" customFormat="1" ht="30" customHeight="1" x14ac:dyDescent="0.5">
      <c r="A26" s="159"/>
      <c r="B26" s="166" t="s">
        <v>80</v>
      </c>
      <c r="C26" s="161"/>
      <c r="D26" s="162"/>
      <c r="E26" s="163"/>
    </row>
    <row r="27" spans="1:5" s="123" customFormat="1" ht="30" customHeight="1" x14ac:dyDescent="0.5">
      <c r="A27" s="144"/>
      <c r="B27" s="167" t="s">
        <v>140</v>
      </c>
      <c r="C27" s="146">
        <f>SUM(C24:C26)</f>
        <v>0</v>
      </c>
      <c r="D27" s="146">
        <f>SUM(D24:D26)</f>
        <v>0</v>
      </c>
      <c r="E27" s="148"/>
    </row>
    <row r="28" spans="1:5" s="127" customFormat="1" ht="30" customHeight="1" x14ac:dyDescent="0.5">
      <c r="A28" s="140"/>
      <c r="B28" s="168" t="s">
        <v>141</v>
      </c>
      <c r="C28" s="169">
        <f>C23+C27</f>
        <v>266858</v>
      </c>
      <c r="D28" s="169">
        <f>D23+D27</f>
        <v>0</v>
      </c>
      <c r="E28" s="148"/>
    </row>
    <row r="29" spans="1:5" s="164" customFormat="1" ht="27" hidden="1" customHeight="1" x14ac:dyDescent="0.5">
      <c r="A29" s="159"/>
      <c r="B29" s="170" t="s">
        <v>37</v>
      </c>
      <c r="C29" s="171"/>
      <c r="D29" s="172"/>
      <c r="E29" s="173"/>
    </row>
    <row r="30" spans="1:5" s="127" customFormat="1" ht="30" hidden="1" customHeight="1" x14ac:dyDescent="0.5">
      <c r="A30" s="140"/>
      <c r="B30" s="174" t="s">
        <v>142</v>
      </c>
      <c r="C30" s="161"/>
      <c r="D30" s="151"/>
    </row>
    <row r="31" spans="1:5" s="127" customFormat="1" ht="30" hidden="1" customHeight="1" x14ac:dyDescent="0.5">
      <c r="A31" s="140"/>
      <c r="B31" s="175" t="s">
        <v>143</v>
      </c>
      <c r="C31" s="161"/>
      <c r="D31" s="151"/>
    </row>
    <row r="32" spans="1:5" s="127" customFormat="1" ht="30" hidden="1" customHeight="1" x14ac:dyDescent="0.5">
      <c r="A32" s="140"/>
      <c r="B32" s="175" t="s">
        <v>48</v>
      </c>
      <c r="C32" s="161"/>
      <c r="D32" s="151"/>
    </row>
    <row r="33" spans="1:5" s="127" customFormat="1" ht="30" hidden="1" customHeight="1" x14ac:dyDescent="0.5">
      <c r="A33" s="140"/>
      <c r="B33" s="175" t="s">
        <v>144</v>
      </c>
      <c r="C33" s="161"/>
      <c r="D33" s="151"/>
    </row>
    <row r="34" spans="1:5" s="127" customFormat="1" ht="30" hidden="1" customHeight="1" x14ac:dyDescent="0.5">
      <c r="A34" s="140"/>
      <c r="B34" s="175" t="s">
        <v>145</v>
      </c>
      <c r="C34" s="161"/>
      <c r="D34" s="151"/>
    </row>
    <row r="35" spans="1:5" s="127" customFormat="1" ht="30" hidden="1" customHeight="1" x14ac:dyDescent="0.5">
      <c r="A35" s="140"/>
      <c r="B35" s="176" t="s">
        <v>146</v>
      </c>
      <c r="C35" s="161"/>
      <c r="D35" s="151"/>
    </row>
    <row r="36" spans="1:5" s="127" customFormat="1" ht="30" customHeight="1" x14ac:dyDescent="0.5">
      <c r="A36" s="140"/>
      <c r="B36" s="177" t="s">
        <v>147</v>
      </c>
      <c r="C36" s="155">
        <v>165429</v>
      </c>
      <c r="D36" s="155"/>
      <c r="E36" s="148"/>
    </row>
    <row r="37" spans="1:5" s="127" customFormat="1" ht="7.9" customHeight="1" x14ac:dyDescent="0.5">
      <c r="A37" s="140"/>
      <c r="B37" s="178"/>
      <c r="C37" s="179"/>
      <c r="D37" s="180"/>
    </row>
    <row r="38" spans="1:5" s="127" customFormat="1" ht="30" customHeight="1" x14ac:dyDescent="0.5">
      <c r="A38" s="140"/>
      <c r="B38" s="168" t="s">
        <v>148</v>
      </c>
      <c r="C38" s="169">
        <f>C28-C36</f>
        <v>101429</v>
      </c>
      <c r="D38" s="169">
        <f>D28-D36</f>
        <v>0</v>
      </c>
      <c r="E38" s="148"/>
    </row>
    <row r="39" spans="1:5" s="184" customFormat="1" ht="30" customHeight="1" x14ac:dyDescent="0.5">
      <c r="A39" s="181"/>
      <c r="B39" s="182"/>
      <c r="C39" s="183"/>
      <c r="D39" s="180"/>
      <c r="E39" s="148"/>
    </row>
    <row r="40" spans="1:5" s="123" customFormat="1" ht="30" customHeight="1" x14ac:dyDescent="0.5">
      <c r="A40" s="144"/>
      <c r="B40" s="185" t="s">
        <v>149</v>
      </c>
      <c r="C40" s="186"/>
      <c r="D40" s="151"/>
      <c r="E40" s="148"/>
    </row>
    <row r="41" spans="1:5" s="184" customFormat="1" ht="30" customHeight="1" x14ac:dyDescent="0.5">
      <c r="A41" s="181"/>
      <c r="B41" s="182"/>
      <c r="C41" s="183"/>
      <c r="D41" s="180"/>
      <c r="E41" s="148"/>
    </row>
    <row r="42" spans="1:5" s="127" customFormat="1" ht="30" customHeight="1" thickBot="1" x14ac:dyDescent="0.55000000000000004">
      <c r="A42" s="140"/>
      <c r="B42" s="187" t="s">
        <v>150</v>
      </c>
      <c r="C42" s="188">
        <f>C38+C40</f>
        <v>101429</v>
      </c>
      <c r="D42" s="188">
        <f>D38+D40</f>
        <v>0</v>
      </c>
      <c r="E42" s="148"/>
    </row>
    <row r="43" spans="1:5" s="127" customFormat="1" ht="30" customHeight="1" thickTop="1" x14ac:dyDescent="0.5">
      <c r="A43" s="140"/>
      <c r="B43" s="189"/>
      <c r="C43" s="190"/>
      <c r="D43" s="191"/>
      <c r="E43" s="148"/>
    </row>
    <row r="44" spans="1:5" s="127" customFormat="1" ht="30" customHeight="1" outlineLevel="1" x14ac:dyDescent="0.5">
      <c r="A44" s="140"/>
      <c r="B44" s="192" t="s">
        <v>151</v>
      </c>
      <c r="C44" s="193"/>
      <c r="D44" s="194"/>
      <c r="E44" s="148"/>
    </row>
    <row r="45" spans="1:5" s="123" customFormat="1" ht="30" customHeight="1" outlineLevel="1" x14ac:dyDescent="0.5">
      <c r="A45" s="144"/>
      <c r="B45" s="195" t="s">
        <v>152</v>
      </c>
      <c r="C45" s="196">
        <f t="shared" ref="C45" si="0">C38/C28</f>
        <v>0.38008603826754306</v>
      </c>
      <c r="D45" s="197" t="e">
        <f t="shared" ref="D45" si="1">D38/D28</f>
        <v>#DIV/0!</v>
      </c>
      <c r="E45" s="148"/>
    </row>
    <row r="46" spans="1:5" s="202" customFormat="1" ht="30" customHeight="1" outlineLevel="1" thickBot="1" x14ac:dyDescent="0.55000000000000004">
      <c r="A46" s="198"/>
      <c r="B46" s="199" t="s">
        <v>153</v>
      </c>
      <c r="C46" s="200">
        <f t="shared" ref="C46" si="2">C42/(C28+C40)</f>
        <v>0.38008603826754306</v>
      </c>
      <c r="D46" s="201" t="e">
        <f t="shared" ref="D46" si="3">D42/(D28+D40)</f>
        <v>#DIV/0!</v>
      </c>
    </row>
    <row r="47" spans="1:5" s="127" customFormat="1" ht="30" customHeight="1" x14ac:dyDescent="0.5">
      <c r="A47" s="124"/>
      <c r="B47" s="203"/>
      <c r="C47" s="203"/>
    </row>
    <row r="48" spans="1:5" s="127" customFormat="1" ht="30" customHeight="1" x14ac:dyDescent="0.5">
      <c r="A48" s="124"/>
      <c r="B48" s="203"/>
      <c r="C48" s="203"/>
    </row>
    <row r="49" spans="2:5" ht="30" customHeight="1" x14ac:dyDescent="0.25"/>
    <row r="50" spans="2:5" ht="30" customHeight="1" x14ac:dyDescent="0.25"/>
    <row r="51" spans="2:5" ht="30" customHeight="1" x14ac:dyDescent="0.25"/>
    <row r="52" spans="2:5" ht="30" customHeight="1" x14ac:dyDescent="0.25"/>
    <row r="53" spans="2:5" ht="30" customHeight="1" x14ac:dyDescent="0.25"/>
    <row r="54" spans="2:5" s="204" customFormat="1" ht="30" customHeight="1" x14ac:dyDescent="0.25">
      <c r="B54" s="205"/>
      <c r="C54" s="205"/>
      <c r="D54" s="22"/>
      <c r="E54" s="22"/>
    </row>
    <row r="55" spans="2:5" s="204" customFormat="1" ht="30" customHeight="1" x14ac:dyDescent="0.25">
      <c r="B55" s="205"/>
      <c r="C55" s="205"/>
      <c r="D55" s="22"/>
      <c r="E55" s="22"/>
    </row>
    <row r="56" spans="2:5" s="204" customFormat="1" ht="30" customHeight="1" x14ac:dyDescent="0.25">
      <c r="B56" s="205"/>
      <c r="C56" s="205"/>
      <c r="D56" s="22"/>
      <c r="E56" s="22"/>
    </row>
    <row r="57" spans="2:5" s="204" customFormat="1" ht="30" customHeight="1" x14ac:dyDescent="0.25">
      <c r="B57" s="205"/>
      <c r="C57" s="205"/>
      <c r="D57" s="22"/>
      <c r="E57" s="22"/>
    </row>
    <row r="58" spans="2:5" s="204" customFormat="1" ht="30" customHeight="1" x14ac:dyDescent="0.25">
      <c r="B58" s="205"/>
      <c r="C58" s="205"/>
      <c r="D58" s="22"/>
      <c r="E58" s="22"/>
    </row>
    <row r="59" spans="2:5" s="204" customFormat="1" ht="30" customHeight="1" x14ac:dyDescent="0.25">
      <c r="B59" s="205"/>
      <c r="C59" s="205"/>
      <c r="D59" s="22"/>
      <c r="E59" s="22"/>
    </row>
    <row r="60" spans="2:5" s="204" customFormat="1" ht="30" customHeight="1" x14ac:dyDescent="0.25">
      <c r="B60" s="205"/>
      <c r="C60" s="205"/>
      <c r="D60" s="22"/>
      <c r="E60" s="22"/>
    </row>
    <row r="61" spans="2:5" s="204" customFormat="1" ht="30" customHeight="1" x14ac:dyDescent="0.25">
      <c r="B61" s="205"/>
      <c r="C61" s="205"/>
      <c r="D61" s="22"/>
      <c r="E61" s="22"/>
    </row>
    <row r="62" spans="2:5" s="204" customFormat="1" ht="30" customHeight="1" x14ac:dyDescent="0.25">
      <c r="B62" s="205"/>
      <c r="C62" s="205"/>
      <c r="D62" s="22"/>
      <c r="E62" s="22"/>
    </row>
    <row r="63" spans="2:5" s="204" customFormat="1" ht="30" customHeight="1" x14ac:dyDescent="0.25">
      <c r="B63" s="205"/>
      <c r="C63" s="205"/>
      <c r="D63" s="22"/>
      <c r="E63" s="22"/>
    </row>
    <row r="64" spans="2:5" s="204" customFormat="1" ht="30" customHeight="1" x14ac:dyDescent="0.25">
      <c r="B64" s="205"/>
      <c r="C64" s="205"/>
      <c r="D64" s="22"/>
      <c r="E64" s="22"/>
    </row>
    <row r="65" spans="1:5" s="204" customFormat="1" ht="30" customHeight="1" x14ac:dyDescent="0.25">
      <c r="B65" s="205"/>
      <c r="C65" s="205"/>
      <c r="D65" s="22"/>
      <c r="E65" s="22"/>
    </row>
    <row r="66" spans="1:5" s="204" customFormat="1" ht="30" customHeight="1" x14ac:dyDescent="0.25">
      <c r="B66" s="205"/>
      <c r="C66" s="205"/>
      <c r="D66" s="22"/>
      <c r="E66" s="22"/>
    </row>
    <row r="67" spans="1:5" s="204" customFormat="1" ht="30" customHeight="1" x14ac:dyDescent="0.25">
      <c r="B67" s="205"/>
      <c r="C67" s="205"/>
      <c r="D67" s="22"/>
      <c r="E67" s="22"/>
    </row>
    <row r="68" spans="1:5" s="204" customFormat="1" ht="30" customHeight="1" x14ac:dyDescent="0.25">
      <c r="B68" s="205"/>
      <c r="C68" s="205"/>
      <c r="D68" s="22"/>
      <c r="E68" s="22"/>
    </row>
    <row r="69" spans="1:5" s="204" customFormat="1" ht="30" customHeight="1" x14ac:dyDescent="0.25">
      <c r="B69" s="205"/>
      <c r="C69" s="205"/>
      <c r="D69" s="22"/>
      <c r="E69" s="22"/>
    </row>
    <row r="70" spans="1:5" ht="30" customHeight="1" x14ac:dyDescent="0.25"/>
    <row r="71" spans="1:5" ht="30" customHeight="1" x14ac:dyDescent="0.25"/>
    <row r="72" spans="1:5" ht="30" customHeight="1" x14ac:dyDescent="0.25"/>
    <row r="73" spans="1:5" ht="30" customHeight="1" x14ac:dyDescent="0.25"/>
    <row r="79" spans="1:5" s="209" customFormat="1" x14ac:dyDescent="0.25">
      <c r="A79" s="206"/>
      <c r="B79" s="207" t="s">
        <v>154</v>
      </c>
      <c r="C79" s="207"/>
      <c r="D79" s="208"/>
    </row>
    <row r="80" spans="1:5" x14ac:dyDescent="0.25">
      <c r="B80" s="210"/>
      <c r="C80" s="210"/>
      <c r="D80" s="209"/>
    </row>
  </sheetData>
  <mergeCells count="5">
    <mergeCell ref="B7:D7"/>
    <mergeCell ref="B10:D10"/>
    <mergeCell ref="B3:D3"/>
    <mergeCell ref="B2:D2"/>
    <mergeCell ref="B4:D4"/>
  </mergeCells>
  <pageMargins left="0.45" right="0.45" top="0.25" bottom="0.5" header="0.3" footer="0.3"/>
  <pageSetup scale="59" orientation="landscape" r:id="rId1"/>
  <headerFooter>
    <oddFooter>&amp;L&amp;16&amp;D, Page &amp;P&amp;C&amp;16Green Mountain Care Board&amp;R&amp;16&amp;F,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D515-C1D8-433F-8100-DAF2FC206E24}">
  <sheetPr>
    <tabColor theme="7"/>
  </sheetPr>
  <dimension ref="B1:F16"/>
  <sheetViews>
    <sheetView showGridLines="0" workbookViewId="0">
      <selection activeCell="B13" sqref="B13"/>
    </sheetView>
  </sheetViews>
  <sheetFormatPr defaultColWidth="8.85546875" defaultRowHeight="15" x14ac:dyDescent="0.25"/>
  <cols>
    <col min="1" max="1" width="8.85546875" style="1"/>
    <col min="2" max="2" width="32.28515625" style="42" customWidth="1"/>
    <col min="3" max="4" width="22.28515625" style="42" customWidth="1"/>
    <col min="5" max="5" width="17.5703125" style="42" customWidth="1"/>
    <col min="6" max="6" width="19.5703125" style="42" customWidth="1"/>
    <col min="7" max="16384" width="8.85546875" style="1"/>
  </cols>
  <sheetData>
    <row r="1" spans="2:6" s="114" customFormat="1" x14ac:dyDescent="0.25">
      <c r="B1" s="115"/>
      <c r="C1" s="115"/>
      <c r="D1" s="115"/>
      <c r="E1" s="115"/>
      <c r="F1" s="115"/>
    </row>
    <row r="2" spans="2:6" ht="15.75" x14ac:dyDescent="0.25">
      <c r="B2" s="363" t="s">
        <v>155</v>
      </c>
      <c r="C2" s="363"/>
      <c r="D2" s="363"/>
      <c r="E2" s="363"/>
      <c r="F2" s="363"/>
    </row>
    <row r="3" spans="2:6" ht="18.75" x14ac:dyDescent="0.3">
      <c r="B3" s="364" t="s">
        <v>2</v>
      </c>
      <c r="C3" s="365"/>
      <c r="D3" s="365"/>
      <c r="E3" s="365"/>
      <c r="F3" s="366"/>
    </row>
    <row r="4" spans="2:6" ht="18.75" x14ac:dyDescent="0.3">
      <c r="B4" s="337" t="s">
        <v>156</v>
      </c>
      <c r="C4" s="338"/>
      <c r="D4" s="338"/>
      <c r="E4" s="338"/>
      <c r="F4" s="339"/>
    </row>
    <row r="5" spans="2:6" ht="15.75" x14ac:dyDescent="0.25">
      <c r="B5" s="31"/>
      <c r="C5" s="31"/>
      <c r="D5" s="31"/>
      <c r="E5" s="31"/>
      <c r="F5" s="31"/>
    </row>
    <row r="6" spans="2:6" ht="28.5" customHeight="1" x14ac:dyDescent="0.25">
      <c r="B6" s="362" t="s">
        <v>157</v>
      </c>
      <c r="C6" s="362"/>
      <c r="D6" s="362"/>
      <c r="E6" s="362"/>
      <c r="F6" s="362"/>
    </row>
    <row r="7" spans="2:6" ht="15.75" x14ac:dyDescent="0.25">
      <c r="B7" s="31"/>
      <c r="C7" s="31"/>
      <c r="D7" s="31"/>
      <c r="E7" s="31"/>
      <c r="F7" s="31"/>
    </row>
    <row r="8" spans="2:6" ht="48" customHeight="1" x14ac:dyDescent="0.25">
      <c r="B8" s="32" t="s">
        <v>158</v>
      </c>
      <c r="C8" s="33" t="s">
        <v>159</v>
      </c>
      <c r="D8" s="33" t="s">
        <v>160</v>
      </c>
      <c r="E8" s="33" t="s">
        <v>161</v>
      </c>
      <c r="F8" s="34" t="s">
        <v>162</v>
      </c>
    </row>
    <row r="9" spans="2:6" ht="25.5" customHeight="1" x14ac:dyDescent="0.25">
      <c r="B9" s="35"/>
      <c r="C9" s="36" t="s">
        <v>163</v>
      </c>
      <c r="D9" s="36" t="s">
        <v>164</v>
      </c>
      <c r="E9" s="36" t="s">
        <v>164</v>
      </c>
      <c r="F9" s="37" t="s">
        <v>165</v>
      </c>
    </row>
    <row r="10" spans="2:6" ht="24" customHeight="1" x14ac:dyDescent="0.25">
      <c r="B10" s="38" t="s">
        <v>166</v>
      </c>
      <c r="C10" s="39"/>
      <c r="D10" s="39"/>
      <c r="E10" s="39"/>
      <c r="F10" s="40"/>
    </row>
    <row r="11" spans="2:6" ht="15.75" x14ac:dyDescent="0.25">
      <c r="B11" s="38" t="s">
        <v>167</v>
      </c>
      <c r="C11" s="39"/>
      <c r="D11" s="39"/>
      <c r="E11" s="39"/>
      <c r="F11" s="40"/>
    </row>
    <row r="12" spans="2:6" ht="15.75" x14ac:dyDescent="0.25">
      <c r="B12" s="38" t="s">
        <v>239</v>
      </c>
      <c r="C12" s="39"/>
      <c r="D12" s="39"/>
      <c r="E12" s="39"/>
      <c r="F12" s="40"/>
    </row>
    <row r="13" spans="2:6" ht="15.75" x14ac:dyDescent="0.25">
      <c r="B13" s="38" t="s">
        <v>168</v>
      </c>
      <c r="C13" s="39"/>
      <c r="D13" s="39"/>
      <c r="E13" s="39"/>
      <c r="F13" s="40"/>
    </row>
    <row r="14" spans="2:6" ht="15.75" x14ac:dyDescent="0.25">
      <c r="B14" s="38" t="s">
        <v>169</v>
      </c>
      <c r="C14" s="41"/>
      <c r="D14" s="39"/>
      <c r="E14" s="39"/>
      <c r="F14" s="40"/>
    </row>
    <row r="15" spans="2:6" ht="15.75" x14ac:dyDescent="0.25">
      <c r="B15" s="31"/>
    </row>
    <row r="16" spans="2:6" ht="15.75" x14ac:dyDescent="0.25">
      <c r="B16" s="43"/>
      <c r="E16" s="44"/>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5F5A-5A4C-4FE5-8562-109CA7C69874}">
  <sheetPr>
    <tabColor theme="7"/>
    <pageSetUpPr fitToPage="1"/>
  </sheetPr>
  <dimension ref="B2:K24"/>
  <sheetViews>
    <sheetView showGridLines="0" zoomScale="94" zoomScaleNormal="100" zoomScaleSheetLayoutView="55" workbookViewId="0">
      <selection activeCell="G18" sqref="G18"/>
    </sheetView>
  </sheetViews>
  <sheetFormatPr defaultColWidth="9.140625" defaultRowHeight="15" customHeight="1" x14ac:dyDescent="0.25"/>
  <cols>
    <col min="1" max="1" width="3.5703125" style="112" customWidth="1"/>
    <col min="2" max="2" width="39.7109375" style="112" customWidth="1"/>
    <col min="3" max="3" width="24" style="112" customWidth="1"/>
    <col min="4" max="11" width="22.7109375" style="112" customWidth="1"/>
    <col min="12" max="16384" width="9.140625" style="112"/>
  </cols>
  <sheetData>
    <row r="2" spans="2:11" s="1" customFormat="1" ht="15.75" x14ac:dyDescent="0.25">
      <c r="B2" s="363" t="s">
        <v>170</v>
      </c>
      <c r="C2" s="363"/>
      <c r="D2" s="363"/>
      <c r="E2" s="363"/>
      <c r="F2" s="363"/>
      <c r="G2" s="363"/>
      <c r="H2" s="363"/>
      <c r="I2" s="363"/>
      <c r="J2" s="363"/>
      <c r="K2" s="363"/>
    </row>
    <row r="3" spans="2:11" s="1" customFormat="1" ht="18.75" x14ac:dyDescent="0.3">
      <c r="B3" s="364" t="s">
        <v>171</v>
      </c>
      <c r="C3" s="365"/>
      <c r="D3" s="365"/>
      <c r="E3" s="365"/>
      <c r="F3" s="365"/>
      <c r="G3" s="365"/>
      <c r="H3" s="365"/>
      <c r="I3" s="365"/>
      <c r="J3" s="365"/>
      <c r="K3" s="366"/>
    </row>
    <row r="4" spans="2:11" s="1" customFormat="1" ht="18.75" x14ac:dyDescent="0.3">
      <c r="B4" s="337" t="s">
        <v>172</v>
      </c>
      <c r="C4" s="338"/>
      <c r="D4" s="338"/>
      <c r="E4" s="338"/>
      <c r="F4" s="338"/>
      <c r="G4" s="338"/>
      <c r="H4" s="338"/>
      <c r="I4" s="338"/>
      <c r="J4" s="338"/>
      <c r="K4" s="339"/>
    </row>
    <row r="5" spans="2:11" s="114" customFormat="1" ht="18.75" x14ac:dyDescent="0.3">
      <c r="B5" s="260"/>
      <c r="C5" s="260"/>
      <c r="D5" s="260"/>
      <c r="E5" s="260"/>
      <c r="F5" s="260"/>
      <c r="G5" s="260"/>
      <c r="H5" s="260"/>
      <c r="I5" s="260"/>
      <c r="J5" s="260"/>
      <c r="K5" s="260"/>
    </row>
    <row r="6" spans="2:11" s="114" customFormat="1" ht="18.75" customHeight="1" x14ac:dyDescent="0.25">
      <c r="B6" s="369" t="s">
        <v>246</v>
      </c>
      <c r="C6" s="369"/>
      <c r="D6" s="369"/>
      <c r="E6" s="369"/>
      <c r="F6" s="369"/>
      <c r="G6" s="369"/>
      <c r="H6" s="369"/>
      <c r="I6" s="369"/>
      <c r="J6" s="369"/>
      <c r="K6" s="369"/>
    </row>
    <row r="7" spans="2:11" s="114" customFormat="1" ht="18.75" customHeight="1" x14ac:dyDescent="0.25">
      <c r="B7" s="369"/>
      <c r="C7" s="369"/>
      <c r="D7" s="369"/>
      <c r="E7" s="369"/>
      <c r="F7" s="369"/>
      <c r="G7" s="369"/>
      <c r="H7" s="369"/>
      <c r="I7" s="369"/>
      <c r="J7" s="369"/>
      <c r="K7" s="369"/>
    </row>
    <row r="8" spans="2:11" s="114" customFormat="1" ht="18.75" x14ac:dyDescent="0.3">
      <c r="B8" s="113"/>
      <c r="C8" s="113"/>
      <c r="D8" s="113"/>
      <c r="E8" s="113"/>
      <c r="F8" s="113"/>
      <c r="G8" s="113"/>
      <c r="H8" s="113"/>
    </row>
    <row r="9" spans="2:11" s="265" customFormat="1" x14ac:dyDescent="0.25">
      <c r="B9" s="266"/>
      <c r="D9" s="266"/>
      <c r="E9" s="266"/>
      <c r="F9" s="266"/>
      <c r="G9" s="266"/>
      <c r="H9" s="266"/>
      <c r="I9" s="267"/>
      <c r="J9" s="267"/>
      <c r="K9" s="267"/>
    </row>
    <row r="10" spans="2:11" s="259" customFormat="1" ht="15" customHeight="1" x14ac:dyDescent="0.25">
      <c r="B10" s="367" t="s">
        <v>173</v>
      </c>
      <c r="C10" s="284" t="s">
        <v>174</v>
      </c>
      <c r="D10" s="278" t="s">
        <v>174</v>
      </c>
      <c r="E10" s="279" t="s">
        <v>175</v>
      </c>
      <c r="F10" s="280" t="s">
        <v>176</v>
      </c>
      <c r="G10" s="278" t="s">
        <v>174</v>
      </c>
      <c r="H10" s="279" t="s">
        <v>175</v>
      </c>
      <c r="I10" s="280" t="s">
        <v>176</v>
      </c>
      <c r="J10" s="279" t="s">
        <v>175</v>
      </c>
      <c r="K10" s="280" t="s">
        <v>176</v>
      </c>
    </row>
    <row r="11" spans="2:11" s="259" customFormat="1" ht="15" customHeight="1" x14ac:dyDescent="0.25">
      <c r="B11" s="368"/>
      <c r="C11" s="283" t="s">
        <v>217</v>
      </c>
      <c r="D11" s="370" t="s">
        <v>177</v>
      </c>
      <c r="E11" s="371"/>
      <c r="F11" s="372"/>
      <c r="G11" s="370" t="s">
        <v>178</v>
      </c>
      <c r="H11" s="371"/>
      <c r="I11" s="372"/>
      <c r="J11" s="371" t="s">
        <v>179</v>
      </c>
      <c r="K11" s="372"/>
    </row>
    <row r="12" spans="2:11" ht="15" customHeight="1" x14ac:dyDescent="0.25">
      <c r="B12" s="268" t="s">
        <v>180</v>
      </c>
      <c r="C12" s="281">
        <f>+D12+G12</f>
        <v>4383600.92</v>
      </c>
      <c r="D12" s="269">
        <v>4283600.92</v>
      </c>
      <c r="E12" s="270">
        <v>2005099.5</v>
      </c>
      <c r="F12" s="271">
        <v>2278501.42</v>
      </c>
      <c r="G12" s="269">
        <v>100000</v>
      </c>
      <c r="H12" s="291">
        <v>1096184</v>
      </c>
      <c r="I12" s="271">
        <v>1282317</v>
      </c>
      <c r="J12" s="291">
        <v>0</v>
      </c>
      <c r="K12" s="271">
        <v>0</v>
      </c>
    </row>
    <row r="13" spans="2:11" ht="15" customHeight="1" x14ac:dyDescent="0.25">
      <c r="B13" s="268" t="s">
        <v>181</v>
      </c>
      <c r="C13" s="281">
        <f t="shared" ref="C13:C22" si="0">+D13+G13</f>
        <v>5836386.2000000002</v>
      </c>
      <c r="D13" s="269">
        <v>5836386.2000000002</v>
      </c>
      <c r="E13" s="270"/>
      <c r="F13" s="271">
        <v>5836386.2000000002</v>
      </c>
      <c r="G13" s="269"/>
      <c r="H13" s="270"/>
      <c r="I13" s="271">
        <v>3999580</v>
      </c>
      <c r="J13" s="270"/>
      <c r="K13" s="271">
        <v>1856992</v>
      </c>
    </row>
    <row r="14" spans="2:11" ht="15" customHeight="1" x14ac:dyDescent="0.25">
      <c r="B14" s="268" t="s">
        <v>182</v>
      </c>
      <c r="C14" s="281">
        <f t="shared" si="0"/>
        <v>0</v>
      </c>
      <c r="D14" s="269"/>
      <c r="E14" s="270"/>
      <c r="F14" s="271"/>
      <c r="G14" s="269"/>
      <c r="H14" s="270"/>
      <c r="I14" s="271"/>
      <c r="J14" s="270"/>
      <c r="K14" s="271"/>
    </row>
    <row r="15" spans="2:11" ht="15" customHeight="1" x14ac:dyDescent="0.25">
      <c r="B15" s="268" t="s">
        <v>183</v>
      </c>
      <c r="C15" s="281">
        <f t="shared" si="0"/>
        <v>0</v>
      </c>
      <c r="D15" s="269"/>
      <c r="E15" s="270"/>
      <c r="F15" s="271"/>
      <c r="G15" s="269"/>
      <c r="H15" s="270"/>
      <c r="I15" s="271"/>
      <c r="J15" s="270"/>
      <c r="K15" s="271"/>
    </row>
    <row r="16" spans="2:11" ht="15" customHeight="1" x14ac:dyDescent="0.25">
      <c r="B16" s="268" t="s">
        <v>184</v>
      </c>
      <c r="C16" s="281">
        <f t="shared" si="0"/>
        <v>0</v>
      </c>
      <c r="D16" s="269"/>
      <c r="E16" s="270"/>
      <c r="F16" s="271"/>
      <c r="G16" s="269"/>
      <c r="H16" s="270"/>
      <c r="I16" s="271"/>
      <c r="J16" s="270"/>
      <c r="K16" s="271"/>
    </row>
    <row r="17" spans="2:11" ht="15" customHeight="1" x14ac:dyDescent="0.25">
      <c r="B17" s="268" t="s">
        <v>185</v>
      </c>
      <c r="C17" s="281">
        <f t="shared" si="0"/>
        <v>73200</v>
      </c>
      <c r="D17" s="269">
        <v>73200</v>
      </c>
      <c r="E17" s="270">
        <v>73200</v>
      </c>
      <c r="F17" s="271">
        <v>0</v>
      </c>
      <c r="G17" s="269"/>
      <c r="H17" s="270"/>
      <c r="I17" s="271"/>
      <c r="J17" s="270"/>
      <c r="K17" s="271"/>
    </row>
    <row r="18" spans="2:11" ht="15" customHeight="1" x14ac:dyDescent="0.25">
      <c r="B18" s="268" t="s">
        <v>186</v>
      </c>
      <c r="C18" s="281">
        <f t="shared" si="0"/>
        <v>15966</v>
      </c>
      <c r="D18" s="269">
        <v>15966</v>
      </c>
      <c r="E18" s="270">
        <v>15966</v>
      </c>
      <c r="F18" s="271">
        <v>0</v>
      </c>
      <c r="G18" s="269"/>
      <c r="H18" s="270"/>
      <c r="I18" s="271"/>
      <c r="J18" s="270"/>
      <c r="K18" s="271"/>
    </row>
    <row r="19" spans="2:11" ht="15" customHeight="1" x14ac:dyDescent="0.25">
      <c r="B19" s="268" t="s">
        <v>187</v>
      </c>
      <c r="C19" s="281">
        <f t="shared" si="0"/>
        <v>0</v>
      </c>
      <c r="D19" s="269"/>
      <c r="E19" s="270"/>
      <c r="F19" s="271"/>
      <c r="G19" s="269"/>
      <c r="H19" s="270"/>
      <c r="I19" s="271"/>
      <c r="J19" s="270"/>
      <c r="K19" s="271"/>
    </row>
    <row r="20" spans="2:11" ht="15" customHeight="1" x14ac:dyDescent="0.25">
      <c r="B20" s="268" t="s">
        <v>218</v>
      </c>
      <c r="C20" s="281">
        <f t="shared" si="0"/>
        <v>2973589</v>
      </c>
      <c r="D20" s="269">
        <v>2973589</v>
      </c>
      <c r="E20" s="270">
        <v>0</v>
      </c>
      <c r="F20" s="271">
        <v>2973589</v>
      </c>
      <c r="G20" s="291">
        <v>0</v>
      </c>
      <c r="H20" s="291">
        <v>2973589</v>
      </c>
      <c r="I20" s="271">
        <v>0</v>
      </c>
      <c r="J20" s="291">
        <v>0</v>
      </c>
      <c r="K20" s="271">
        <v>0</v>
      </c>
    </row>
    <row r="21" spans="2:11" ht="15" customHeight="1" x14ac:dyDescent="0.25">
      <c r="B21" s="292" t="s">
        <v>248</v>
      </c>
      <c r="C21" s="281">
        <f t="shared" si="0"/>
        <v>66989.2</v>
      </c>
      <c r="D21" s="269">
        <v>18442.2</v>
      </c>
      <c r="E21" s="270">
        <v>18442.2</v>
      </c>
      <c r="F21" s="271">
        <v>0</v>
      </c>
      <c r="G21" s="291">
        <v>48547</v>
      </c>
      <c r="H21" s="291">
        <v>48547</v>
      </c>
      <c r="I21" s="271">
        <v>0</v>
      </c>
      <c r="J21" s="270"/>
      <c r="K21" s="271"/>
    </row>
    <row r="22" spans="2:11" ht="15" customHeight="1" x14ac:dyDescent="0.25">
      <c r="B22" s="293" t="s">
        <v>249</v>
      </c>
      <c r="C22" s="281">
        <f t="shared" si="0"/>
        <v>99317</v>
      </c>
      <c r="D22" s="272">
        <v>99317</v>
      </c>
      <c r="E22" s="272">
        <v>99317</v>
      </c>
      <c r="F22" s="273">
        <v>0</v>
      </c>
      <c r="G22" s="272"/>
      <c r="H22" s="272"/>
      <c r="I22" s="273"/>
      <c r="J22" s="272"/>
      <c r="K22" s="273"/>
    </row>
    <row r="23" spans="2:11" ht="15" customHeight="1" thickBot="1" x14ac:dyDescent="0.3">
      <c r="B23" s="274" t="s">
        <v>188</v>
      </c>
      <c r="C23" s="275">
        <f>SUM(C12:C22)</f>
        <v>13449048.32</v>
      </c>
      <c r="D23" s="282">
        <f t="shared" ref="D23:F23" si="1">SUM(D12:D22)</f>
        <v>13300501.32</v>
      </c>
      <c r="E23" s="276">
        <f t="shared" si="1"/>
        <v>2212024.7000000002</v>
      </c>
      <c r="F23" s="277">
        <f t="shared" si="1"/>
        <v>11088476.620000001</v>
      </c>
      <c r="G23" s="282">
        <f t="shared" ref="G23" si="2">SUM(G12:G22)</f>
        <v>148547</v>
      </c>
      <c r="H23" s="276">
        <f t="shared" ref="H23" si="3">SUM(H12:H22)</f>
        <v>4118320</v>
      </c>
      <c r="I23" s="277">
        <f t="shared" ref="I23" si="4">SUM(I12:I22)</f>
        <v>5281897</v>
      </c>
      <c r="J23" s="276">
        <f t="shared" ref="J23" si="5">SUM(J12:J22)</f>
        <v>0</v>
      </c>
      <c r="K23" s="277">
        <f t="shared" ref="K23" si="6">SUM(K12:K22)</f>
        <v>1856992</v>
      </c>
    </row>
    <row r="24" spans="2:11" ht="15" customHeight="1" thickTop="1" x14ac:dyDescent="0.25"/>
  </sheetData>
  <mergeCells count="8">
    <mergeCell ref="B4:K4"/>
    <mergeCell ref="B3:K3"/>
    <mergeCell ref="B2:K2"/>
    <mergeCell ref="B10:B11"/>
    <mergeCell ref="B6:K7"/>
    <mergeCell ref="D11:F11"/>
    <mergeCell ref="G11:I11"/>
    <mergeCell ref="J11:K11"/>
  </mergeCells>
  <pageMargins left="0.7" right="0.7" top="0.75" bottom="0.75" header="0.3" footer="0.3"/>
  <pageSetup scale="4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C541-D0DE-4B01-BED1-316BF72F2C4F}">
  <sheetPr>
    <tabColor theme="7"/>
  </sheetPr>
  <dimension ref="A2:B15"/>
  <sheetViews>
    <sheetView topLeftCell="A3" zoomScale="110" zoomScaleNormal="110" workbookViewId="0">
      <selection activeCell="C24" sqref="C24"/>
    </sheetView>
  </sheetViews>
  <sheetFormatPr defaultRowHeight="15" x14ac:dyDescent="0.25"/>
  <cols>
    <col min="1" max="1" width="42.7109375" style="68" customWidth="1"/>
    <col min="2" max="2" width="13.85546875" style="68" customWidth="1"/>
  </cols>
  <sheetData>
    <row r="2" spans="1:2" x14ac:dyDescent="0.25">
      <c r="A2" s="373" t="s">
        <v>189</v>
      </c>
      <c r="B2" s="373"/>
    </row>
    <row r="3" spans="1:2" ht="15.75" x14ac:dyDescent="0.25">
      <c r="A3" s="374" t="s">
        <v>190</v>
      </c>
      <c r="B3" s="374"/>
    </row>
    <row r="4" spans="1:2" ht="24.6" customHeight="1" x14ac:dyDescent="0.25">
      <c r="A4" s="375" t="s">
        <v>191</v>
      </c>
      <c r="B4" s="375"/>
    </row>
    <row r="5" spans="1:2" x14ac:dyDescent="0.25">
      <c r="A5" s="69" t="s">
        <v>192</v>
      </c>
      <c r="B5" s="70">
        <f>'1. Reconciliation'!C23</f>
        <v>22353530</v>
      </c>
    </row>
    <row r="6" spans="1:2" x14ac:dyDescent="0.25">
      <c r="A6" s="69" t="s">
        <v>193</v>
      </c>
      <c r="B6" s="71">
        <f>'1. Reconciliation'!C26</f>
        <v>8.1620936487425785E-2</v>
      </c>
    </row>
    <row r="7" spans="1:2" x14ac:dyDescent="0.25">
      <c r="A7" s="69" t="s">
        <v>194</v>
      </c>
      <c r="B7" s="71">
        <f>'1. Reconciliation'!C85</f>
        <v>4.794169169961067E-2</v>
      </c>
    </row>
    <row r="8" spans="1:2" x14ac:dyDescent="0.25">
      <c r="A8" s="72"/>
      <c r="B8" s="73"/>
    </row>
    <row r="9" spans="1:2" x14ac:dyDescent="0.25">
      <c r="A9" s="74" t="s">
        <v>195</v>
      </c>
      <c r="B9" s="75"/>
    </row>
    <row r="10" spans="1:2" ht="39.6" customHeight="1" x14ac:dyDescent="0.25">
      <c r="A10" s="69" t="s">
        <v>23</v>
      </c>
      <c r="B10" s="76">
        <f>+'1. Reconciliation'!C12</f>
        <v>774848</v>
      </c>
    </row>
    <row r="11" spans="1:2" x14ac:dyDescent="0.25">
      <c r="A11" s="69" t="s">
        <v>24</v>
      </c>
      <c r="B11" s="76">
        <f>+'1. Reconciliation'!C14</f>
        <v>0</v>
      </c>
    </row>
    <row r="12" spans="1:2" x14ac:dyDescent="0.25">
      <c r="A12" s="69" t="s">
        <v>25</v>
      </c>
      <c r="B12" s="76">
        <f>+'1. Reconciliation'!C16</f>
        <v>0</v>
      </c>
    </row>
    <row r="13" spans="1:2" x14ac:dyDescent="0.25">
      <c r="A13" s="69" t="s">
        <v>26</v>
      </c>
      <c r="B13" s="76">
        <f>+'1. Reconciliation'!C17</f>
        <v>0</v>
      </c>
    </row>
    <row r="14" spans="1:2" ht="44.45" customHeight="1" x14ac:dyDescent="0.25">
      <c r="A14" s="69" t="s">
        <v>27</v>
      </c>
      <c r="B14" s="76">
        <f>+'1. Reconciliation'!C18</f>
        <v>850785</v>
      </c>
    </row>
    <row r="15" spans="1:2" x14ac:dyDescent="0.25">
      <c r="A15" s="77" t="s">
        <v>196</v>
      </c>
      <c r="B15" s="78">
        <f>SUM(B10:B14)</f>
        <v>1625633</v>
      </c>
    </row>
  </sheetData>
  <mergeCells count="3">
    <mergeCell ref="A2:B2"/>
    <mergeCell ref="A3:B3"/>
    <mergeCell ref="A4:B4"/>
  </mergeCells>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0" ma:contentTypeDescription="Create a new document." ma:contentTypeScope="" ma:versionID="1278417fdb9f8493a22335f0e63ebd5c">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495da0a1964501ca35e461a3d0667575"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FDD72E-62BB-4083-B4E4-70A11D42288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18dbc17e-cec9-4211-a89f-0bf74a616302"/>
    <ds:schemaRef ds:uri="2819d22d-c924-42b3-954a-d3b43813cc6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7D8BEBE-0F29-4D55-84E7-679A65C3B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35E319-B666-43F5-B785-F40D79B223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Overview</vt:lpstr>
      <vt:lpstr>1. Reconciliation</vt:lpstr>
      <vt:lpstr>2. Charge and NPR Detail</vt:lpstr>
      <vt:lpstr>3. Utilization</vt:lpstr>
      <vt:lpstr>4. Inflation</vt:lpstr>
      <vt:lpstr>5. Vaccine Clinics and Testing</vt:lpstr>
      <vt:lpstr>6. Value Based Care Participati</vt:lpstr>
      <vt:lpstr>7.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Vaccine Clinics and Testing'!Print_Area</vt:lpstr>
      <vt:lpstr>'6.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Perry, Lori</cp:lastModifiedBy>
  <cp:revision/>
  <cp:lastPrinted>2021-07-01T10:04:44Z</cp:lastPrinted>
  <dcterms:created xsi:type="dcterms:W3CDTF">2020-01-09T18:52:12Z</dcterms:created>
  <dcterms:modified xsi:type="dcterms:W3CDTF">2021-07-12T12:43:10Z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