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4E530045-C6A5-4C18-B085-16B90013190E}" xr6:coauthVersionLast="47" xr6:coauthVersionMax="47" xr10:uidLastSave="{00000000-0000-0000-0000-000000000000}"/>
  <bookViews>
    <workbookView xWindow="28680" yWindow="-120" windowWidth="29040" windowHeight="15840" tabRatio="822" activeTab="1" xr2:uid="{00000000-000D-0000-FFFF-FFFF00000000}"/>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state="hidden"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Reconciliation'!$B$6:$O$115</definedName>
    <definedName name="_xlnm.Print_Area" localSheetId="2">'2. Charge and NPR Detail'!$A$2:$H$49</definedName>
    <definedName name="_xlnm.Print_Area" localSheetId="3">'3. Utilization'!$B$1:$D$17</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4" l="1"/>
  <c r="C22" i="20" l="1"/>
  <c r="C21" i="20"/>
  <c r="C20" i="20"/>
  <c r="C19" i="20"/>
  <c r="C18" i="20"/>
  <c r="C17" i="20"/>
  <c r="C16" i="20"/>
  <c r="C15" i="20"/>
  <c r="C14" i="20"/>
  <c r="K13" i="20"/>
  <c r="C13" i="20"/>
  <c r="K12" i="20"/>
  <c r="D12" i="20"/>
  <c r="C12" i="20" s="1"/>
  <c r="F11" i="16"/>
  <c r="F10" i="16"/>
  <c r="F9" i="16"/>
  <c r="F8" i="16"/>
  <c r="F7" i="16"/>
  <c r="D7" i="16"/>
  <c r="D8" i="7"/>
  <c r="D16" i="7" s="1"/>
  <c r="C87" i="15" l="1"/>
  <c r="C88" i="15" s="1"/>
  <c r="B12" i="4"/>
  <c r="D16" i="16"/>
  <c r="C19" i="7"/>
  <c r="G84" i="15"/>
  <c r="G85" i="15" s="1"/>
  <c r="G25" i="15"/>
  <c r="G26" i="15" s="1"/>
  <c r="B10" i="4"/>
  <c r="F84" i="15"/>
  <c r="F85" i="15" s="1"/>
  <c r="F25" i="15"/>
  <c r="F26" i="15" s="1"/>
  <c r="B13" i="4"/>
  <c r="B11" i="4"/>
  <c r="K23" i="20"/>
  <c r="J23" i="20"/>
  <c r="I23" i="20"/>
  <c r="H23" i="20"/>
  <c r="G23" i="20"/>
  <c r="D23" i="20"/>
  <c r="E23" i="20"/>
  <c r="F23" i="20"/>
  <c r="C113" i="15"/>
  <c r="C114" i="15" s="1"/>
  <c r="C57" i="15"/>
  <c r="C110" i="15" l="1"/>
  <c r="C111" i="15" s="1"/>
  <c r="C53" i="13"/>
  <c r="C23" i="20"/>
  <c r="D53" i="13"/>
  <c r="F53" i="13"/>
  <c r="D45" i="21"/>
  <c r="C28" i="15"/>
  <c r="C46" i="21"/>
  <c r="C45" i="21"/>
  <c r="D46" i="21"/>
  <c r="D18" i="7"/>
  <c r="H84" i="15"/>
  <c r="H85" i="15" s="1"/>
  <c r="E84" i="15"/>
  <c r="E85" i="15" s="1"/>
  <c r="D84" i="15"/>
  <c r="D85" i="15" s="1"/>
  <c r="E25" i="15"/>
  <c r="E26" i="15" s="1"/>
  <c r="H25" i="15"/>
  <c r="H26" i="15" s="1"/>
  <c r="D25" i="15"/>
  <c r="D26" i="15" s="1"/>
  <c r="C54" i="13"/>
  <c r="C55" i="13" l="1"/>
  <c r="E53" i="13"/>
  <c r="B15" i="4"/>
  <c r="C84" i="15" l="1"/>
  <c r="F54" i="13" l="1"/>
  <c r="F55" i="13" s="1"/>
  <c r="C29" i="15"/>
  <c r="C31" i="15" s="1"/>
  <c r="C32" i="15" s="1"/>
  <c r="C25" i="15"/>
  <c r="C26" i="15" s="1"/>
  <c r="C85" i="15"/>
  <c r="B7" i="4" s="1"/>
  <c r="B5" i="4"/>
  <c r="D54" i="13" l="1"/>
  <c r="D55" i="13" s="1"/>
  <c r="C58" i="15"/>
  <c r="C60" i="15" s="1"/>
  <c r="C61" i="15" s="1"/>
  <c r="B6" i="4" l="1"/>
  <c r="E54" i="13"/>
  <c r="E55" i="13" s="1"/>
  <c r="C54" i="15"/>
  <c r="C55" i="15" s="1"/>
</calcChain>
</file>

<file path=xl/sharedStrings.xml><?xml version="1.0" encoding="utf-8"?>
<sst xmlns="http://schemas.openxmlformats.org/spreadsheetml/2006/main" count="402" uniqueCount="269">
  <si>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</si>
  <si>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</si>
  <si>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</si>
  <si>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</si>
  <si>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</si>
  <si>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</si>
  <si>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</si>
  <si>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</si>
  <si>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</si>
  <si>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</si>
  <si>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</si>
  <si>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</si>
  <si>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</si>
  <si>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</si>
  <si>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</si>
  <si>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</si>
  <si>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</si>
  <si>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</si>
  <si>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</si>
  <si>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</si>
  <si>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</si>
  <si>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</si>
  <si>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</si>
  <si>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</si>
  <si>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</si>
  <si>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</si>
  <si>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</si>
  <si>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</si>
  <si>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</si>
  <si>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</si>
  <si>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</si>
  <si>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</si>
  <si>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</si>
  <si>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</si>
  <si>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</si>
  <si>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</si>
  <si>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</si>
  <si>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</si>
  <si>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</si>
  <si>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</si>
  <si>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</si>
  <si>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</si>
  <si>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</si>
  <si>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</si>
  <si>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</si>
  <si>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</si>
  <si>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</si>
  <si>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</si>
  <si>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</si>
  <si>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</si>
  <si>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</si>
  <si>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</si>
  <si>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</si>
  <si>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</si>
  <si>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</si>
  <si>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</si>
  <si>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</si>
  <si>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</si>
  <si>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</si>
  <si>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</si>
  <si>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</si>
  <si>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</si>
  <si>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</si>
  <si>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</si>
  <si>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</si>
  <si>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</si>
  <si>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</si>
  <si>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</si>
  <si>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</si>
  <si>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</si>
  <si>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</si>
  <si>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</si>
  <si>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</si>
  <si>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</si>
  <si>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</si>
  <si>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</si>
  <si>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</si>
  <si>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</si>
  <si>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</si>
  <si>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</si>
  <si>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</si>
  <si>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</si>
  <si>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</si>
  <si>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</si>
  <si>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</si>
  <si>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</si>
  <si>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</si>
  <si>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</si>
  <si>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</si>
  <si>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</si>
  <si>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</si>
  <si>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</si>
  <si>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</si>
  <si>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</si>
  <si>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</si>
  <si>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</si>
  <si>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</si>
  <si>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</si>
  <si>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</si>
  <si>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</si>
  <si>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</si>
  <si>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</si>
  <si>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</si>
  <si>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</si>
  <si>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</si>
  <si>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</si>
  <si>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</si>
  <si>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</si>
  <si>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</si>
  <si>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</si>
  <si>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</si>
  <si>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</si>
  <si>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</si>
  <si>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</si>
  <si>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Medical Supplies</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</si>
  <si>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</si>
  <si>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</si>
  <si>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</si>
  <si>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</si>
  <si>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</si>
  <si>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</si>
  <si>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</si>
  <si>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</si>
  <si>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</si>
  <si>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</si>
  <si>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</si>
  <si>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</si>
  <si>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</si>
  <si>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</si>
  <si>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</si>
  <si>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</si>
  <si>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</si>
  <si>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</si>
  <si>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</si>
  <si>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</si>
  <si>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</si>
  <si>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</si>
  <si>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</si>
  <si>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</si>
  <si>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</si>
  <si>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</si>
  <si>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</si>
  <si>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</si>
  <si>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</si>
  <si>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</si>
  <si>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</si>
  <si>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</si>
  <si>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</si>
  <si>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</si>
  <si>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</si>
  <si>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</si>
  <si>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</si>
  <si>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</si>
  <si>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</si>
  <si>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</si>
  <si>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</si>
  <si>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</si>
  <si>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</si>
  <si>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</si>
  <si>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</si>
  <si>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</si>
  <si>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</si>
  <si>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</si>
  <si>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</si>
  <si>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</si>
  <si>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</si>
  <si>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</si>
  <si>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</si>
  <si>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</si>
  <si>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</si>
  <si>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</si>
  <si>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</si>
  <si>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</si>
  <si>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</si>
  <si>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</si>
  <si>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</si>
  <si>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</si>
  <si>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</si>
  <si>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</si>
  <si>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</si>
  <si>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</si>
  <si>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</si>
  <si>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</si>
  <si>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</si>
  <si>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Other (add rows as necessary)</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</si>
  <si>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</si>
  <si>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</si>
  <si>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</si>
  <si>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</si>
  <si>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</si>
  <si>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</si>
  <si>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</si>
  <si>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</si>
  <si>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</si>
  <si>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</si>
  <si>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</si>
  <si>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</si>
  <si>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</si>
  <si>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</si>
  <si>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</si>
  <si>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</si>
  <si>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</si>
  <si>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</si>
  <si>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</si>
  <si>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</si>
  <si>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</si>
  <si>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</si>
  <si>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</si>
  <si>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</si>
  <si>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</si>
  <si>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</si>
  <si>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</si>
  <si>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</si>
  <si>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</si>
  <si>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</si>
  <si>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</si>
  <si>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</si>
  <si>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</si>
  <si>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</si>
  <si>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</si>
  <si>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</si>
  <si>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</si>
  <si>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</si>
  <si>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</si>
  <si>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</si>
  <si>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</si>
  <si>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</si>
  <si>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</si>
  <si>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</si>
  <si>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</si>
  <si>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</si>
  <si>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</si>
  <si>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</si>
  <si>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</si>
  <si>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</si>
  <si>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</si>
  <si>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</si>
  <si>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</si>
  <si>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</si>
  <si>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</si>
  <si>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</si>
  <si>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</si>
  <si>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</si>
  <si>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</si>
  <si>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</si>
  <si>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 xml:space="preserve"> $                            -  </t>
  </si>
  <si>
    <t xml:space="preserve"> $                                 -  </t>
  </si>
  <si>
    <t xml:space="preserve">                                -  </t>
  </si>
  <si>
    <t>included in inflation</t>
  </si>
  <si>
    <t>Insurance</t>
  </si>
  <si>
    <t>ACO Dues</t>
  </si>
  <si>
    <t>Professional/Consulting Fees</t>
  </si>
  <si>
    <t>Risk Reserves</t>
  </si>
  <si>
    <t>Reform Payments</t>
  </si>
  <si>
    <t>Covid Expenses</t>
  </si>
  <si>
    <t xml:space="preserve"> $                                   -  </t>
  </si>
  <si>
    <t xml:space="preserve"> $                               -  </t>
  </si>
  <si>
    <t>Radiology</t>
  </si>
  <si>
    <t>Laboratory</t>
  </si>
  <si>
    <t>Anesthesiology</t>
  </si>
  <si>
    <t>Pharmacy</t>
  </si>
  <si>
    <t xml:space="preserve">Ophtolmology </t>
  </si>
  <si>
    <t>Other Utilization Related (Consolidated Small)</t>
  </si>
  <si>
    <t>Net Non Utilization Related</t>
  </si>
  <si>
    <t>Wages/Compensation</t>
  </si>
  <si>
    <t>Market and merit wage increases</t>
  </si>
  <si>
    <t>$ represents inflation only, excludes volume impact</t>
  </si>
  <si>
    <t>$ represents inflation only, excludes volume impact. Rate based on Vizient 2021 inflation projection report.</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</si>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</sst>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1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02">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9" fontId="25" fillId="3" borderId="4" xfId="3" applyFont="1" applyFill="1" applyBorder="1"/>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17" fillId="0" borderId="0" xfId="0" applyFont="1" applyAlignment="1">
      <alignment horizontal="center"/>
    </xf>
    <xf numFmtId="0" fontId="11" fillId="0" borderId="0" xfId="5" applyFont="1" applyFill="1" applyBorder="1" applyAlignment="1">
      <alignment horizontal="center"/>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20" xfId="0" applyFont="1" applyBorder="1"/>
    <xf numFmtId="0" fontId="2" fillId="0" borderId="40" xfId="0" applyFont="1" applyBorder="1" applyAlignment="1">
      <alignment horizontal="left" indent="3"/>
    </xf>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5" fillId="0" borderId="3" xfId="5" applyFont="1" applyBorder="1" applyAlignment="1">
      <alignment horizontal="center" wrapText="1"/>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6" fontId="0" fillId="3" borderId="4" xfId="3" applyNumberFormat="1" applyFont="1" applyFill="1" applyBorder="1" applyProtection="1">
      <protection locked="0"/>
    </xf>
    <xf numFmtId="6" fontId="0" fillId="3" borderId="4" xfId="2" applyNumberFormat="1" applyFont="1" applyFill="1" applyBorder="1" applyProtection="1">
      <protection locked="0"/>
    </xf>
    <xf numFmtId="6" fontId="0" fillId="0" borderId="4" xfId="3" applyNumberFormat="1" applyFont="1" applyFill="1" applyBorder="1" applyProtection="1">
      <protection locked="0"/>
    </xf>
    <xf numFmtId="6" fontId="0" fillId="0" borderId="4" xfId="2" applyNumberFormat="1" applyFont="1" applyFill="1" applyBorder="1" applyProtection="1">
      <protection locked="0"/>
    </xf>
    <xf numFmtId="6" fontId="0" fillId="0" borderId="4" xfId="1" applyNumberFormat="1" applyFont="1" applyBorder="1" applyProtection="1">
      <protection locked="0"/>
    </xf>
    <xf numFmtId="6" fontId="0" fillId="0" borderId="4" xfId="1" quotePrefix="1" applyNumberFormat="1" applyFont="1" applyBorder="1" applyAlignment="1" applyProtection="1">
      <alignment horizontal="right"/>
      <protection locked="0"/>
    </xf>
    <xf numFmtId="10" fontId="0" fillId="0" borderId="4" xfId="3" applyNumberFormat="1" applyFont="1" applyBorder="1" applyAlignment="1">
      <alignment horizontal="center"/>
    </xf>
    <xf numFmtId="6" fontId="4" fillId="0" borderId="4" xfId="2" applyNumberFormat="1" applyFont="1" applyBorder="1"/>
    <xf numFmtId="6" fontId="4" fillId="3" borderId="4" xfId="2" applyNumberFormat="1" applyFont="1" applyFill="1" applyBorder="1"/>
    <xf numFmtId="8" fontId="4" fillId="3" borderId="4" xfId="2" applyNumberFormat="1" applyFont="1" applyFill="1" applyBorder="1"/>
    <xf numFmtId="0" fontId="4" fillId="0" borderId="4" xfId="5" applyFont="1" applyBorder="1"/>
    <xf numFmtId="165" fontId="0" fillId="0" borderId="4" xfId="2" applyNumberFormat="1" applyFont="1" applyBorder="1" applyAlignment="1">
      <alignment horizontal="center"/>
    </xf>
    <xf numFmtId="0" fontId="0" fillId="0" borderId="4" xfId="0" applyBorder="1" applyAlignment="1">
      <alignment wrapText="1"/>
    </xf>
    <xf numFmtId="166" fontId="8" fillId="0" borderId="12" xfId="1" applyNumberFormat="1" applyFont="1" applyBorder="1"/>
    <xf numFmtId="165" fontId="8" fillId="0" borderId="12" xfId="2" applyNumberFormat="1" applyFont="1" applyBorder="1"/>
    <xf numFmtId="165" fontId="8" fillId="0" borderId="13" xfId="2" applyNumberFormat="1" applyFont="1" applyBorder="1"/>
    <xf numFmtId="165" fontId="1" fillId="0" borderId="0" xfId="2" applyNumberFormat="1" applyFont="1" applyBorder="1"/>
    <xf numFmtId="165" fontId="1" fillId="0" borderId="0" xfId="2" applyNumberFormat="1" applyFont="1"/>
    <xf numFmtId="165" fontId="1" fillId="0" borderId="17" xfId="2" applyNumberFormat="1" applyFont="1" applyBorder="1"/>
    <xf numFmtId="165" fontId="0" fillId="0" borderId="0" xfId="2" applyNumberFormat="1" applyFont="1" applyFill="1" applyBorder="1"/>
    <xf numFmtId="165" fontId="0" fillId="0" borderId="0" xfId="2" applyNumberFormat="1" applyFont="1"/>
    <xf numFmtId="165" fontId="1" fillId="0" borderId="14" xfId="2" applyNumberFormat="1" applyFont="1" applyBorder="1"/>
    <xf numFmtId="165" fontId="1" fillId="0" borderId="10" xfId="2" applyNumberFormat="1" applyFont="1" applyBorder="1"/>
    <xf numFmtId="165" fontId="1" fillId="0" borderId="27" xfId="2" applyNumberFormat="1" applyFont="1" applyBorder="1"/>
    <xf numFmtId="165" fontId="1" fillId="0" borderId="40" xfId="2" applyNumberFormat="1" applyFont="1" applyBorder="1"/>
    <xf numFmtId="165" fontId="1" fillId="0" borderId="38" xfId="2" applyNumberFormat="1" applyFont="1" applyBorder="1"/>
    <xf numFmtId="165" fontId="1" fillId="0" borderId="39" xfId="2" applyNumberFormat="1" applyFont="1" applyBorder="1"/>
    <xf numFmtId="164" fontId="0" fillId="0" borderId="0" xfId="3" applyNumberFormat="1" applyFont="1" applyBorder="1" applyAlignment="1">
      <alignment horizontal="left"/>
    </xf>
    <xf numFmtId="0" fontId="0" fillId="0" borderId="0" xfId="0"/>
    <xf numFmtId="164" fontId="0" fillId="0" borderId="4" xfId="3" applyNumberFormat="1" applyFont="1" applyBorder="1" applyAlignment="1">
      <alignment horizontal="center"/>
    </xf>
    <xf numFmtId="164" fontId="0" fillId="5" borderId="0" xfId="3" applyNumberFormat="1" applyFont="1" applyFill="1" applyBorder="1" applyAlignment="1">
      <alignment horizontal="center"/>
    </xf>
    <xf numFmtId="166" fontId="0" fillId="0" borderId="4" xfId="1" applyNumberFormat="1" applyFont="1" applyBorder="1" applyProtection="1">
      <protection locked="0"/>
    </xf>
    <xf numFmtId="0" fontId="0" fillId="0" borderId="0" xfId="0"/>
    <xf numFmtId="164" fontId="0" fillId="0" borderId="4" xfId="3" applyNumberFormat="1" applyFont="1" applyBorder="1" applyAlignment="1">
      <alignment horizontal="center"/>
    </xf>
    <xf numFmtId="0" fontId="0" fillId="0" borderId="4" xfId="0" applyBorder="1"/>
    <xf numFmtId="0" fontId="0" fillId="0" borderId="4" xfId="0" applyFill="1" applyBorder="1"/>
    <xf numFmtId="9" fontId="0" fillId="0" borderId="4" xfId="3" applyFont="1" applyBorder="1" applyAlignment="1">
      <alignment horizontal="center"/>
    </xf>
    <xf numFmtId="0" fontId="0" fillId="0" borderId="4" xfId="0" applyBorder="1" applyAlignment="1" applyProtection="1">
      <alignment horizontal="right"/>
      <protection locked="0"/>
    </xf>
    <xf numFmtId="164" fontId="0" fillId="0" borderId="4" xfId="3" applyNumberFormat="1" applyFont="1" applyBorder="1" applyAlignment="1">
      <alignment horizontal="center"/>
    </xf>
    <xf numFmtId="0" fontId="0" fillId="0" borderId="4" xfId="0" applyBorder="1" applyAlignment="1">
      <alignment horizontal="right"/>
    </xf>
    <xf numFmtId="166" fontId="0" fillId="0" borderId="4" xfId="1" applyNumberFormat="1" applyFont="1" applyBorder="1" applyProtection="1">
      <protection locked="0"/>
    </xf>
    <xf numFmtId="0" fontId="0" fillId="0" borderId="4" xfId="0" applyBorder="1" applyAlignment="1" applyProtection="1">
      <alignment horizontal="right"/>
      <protection locked="0"/>
    </xf>
    <xf numFmtId="166" fontId="0" fillId="0" borderId="4" xfId="1" applyNumberFormat="1" applyFont="1" applyBorder="1" applyProtection="1">
      <protection locked="0"/>
    </xf>
    <xf numFmtId="0" fontId="0" fillId="0" borderId="4" xfId="0" applyBorder="1" applyAlignment="1">
      <alignment horizontal="right"/>
    </xf>
    <xf numFmtId="0" fontId="0" fillId="0" borderId="4" xfId="0" applyBorder="1" applyAlignment="1" applyProtection="1">
      <alignment horizontal="right"/>
      <protection locked="0"/>
    </xf>
    <xf numFmtId="166" fontId="0" fillId="0" borderId="4" xfId="1" applyNumberFormat="1" applyFont="1" applyBorder="1" applyProtection="1">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4" fillId="0" borderId="4" xfId="5" applyNumberFormat="1" applyBorder="1" applyAlignment="1">
      <alignment horizontal="left"/>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00000000-0005-0000-0000-000001000000}"/>
    <cellStyle name="Currency" xfId="2" builtinId="4"/>
    <cellStyle name="Hyperlink" xfId="4" builtinId="8"/>
    <cellStyle name="Hyperlink 2" xfId="6" xr:uid="{00000000-0005-0000-0000-000004000000}"/>
    <cellStyle name="Normal" xfId="0" builtinId="0"/>
    <cellStyle name="Normal 2" xfId="5" xr:uid="{00000000-0005-0000-0000-000006000000}"/>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Accounting\Regulatory-%20Tax,%20CMS,%20State,%20GMCB\Green%20Mountain%20Care%20Board\FY%202022\Submitted\MAHHC%20-%20Appendices%20Workbook%20-%20FY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 Reconciliation"/>
      <sheetName val="2. Charge and NPR Detail"/>
      <sheetName val="3. Utilization"/>
      <sheetName val="4. Inflation"/>
      <sheetName val="5. Vaccine Clinics and Testing"/>
      <sheetName val="6. Value Based Care Participati"/>
      <sheetName val="7. COVID-19 Advances, Relief Fu"/>
      <sheetName val="Edit of Request Summary"/>
      <sheetName val="Non-Financial- Reimb. Ratio"/>
    </sheetNames>
    <sheetDataSet>
      <sheetData sheetId="0"/>
      <sheetData sheetId="1"/>
      <sheetData sheetId="2">
        <row r="25">
          <cell r="C25">
            <v>108520837</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topLeftCell="A4" workbookViewId="0">
      <selection activeCell="B31" sqref="B31"/>
    </sheetView>
  </sheetViews>
  <sheetFormatPr defaultRowHeight="15" x14ac:dyDescent="0.25"/>
  <cols>
    <col min="1" max="1" width="16.28515625" customWidth="1"/>
    <col min="2" max="2" width="66.7109375" style="27" customWidth="1"/>
    <col min="3" max="3" width="17.42578125" customWidth="1"/>
  </cols>
  <sheetData>
    <row r="1" spans="1:3" ht="18.75" x14ac:dyDescent="0.3">
      <c r="A1" s="326" t="s">
        <v>0</v>
      </c>
      <c r="B1" s="326"/>
    </row>
    <row r="2" spans="1:3" x14ac:dyDescent="0.25">
      <c r="A2" s="327" t="s">
        <v>1</v>
      </c>
      <c r="B2" s="327"/>
    </row>
    <row r="3" spans="1:3" ht="166.9" customHeight="1" x14ac:dyDescent="0.25">
      <c r="A3" s="325" t="s">
        <v>212</v>
      </c>
      <c r="B3" s="325"/>
    </row>
    <row r="4" spans="1:3" x14ac:dyDescent="0.25">
      <c r="B4" s="47"/>
    </row>
    <row r="5" spans="1:3" ht="15.75" x14ac:dyDescent="0.25">
      <c r="A5" s="115" t="s">
        <v>2</v>
      </c>
      <c r="B5" s="26" t="s">
        <v>3</v>
      </c>
      <c r="C5" s="46"/>
    </row>
    <row r="6" spans="1:3" ht="15.75" x14ac:dyDescent="0.25">
      <c r="A6" s="115" t="s">
        <v>2</v>
      </c>
      <c r="B6" s="46" t="s">
        <v>4</v>
      </c>
      <c r="C6" s="46"/>
    </row>
    <row r="7" spans="1:3" ht="15.75" x14ac:dyDescent="0.25">
      <c r="A7" s="114" t="s">
        <v>5</v>
      </c>
      <c r="B7" s="46" t="s">
        <v>6</v>
      </c>
      <c r="C7" s="46"/>
    </row>
    <row r="8" spans="1:3" ht="15.75" x14ac:dyDescent="0.25">
      <c r="A8" s="115" t="s">
        <v>2</v>
      </c>
      <c r="B8" s="26" t="s">
        <v>7</v>
      </c>
      <c r="C8" s="46"/>
    </row>
    <row r="9" spans="1:3" ht="15.75" x14ac:dyDescent="0.25">
      <c r="A9" s="115" t="s">
        <v>2</v>
      </c>
      <c r="B9" s="26" t="s">
        <v>8</v>
      </c>
      <c r="C9" s="46"/>
    </row>
    <row r="10" spans="1:3" ht="15.75" x14ac:dyDescent="0.25">
      <c r="A10" s="115" t="s">
        <v>2</v>
      </c>
      <c r="B10" s="26" t="s">
        <v>9</v>
      </c>
      <c r="C10" s="46"/>
    </row>
    <row r="11" spans="1:3" ht="15.75" x14ac:dyDescent="0.25">
      <c r="A11" s="115" t="s">
        <v>2</v>
      </c>
      <c r="B11" s="26" t="s">
        <v>10</v>
      </c>
      <c r="C11" s="46"/>
    </row>
    <row r="12" spans="1:3" ht="15.75" x14ac:dyDescent="0.25">
      <c r="A12" s="115"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194</v>
      </c>
    </row>
    <row r="3" spans="2:5" x14ac:dyDescent="0.25">
      <c r="B3" t="s">
        <v>195</v>
      </c>
      <c r="C3" t="s">
        <v>196</v>
      </c>
      <c r="D3" t="s">
        <v>163</v>
      </c>
      <c r="E3" t="s">
        <v>162</v>
      </c>
    </row>
    <row r="4" spans="2:5" x14ac:dyDescent="0.25">
      <c r="B4" s="16" t="s">
        <v>197</v>
      </c>
      <c r="C4" s="25">
        <v>180</v>
      </c>
      <c r="D4" s="25">
        <v>100</v>
      </c>
      <c r="E4" s="16" t="s">
        <v>198</v>
      </c>
    </row>
    <row r="5" spans="2:5" x14ac:dyDescent="0.25">
      <c r="B5" s="16" t="s">
        <v>199</v>
      </c>
      <c r="C5" s="25">
        <v>163</v>
      </c>
      <c r="D5" s="25">
        <v>100</v>
      </c>
      <c r="E5" s="25">
        <v>85</v>
      </c>
    </row>
    <row r="6" spans="2:5" x14ac:dyDescent="0.25">
      <c r="B6" s="16" t="s">
        <v>200</v>
      </c>
      <c r="C6" s="25">
        <v>186</v>
      </c>
      <c r="D6" s="25">
        <v>100</v>
      </c>
      <c r="E6" s="25">
        <v>58</v>
      </c>
    </row>
    <row r="7" spans="2:5" x14ac:dyDescent="0.25">
      <c r="B7" s="16" t="s">
        <v>201</v>
      </c>
      <c r="C7" s="25">
        <v>92</v>
      </c>
      <c r="D7" s="25">
        <v>100</v>
      </c>
      <c r="E7" s="25">
        <v>52</v>
      </c>
    </row>
    <row r="8" spans="2:5" x14ac:dyDescent="0.25">
      <c r="B8" s="16" t="s">
        <v>202</v>
      </c>
      <c r="C8" s="25">
        <v>166</v>
      </c>
      <c r="D8" s="25">
        <v>100</v>
      </c>
      <c r="E8" s="25">
        <v>76</v>
      </c>
    </row>
    <row r="9" spans="2:5" x14ac:dyDescent="0.25">
      <c r="B9" s="16" t="s">
        <v>203</v>
      </c>
      <c r="C9" s="25">
        <v>130</v>
      </c>
      <c r="D9" s="25">
        <v>100</v>
      </c>
      <c r="E9" s="25">
        <v>75</v>
      </c>
    </row>
    <row r="10" spans="2:5" x14ac:dyDescent="0.25">
      <c r="B10" s="16" t="s">
        <v>204</v>
      </c>
      <c r="C10" s="25">
        <v>160</v>
      </c>
      <c r="D10" s="25">
        <v>100</v>
      </c>
      <c r="E10" s="25">
        <v>79</v>
      </c>
    </row>
    <row r="11" spans="2:5" x14ac:dyDescent="0.25">
      <c r="B11" s="16" t="s">
        <v>205</v>
      </c>
      <c r="C11" s="25">
        <v>120</v>
      </c>
      <c r="D11" s="25">
        <v>100</v>
      </c>
      <c r="E11" s="25">
        <v>81</v>
      </c>
    </row>
    <row r="12" spans="2:5" x14ac:dyDescent="0.25">
      <c r="B12" s="16" t="s">
        <v>206</v>
      </c>
      <c r="C12" s="25">
        <v>160</v>
      </c>
      <c r="D12" s="25">
        <v>100</v>
      </c>
      <c r="E12" s="25">
        <v>72</v>
      </c>
    </row>
    <row r="13" spans="2:5" x14ac:dyDescent="0.25">
      <c r="B13" s="16" t="s">
        <v>207</v>
      </c>
      <c r="C13" s="25">
        <v>150</v>
      </c>
      <c r="D13" s="25">
        <v>100</v>
      </c>
      <c r="E13" s="16">
        <v>55</v>
      </c>
    </row>
    <row r="14" spans="2:5" x14ac:dyDescent="0.25">
      <c r="B14" s="16" t="s">
        <v>208</v>
      </c>
      <c r="C14" s="25">
        <v>264</v>
      </c>
      <c r="D14" s="25">
        <v>100</v>
      </c>
      <c r="E14" s="25">
        <v>44</v>
      </c>
    </row>
    <row r="15" spans="2:5" x14ac:dyDescent="0.25">
      <c r="B15" s="16" t="s">
        <v>209</v>
      </c>
      <c r="C15" s="25">
        <v>178</v>
      </c>
      <c r="D15" s="25">
        <v>100</v>
      </c>
      <c r="E15" s="25">
        <v>108</v>
      </c>
    </row>
    <row r="16" spans="2:5" x14ac:dyDescent="0.25">
      <c r="B16" s="16" t="s">
        <v>210</v>
      </c>
      <c r="C16" s="25">
        <v>185</v>
      </c>
      <c r="D16" s="25">
        <v>100</v>
      </c>
      <c r="E16" s="25">
        <v>89</v>
      </c>
    </row>
    <row r="17" spans="2:5" x14ac:dyDescent="0.25">
      <c r="B17" s="16" t="s">
        <v>211</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2:W114"/>
  <sheetViews>
    <sheetView showGridLines="0" tabSelected="1" zoomScaleNormal="100" zoomScaleSheetLayoutView="80" workbookViewId="0">
      <selection activeCell="K14" sqref="K14"/>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29" t="s">
        <v>12</v>
      </c>
      <c r="C2" s="329"/>
      <c r="D2" s="329"/>
      <c r="E2" s="329"/>
      <c r="F2" s="329"/>
      <c r="G2" s="329"/>
      <c r="H2" s="329"/>
      <c r="I2" s="329"/>
      <c r="J2" s="329"/>
      <c r="K2" s="329"/>
      <c r="L2" s="329"/>
      <c r="M2" s="329"/>
      <c r="N2" s="329"/>
      <c r="O2" s="329"/>
    </row>
    <row r="3" spans="1:15" ht="21" x14ac:dyDescent="0.35">
      <c r="B3" s="330" t="s">
        <v>13</v>
      </c>
      <c r="C3" s="331"/>
      <c r="D3" s="331"/>
      <c r="E3" s="331"/>
      <c r="F3" s="331"/>
      <c r="G3" s="331"/>
      <c r="H3" s="331"/>
      <c r="I3" s="331"/>
      <c r="J3" s="331"/>
      <c r="K3" s="331"/>
      <c r="L3" s="331"/>
      <c r="M3" s="331"/>
      <c r="N3" s="331"/>
      <c r="O3" s="332"/>
    </row>
    <row r="4" spans="1:15" ht="21" x14ac:dyDescent="0.35">
      <c r="B4" s="336" t="s">
        <v>14</v>
      </c>
      <c r="C4" s="337"/>
      <c r="D4" s="337"/>
      <c r="E4" s="337"/>
      <c r="F4" s="337"/>
      <c r="G4" s="337"/>
      <c r="H4" s="337"/>
      <c r="I4" s="337"/>
      <c r="J4" s="337"/>
      <c r="K4" s="337"/>
      <c r="L4" s="337"/>
      <c r="M4" s="337"/>
      <c r="N4" s="337"/>
      <c r="O4" s="338"/>
    </row>
    <row r="6" spans="1:15" ht="18.75" x14ac:dyDescent="0.3">
      <c r="B6" s="333" t="s">
        <v>15</v>
      </c>
      <c r="C6" s="334"/>
      <c r="D6" s="334"/>
      <c r="E6" s="334"/>
      <c r="F6" s="334"/>
      <c r="G6" s="334"/>
      <c r="H6" s="334"/>
      <c r="I6" s="334"/>
      <c r="J6" s="334"/>
      <c r="K6" s="334"/>
      <c r="L6" s="334"/>
      <c r="M6" s="334"/>
      <c r="N6" s="334"/>
      <c r="O6" s="335"/>
    </row>
    <row r="7" spans="1:15" s="59" customFormat="1" ht="18.75" x14ac:dyDescent="0.3">
      <c r="B7" s="58"/>
      <c r="C7" s="58"/>
      <c r="D7" s="58"/>
      <c r="E7" s="58"/>
      <c r="F7" s="58"/>
      <c r="G7" s="58"/>
      <c r="H7" s="58"/>
      <c r="I7" s="58"/>
      <c r="J7" s="58"/>
      <c r="K7" s="58"/>
      <c r="L7" s="58"/>
      <c r="M7" s="58"/>
      <c r="N7" s="58"/>
      <c r="O7" s="58"/>
    </row>
    <row r="8" spans="1:15" ht="18.75" x14ac:dyDescent="0.3">
      <c r="B8" s="99" t="s">
        <v>16</v>
      </c>
      <c r="C8" s="4"/>
    </row>
    <row r="9" spans="1:15" ht="22.15" customHeight="1" x14ac:dyDescent="0.3">
      <c r="B9" s="4"/>
      <c r="C9" s="4"/>
      <c r="E9" s="87"/>
      <c r="F9" s="87"/>
      <c r="G9" s="87"/>
      <c r="H9" s="87"/>
      <c r="I9" s="87"/>
      <c r="K9" s="28"/>
    </row>
    <row r="10" spans="1:15" s="106" customFormat="1" ht="30" x14ac:dyDescent="0.25">
      <c r="B10" s="104" t="s">
        <v>17</v>
      </c>
      <c r="C10" s="104" t="s">
        <v>18</v>
      </c>
      <c r="D10" s="104" t="s">
        <v>19</v>
      </c>
      <c r="E10" s="104" t="s">
        <v>20</v>
      </c>
      <c r="F10" s="104" t="s">
        <v>21</v>
      </c>
      <c r="G10" s="104" t="s">
        <v>216</v>
      </c>
      <c r="H10" s="104" t="s">
        <v>237</v>
      </c>
      <c r="I10" s="105"/>
      <c r="J10" s="107"/>
    </row>
    <row r="11" spans="1:15" x14ac:dyDescent="0.25">
      <c r="B11" s="5" t="s">
        <v>22</v>
      </c>
      <c r="C11" s="92">
        <v>56211391</v>
      </c>
      <c r="D11" s="279">
        <v>32673412</v>
      </c>
      <c r="E11" s="280">
        <v>3460736</v>
      </c>
      <c r="F11" s="280">
        <v>19737243</v>
      </c>
      <c r="G11" s="98"/>
      <c r="H11" s="280">
        <v>340000</v>
      </c>
      <c r="J11" s="28"/>
    </row>
    <row r="12" spans="1:15" ht="14.45" customHeight="1" x14ac:dyDescent="0.25">
      <c r="A12" s="339"/>
      <c r="B12" s="8" t="s">
        <v>57</v>
      </c>
      <c r="C12" s="92">
        <v>1075031</v>
      </c>
      <c r="D12" s="281">
        <v>565870</v>
      </c>
      <c r="E12" s="282">
        <v>56282</v>
      </c>
      <c r="F12" s="283">
        <v>452879</v>
      </c>
      <c r="G12" s="95"/>
      <c r="H12" s="95"/>
      <c r="L12" s="22"/>
      <c r="M12" s="23"/>
    </row>
    <row r="13" spans="1:15" x14ac:dyDescent="0.25">
      <c r="A13" s="339"/>
      <c r="B13" s="8" t="s">
        <v>58</v>
      </c>
      <c r="C13" s="92">
        <v>60000</v>
      </c>
      <c r="D13" s="93"/>
      <c r="E13" s="94"/>
      <c r="F13" s="95"/>
      <c r="G13" s="95"/>
      <c r="H13" s="283">
        <v>60000</v>
      </c>
      <c r="L13" s="22"/>
      <c r="M13" s="23"/>
    </row>
    <row r="14" spans="1:15" x14ac:dyDescent="0.25">
      <c r="A14" s="339"/>
      <c r="B14" s="8" t="s">
        <v>59</v>
      </c>
      <c r="C14" s="92">
        <v>1303098</v>
      </c>
      <c r="D14" s="281">
        <v>658777</v>
      </c>
      <c r="E14" s="282">
        <v>72992</v>
      </c>
      <c r="F14" s="283">
        <v>571329</v>
      </c>
      <c r="G14" s="95"/>
      <c r="H14" s="95"/>
      <c r="L14" s="22"/>
      <c r="M14" s="23"/>
    </row>
    <row r="15" spans="1:15" x14ac:dyDescent="0.25">
      <c r="A15" s="339"/>
      <c r="B15" s="8" t="s">
        <v>60</v>
      </c>
      <c r="C15" s="92">
        <v>472282</v>
      </c>
      <c r="D15" s="93"/>
      <c r="E15" s="282">
        <v>472282</v>
      </c>
      <c r="F15" s="95"/>
      <c r="G15" s="95"/>
      <c r="H15" s="95"/>
      <c r="L15" s="22"/>
      <c r="M15" s="23"/>
    </row>
    <row r="16" spans="1:15" x14ac:dyDescent="0.25">
      <c r="A16" s="339"/>
      <c r="B16" s="10" t="s">
        <v>25</v>
      </c>
      <c r="C16" s="92" t="s">
        <v>245</v>
      </c>
      <c r="D16" s="93"/>
      <c r="E16" s="94"/>
      <c r="F16" s="96"/>
      <c r="G16" s="96"/>
      <c r="H16" s="96"/>
      <c r="L16" s="22"/>
      <c r="M16" s="23"/>
    </row>
    <row r="17" spans="1:23" x14ac:dyDescent="0.25">
      <c r="A17" s="339"/>
      <c r="B17" s="10" t="s">
        <v>26</v>
      </c>
      <c r="C17" s="92" t="s">
        <v>245</v>
      </c>
      <c r="D17" s="93"/>
      <c r="E17" s="94"/>
      <c r="F17" s="95"/>
      <c r="G17" s="95"/>
      <c r="H17" s="95"/>
      <c r="L17" s="22"/>
      <c r="M17" s="23"/>
    </row>
    <row r="18" spans="1:23" x14ac:dyDescent="0.25">
      <c r="A18" s="339"/>
      <c r="B18" s="10" t="s">
        <v>27</v>
      </c>
      <c r="C18" s="92">
        <v>-14992</v>
      </c>
      <c r="D18" s="281">
        <v>-2735627</v>
      </c>
      <c r="E18" s="282">
        <v>695924</v>
      </c>
      <c r="F18" s="283">
        <v>2024711</v>
      </c>
      <c r="G18" s="95"/>
      <c r="H18" s="95"/>
      <c r="L18" s="22"/>
      <c r="M18" s="23"/>
    </row>
    <row r="19" spans="1:23" x14ac:dyDescent="0.25">
      <c r="A19" s="339"/>
      <c r="B19" s="10" t="s">
        <v>61</v>
      </c>
      <c r="C19" s="92">
        <v>-378358</v>
      </c>
      <c r="D19" s="93"/>
      <c r="E19" s="94"/>
      <c r="F19" s="283">
        <v>-378358</v>
      </c>
      <c r="G19" s="95"/>
      <c r="H19" s="95"/>
      <c r="L19" s="22"/>
      <c r="M19" s="23"/>
    </row>
    <row r="20" spans="1:23" x14ac:dyDescent="0.25">
      <c r="B20" s="91" t="s">
        <v>252</v>
      </c>
      <c r="C20" s="92">
        <v>751790</v>
      </c>
      <c r="D20" s="281">
        <v>456666</v>
      </c>
      <c r="E20" s="282">
        <v>295124</v>
      </c>
      <c r="F20" s="96"/>
      <c r="G20" s="96"/>
      <c r="H20" s="96"/>
      <c r="O20" s="22"/>
      <c r="P20" s="23"/>
    </row>
    <row r="21" spans="1:23" x14ac:dyDescent="0.25">
      <c r="B21" s="91" t="s">
        <v>253</v>
      </c>
      <c r="C21" s="92">
        <v>160669</v>
      </c>
      <c r="D21" s="281">
        <v>-15000</v>
      </c>
      <c r="E21" s="282">
        <v>65669</v>
      </c>
      <c r="F21" s="284">
        <v>110000</v>
      </c>
      <c r="G21" s="96"/>
      <c r="H21" s="96"/>
      <c r="O21" s="22"/>
      <c r="P21" s="23"/>
    </row>
    <row r="22" spans="1:23" x14ac:dyDescent="0.25">
      <c r="B22" s="91" t="s">
        <v>28</v>
      </c>
      <c r="C22" s="92" t="s">
        <v>245</v>
      </c>
      <c r="D22" s="93"/>
      <c r="E22" s="94"/>
      <c r="F22" s="96"/>
      <c r="G22" s="96"/>
      <c r="H22" s="96"/>
      <c r="O22" s="22"/>
      <c r="P22" s="23"/>
    </row>
    <row r="23" spans="1:23" x14ac:dyDescent="0.25">
      <c r="B23" s="11" t="s">
        <v>29</v>
      </c>
      <c r="C23" s="6">
        <v>59640911</v>
      </c>
      <c r="D23" s="55">
        <v>31604098</v>
      </c>
      <c r="E23" s="55">
        <v>5119009</v>
      </c>
      <c r="F23" s="55">
        <v>22517804</v>
      </c>
      <c r="G23" s="55" t="s">
        <v>246</v>
      </c>
      <c r="H23" s="55">
        <v>400000</v>
      </c>
      <c r="O23" s="22"/>
      <c r="P23" s="23"/>
    </row>
    <row r="24" spans="1:23" x14ac:dyDescent="0.25">
      <c r="C24" s="14"/>
      <c r="D24" s="15"/>
      <c r="O24" s="22"/>
      <c r="P24" s="23"/>
    </row>
    <row r="25" spans="1:23" x14ac:dyDescent="0.25">
      <c r="B25" s="29" t="s">
        <v>30</v>
      </c>
      <c r="C25" s="67">
        <f>+C23-C11</f>
        <v>3429520</v>
      </c>
      <c r="D25" s="19">
        <f t="shared" ref="D25:H25" si="0">+D23-D11</f>
        <v>-1069314</v>
      </c>
      <c r="E25" s="19">
        <f t="shared" si="0"/>
        <v>1658273</v>
      </c>
      <c r="F25" s="19">
        <f t="shared" si="0"/>
        <v>2780561</v>
      </c>
      <c r="G25" s="19" t="e">
        <f t="shared" si="0"/>
        <v>#VALUE!</v>
      </c>
      <c r="H25" s="19">
        <f t="shared" si="0"/>
        <v>60000</v>
      </c>
      <c r="O25" s="22"/>
      <c r="P25" s="23"/>
    </row>
    <row r="26" spans="1:23" x14ac:dyDescent="0.25">
      <c r="B26" s="56" t="s">
        <v>31</v>
      </c>
      <c r="C26" s="57">
        <f>(C25)/C11</f>
        <v>6.1011121393526803E-2</v>
      </c>
      <c r="D26" s="57">
        <f t="shared" ref="D26:H26" si="1">(D25)/D11</f>
        <v>-3.2727344178196019E-2</v>
      </c>
      <c r="E26" s="57">
        <f t="shared" si="1"/>
        <v>0.47916772617154268</v>
      </c>
      <c r="F26" s="57">
        <f t="shared" si="1"/>
        <v>0.14087889580120183</v>
      </c>
      <c r="G26" s="57" t="e">
        <f t="shared" si="1"/>
        <v>#VALUE!</v>
      </c>
      <c r="H26" s="57">
        <f t="shared" si="1"/>
        <v>0.17647058823529413</v>
      </c>
      <c r="O26" s="22"/>
      <c r="P26" s="23"/>
    </row>
    <row r="27" spans="1:23" x14ac:dyDescent="0.25">
      <c r="B27" s="212"/>
      <c r="C27" s="62"/>
      <c r="D27" s="62"/>
      <c r="E27" s="62"/>
      <c r="F27" s="62"/>
      <c r="G27" s="62"/>
      <c r="H27" s="62"/>
      <c r="O27" s="22"/>
      <c r="P27" s="23"/>
    </row>
    <row r="28" spans="1:23" x14ac:dyDescent="0.25">
      <c r="B28" s="29" t="s">
        <v>32</v>
      </c>
      <c r="C28" s="67">
        <f>'5. Vaccine Clinics and Testing'!D23</f>
        <v>294000</v>
      </c>
      <c r="D28" s="62"/>
      <c r="E28" s="62"/>
      <c r="F28" s="62"/>
      <c r="G28" s="62"/>
      <c r="H28" s="62"/>
      <c r="O28" s="22"/>
      <c r="P28" s="23"/>
    </row>
    <row r="29" spans="1:23" ht="30" x14ac:dyDescent="0.25">
      <c r="B29" s="213" t="s">
        <v>33</v>
      </c>
      <c r="C29" s="214">
        <f>C23-C28</f>
        <v>59346911</v>
      </c>
      <c r="D29" s="15"/>
      <c r="E29" s="15"/>
      <c r="K29" s="23"/>
      <c r="L29" s="23"/>
      <c r="M29" s="14"/>
      <c r="N29" s="24"/>
      <c r="V29" s="22"/>
      <c r="W29" s="23"/>
    </row>
    <row r="30" spans="1:23" x14ac:dyDescent="0.25">
      <c r="B30" s="212"/>
      <c r="C30" s="62"/>
      <c r="D30" s="15"/>
      <c r="E30" s="15"/>
      <c r="K30" s="23"/>
      <c r="L30" s="23"/>
      <c r="M30" s="14"/>
      <c r="N30" s="24"/>
      <c r="V30" s="22"/>
      <c r="W30" s="23"/>
    </row>
    <row r="31" spans="1:23" x14ac:dyDescent="0.25">
      <c r="B31" s="29" t="s">
        <v>34</v>
      </c>
      <c r="C31" s="67">
        <f>C29-C11</f>
        <v>3135520</v>
      </c>
      <c r="D31" s="15"/>
      <c r="E31" s="15"/>
      <c r="O31" s="22"/>
      <c r="P31" s="23"/>
    </row>
    <row r="32" spans="1:23" x14ac:dyDescent="0.25">
      <c r="B32" s="56" t="s">
        <v>35</v>
      </c>
      <c r="C32" s="57">
        <f>(C31)/C11</f>
        <v>5.5780864771697254E-2</v>
      </c>
      <c r="D32" s="15"/>
      <c r="E32" s="15"/>
      <c r="O32" s="22"/>
      <c r="P32" s="23"/>
    </row>
    <row r="33" spans="2:23" x14ac:dyDescent="0.25">
      <c r="B33" s="212"/>
      <c r="C33" s="62"/>
      <c r="D33" s="62"/>
      <c r="E33" s="62"/>
      <c r="F33" s="62"/>
      <c r="G33" s="62"/>
      <c r="H33" s="62"/>
      <c r="O33" s="22"/>
      <c r="P33" s="23"/>
    </row>
    <row r="34" spans="2:23" ht="28.15" customHeight="1" x14ac:dyDescent="0.3">
      <c r="B34" s="99" t="s">
        <v>36</v>
      </c>
      <c r="C34" s="4"/>
      <c r="D34" s="15"/>
      <c r="E34" s="15"/>
      <c r="V34" s="22"/>
      <c r="W34" s="23"/>
    </row>
    <row r="35" spans="2:23" ht="18.75" x14ac:dyDescent="0.3">
      <c r="B35" s="99"/>
      <c r="C35" s="4"/>
      <c r="D35" s="15"/>
      <c r="E35" s="15"/>
      <c r="V35" s="22"/>
      <c r="W35" s="23"/>
    </row>
    <row r="36" spans="2:23" s="90" customFormat="1" x14ac:dyDescent="0.25">
      <c r="B36" s="101" t="s">
        <v>37</v>
      </c>
      <c r="C36" s="101" t="s">
        <v>38</v>
      </c>
      <c r="D36" s="101" t="s">
        <v>39</v>
      </c>
      <c r="E36" s="53"/>
      <c r="V36" s="102"/>
      <c r="W36" s="103"/>
    </row>
    <row r="37" spans="2:23" x14ac:dyDescent="0.25">
      <c r="B37" s="5" t="s">
        <v>40</v>
      </c>
      <c r="C37" s="92">
        <v>59828546</v>
      </c>
      <c r="D37" s="7"/>
      <c r="E37" s="62"/>
      <c r="V37" s="22"/>
      <c r="W37" s="23"/>
    </row>
    <row r="38" spans="2:23" x14ac:dyDescent="0.25">
      <c r="B38" s="8" t="s">
        <v>41</v>
      </c>
      <c r="C38" s="97">
        <v>385331</v>
      </c>
      <c r="D38" s="285">
        <v>6.0000000000000001E-3</v>
      </c>
      <c r="E38" s="54"/>
      <c r="V38" s="22"/>
    </row>
    <row r="39" spans="2:23" x14ac:dyDescent="0.25">
      <c r="B39" s="10" t="s">
        <v>42</v>
      </c>
      <c r="C39" s="269">
        <v>1120730</v>
      </c>
      <c r="D39" s="9">
        <v>1.9E-2</v>
      </c>
      <c r="E39" s="270" t="s">
        <v>238</v>
      </c>
      <c r="V39" s="22"/>
    </row>
    <row r="40" spans="2:23" x14ac:dyDescent="0.25">
      <c r="B40" s="10" t="s">
        <v>43</v>
      </c>
      <c r="C40" s="97" t="s">
        <v>247</v>
      </c>
      <c r="D40" s="9">
        <v>0</v>
      </c>
      <c r="E40" s="54" t="s">
        <v>248</v>
      </c>
      <c r="V40" s="22"/>
    </row>
    <row r="41" spans="2:23" x14ac:dyDescent="0.25">
      <c r="B41" s="10" t="s">
        <v>44</v>
      </c>
      <c r="C41" s="97">
        <v>1055164</v>
      </c>
      <c r="D41" s="9">
        <v>1.7999999999999999E-2</v>
      </c>
      <c r="E41" s="54"/>
      <c r="V41" s="22"/>
    </row>
    <row r="42" spans="2:23" x14ac:dyDescent="0.25">
      <c r="B42" s="10" t="s">
        <v>45</v>
      </c>
      <c r="C42" s="97">
        <v>409448</v>
      </c>
      <c r="D42" s="9">
        <v>7.0000000000000001E-3</v>
      </c>
      <c r="E42" s="54"/>
      <c r="V42" s="22"/>
    </row>
    <row r="43" spans="2:23" x14ac:dyDescent="0.25">
      <c r="B43" s="318" t="s">
        <v>46</v>
      </c>
      <c r="C43" s="319"/>
      <c r="D43" s="317"/>
      <c r="E43" s="54"/>
      <c r="V43" s="22"/>
    </row>
    <row r="44" spans="2:23" x14ac:dyDescent="0.25">
      <c r="B44" s="10" t="s">
        <v>47</v>
      </c>
      <c r="C44" s="97">
        <v>-94863</v>
      </c>
      <c r="D44" s="9">
        <v>-2E-3</v>
      </c>
      <c r="E44" s="54"/>
    </row>
    <row r="45" spans="2:23" x14ac:dyDescent="0.25">
      <c r="B45" s="10" t="s">
        <v>48</v>
      </c>
      <c r="C45" s="97">
        <v>-40000</v>
      </c>
      <c r="D45" s="9">
        <v>-1E-3</v>
      </c>
      <c r="E45" s="306" t="s">
        <v>248</v>
      </c>
    </row>
    <row r="46" spans="2:23" x14ac:dyDescent="0.25">
      <c r="B46" s="91" t="s">
        <v>49</v>
      </c>
      <c r="C46" s="97">
        <v>-391365</v>
      </c>
      <c r="D46" s="285">
        <v>-7.0000000000000001E-3</v>
      </c>
      <c r="E46" s="80"/>
    </row>
    <row r="47" spans="2:23" x14ac:dyDescent="0.25">
      <c r="B47" s="10" t="s">
        <v>249</v>
      </c>
      <c r="C47" s="97"/>
      <c r="D47" s="285">
        <v>0</v>
      </c>
      <c r="E47" s="54"/>
    </row>
    <row r="48" spans="2:23" x14ac:dyDescent="0.25">
      <c r="B48" s="10" t="s">
        <v>114</v>
      </c>
      <c r="C48" s="97">
        <v>101398</v>
      </c>
      <c r="D48" s="285">
        <v>2E-3</v>
      </c>
      <c r="E48" s="54"/>
    </row>
    <row r="49" spans="2:23" x14ac:dyDescent="0.25">
      <c r="B49" s="91" t="s">
        <v>250</v>
      </c>
      <c r="C49" s="97">
        <v>98616</v>
      </c>
      <c r="D49" s="285">
        <v>2E-3</v>
      </c>
      <c r="E49" s="54"/>
    </row>
    <row r="50" spans="2:23" x14ac:dyDescent="0.25">
      <c r="B50" s="91" t="s">
        <v>251</v>
      </c>
      <c r="C50" s="97">
        <v>478115</v>
      </c>
      <c r="D50" s="285">
        <v>8.0000000000000002E-3</v>
      </c>
      <c r="E50" s="54"/>
    </row>
    <row r="51" spans="2:23" x14ac:dyDescent="0.25">
      <c r="B51" s="320" t="s">
        <v>50</v>
      </c>
      <c r="C51" s="321"/>
      <c r="D51" s="321"/>
      <c r="E51" s="54"/>
    </row>
    <row r="52" spans="2:23" x14ac:dyDescent="0.25">
      <c r="B52" s="11" t="s">
        <v>51</v>
      </c>
      <c r="C52" s="12">
        <v>62951120</v>
      </c>
      <c r="D52" s="13">
        <v>5.1999999999999998E-2</v>
      </c>
      <c r="E52" s="80"/>
    </row>
    <row r="53" spans="2:23" x14ac:dyDescent="0.25">
      <c r="B53" s="88"/>
      <c r="C53" s="89"/>
      <c r="D53" s="80"/>
      <c r="E53" s="80"/>
    </row>
    <row r="54" spans="2:23" x14ac:dyDescent="0.25">
      <c r="B54" s="29" t="s">
        <v>30</v>
      </c>
      <c r="C54" s="67">
        <f>+C52-C37</f>
        <v>3122574</v>
      </c>
      <c r="D54" s="80"/>
      <c r="E54" s="80"/>
    </row>
    <row r="55" spans="2:23" x14ac:dyDescent="0.25">
      <c r="B55" s="56" t="s">
        <v>31</v>
      </c>
      <c r="C55" s="57">
        <f>(C54)/C37</f>
        <v>5.2192042240170773E-2</v>
      </c>
      <c r="D55" s="80"/>
      <c r="E55" s="80"/>
    </row>
    <row r="56" spans="2:23" x14ac:dyDescent="0.25">
      <c r="B56" s="212"/>
      <c r="C56" s="62"/>
      <c r="D56" s="62"/>
      <c r="E56" s="62"/>
      <c r="F56" s="62"/>
      <c r="G56" s="62"/>
      <c r="H56" s="62"/>
      <c r="O56" s="22"/>
      <c r="P56" s="23"/>
    </row>
    <row r="57" spans="2:23" x14ac:dyDescent="0.25">
      <c r="B57" s="29" t="s">
        <v>32</v>
      </c>
      <c r="C57" s="67">
        <f>'5. Vaccine Clinics and Testing'!D36</f>
        <v>449038</v>
      </c>
      <c r="D57" s="62"/>
      <c r="E57" s="62"/>
      <c r="F57" s="62"/>
      <c r="G57" s="62"/>
      <c r="H57" s="62"/>
      <c r="O57" s="22"/>
      <c r="P57" s="23"/>
    </row>
    <row r="58" spans="2:23" ht="30" x14ac:dyDescent="0.25">
      <c r="B58" s="213" t="s">
        <v>33</v>
      </c>
      <c r="C58" s="214">
        <f>C52-C57</f>
        <v>62502082</v>
      </c>
      <c r="D58" s="15"/>
      <c r="E58" s="15"/>
      <c r="K58" s="23"/>
      <c r="L58" s="23"/>
      <c r="M58" s="14"/>
      <c r="N58" s="24"/>
      <c r="V58" s="22"/>
      <c r="W58" s="23"/>
    </row>
    <row r="59" spans="2:23" x14ac:dyDescent="0.25">
      <c r="B59" s="212"/>
      <c r="C59" s="62"/>
      <c r="D59" s="15"/>
      <c r="E59" s="15"/>
      <c r="K59" s="23"/>
      <c r="L59" s="23"/>
      <c r="M59" s="14"/>
      <c r="N59" s="24"/>
      <c r="V59" s="22"/>
      <c r="W59" s="23"/>
    </row>
    <row r="60" spans="2:23" x14ac:dyDescent="0.25">
      <c r="B60" s="29" t="s">
        <v>34</v>
      </c>
      <c r="C60" s="67">
        <f>C58-C37</f>
        <v>2673536</v>
      </c>
      <c r="D60" s="15"/>
      <c r="E60" s="15"/>
      <c r="O60" s="22"/>
      <c r="P60" s="23"/>
    </row>
    <row r="61" spans="2:23" x14ac:dyDescent="0.25">
      <c r="B61" s="56" t="s">
        <v>35</v>
      </c>
      <c r="C61" s="57">
        <f>(C60)/C37</f>
        <v>4.4686628352960472E-2</v>
      </c>
      <c r="D61" s="15"/>
      <c r="E61" s="15"/>
      <c r="O61" s="22"/>
      <c r="P61" s="23"/>
    </row>
    <row r="62" spans="2:23" x14ac:dyDescent="0.25">
      <c r="B62" s="212"/>
      <c r="C62" s="62"/>
      <c r="D62" s="62"/>
      <c r="E62" s="62"/>
      <c r="F62" s="62"/>
      <c r="G62" s="62"/>
      <c r="H62" s="62"/>
      <c r="O62" s="22"/>
      <c r="P62" s="23"/>
    </row>
    <row r="64" spans="2:23" ht="18.75" x14ac:dyDescent="0.3">
      <c r="B64" s="333" t="s">
        <v>52</v>
      </c>
      <c r="C64" s="334"/>
      <c r="D64" s="334"/>
      <c r="E64" s="334"/>
      <c r="F64" s="334"/>
      <c r="G64" s="334"/>
      <c r="H64" s="334"/>
      <c r="I64" s="334"/>
      <c r="J64" s="334"/>
      <c r="K64" s="334"/>
      <c r="L64" s="334"/>
      <c r="M64" s="334"/>
      <c r="N64" s="334"/>
      <c r="O64" s="335"/>
      <c r="V64" s="22"/>
      <c r="W64" s="23"/>
    </row>
    <row r="65" spans="1:13" x14ac:dyDescent="0.25">
      <c r="B65" s="17"/>
    </row>
    <row r="66" spans="1:13" ht="18.75" x14ac:dyDescent="0.3">
      <c r="B66" s="99" t="s">
        <v>53</v>
      </c>
      <c r="C66" s="4"/>
    </row>
    <row r="67" spans="1:13" ht="18.75" x14ac:dyDescent="0.3">
      <c r="B67" s="99"/>
      <c r="C67" s="4"/>
    </row>
    <row r="68" spans="1:13" ht="18.75" x14ac:dyDescent="0.3">
      <c r="B68" s="99" t="s">
        <v>54</v>
      </c>
      <c r="C68" s="239" t="s">
        <v>55</v>
      </c>
    </row>
    <row r="69" spans="1:13" s="90" customFormat="1" ht="30" x14ac:dyDescent="0.25">
      <c r="B69" s="100" t="s">
        <v>17</v>
      </c>
      <c r="C69" s="100" t="s">
        <v>18</v>
      </c>
      <c r="D69" s="100" t="s">
        <v>19</v>
      </c>
      <c r="E69" s="100" t="s">
        <v>20</v>
      </c>
      <c r="F69" s="100" t="s">
        <v>21</v>
      </c>
      <c r="G69" s="100" t="s">
        <v>216</v>
      </c>
      <c r="H69" s="100" t="s">
        <v>237</v>
      </c>
    </row>
    <row r="70" spans="1:13" x14ac:dyDescent="0.25">
      <c r="B70" s="5" t="s">
        <v>56</v>
      </c>
      <c r="C70" s="92">
        <v>60488655</v>
      </c>
      <c r="D70" s="279">
        <v>33876021</v>
      </c>
      <c r="E70" s="280">
        <v>3343604</v>
      </c>
      <c r="F70" s="280">
        <v>22749603</v>
      </c>
      <c r="G70" s="98"/>
      <c r="H70" s="280">
        <v>519427</v>
      </c>
    </row>
    <row r="71" spans="1:13" ht="14.45" customHeight="1" x14ac:dyDescent="0.25">
      <c r="A71" s="328"/>
      <c r="B71" s="8" t="s">
        <v>57</v>
      </c>
      <c r="C71" s="92">
        <v>1075031</v>
      </c>
      <c r="D71" s="281">
        <v>565870</v>
      </c>
      <c r="E71" s="282">
        <v>56282</v>
      </c>
      <c r="F71" s="283">
        <v>452879</v>
      </c>
      <c r="G71" s="95"/>
      <c r="H71" s="95"/>
      <c r="L71" s="22"/>
      <c r="M71" s="23"/>
    </row>
    <row r="72" spans="1:13" x14ac:dyDescent="0.25">
      <c r="A72" s="328"/>
      <c r="B72" s="8" t="s">
        <v>58</v>
      </c>
      <c r="C72" s="92">
        <v>-119427</v>
      </c>
      <c r="D72" s="93"/>
      <c r="E72" s="94"/>
      <c r="F72" s="95"/>
      <c r="G72" s="95"/>
      <c r="H72" s="283">
        <v>-119427</v>
      </c>
      <c r="L72" s="22"/>
      <c r="M72" s="23"/>
    </row>
    <row r="73" spans="1:13" x14ac:dyDescent="0.25">
      <c r="A73" s="328"/>
      <c r="B73" s="8" t="s">
        <v>59</v>
      </c>
      <c r="C73" s="92">
        <v>1217293</v>
      </c>
      <c r="D73" s="281">
        <v>886350</v>
      </c>
      <c r="E73" s="282">
        <v>56881</v>
      </c>
      <c r="F73" s="283">
        <v>274062</v>
      </c>
      <c r="G73" s="95"/>
      <c r="H73" s="95"/>
      <c r="L73" s="22"/>
      <c r="M73" s="23"/>
    </row>
    <row r="74" spans="1:13" x14ac:dyDescent="0.25">
      <c r="A74" s="328"/>
      <c r="B74" s="8" t="s">
        <v>60</v>
      </c>
      <c r="C74" s="92">
        <v>323549</v>
      </c>
      <c r="D74" s="93"/>
      <c r="E74" s="282">
        <v>323549</v>
      </c>
      <c r="F74" s="95"/>
      <c r="G74" s="95"/>
      <c r="H74" s="95"/>
      <c r="L74" s="22"/>
      <c r="M74" s="23"/>
    </row>
    <row r="75" spans="1:13" x14ac:dyDescent="0.25">
      <c r="B75" s="10" t="s">
        <v>25</v>
      </c>
      <c r="C75" s="92" t="s">
        <v>245</v>
      </c>
      <c r="D75" s="93"/>
      <c r="E75" s="94"/>
      <c r="F75" s="96"/>
      <c r="G75" s="96"/>
      <c r="H75" s="96"/>
      <c r="L75" s="22"/>
      <c r="M75" s="23"/>
    </row>
    <row r="76" spans="1:13" x14ac:dyDescent="0.25">
      <c r="B76" s="10" t="s">
        <v>26</v>
      </c>
      <c r="C76" s="92" t="s">
        <v>245</v>
      </c>
      <c r="D76" s="93"/>
      <c r="E76" s="94"/>
      <c r="F76" s="95"/>
      <c r="G76" s="95"/>
      <c r="H76" s="95"/>
      <c r="L76" s="22"/>
      <c r="M76" s="23"/>
    </row>
    <row r="77" spans="1:13" x14ac:dyDescent="0.25">
      <c r="B77" s="10" t="s">
        <v>27</v>
      </c>
      <c r="C77" s="92">
        <v>-3377589</v>
      </c>
      <c r="D77" s="281">
        <v>-3327788</v>
      </c>
      <c r="E77" s="282">
        <v>912915</v>
      </c>
      <c r="F77" s="283">
        <v>-962716</v>
      </c>
      <c r="G77" s="95"/>
      <c r="H77" s="95"/>
      <c r="L77" s="22"/>
      <c r="M77" s="23"/>
    </row>
    <row r="78" spans="1:13" x14ac:dyDescent="0.25">
      <c r="B78" s="10" t="s">
        <v>61</v>
      </c>
      <c r="C78" s="92">
        <v>539141</v>
      </c>
      <c r="D78" s="93"/>
      <c r="E78" s="282">
        <v>539141</v>
      </c>
      <c r="F78" s="283"/>
      <c r="G78" s="95"/>
      <c r="H78" s="95"/>
      <c r="L78" s="22"/>
      <c r="M78" s="23"/>
    </row>
    <row r="79" spans="1:13" x14ac:dyDescent="0.25">
      <c r="B79" s="91" t="s">
        <v>252</v>
      </c>
      <c r="C79" s="92">
        <v>-300000</v>
      </c>
      <c r="D79" s="281">
        <v>-270000</v>
      </c>
      <c r="E79" s="282">
        <v>-30000</v>
      </c>
      <c r="F79" s="96"/>
      <c r="G79" s="96"/>
      <c r="H79" s="96"/>
      <c r="L79" s="22"/>
      <c r="M79" s="23"/>
    </row>
    <row r="80" spans="1:13" x14ac:dyDescent="0.25">
      <c r="B80" s="91" t="s">
        <v>253</v>
      </c>
      <c r="C80" s="92">
        <v>-205743</v>
      </c>
      <c r="D80" s="281">
        <v>-126356</v>
      </c>
      <c r="E80" s="282">
        <v>-83362</v>
      </c>
      <c r="F80" s="284">
        <v>3975</v>
      </c>
      <c r="G80" s="96"/>
      <c r="H80" s="96"/>
      <c r="L80" s="22"/>
      <c r="M80" s="23"/>
    </row>
    <row r="81" spans="2:23" x14ac:dyDescent="0.25">
      <c r="B81" s="91" t="s">
        <v>28</v>
      </c>
      <c r="C81" s="92" t="s">
        <v>245</v>
      </c>
      <c r="D81" s="93"/>
      <c r="E81" s="94"/>
      <c r="F81" s="96"/>
      <c r="G81" s="96"/>
      <c r="H81" s="96"/>
      <c r="L81" s="22"/>
      <c r="M81" s="23"/>
    </row>
    <row r="82" spans="2:23" x14ac:dyDescent="0.25">
      <c r="B82" s="11" t="s">
        <v>29</v>
      </c>
      <c r="C82" s="6">
        <v>59640911</v>
      </c>
      <c r="D82" s="55">
        <v>31604098</v>
      </c>
      <c r="E82" s="55">
        <v>5119010</v>
      </c>
      <c r="F82" s="55">
        <v>22517804</v>
      </c>
      <c r="G82" s="55" t="s">
        <v>246</v>
      </c>
      <c r="H82" s="55">
        <v>400000</v>
      </c>
      <c r="L82" s="22"/>
      <c r="M82" s="23"/>
    </row>
    <row r="83" spans="2:23" x14ac:dyDescent="0.25">
      <c r="C83" s="14"/>
      <c r="D83" s="15"/>
      <c r="L83" s="22"/>
      <c r="M83" s="23"/>
    </row>
    <row r="84" spans="2:23" x14ac:dyDescent="0.25">
      <c r="B84" s="29" t="s">
        <v>62</v>
      </c>
      <c r="C84" s="67">
        <f>+C82-C70</f>
        <v>-847744</v>
      </c>
      <c r="D84" s="67">
        <f t="shared" ref="D84:E84" si="2">+D82-D70</f>
        <v>-2271923</v>
      </c>
      <c r="E84" s="67">
        <f t="shared" si="2"/>
        <v>1775406</v>
      </c>
      <c r="F84" s="19">
        <f>+F82-F70</f>
        <v>-231799</v>
      </c>
      <c r="G84" s="19" t="e">
        <f>+G82-G70</f>
        <v>#VALUE!</v>
      </c>
      <c r="H84" s="19">
        <f>+H82-H70</f>
        <v>-119427</v>
      </c>
      <c r="L84" s="22"/>
      <c r="M84" s="23"/>
    </row>
    <row r="85" spans="2:23" x14ac:dyDescent="0.25">
      <c r="B85" s="56" t="s">
        <v>63</v>
      </c>
      <c r="C85" s="57">
        <f>(C84)/C70</f>
        <v>-1.4014925608777382E-2</v>
      </c>
      <c r="D85" s="57">
        <f t="shared" ref="D85:H85" si="3">(D84)/D70</f>
        <v>-6.7065816259825786E-2</v>
      </c>
      <c r="E85" s="57">
        <f t="shared" si="3"/>
        <v>0.53098572677864964</v>
      </c>
      <c r="F85" s="57">
        <f t="shared" si="3"/>
        <v>-1.0189144839142907E-2</v>
      </c>
      <c r="G85" s="57" t="e">
        <f t="shared" si="3"/>
        <v>#VALUE!</v>
      </c>
      <c r="H85" s="57">
        <f t="shared" si="3"/>
        <v>-0.22992066257626192</v>
      </c>
      <c r="L85" s="22"/>
      <c r="M85" s="23"/>
    </row>
    <row r="86" spans="2:23" x14ac:dyDescent="0.25">
      <c r="B86" s="212"/>
      <c r="C86" s="62"/>
      <c r="D86" s="15"/>
      <c r="E86" s="15"/>
      <c r="K86" s="23"/>
      <c r="L86" s="23"/>
      <c r="M86" s="14"/>
      <c r="N86" s="24"/>
      <c r="V86" s="22"/>
      <c r="W86" s="23"/>
    </row>
    <row r="87" spans="2:23" x14ac:dyDescent="0.25">
      <c r="B87" s="29" t="s">
        <v>64</v>
      </c>
      <c r="C87" s="67">
        <f>(C82-'5. Vaccine Clinics and Testing'!D23)-('1. Reconciliation'!C70-'5. Vaccine Clinics and Testing'!C23)</f>
        <v>-938535.14999999851</v>
      </c>
      <c r="D87" s="15"/>
      <c r="E87" s="15"/>
      <c r="O87" s="22"/>
      <c r="P87" s="23"/>
    </row>
    <row r="88" spans="2:23" x14ac:dyDescent="0.25">
      <c r="B88" s="56" t="s">
        <v>65</v>
      </c>
      <c r="C88" s="57">
        <f>(C87)/(C70-'5. Vaccine Clinics and Testing'!C23)</f>
        <v>-1.5568187845284753E-2</v>
      </c>
      <c r="D88" s="15"/>
      <c r="E88" s="15"/>
      <c r="O88" s="22"/>
      <c r="P88" s="23"/>
    </row>
    <row r="89" spans="2:23" x14ac:dyDescent="0.25">
      <c r="B89" s="212"/>
      <c r="C89" s="62"/>
      <c r="D89" s="62"/>
      <c r="E89" s="62"/>
      <c r="F89" s="62"/>
      <c r="G89" s="62"/>
      <c r="H89" s="62"/>
      <c r="O89" s="22"/>
      <c r="P89" s="23"/>
    </row>
    <row r="90" spans="2:23" ht="19.899999999999999" customHeight="1" x14ac:dyDescent="0.3">
      <c r="B90" s="99" t="s">
        <v>66</v>
      </c>
      <c r="C90" s="4"/>
      <c r="D90" s="15"/>
      <c r="E90" s="15"/>
      <c r="V90" s="22"/>
      <c r="W90" s="23"/>
    </row>
    <row r="91" spans="2:23" ht="18.75" x14ac:dyDescent="0.3">
      <c r="B91" s="99"/>
      <c r="C91" s="4"/>
      <c r="D91" s="15"/>
      <c r="E91" s="15"/>
      <c r="V91" s="22"/>
      <c r="W91" s="23"/>
    </row>
    <row r="92" spans="2:23" x14ac:dyDescent="0.25">
      <c r="B92" s="101" t="s">
        <v>37</v>
      </c>
      <c r="C92" s="101" t="s">
        <v>38</v>
      </c>
      <c r="D92" s="101" t="s">
        <v>39</v>
      </c>
      <c r="E92" s="63"/>
      <c r="V92" s="22"/>
      <c r="W92" s="23"/>
    </row>
    <row r="93" spans="2:23" x14ac:dyDescent="0.25">
      <c r="B93" s="5" t="s">
        <v>56</v>
      </c>
      <c r="C93" s="92">
        <v>61783747</v>
      </c>
      <c r="D93" s="7"/>
      <c r="E93" s="62"/>
      <c r="V93" s="22"/>
      <c r="W93" s="23"/>
    </row>
    <row r="94" spans="2:23" x14ac:dyDescent="0.25">
      <c r="B94" s="8" t="s">
        <v>41</v>
      </c>
      <c r="C94" s="97">
        <v>229573</v>
      </c>
      <c r="D94" s="9">
        <v>4.0000000000000001E-3</v>
      </c>
      <c r="E94" s="64"/>
      <c r="V94" s="22"/>
    </row>
    <row r="95" spans="2:23" x14ac:dyDescent="0.25">
      <c r="B95" s="10" t="s">
        <v>42</v>
      </c>
      <c r="C95" s="97">
        <v>1120730</v>
      </c>
      <c r="D95" s="9">
        <v>1.9E-2</v>
      </c>
      <c r="E95" s="64"/>
      <c r="V95" s="22"/>
    </row>
    <row r="96" spans="2:23" x14ac:dyDescent="0.25">
      <c r="B96" s="10" t="s">
        <v>43</v>
      </c>
      <c r="C96" s="97">
        <v>658293</v>
      </c>
      <c r="D96" s="9">
        <v>1.0999999999999999E-2</v>
      </c>
      <c r="E96" s="64"/>
      <c r="V96" s="22"/>
    </row>
    <row r="97" spans="2:22" x14ac:dyDescent="0.25">
      <c r="B97" s="10" t="s">
        <v>44</v>
      </c>
      <c r="C97" s="97">
        <v>194289</v>
      </c>
      <c r="D97" s="9">
        <v>3.0000000000000001E-3</v>
      </c>
      <c r="E97" s="64"/>
      <c r="V97" s="22"/>
    </row>
    <row r="98" spans="2:22" x14ac:dyDescent="0.25">
      <c r="B98" s="322" t="s">
        <v>45</v>
      </c>
      <c r="C98" s="324"/>
      <c r="D98" s="324"/>
      <c r="E98" s="64"/>
      <c r="V98" s="22"/>
    </row>
    <row r="99" spans="2:22" x14ac:dyDescent="0.25">
      <c r="B99" s="322" t="s">
        <v>46</v>
      </c>
      <c r="C99" s="324"/>
      <c r="D99" s="324"/>
      <c r="E99" s="64"/>
      <c r="V99" s="22"/>
    </row>
    <row r="100" spans="2:22" x14ac:dyDescent="0.25">
      <c r="B100" s="322" t="s">
        <v>47</v>
      </c>
      <c r="C100" s="324"/>
      <c r="D100" s="324"/>
      <c r="E100" s="64"/>
    </row>
    <row r="101" spans="2:22" x14ac:dyDescent="0.25">
      <c r="B101" s="10" t="s">
        <v>48</v>
      </c>
      <c r="C101" s="97">
        <v>129362</v>
      </c>
      <c r="D101" s="9">
        <v>2E-3</v>
      </c>
      <c r="E101" s="64"/>
    </row>
    <row r="102" spans="2:22" x14ac:dyDescent="0.25">
      <c r="B102" s="10" t="s">
        <v>49</v>
      </c>
      <c r="C102" s="97">
        <v>-479966</v>
      </c>
      <c r="D102" s="9">
        <v>-8.0000000000000002E-3</v>
      </c>
      <c r="E102" s="64"/>
    </row>
    <row r="103" spans="2:22" s="307" customFormat="1" x14ac:dyDescent="0.25">
      <c r="B103" s="10" t="s">
        <v>250</v>
      </c>
      <c r="C103" s="97">
        <v>60709</v>
      </c>
      <c r="D103" s="9">
        <v>1E-3</v>
      </c>
      <c r="E103" s="309"/>
    </row>
    <row r="104" spans="2:22" s="307" customFormat="1" x14ac:dyDescent="0.25">
      <c r="B104" s="10" t="s">
        <v>254</v>
      </c>
      <c r="C104" s="97">
        <v>-745617</v>
      </c>
      <c r="D104" s="9">
        <v>-1.2E-2</v>
      </c>
      <c r="E104" s="309"/>
    </row>
    <row r="105" spans="2:22" s="307" customFormat="1" x14ac:dyDescent="0.25">
      <c r="B105" s="323" t="s">
        <v>28</v>
      </c>
      <c r="C105" s="97"/>
      <c r="D105" s="9"/>
      <c r="E105" s="309"/>
    </row>
    <row r="106" spans="2:22" s="307" customFormat="1" x14ac:dyDescent="0.25">
      <c r="B106" s="323" t="s">
        <v>28</v>
      </c>
      <c r="C106" s="324"/>
      <c r="D106" s="324"/>
      <c r="E106" s="309"/>
    </row>
    <row r="107" spans="2:22" s="307" customFormat="1" x14ac:dyDescent="0.25">
      <c r="B107" s="316" t="s">
        <v>28</v>
      </c>
      <c r="C107" s="310"/>
      <c r="D107" s="308"/>
      <c r="E107" s="309"/>
    </row>
    <row r="108" spans="2:22" x14ac:dyDescent="0.25">
      <c r="B108" s="11" t="s">
        <v>29</v>
      </c>
      <c r="C108" s="12">
        <v>62951121</v>
      </c>
      <c r="D108" s="13">
        <v>0.02</v>
      </c>
      <c r="E108" s="64"/>
    </row>
    <row r="109" spans="2:22" x14ac:dyDescent="0.25">
      <c r="E109" s="59"/>
    </row>
    <row r="110" spans="2:22" x14ac:dyDescent="0.25">
      <c r="B110" s="29" t="s">
        <v>62</v>
      </c>
      <c r="C110" s="67">
        <f>+C108-C93</f>
        <v>1167374</v>
      </c>
      <c r="E110" s="59"/>
    </row>
    <row r="111" spans="2:22" x14ac:dyDescent="0.25">
      <c r="B111" s="56" t="s">
        <v>63</v>
      </c>
      <c r="C111" s="57">
        <f>(C110)/C93</f>
        <v>1.8894516060995781E-2</v>
      </c>
      <c r="E111" s="59"/>
    </row>
    <row r="112" spans="2:22" x14ac:dyDescent="0.25">
      <c r="B112" s="212"/>
      <c r="C112" s="62"/>
      <c r="D112" s="62"/>
      <c r="E112" s="62"/>
      <c r="F112" s="62"/>
      <c r="G112" s="62"/>
      <c r="H112" s="62"/>
      <c r="O112" s="22"/>
      <c r="P112" s="23"/>
    </row>
    <row r="113" spans="2:23" x14ac:dyDescent="0.25">
      <c r="B113" s="29" t="s">
        <v>64</v>
      </c>
      <c r="C113" s="67">
        <f>(C108-'5. Vaccine Clinics and Testing'!D36)-('1. Reconciliation'!C93-'5. Vaccine Clinics and Testing'!C36)</f>
        <v>1912990.5399999991</v>
      </c>
      <c r="D113" s="62"/>
      <c r="E113" s="62"/>
      <c r="F113" s="62"/>
      <c r="G113" s="62"/>
      <c r="H113" s="62"/>
      <c r="O113" s="22"/>
      <c r="P113" s="23"/>
    </row>
    <row r="114" spans="2:23" x14ac:dyDescent="0.25">
      <c r="B114" s="56" t="s">
        <v>65</v>
      </c>
      <c r="C114" s="57">
        <f>(C113)/(C93-'5. Vaccine Clinics and Testing'!C36)</f>
        <v>3.1573183593448385E-2</v>
      </c>
      <c r="D114" s="15"/>
      <c r="E114" s="15"/>
      <c r="K114" s="23"/>
      <c r="L114" s="23"/>
      <c r="M114" s="14"/>
      <c r="N114" s="24"/>
      <c r="V114" s="22"/>
      <c r="W114" s="23"/>
    </row>
  </sheetData>
  <mergeCells count="7">
    <mergeCell ref="A71:A74"/>
    <mergeCell ref="B2:O2"/>
    <mergeCell ref="B3:O3"/>
    <mergeCell ref="B6:O6"/>
    <mergeCell ref="B4:O4"/>
    <mergeCell ref="B64:O64"/>
    <mergeCell ref="A12:A19"/>
  </mergeCells>
  <pageMargins left="0.7" right="0.7" top="0.5" bottom="0.5" header="0.3" footer="0.3"/>
  <pageSetup scale="48" fitToHeight="4" orientation="landscape" r:id="rId1"/>
  <headerFooter>
    <oddFooter>&amp;L&amp;D&amp;R&amp;F,&amp;A</oddFooter>
  </headerFooter>
  <rowBreaks count="1" manualBreakCount="1">
    <brk id="6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2:K67"/>
  <sheetViews>
    <sheetView showGridLines="0" topLeftCell="A34" zoomScale="90" zoomScaleNormal="90" workbookViewId="0">
      <selection activeCell="C55" sqref="C5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5" customWidth="1"/>
    <col min="9" max="11" width="17.7109375" style="1" customWidth="1"/>
    <col min="12" max="16384" width="8.85546875" style="1"/>
  </cols>
  <sheetData>
    <row r="2" spans="2:9" x14ac:dyDescent="0.25">
      <c r="B2" s="329" t="s">
        <v>67</v>
      </c>
      <c r="C2" s="329"/>
      <c r="D2" s="329"/>
      <c r="E2" s="329"/>
      <c r="F2" s="329"/>
      <c r="G2" s="329"/>
      <c r="H2" s="329"/>
      <c r="I2" s="329"/>
    </row>
    <row r="3" spans="2:9" ht="18.75" x14ac:dyDescent="0.3">
      <c r="B3" s="341" t="s">
        <v>13</v>
      </c>
      <c r="C3" s="342"/>
      <c r="D3" s="342"/>
      <c r="E3" s="342"/>
      <c r="F3" s="342"/>
      <c r="G3" s="342"/>
      <c r="H3" s="342"/>
      <c r="I3" s="343"/>
    </row>
    <row r="4" spans="2:9" ht="18.75" x14ac:dyDescent="0.3">
      <c r="B4" s="344" t="s">
        <v>68</v>
      </c>
      <c r="C4" s="345"/>
      <c r="D4" s="345"/>
      <c r="E4" s="345"/>
      <c r="F4" s="345"/>
      <c r="G4" s="345"/>
      <c r="H4" s="345"/>
      <c r="I4" s="346"/>
    </row>
    <row r="5" spans="2:9" ht="34.9" customHeight="1" x14ac:dyDescent="0.25">
      <c r="B5" s="340" t="s">
        <v>69</v>
      </c>
      <c r="C5" s="340"/>
      <c r="D5" s="340"/>
      <c r="E5" s="340"/>
      <c r="F5" s="340"/>
      <c r="G5" s="340"/>
      <c r="H5" s="217"/>
    </row>
    <row r="6" spans="2:9" x14ac:dyDescent="0.25">
      <c r="B6" s="218"/>
      <c r="C6" s="218"/>
      <c r="D6" s="218"/>
      <c r="E6" s="218"/>
      <c r="F6" s="218"/>
      <c r="G6" s="218"/>
      <c r="H6" s="217"/>
    </row>
    <row r="7" spans="2:9" ht="29.45" customHeight="1" x14ac:dyDescent="0.25">
      <c r="B7" s="349" t="s">
        <v>70</v>
      </c>
      <c r="C7" s="350"/>
      <c r="D7" s="351"/>
      <c r="H7" s="1"/>
    </row>
    <row r="8" spans="2:9" ht="15" customHeight="1" x14ac:dyDescent="0.25">
      <c r="B8" s="352" t="s">
        <v>71</v>
      </c>
      <c r="C8" s="353"/>
      <c r="D8" s="354"/>
      <c r="H8" s="1"/>
    </row>
    <row r="9" spans="2:9" ht="42.75" customHeight="1" x14ac:dyDescent="0.25">
      <c r="B9" s="3" t="s">
        <v>72</v>
      </c>
      <c r="C9" s="49" t="s">
        <v>73</v>
      </c>
      <c r="D9" s="49" t="s">
        <v>74</v>
      </c>
      <c r="H9" s="1"/>
    </row>
    <row r="10" spans="2:9" x14ac:dyDescent="0.25">
      <c r="B10" s="3"/>
      <c r="C10" s="3"/>
      <c r="D10" s="49"/>
      <c r="H10" s="1"/>
    </row>
    <row r="11" spans="2:9" x14ac:dyDescent="0.25">
      <c r="B11" s="3" t="s">
        <v>75</v>
      </c>
      <c r="C11" s="240">
        <v>734027</v>
      </c>
      <c r="D11" s="50">
        <v>2.1999999999999999E-2</v>
      </c>
      <c r="H11" s="1"/>
    </row>
    <row r="12" spans="2:9" x14ac:dyDescent="0.25">
      <c r="B12" s="3" t="s">
        <v>76</v>
      </c>
      <c r="C12" s="240">
        <v>1390387</v>
      </c>
      <c r="D12" s="50">
        <v>2.1999999999999999E-2</v>
      </c>
      <c r="H12" s="1"/>
    </row>
    <row r="13" spans="2:9" x14ac:dyDescent="0.25">
      <c r="B13" s="3" t="s">
        <v>77</v>
      </c>
      <c r="C13" s="240">
        <v>490991</v>
      </c>
      <c r="D13" s="50">
        <v>2.1999999999999999E-2</v>
      </c>
      <c r="H13" s="1"/>
    </row>
    <row r="14" spans="2:9" x14ac:dyDescent="0.25">
      <c r="B14" s="3" t="s">
        <v>28</v>
      </c>
      <c r="C14" s="240" t="s">
        <v>255</v>
      </c>
      <c r="D14" s="50">
        <v>0</v>
      </c>
      <c r="H14" s="1"/>
    </row>
    <row r="15" spans="2:9" ht="30" x14ac:dyDescent="0.25">
      <c r="B15" s="61" t="s">
        <v>78</v>
      </c>
      <c r="C15" s="241">
        <v>2615405</v>
      </c>
      <c r="D15" s="219">
        <v>2.1999999999999999E-2</v>
      </c>
      <c r="H15" s="1"/>
    </row>
    <row r="16" spans="2:9" s="65" customFormat="1" x14ac:dyDescent="0.25">
      <c r="B16" s="220"/>
      <c r="C16" s="66"/>
      <c r="D16" s="66"/>
      <c r="E16" s="66"/>
      <c r="F16" s="66"/>
      <c r="G16" s="66"/>
      <c r="H16" s="66"/>
    </row>
    <row r="17" spans="2:11" ht="45" customHeight="1" x14ac:dyDescent="0.25">
      <c r="B17" s="349" t="s">
        <v>244</v>
      </c>
      <c r="C17" s="350"/>
      <c r="D17" s="350"/>
      <c r="E17" s="350"/>
      <c r="F17" s="350"/>
      <c r="G17" s="350"/>
      <c r="H17" s="350"/>
      <c r="I17" s="350"/>
      <c r="J17" s="351"/>
    </row>
    <row r="18" spans="2:11" ht="15" customHeight="1" x14ac:dyDescent="0.25">
      <c r="B18" s="352" t="s">
        <v>225</v>
      </c>
      <c r="C18" s="353"/>
      <c r="D18" s="353"/>
      <c r="E18" s="353"/>
      <c r="F18" s="353"/>
      <c r="G18" s="353"/>
      <c r="H18" s="353"/>
      <c r="I18" s="353"/>
      <c r="J18" s="354"/>
    </row>
    <row r="19" spans="2:11" ht="42.75" customHeight="1" x14ac:dyDescent="0.25">
      <c r="B19" s="3" t="s">
        <v>72</v>
      </c>
      <c r="C19" s="49" t="s">
        <v>219</v>
      </c>
      <c r="D19" s="49" t="s">
        <v>79</v>
      </c>
      <c r="E19" s="49" t="s">
        <v>220</v>
      </c>
      <c r="F19" s="277" t="s">
        <v>221</v>
      </c>
      <c r="G19" s="278"/>
      <c r="H19" s="221" t="s">
        <v>222</v>
      </c>
      <c r="I19" s="221" t="s">
        <v>223</v>
      </c>
      <c r="J19" s="221" t="s">
        <v>224</v>
      </c>
    </row>
    <row r="20" spans="2:11" x14ac:dyDescent="0.25">
      <c r="B20" s="3"/>
      <c r="C20" s="49"/>
      <c r="D20" s="222"/>
      <c r="E20" s="49"/>
      <c r="F20" s="49" t="s">
        <v>80</v>
      </c>
      <c r="G20" s="49" t="s">
        <v>81</v>
      </c>
      <c r="H20" s="49"/>
      <c r="I20" s="49"/>
      <c r="J20" s="49"/>
    </row>
    <row r="21" spans="2:11" x14ac:dyDescent="0.25">
      <c r="B21" s="3" t="s">
        <v>75</v>
      </c>
      <c r="C21" s="223">
        <v>30217564</v>
      </c>
      <c r="D21" s="224">
        <v>6.2E-2</v>
      </c>
      <c r="E21" s="85">
        <v>32097600</v>
      </c>
      <c r="F21" s="85">
        <v>4663897</v>
      </c>
      <c r="G21" s="85">
        <v>1165974</v>
      </c>
      <c r="H21" s="85">
        <v>597572</v>
      </c>
      <c r="I21" s="85">
        <v>1892214</v>
      </c>
      <c r="J21" s="85">
        <v>23777942</v>
      </c>
    </row>
    <row r="22" spans="2:11" x14ac:dyDescent="0.25">
      <c r="B22" s="3" t="s">
        <v>76</v>
      </c>
      <c r="C22" s="223">
        <v>53916560</v>
      </c>
      <c r="D22" s="224">
        <v>0.246</v>
      </c>
      <c r="E22" s="85">
        <v>67183863</v>
      </c>
      <c r="F22" s="85">
        <v>19227122</v>
      </c>
      <c r="G22" s="85">
        <v>4806780</v>
      </c>
      <c r="H22" s="85">
        <v>894152</v>
      </c>
      <c r="I22" s="85">
        <v>7528163</v>
      </c>
      <c r="J22" s="85">
        <v>34727646</v>
      </c>
      <c r="K22" s="116"/>
    </row>
    <row r="23" spans="2:11" x14ac:dyDescent="0.25">
      <c r="B23" s="3" t="s">
        <v>77</v>
      </c>
      <c r="C23" s="223">
        <v>24386713</v>
      </c>
      <c r="D23" s="224">
        <v>-5.7000000000000002E-2</v>
      </c>
      <c r="E23" s="85">
        <v>22997839</v>
      </c>
      <c r="F23" s="85">
        <v>6934905</v>
      </c>
      <c r="G23" s="85">
        <v>1733726</v>
      </c>
      <c r="H23" s="85">
        <v>344647</v>
      </c>
      <c r="I23" s="85">
        <v>3435813</v>
      </c>
      <c r="J23" s="85">
        <v>10548747</v>
      </c>
    </row>
    <row r="24" spans="2:11" x14ac:dyDescent="0.25">
      <c r="B24" s="3" t="s">
        <v>28</v>
      </c>
      <c r="C24" s="223" t="s">
        <v>255</v>
      </c>
      <c r="D24" s="224"/>
      <c r="E24" s="85" t="s">
        <v>256</v>
      </c>
      <c r="F24" s="85"/>
      <c r="G24" s="85"/>
      <c r="H24" s="85"/>
      <c r="I24" s="85"/>
      <c r="J24" s="85"/>
    </row>
    <row r="25" spans="2:11" ht="30" x14ac:dyDescent="0.25">
      <c r="B25" s="61" t="s">
        <v>234</v>
      </c>
      <c r="C25" s="225">
        <v>108520837</v>
      </c>
      <c r="D25" s="226">
        <v>0</v>
      </c>
      <c r="E25" s="225">
        <v>122279302</v>
      </c>
      <c r="F25" s="86">
        <v>30825924</v>
      </c>
      <c r="G25" s="86">
        <v>7706481</v>
      </c>
      <c r="H25" s="86">
        <v>1836372</v>
      </c>
      <c r="I25" s="86">
        <v>12856190</v>
      </c>
      <c r="J25" s="86">
        <v>69054335</v>
      </c>
    </row>
    <row r="26" spans="2:11" s="65" customFormat="1" x14ac:dyDescent="0.25">
      <c r="B26" s="220"/>
      <c r="C26" s="66" t="s">
        <v>241</v>
      </c>
      <c r="D26" s="66"/>
      <c r="E26" s="66" t="s">
        <v>241</v>
      </c>
      <c r="F26" s="66"/>
      <c r="G26" s="66"/>
      <c r="H26" s="66"/>
    </row>
    <row r="27" spans="2:11" s="65" customFormat="1" x14ac:dyDescent="0.25">
      <c r="B27" s="220"/>
      <c r="C27" s="66"/>
      <c r="D27" s="66"/>
      <c r="E27" s="66"/>
      <c r="F27" s="66"/>
      <c r="G27" s="66"/>
      <c r="H27" s="66"/>
    </row>
    <row r="28" spans="2:11" s="65" customFormat="1" ht="23.45" customHeight="1" x14ac:dyDescent="0.25">
      <c r="B28" s="349" t="s">
        <v>82</v>
      </c>
      <c r="C28" s="350"/>
      <c r="D28" s="350"/>
      <c r="E28" s="350"/>
      <c r="F28" s="350"/>
      <c r="G28" s="350"/>
      <c r="H28" s="350"/>
      <c r="I28" s="350"/>
      <c r="J28" s="351"/>
    </row>
    <row r="29" spans="2:11" x14ac:dyDescent="0.25">
      <c r="B29" s="352" t="s">
        <v>217</v>
      </c>
      <c r="C29" s="353"/>
      <c r="D29" s="353"/>
      <c r="E29" s="353"/>
      <c r="F29" s="353"/>
      <c r="G29" s="353"/>
      <c r="H29" s="353"/>
      <c r="I29" s="353"/>
      <c r="J29" s="354"/>
    </row>
    <row r="30" spans="2:11" ht="42.75" customHeight="1" x14ac:dyDescent="0.25">
      <c r="B30" s="3" t="s">
        <v>83</v>
      </c>
      <c r="C30" s="3" t="s">
        <v>84</v>
      </c>
      <c r="D30" s="49" t="s">
        <v>85</v>
      </c>
      <c r="E30" s="49" t="s">
        <v>86</v>
      </c>
      <c r="F30" s="275" t="s">
        <v>226</v>
      </c>
      <c r="G30" s="276"/>
      <c r="H30" s="49" t="s">
        <v>227</v>
      </c>
      <c r="I30" s="49" t="s">
        <v>228</v>
      </c>
      <c r="J30" s="49" t="s">
        <v>229</v>
      </c>
    </row>
    <row r="31" spans="2:11" ht="15.75" customHeight="1" x14ac:dyDescent="0.25">
      <c r="B31" s="3"/>
      <c r="C31" s="3"/>
      <c r="D31" s="3"/>
      <c r="E31" s="49"/>
      <c r="F31" s="49" t="s">
        <v>80</v>
      </c>
      <c r="G31" s="49" t="s">
        <v>81</v>
      </c>
      <c r="H31" s="49"/>
      <c r="I31" s="49"/>
      <c r="J31" s="49"/>
    </row>
    <row r="32" spans="2:11" x14ac:dyDescent="0.25">
      <c r="B32" s="3" t="s">
        <v>75</v>
      </c>
      <c r="C32" s="223">
        <v>19339241</v>
      </c>
      <c r="D32" s="223">
        <v>-1043609</v>
      </c>
      <c r="E32" s="286">
        <v>18295632</v>
      </c>
      <c r="F32" s="286">
        <v>3218089</v>
      </c>
      <c r="G32" s="286">
        <v>781203</v>
      </c>
      <c r="H32" s="227" t="s">
        <v>256</v>
      </c>
      <c r="I32" s="286">
        <v>547039</v>
      </c>
      <c r="J32" s="286">
        <v>10915163</v>
      </c>
    </row>
    <row r="33" spans="2:10" x14ac:dyDescent="0.25">
      <c r="B33" s="3" t="s">
        <v>76</v>
      </c>
      <c r="C33" s="223">
        <v>27416527</v>
      </c>
      <c r="D33" s="223">
        <v>3823969</v>
      </c>
      <c r="E33" s="286">
        <v>31240496</v>
      </c>
      <c r="F33" s="286">
        <v>11536273</v>
      </c>
      <c r="G33" s="286">
        <v>3028272</v>
      </c>
      <c r="H33" s="227" t="s">
        <v>256</v>
      </c>
      <c r="I33" s="286">
        <v>2176393</v>
      </c>
      <c r="J33" s="286">
        <v>15941578</v>
      </c>
    </row>
    <row r="34" spans="2:10" x14ac:dyDescent="0.25">
      <c r="B34" s="3" t="s">
        <v>77</v>
      </c>
      <c r="C34" s="223">
        <v>9023084</v>
      </c>
      <c r="D34" s="223">
        <v>-735583</v>
      </c>
      <c r="E34" s="286">
        <v>8287500</v>
      </c>
      <c r="F34" s="286">
        <v>3051358</v>
      </c>
      <c r="G34" s="286">
        <v>792609</v>
      </c>
      <c r="H34" s="227" t="s">
        <v>256</v>
      </c>
      <c r="I34" s="286">
        <v>993294</v>
      </c>
      <c r="J34" s="286">
        <v>4842357</v>
      </c>
    </row>
    <row r="35" spans="2:10" x14ac:dyDescent="0.25">
      <c r="B35" s="3" t="s">
        <v>28</v>
      </c>
      <c r="C35" s="223" t="s">
        <v>255</v>
      </c>
      <c r="D35" s="223" t="s">
        <v>256</v>
      </c>
      <c r="E35" s="227" t="s">
        <v>256</v>
      </c>
      <c r="F35" s="227" t="s">
        <v>256</v>
      </c>
      <c r="G35" s="227" t="s">
        <v>256</v>
      </c>
      <c r="H35" s="227" t="s">
        <v>256</v>
      </c>
      <c r="I35" s="227" t="s">
        <v>256</v>
      </c>
      <c r="J35" s="227" t="s">
        <v>256</v>
      </c>
    </row>
    <row r="36" spans="2:10" x14ac:dyDescent="0.25">
      <c r="B36" s="3"/>
      <c r="C36" s="3"/>
      <c r="D36" s="3"/>
      <c r="E36" s="227"/>
      <c r="F36" s="227"/>
      <c r="G36" s="227"/>
      <c r="H36" s="227"/>
      <c r="I36" s="227"/>
      <c r="J36" s="227"/>
    </row>
    <row r="37" spans="2:10" x14ac:dyDescent="0.25">
      <c r="B37" s="3"/>
      <c r="C37" s="3"/>
      <c r="D37" s="3"/>
      <c r="E37" s="227"/>
      <c r="F37" s="227"/>
      <c r="G37" s="227"/>
      <c r="H37" s="227"/>
      <c r="I37" s="227"/>
      <c r="J37" s="227"/>
    </row>
    <row r="38" spans="2:10" x14ac:dyDescent="0.25">
      <c r="B38" s="3"/>
      <c r="C38" s="3"/>
      <c r="D38" s="3"/>
      <c r="E38" s="227"/>
      <c r="F38" s="227"/>
      <c r="G38" s="227"/>
      <c r="H38" s="227"/>
      <c r="I38" s="227"/>
      <c r="J38" s="227"/>
    </row>
    <row r="39" spans="2:10" x14ac:dyDescent="0.25">
      <c r="B39" s="61" t="s">
        <v>233</v>
      </c>
      <c r="C39" s="287">
        <v>55778852</v>
      </c>
      <c r="D39" s="288">
        <v>2044776.73</v>
      </c>
      <c r="E39" s="287">
        <v>57823629</v>
      </c>
      <c r="F39" s="288">
        <v>17805720.530000001</v>
      </c>
      <c r="G39" s="288">
        <v>4602083.58</v>
      </c>
      <c r="H39" s="228" t="s">
        <v>256</v>
      </c>
      <c r="I39" s="288">
        <v>3716727</v>
      </c>
      <c r="J39" s="288">
        <v>31699098</v>
      </c>
    </row>
    <row r="40" spans="2:10" s="65" customFormat="1" x14ac:dyDescent="0.25">
      <c r="C40" s="66"/>
      <c r="D40" s="66"/>
      <c r="E40" s="66"/>
      <c r="F40" s="229"/>
      <c r="G40" s="229"/>
      <c r="H40" s="229"/>
    </row>
    <row r="41" spans="2:10" s="65" customFormat="1" x14ac:dyDescent="0.25">
      <c r="C41" s="66"/>
      <c r="D41" s="66"/>
      <c r="E41" s="66"/>
      <c r="F41" s="229"/>
      <c r="G41" s="229"/>
      <c r="H41" s="229"/>
    </row>
    <row r="42" spans="2:10" s="65" customFormat="1" x14ac:dyDescent="0.25">
      <c r="B42" s="352" t="s">
        <v>218</v>
      </c>
      <c r="C42" s="353"/>
      <c r="D42" s="353"/>
      <c r="E42" s="353"/>
      <c r="F42" s="353"/>
      <c r="G42" s="353"/>
      <c r="H42" s="354"/>
    </row>
    <row r="43" spans="2:10" s="65" customFormat="1" ht="42.6" customHeight="1" x14ac:dyDescent="0.25">
      <c r="B43" s="3" t="s">
        <v>83</v>
      </c>
      <c r="C43" s="3" t="s">
        <v>87</v>
      </c>
      <c r="D43" s="49" t="s">
        <v>85</v>
      </c>
      <c r="E43" s="49" t="s">
        <v>88</v>
      </c>
      <c r="F43" s="275" t="s">
        <v>239</v>
      </c>
      <c r="G43" s="49" t="s">
        <v>230</v>
      </c>
      <c r="H43" s="49" t="s">
        <v>231</v>
      </c>
    </row>
    <row r="44" spans="2:10" s="65" customFormat="1" x14ac:dyDescent="0.25">
      <c r="B44" s="3" t="s">
        <v>75</v>
      </c>
      <c r="C44" s="223">
        <v>334139</v>
      </c>
      <c r="D44" s="223">
        <v>104825</v>
      </c>
      <c r="E44" s="286">
        <v>438964</v>
      </c>
      <c r="F44" s="227" t="s">
        <v>256</v>
      </c>
      <c r="G44" s="286">
        <v>438964</v>
      </c>
      <c r="H44" s="227" t="s">
        <v>256</v>
      </c>
    </row>
    <row r="45" spans="2:10" s="65" customFormat="1" x14ac:dyDescent="0.25">
      <c r="B45" s="3" t="s">
        <v>76</v>
      </c>
      <c r="C45" s="223">
        <v>596198</v>
      </c>
      <c r="D45" s="223">
        <v>322603</v>
      </c>
      <c r="E45" s="286">
        <v>918801</v>
      </c>
      <c r="F45" s="227" t="s">
        <v>256</v>
      </c>
      <c r="G45" s="286">
        <v>918801</v>
      </c>
      <c r="H45" s="227" t="s">
        <v>256</v>
      </c>
    </row>
    <row r="46" spans="2:10" s="65" customFormat="1" x14ac:dyDescent="0.25">
      <c r="B46" s="3" t="s">
        <v>77</v>
      </c>
      <c r="C46" s="223">
        <v>269663</v>
      </c>
      <c r="D46" s="223">
        <v>44854</v>
      </c>
      <c r="E46" s="286">
        <v>314517</v>
      </c>
      <c r="F46" s="227" t="s">
        <v>256</v>
      </c>
      <c r="G46" s="286">
        <v>314517</v>
      </c>
      <c r="H46" s="227" t="s">
        <v>256</v>
      </c>
    </row>
    <row r="47" spans="2:10" s="65" customFormat="1" x14ac:dyDescent="0.25">
      <c r="B47" s="3" t="s">
        <v>89</v>
      </c>
      <c r="C47" s="223">
        <v>-1051790</v>
      </c>
      <c r="D47" s="223">
        <v>751790</v>
      </c>
      <c r="E47" s="286">
        <v>-300000</v>
      </c>
      <c r="F47" s="227" t="s">
        <v>256</v>
      </c>
      <c r="G47" s="286">
        <v>-30000</v>
      </c>
      <c r="H47" s="286">
        <v>-270000</v>
      </c>
    </row>
    <row r="48" spans="2:10" s="65" customFormat="1" x14ac:dyDescent="0.25">
      <c r="B48" s="3" t="s">
        <v>90</v>
      </c>
      <c r="C48" s="223">
        <v>284331</v>
      </c>
      <c r="D48" s="223">
        <v>160669</v>
      </c>
      <c r="E48" s="286">
        <v>445000</v>
      </c>
      <c r="F48" s="286">
        <v>110000</v>
      </c>
      <c r="G48" s="286">
        <v>160000</v>
      </c>
      <c r="H48" s="286">
        <v>175000</v>
      </c>
    </row>
    <row r="49" spans="2:10" s="65" customFormat="1" x14ac:dyDescent="0.25">
      <c r="B49" s="61" t="s">
        <v>232</v>
      </c>
      <c r="C49" s="287">
        <v>432541</v>
      </c>
      <c r="D49" s="288">
        <v>1384741</v>
      </c>
      <c r="E49" s="287">
        <v>1817282</v>
      </c>
      <c r="F49" s="287">
        <v>110000</v>
      </c>
      <c r="G49" s="287">
        <v>1802282</v>
      </c>
      <c r="H49" s="287">
        <v>-95000</v>
      </c>
    </row>
    <row r="50" spans="2:10" s="65" customFormat="1" x14ac:dyDescent="0.25">
      <c r="C50" s="66"/>
      <c r="D50" s="66"/>
      <c r="E50" s="66"/>
      <c r="F50" s="65" t="s">
        <v>240</v>
      </c>
      <c r="G50" s="229"/>
      <c r="H50" s="229"/>
    </row>
    <row r="51" spans="2:10" s="65" customFormat="1" ht="15.75" thickBot="1" x14ac:dyDescent="0.3">
      <c r="B51" s="217"/>
      <c r="C51" s="229"/>
      <c r="D51" s="229"/>
      <c r="E51" s="229"/>
      <c r="F51" s="229"/>
      <c r="G51" s="229"/>
      <c r="H51" s="229"/>
    </row>
    <row r="52" spans="2:10" s="65" customFormat="1" ht="30" x14ac:dyDescent="0.25">
      <c r="B52" s="230"/>
      <c r="C52" s="231" t="s">
        <v>91</v>
      </c>
      <c r="D52" s="231" t="s">
        <v>85</v>
      </c>
      <c r="E52" s="231" t="s">
        <v>79</v>
      </c>
      <c r="F52" s="232" t="s">
        <v>92</v>
      </c>
      <c r="G52" s="229"/>
      <c r="H52" s="229"/>
      <c r="I52" s="229"/>
    </row>
    <row r="53" spans="2:10" s="65" customFormat="1" x14ac:dyDescent="0.25">
      <c r="B53" s="243" t="s">
        <v>93</v>
      </c>
      <c r="C53" s="242">
        <f>C39+C49</f>
        <v>56211393</v>
      </c>
      <c r="D53" s="242">
        <f>D39+D49</f>
        <v>3429517.73</v>
      </c>
      <c r="E53" s="242">
        <f>D53/C53</f>
        <v>6.10110788394801E-2</v>
      </c>
      <c r="F53" s="244">
        <f>E39+E49</f>
        <v>59640911</v>
      </c>
      <c r="G53" s="229"/>
      <c r="H53" s="229"/>
      <c r="I53" s="229"/>
    </row>
    <row r="54" spans="2:10" s="65" customFormat="1" x14ac:dyDescent="0.25">
      <c r="B54" s="243" t="s">
        <v>94</v>
      </c>
      <c r="C54" s="245">
        <f>'1. Reconciliation'!C11</f>
        <v>56211391</v>
      </c>
      <c r="D54" s="245">
        <f>'1. Reconciliation'!C25</f>
        <v>3429520</v>
      </c>
      <c r="E54" s="246">
        <f>'1. Reconciliation'!C26</f>
        <v>6.1011121393526803E-2</v>
      </c>
      <c r="F54" s="247">
        <f>'1. Reconciliation'!C23</f>
        <v>59640911</v>
      </c>
      <c r="G54" s="229"/>
      <c r="H54" s="229"/>
      <c r="I54" s="229"/>
    </row>
    <row r="55" spans="2:10" s="65" customFormat="1" ht="18" customHeight="1" thickBot="1" x14ac:dyDescent="0.3">
      <c r="B55" s="248" t="s">
        <v>95</v>
      </c>
      <c r="C55" s="249">
        <f>C53-C54</f>
        <v>2</v>
      </c>
      <c r="D55" s="249">
        <f t="shared" ref="D55:F55" si="0">D53-D54</f>
        <v>-2.2700000000186265</v>
      </c>
      <c r="E55" s="249">
        <f t="shared" si="0"/>
        <v>-4.255404670305829E-8</v>
      </c>
      <c r="F55" s="250">
        <f t="shared" si="0"/>
        <v>0</v>
      </c>
      <c r="G55" s="229"/>
      <c r="H55" s="229"/>
      <c r="I55" s="229"/>
    </row>
    <row r="56" spans="2:10" s="65" customFormat="1" x14ac:dyDescent="0.25">
      <c r="G56" s="229"/>
      <c r="H56" s="229"/>
      <c r="I56" s="229"/>
      <c r="J56" s="1"/>
    </row>
    <row r="57" spans="2:10" x14ac:dyDescent="0.25">
      <c r="B57" s="233"/>
      <c r="C57" s="234"/>
      <c r="D57" s="235"/>
      <c r="E57" s="236"/>
      <c r="F57" s="236"/>
      <c r="G57" s="236"/>
      <c r="H57" s="237"/>
    </row>
    <row r="58" spans="2:10" x14ac:dyDescent="0.25">
      <c r="B58" s="355" t="s">
        <v>96</v>
      </c>
      <c r="C58" s="356"/>
      <c r="D58" s="356"/>
      <c r="E58" s="356"/>
      <c r="F58" s="356"/>
      <c r="G58" s="357"/>
      <c r="H58" s="237"/>
    </row>
    <row r="59" spans="2:10" x14ac:dyDescent="0.25">
      <c r="B59" s="352" t="s">
        <v>97</v>
      </c>
      <c r="C59" s="353"/>
      <c r="D59" s="353"/>
      <c r="E59" s="353"/>
      <c r="F59" s="353"/>
      <c r="G59" s="354"/>
      <c r="H59" s="238"/>
    </row>
    <row r="60" spans="2:10" x14ac:dyDescent="0.25">
      <c r="B60" s="347">
        <v>488650.45</v>
      </c>
      <c r="C60" s="348"/>
      <c r="D60" s="348"/>
      <c r="E60" s="348"/>
      <c r="F60" s="348"/>
      <c r="G60" s="348"/>
    </row>
    <row r="61" spans="2:10" x14ac:dyDescent="0.25">
      <c r="B61" s="348"/>
      <c r="C61" s="348"/>
      <c r="D61" s="348"/>
      <c r="E61" s="348"/>
      <c r="F61" s="348"/>
      <c r="G61" s="348"/>
    </row>
    <row r="62" spans="2:10" x14ac:dyDescent="0.25">
      <c r="B62" s="348"/>
      <c r="C62" s="348"/>
      <c r="D62" s="348"/>
      <c r="E62" s="348"/>
      <c r="F62" s="348"/>
      <c r="G62" s="348"/>
    </row>
    <row r="63" spans="2:10" x14ac:dyDescent="0.25">
      <c r="B63" s="348"/>
      <c r="C63" s="348"/>
      <c r="D63" s="348"/>
      <c r="E63" s="348"/>
      <c r="F63" s="348"/>
      <c r="G63" s="348"/>
    </row>
    <row r="64" spans="2:10" x14ac:dyDescent="0.25">
      <c r="B64" s="348"/>
      <c r="C64" s="348"/>
      <c r="D64" s="348"/>
      <c r="E64" s="348"/>
      <c r="F64" s="348"/>
      <c r="G64" s="348"/>
    </row>
    <row r="67" spans="3:3" x14ac:dyDescent="0.25">
      <c r="C67" s="20"/>
    </row>
  </sheetData>
  <mergeCells count="14">
    <mergeCell ref="B5:G5"/>
    <mergeCell ref="B2:I2"/>
    <mergeCell ref="B3:I3"/>
    <mergeCell ref="B4:I4"/>
    <mergeCell ref="B60:G64"/>
    <mergeCell ref="B7:D7"/>
    <mergeCell ref="B29:J29"/>
    <mergeCell ref="B42:H42"/>
    <mergeCell ref="B58:G58"/>
    <mergeCell ref="B59:G59"/>
    <mergeCell ref="B17:J17"/>
    <mergeCell ref="B28:J28"/>
    <mergeCell ref="B18:J18"/>
    <mergeCell ref="B8:D8"/>
  </mergeCells>
  <pageMargins left="0.7" right="0.7" top="0.75" bottom="0.75" header="0.3" footer="0.3"/>
  <pageSetup scale="66" orientation="landscape" r:id="rId1"/>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D20"/>
  <sheetViews>
    <sheetView showGridLines="0" zoomScale="90" zoomScaleNormal="90" workbookViewId="0">
      <selection activeCell="D16" sqref="D16"/>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358" t="s">
        <v>98</v>
      </c>
      <c r="C1" s="358"/>
      <c r="D1" s="358"/>
    </row>
    <row r="2" spans="2:4" ht="21" x14ac:dyDescent="0.35">
      <c r="B2" s="359" t="s">
        <v>5</v>
      </c>
      <c r="C2" s="360"/>
      <c r="D2" s="361"/>
    </row>
    <row r="3" spans="2:4" ht="18.75" x14ac:dyDescent="0.3">
      <c r="B3" s="363" t="s">
        <v>99</v>
      </c>
      <c r="C3" s="364"/>
      <c r="D3" s="365"/>
    </row>
    <row r="4" spans="2:4" ht="65.25" customHeight="1" x14ac:dyDescent="0.25">
      <c r="B4" s="362" t="s">
        <v>235</v>
      </c>
      <c r="C4" s="362"/>
      <c r="D4" s="362"/>
    </row>
    <row r="5" spans="2:4" x14ac:dyDescent="0.25">
      <c r="B5" s="21"/>
      <c r="C5" s="2"/>
      <c r="D5" s="2"/>
    </row>
    <row r="6" spans="2:4" x14ac:dyDescent="0.25">
      <c r="B6" s="367" t="s">
        <v>100</v>
      </c>
      <c r="C6" s="366" t="s">
        <v>101</v>
      </c>
      <c r="D6" s="366" t="s">
        <v>102</v>
      </c>
    </row>
    <row r="7" spans="2:4" x14ac:dyDescent="0.25">
      <c r="B7" s="367"/>
      <c r="C7" s="366"/>
      <c r="D7" s="366"/>
    </row>
    <row r="8" spans="2:4" x14ac:dyDescent="0.25">
      <c r="B8" s="83" t="s">
        <v>22</v>
      </c>
      <c r="C8" s="271"/>
      <c r="D8" s="273">
        <f>'[20]2. Charge and NPR Detail'!C25</f>
        <v>108520837</v>
      </c>
    </row>
    <row r="9" spans="2:4" x14ac:dyDescent="0.25">
      <c r="B9" s="289" t="s">
        <v>257</v>
      </c>
      <c r="C9" s="50">
        <v>0.10125886322322804</v>
      </c>
      <c r="D9" s="274">
        <v>1795576.9627600003</v>
      </c>
    </row>
    <row r="10" spans="2:4" x14ac:dyDescent="0.25">
      <c r="B10" s="289" t="s">
        <v>258</v>
      </c>
      <c r="C10" s="50">
        <v>9.2500990229693783E-2</v>
      </c>
      <c r="D10" s="274">
        <v>1391129.1859764373</v>
      </c>
    </row>
    <row r="11" spans="2:4" x14ac:dyDescent="0.25">
      <c r="B11" s="289" t="s">
        <v>259</v>
      </c>
      <c r="C11" s="50">
        <v>-0.53239688239095218</v>
      </c>
      <c r="D11" s="274">
        <v>-1044079.02730324</v>
      </c>
    </row>
    <row r="12" spans="2:4" x14ac:dyDescent="0.25">
      <c r="B12" s="289" t="s">
        <v>260</v>
      </c>
      <c r="C12" s="50">
        <v>-8.6742667269081308E-2</v>
      </c>
      <c r="D12" s="274">
        <v>-1155292.8399999999</v>
      </c>
    </row>
    <row r="13" spans="2:4" x14ac:dyDescent="0.25">
      <c r="B13" s="289" t="s">
        <v>261</v>
      </c>
      <c r="C13" s="50">
        <v>-0.27021843632469061</v>
      </c>
      <c r="D13" s="274">
        <v>-1227152.0880000005</v>
      </c>
    </row>
    <row r="14" spans="2:4" x14ac:dyDescent="0.25">
      <c r="B14" s="3" t="s">
        <v>262</v>
      </c>
      <c r="C14" s="50">
        <v>3.8222653366659372E-2</v>
      </c>
      <c r="D14" s="274">
        <v>2285814.7371862447</v>
      </c>
    </row>
    <row r="15" spans="2:4" x14ac:dyDescent="0.25">
      <c r="B15" s="3" t="s">
        <v>263</v>
      </c>
      <c r="C15" s="50"/>
      <c r="D15" s="274">
        <v>11712468</v>
      </c>
    </row>
    <row r="16" spans="2:4" x14ac:dyDescent="0.25">
      <c r="B16" s="83" t="s">
        <v>29</v>
      </c>
      <c r="C16" s="271"/>
      <c r="D16" s="273">
        <f>SUM(D8:D15)</f>
        <v>122279301.93061943</v>
      </c>
    </row>
    <row r="17" spans="2:4" x14ac:dyDescent="0.25">
      <c r="B17" s="79"/>
      <c r="C17" s="45"/>
      <c r="D17" s="45"/>
    </row>
    <row r="18" spans="2:4" x14ac:dyDescent="0.25">
      <c r="B18" s="29" t="s">
        <v>103</v>
      </c>
      <c r="C18" s="108"/>
      <c r="D18" s="84">
        <f>SUM(D9:D15)</f>
        <v>13758464.930619441</v>
      </c>
    </row>
    <row r="19" spans="2:4" x14ac:dyDescent="0.25">
      <c r="B19" s="29" t="s">
        <v>104</v>
      </c>
      <c r="C19" s="272" t="e">
        <f>C16/C8-1</f>
        <v>#DIV/0!</v>
      </c>
      <c r="D19" s="109"/>
    </row>
    <row r="20" spans="2:4" x14ac:dyDescent="0.25">
      <c r="B20" s="79" t="s">
        <v>105</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G19"/>
  <sheetViews>
    <sheetView showGridLines="0" zoomScale="77" zoomScaleNormal="110" workbookViewId="0">
      <selection activeCell="B23" sqref="B23"/>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29" t="s">
        <v>106</v>
      </c>
      <c r="C1" s="329"/>
      <c r="D1" s="329"/>
      <c r="E1" s="329"/>
      <c r="F1" s="329"/>
      <c r="G1" s="329"/>
    </row>
    <row r="2" spans="2:7" ht="18.75" x14ac:dyDescent="0.3">
      <c r="B2" s="369" t="s">
        <v>13</v>
      </c>
      <c r="C2" s="370"/>
      <c r="D2" s="370"/>
      <c r="E2" s="370"/>
      <c r="F2" s="370"/>
      <c r="G2" s="371"/>
    </row>
    <row r="3" spans="2:7" ht="18.75" x14ac:dyDescent="0.3">
      <c r="B3" s="363" t="s">
        <v>107</v>
      </c>
      <c r="C3" s="364"/>
      <c r="D3" s="364"/>
      <c r="E3" s="364"/>
      <c r="F3" s="364"/>
      <c r="G3" s="365"/>
    </row>
    <row r="4" spans="2:7" ht="63" customHeight="1" x14ac:dyDescent="0.25">
      <c r="B4" s="372" t="s">
        <v>213</v>
      </c>
      <c r="C4" s="372"/>
      <c r="D4" s="372"/>
      <c r="E4" s="372"/>
      <c r="F4" s="372"/>
      <c r="G4" s="372"/>
    </row>
    <row r="5" spans="2:7" ht="17.45" customHeight="1" x14ac:dyDescent="0.25">
      <c r="B5" s="48" t="s">
        <v>108</v>
      </c>
      <c r="C5" s="373" t="s">
        <v>109</v>
      </c>
      <c r="D5" s="374"/>
      <c r="E5" s="374"/>
      <c r="F5" s="375"/>
      <c r="G5" s="60" t="s">
        <v>110</v>
      </c>
    </row>
    <row r="6" spans="2:7" ht="31.5" customHeight="1" x14ac:dyDescent="0.25">
      <c r="B6" s="16"/>
      <c r="C6" s="51" t="s">
        <v>111</v>
      </c>
      <c r="D6" s="52" t="s">
        <v>112</v>
      </c>
      <c r="E6" s="251" t="s">
        <v>113</v>
      </c>
      <c r="F6" s="251" t="s">
        <v>242</v>
      </c>
      <c r="G6" s="16"/>
    </row>
    <row r="7" spans="2:7" ht="31.5" customHeight="1" x14ac:dyDescent="0.25">
      <c r="B7" s="16" t="s">
        <v>264</v>
      </c>
      <c r="C7" s="9">
        <v>0.03</v>
      </c>
      <c r="D7" s="290">
        <f>887865.93</f>
        <v>887865.93</v>
      </c>
      <c r="E7" s="51">
        <v>0.48</v>
      </c>
      <c r="F7" s="9">
        <f>C7*E7</f>
        <v>1.44E-2</v>
      </c>
      <c r="G7" s="291" t="s">
        <v>265</v>
      </c>
    </row>
    <row r="8" spans="2:7" ht="27" customHeight="1" x14ac:dyDescent="0.25">
      <c r="B8" s="16" t="s">
        <v>47</v>
      </c>
      <c r="C8" s="9">
        <v>7.2999999999999995E-2</v>
      </c>
      <c r="D8" s="290">
        <v>43593</v>
      </c>
      <c r="E8" s="51">
        <v>2.5000000000000001E-2</v>
      </c>
      <c r="F8" s="9">
        <f t="shared" ref="F8:F11" si="0">C8*E8</f>
        <v>1.825E-3</v>
      </c>
      <c r="G8" s="291" t="s">
        <v>266</v>
      </c>
    </row>
    <row r="9" spans="2:7" ht="27" customHeight="1" x14ac:dyDescent="0.25">
      <c r="B9" s="16" t="s">
        <v>114</v>
      </c>
      <c r="C9" s="9">
        <v>2.8000000000000001E-2</v>
      </c>
      <c r="D9" s="290">
        <v>44795.83</v>
      </c>
      <c r="E9" s="51">
        <v>2.5000000000000001E-2</v>
      </c>
      <c r="F9" s="9">
        <f t="shared" si="0"/>
        <v>7.000000000000001E-4</v>
      </c>
      <c r="G9" s="291" t="s">
        <v>267</v>
      </c>
    </row>
    <row r="10" spans="2:7" ht="27" customHeight="1" x14ac:dyDescent="0.25">
      <c r="B10" s="30" t="s">
        <v>249</v>
      </c>
      <c r="C10" s="51">
        <v>0.49399999999999999</v>
      </c>
      <c r="D10" s="290">
        <v>144475.35</v>
      </c>
      <c r="E10" s="51">
        <v>1.2E-2</v>
      </c>
      <c r="F10" s="9">
        <f t="shared" si="0"/>
        <v>5.9280000000000001E-3</v>
      </c>
      <c r="G10" s="291" t="s">
        <v>267</v>
      </c>
    </row>
    <row r="11" spans="2:7" ht="27" customHeight="1" x14ac:dyDescent="0.25">
      <c r="B11" s="30" t="s">
        <v>81</v>
      </c>
      <c r="C11" s="51">
        <v>0</v>
      </c>
      <c r="D11" s="290">
        <v>0</v>
      </c>
      <c r="E11" s="51">
        <v>0.46</v>
      </c>
      <c r="F11" s="9">
        <f t="shared" si="0"/>
        <v>0</v>
      </c>
      <c r="G11" s="16"/>
    </row>
    <row r="12" spans="2:7" s="311" customFormat="1" ht="27" customHeight="1" x14ac:dyDescent="0.25">
      <c r="B12" s="314"/>
      <c r="C12" s="315"/>
      <c r="D12" s="290"/>
      <c r="E12" s="315"/>
      <c r="F12" s="312"/>
      <c r="G12" s="313"/>
    </row>
    <row r="13" spans="2:7" s="311" customFormat="1" ht="27" customHeight="1" x14ac:dyDescent="0.25">
      <c r="B13" s="314"/>
      <c r="C13" s="315"/>
      <c r="D13" s="290"/>
      <c r="E13" s="315"/>
      <c r="F13" s="312"/>
      <c r="G13" s="313"/>
    </row>
    <row r="14" spans="2:7" s="311" customFormat="1" ht="27" customHeight="1" x14ac:dyDescent="0.25">
      <c r="B14" s="314"/>
      <c r="C14" s="315"/>
      <c r="D14" s="290"/>
      <c r="E14" s="315"/>
      <c r="F14" s="312"/>
      <c r="G14" s="313"/>
    </row>
    <row r="15" spans="2:7" s="311" customFormat="1" ht="27" customHeight="1" x14ac:dyDescent="0.25">
      <c r="B15" s="314"/>
      <c r="C15" s="315"/>
      <c r="D15" s="290"/>
      <c r="E15" s="315"/>
      <c r="F15" s="312"/>
      <c r="G15" s="313"/>
    </row>
    <row r="16" spans="2:7" x14ac:dyDescent="0.25">
      <c r="B16" s="11" t="s">
        <v>18</v>
      </c>
      <c r="C16" s="81" t="s">
        <v>115</v>
      </c>
      <c r="D16" s="82">
        <f>SUM(D8:D11)</f>
        <v>232864.18</v>
      </c>
      <c r="E16" s="82" t="s">
        <v>115</v>
      </c>
      <c r="F16" s="82" t="s">
        <v>115</v>
      </c>
      <c r="G16" s="11"/>
    </row>
    <row r="17" spans="2:6" x14ac:dyDescent="0.25">
      <c r="B17" s="18"/>
      <c r="E17" t="s">
        <v>116</v>
      </c>
    </row>
    <row r="19" spans="2:6" x14ac:dyDescent="0.25">
      <c r="B19" s="368" t="s">
        <v>117</v>
      </c>
      <c r="C19" s="368"/>
      <c r="D19" s="368"/>
      <c r="E19" s="368"/>
      <c r="F19" s="25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80"/>
  <sheetViews>
    <sheetView showGridLines="0" zoomScale="50" zoomScaleNormal="50" zoomScaleSheetLayoutView="30" workbookViewId="0">
      <selection activeCell="B45" sqref="B45"/>
    </sheetView>
  </sheetViews>
  <sheetFormatPr defaultColWidth="9.140625" defaultRowHeight="15" outlineLevelRow="1" x14ac:dyDescent="0.25"/>
  <cols>
    <col min="1" max="1" width="1.5703125" style="201" customWidth="1"/>
    <col min="2" max="2" width="113.5703125" style="202" customWidth="1"/>
    <col min="3" max="3" width="59.85546875" style="202" customWidth="1"/>
    <col min="4" max="4" width="59.85546875" style="22" customWidth="1"/>
    <col min="5" max="16384" width="9.140625" style="22"/>
  </cols>
  <sheetData>
    <row r="1" spans="1:6" s="118" customFormat="1" x14ac:dyDescent="0.25">
      <c r="A1" s="117"/>
    </row>
    <row r="2" spans="1:6" s="1" customFormat="1" ht="31.5" x14ac:dyDescent="0.5">
      <c r="B2" s="384" t="s">
        <v>118</v>
      </c>
      <c r="C2" s="384"/>
      <c r="D2" s="384"/>
      <c r="E2" s="216"/>
      <c r="F2" s="216"/>
    </row>
    <row r="3" spans="1:6" s="1" customFormat="1" ht="31.5" x14ac:dyDescent="0.5">
      <c r="B3" s="381" t="s">
        <v>2</v>
      </c>
      <c r="C3" s="382"/>
      <c r="D3" s="383"/>
      <c r="E3" s="120"/>
      <c r="F3" s="120"/>
    </row>
    <row r="4" spans="1:6" s="1" customFormat="1" ht="31.5" x14ac:dyDescent="0.5">
      <c r="B4" s="385" t="s">
        <v>119</v>
      </c>
      <c r="C4" s="386"/>
      <c r="D4" s="387"/>
    </row>
    <row r="5" spans="1:6" s="65" customFormat="1" ht="18.75" x14ac:dyDescent="0.3">
      <c r="B5" s="215"/>
      <c r="C5" s="215"/>
      <c r="D5" s="215"/>
      <c r="E5" s="215"/>
      <c r="F5" s="215"/>
    </row>
    <row r="6" spans="1:6" s="65" customFormat="1" ht="18.75" x14ac:dyDescent="0.3">
      <c r="B6" s="215"/>
      <c r="C6" s="215"/>
      <c r="D6" s="215"/>
      <c r="E6" s="215"/>
      <c r="F6" s="215"/>
    </row>
    <row r="7" spans="1:6" s="120" customFormat="1" ht="31.5" x14ac:dyDescent="0.5">
      <c r="A7" s="119"/>
      <c r="B7" s="376" t="s">
        <v>120</v>
      </c>
      <c r="C7" s="377"/>
      <c r="D7" s="378"/>
    </row>
    <row r="8" spans="1:6" s="124" customFormat="1" ht="31.5" x14ac:dyDescent="0.5">
      <c r="A8" s="121"/>
      <c r="B8" s="122"/>
      <c r="C8" s="208"/>
      <c r="D8" s="123"/>
    </row>
    <row r="9" spans="1:6" s="120" customFormat="1" ht="48" customHeight="1" x14ac:dyDescent="0.5">
      <c r="A9" s="119"/>
      <c r="B9" s="125" t="s">
        <v>121</v>
      </c>
      <c r="C9" s="209"/>
      <c r="D9" s="211"/>
    </row>
    <row r="10" spans="1:6" s="127" customFormat="1" ht="15.75" customHeight="1" x14ac:dyDescent="0.4">
      <c r="A10" s="126"/>
      <c r="B10" s="379"/>
      <c r="C10" s="380"/>
      <c r="D10" s="380"/>
    </row>
    <row r="11" spans="1:6" s="127" customFormat="1" ht="24.75" customHeight="1" x14ac:dyDescent="0.4">
      <c r="A11" s="126"/>
      <c r="B11" s="255"/>
      <c r="C11" s="256"/>
      <c r="D11" s="256"/>
    </row>
    <row r="12" spans="1:6" s="131" customFormat="1" ht="11.25" customHeight="1" x14ac:dyDescent="0.4">
      <c r="A12" s="128"/>
      <c r="B12" s="129"/>
      <c r="C12" s="210"/>
      <c r="D12" s="130"/>
    </row>
    <row r="13" spans="1:6" s="136" customFormat="1" ht="104.25" customHeight="1" x14ac:dyDescent="0.25">
      <c r="A13" s="132"/>
      <c r="B13" s="133" t="s">
        <v>122</v>
      </c>
      <c r="C13" s="134" t="s">
        <v>123</v>
      </c>
      <c r="D13" s="134" t="s">
        <v>124</v>
      </c>
      <c r="E13" s="135"/>
    </row>
    <row r="14" spans="1:6" s="124" customFormat="1" ht="31.5" x14ac:dyDescent="0.5">
      <c r="A14" s="137"/>
      <c r="B14" s="138" t="s">
        <v>125</v>
      </c>
      <c r="C14" s="139"/>
      <c r="D14" s="140"/>
    </row>
    <row r="15" spans="1:6" s="120" customFormat="1" ht="30" hidden="1" customHeight="1" x14ac:dyDescent="0.5">
      <c r="A15" s="141"/>
      <c r="B15" s="142" t="s">
        <v>126</v>
      </c>
      <c r="C15" s="143"/>
      <c r="D15" s="144"/>
      <c r="E15" s="145"/>
    </row>
    <row r="16" spans="1:6" s="124" customFormat="1" ht="30" hidden="1" customHeight="1" x14ac:dyDescent="0.5">
      <c r="A16" s="137"/>
      <c r="B16" s="146" t="s">
        <v>127</v>
      </c>
      <c r="C16" s="147"/>
      <c r="D16" s="148"/>
      <c r="E16" s="149"/>
    </row>
    <row r="17" spans="1:5" s="124" customFormat="1" ht="30" hidden="1" customHeight="1" x14ac:dyDescent="0.5">
      <c r="A17" s="137"/>
      <c r="B17" s="150" t="s">
        <v>128</v>
      </c>
      <c r="C17" s="147"/>
      <c r="D17" s="148"/>
      <c r="E17" s="149"/>
    </row>
    <row r="18" spans="1:5" s="124" customFormat="1" ht="30" hidden="1" customHeight="1" x14ac:dyDescent="0.5">
      <c r="A18" s="137"/>
      <c r="B18" s="146" t="s">
        <v>129</v>
      </c>
      <c r="C18" s="147"/>
      <c r="D18" s="148"/>
      <c r="E18" s="149"/>
    </row>
    <row r="19" spans="1:5" s="124" customFormat="1" ht="30" hidden="1" customHeight="1" x14ac:dyDescent="0.5">
      <c r="A19" s="137"/>
      <c r="B19" s="146" t="s">
        <v>130</v>
      </c>
      <c r="C19" s="147"/>
      <c r="D19" s="148"/>
      <c r="E19" s="149"/>
    </row>
    <row r="20" spans="1:5" s="124" customFormat="1" ht="30" hidden="1" customHeight="1" x14ac:dyDescent="0.5">
      <c r="A20" s="137"/>
      <c r="B20" s="146" t="s">
        <v>131</v>
      </c>
      <c r="C20" s="147"/>
      <c r="D20" s="148"/>
      <c r="E20" s="149"/>
    </row>
    <row r="21" spans="1:5" s="120" customFormat="1" ht="30" customHeight="1" x14ac:dyDescent="0.5">
      <c r="A21" s="141"/>
      <c r="B21" s="151" t="s">
        <v>132</v>
      </c>
      <c r="C21" s="152">
        <v>203208.85</v>
      </c>
      <c r="D21" s="152">
        <v>294000</v>
      </c>
      <c r="E21" s="145"/>
    </row>
    <row r="22" spans="1:5" s="124" customFormat="1" ht="30" customHeight="1" x14ac:dyDescent="0.5">
      <c r="A22" s="137"/>
      <c r="B22" s="153" t="s">
        <v>133</v>
      </c>
      <c r="C22" s="152"/>
      <c r="D22" s="154"/>
      <c r="E22" s="145"/>
    </row>
    <row r="23" spans="1:5" s="120" customFormat="1" ht="30" customHeight="1" x14ac:dyDescent="0.5">
      <c r="A23" s="141"/>
      <c r="B23" s="138" t="s">
        <v>134</v>
      </c>
      <c r="C23" s="155">
        <v>203208.85</v>
      </c>
      <c r="D23" s="155">
        <v>294000</v>
      </c>
      <c r="E23" s="145"/>
    </row>
    <row r="24" spans="1:5" s="161" customFormat="1" ht="15" customHeight="1" x14ac:dyDescent="0.5">
      <c r="A24" s="156"/>
      <c r="B24" s="157"/>
      <c r="C24" s="158"/>
      <c r="D24" s="159"/>
      <c r="E24" s="160"/>
    </row>
    <row r="25" spans="1:5" s="161" customFormat="1" ht="30" customHeight="1" x14ac:dyDescent="0.5">
      <c r="A25" s="156"/>
      <c r="B25" s="162" t="s">
        <v>135</v>
      </c>
      <c r="C25" s="158">
        <v>280252</v>
      </c>
      <c r="D25" s="159">
        <v>0</v>
      </c>
      <c r="E25" s="160"/>
    </row>
    <row r="26" spans="1:5" s="161" customFormat="1" ht="30" customHeight="1" x14ac:dyDescent="0.5">
      <c r="A26" s="156"/>
      <c r="B26" s="163" t="s">
        <v>81</v>
      </c>
      <c r="C26" s="158">
        <v>169170</v>
      </c>
      <c r="D26" s="159">
        <v>0</v>
      </c>
      <c r="E26" s="160"/>
    </row>
    <row r="27" spans="1:5" s="120" customFormat="1" ht="30" customHeight="1" x14ac:dyDescent="0.5">
      <c r="A27" s="141"/>
      <c r="B27" s="164" t="s">
        <v>136</v>
      </c>
      <c r="C27" s="143">
        <v>449422</v>
      </c>
      <c r="D27" s="143">
        <v>0</v>
      </c>
      <c r="E27" s="145"/>
    </row>
    <row r="28" spans="1:5" s="124" customFormat="1" ht="30" customHeight="1" x14ac:dyDescent="0.5">
      <c r="A28" s="137"/>
      <c r="B28" s="165" t="s">
        <v>137</v>
      </c>
      <c r="C28" s="166">
        <v>652630.85</v>
      </c>
      <c r="D28" s="166">
        <v>294000</v>
      </c>
      <c r="E28" s="145"/>
    </row>
    <row r="29" spans="1:5" s="161" customFormat="1" ht="27" hidden="1" customHeight="1" x14ac:dyDescent="0.5">
      <c r="A29" s="156"/>
      <c r="B29" s="167" t="s">
        <v>37</v>
      </c>
      <c r="C29" s="168"/>
      <c r="D29" s="169"/>
      <c r="E29" s="170"/>
    </row>
    <row r="30" spans="1:5" s="124" customFormat="1" ht="30" hidden="1" customHeight="1" x14ac:dyDescent="0.5">
      <c r="A30" s="137"/>
      <c r="B30" s="171" t="s">
        <v>138</v>
      </c>
      <c r="C30" s="158"/>
      <c r="D30" s="148"/>
    </row>
    <row r="31" spans="1:5" s="124" customFormat="1" ht="30" hidden="1" customHeight="1" x14ac:dyDescent="0.5">
      <c r="A31" s="137"/>
      <c r="B31" s="172" t="s">
        <v>139</v>
      </c>
      <c r="C31" s="158"/>
      <c r="D31" s="148"/>
    </row>
    <row r="32" spans="1:5" s="124" customFormat="1" ht="30" hidden="1" customHeight="1" x14ac:dyDescent="0.5">
      <c r="A32" s="137"/>
      <c r="B32" s="172" t="s">
        <v>48</v>
      </c>
      <c r="C32" s="158"/>
      <c r="D32" s="148"/>
    </row>
    <row r="33" spans="1:5" s="124" customFormat="1" ht="30" hidden="1" customHeight="1" x14ac:dyDescent="0.5">
      <c r="A33" s="137"/>
      <c r="B33" s="172" t="s">
        <v>140</v>
      </c>
      <c r="C33" s="158"/>
      <c r="D33" s="148"/>
    </row>
    <row r="34" spans="1:5" s="124" customFormat="1" ht="30" hidden="1" customHeight="1" x14ac:dyDescent="0.5">
      <c r="A34" s="137"/>
      <c r="B34" s="172" t="s">
        <v>141</v>
      </c>
      <c r="C34" s="158"/>
      <c r="D34" s="148"/>
    </row>
    <row r="35" spans="1:5" s="124" customFormat="1" ht="30" hidden="1" customHeight="1" x14ac:dyDescent="0.5">
      <c r="A35" s="137"/>
      <c r="B35" s="173" t="s">
        <v>142</v>
      </c>
      <c r="C35" s="158"/>
      <c r="D35" s="148"/>
    </row>
    <row r="36" spans="1:5" s="124" customFormat="1" ht="30" customHeight="1" x14ac:dyDescent="0.5">
      <c r="A36" s="137"/>
      <c r="B36" s="174" t="s">
        <v>143</v>
      </c>
      <c r="C36" s="152">
        <v>1194654.54</v>
      </c>
      <c r="D36" s="152">
        <v>449038</v>
      </c>
      <c r="E36" s="145"/>
    </row>
    <row r="37" spans="1:5" s="124" customFormat="1" ht="7.9" customHeight="1" x14ac:dyDescent="0.5">
      <c r="A37" s="137"/>
      <c r="B37" s="175"/>
      <c r="C37" s="176"/>
      <c r="D37" s="177"/>
    </row>
    <row r="38" spans="1:5" s="124" customFormat="1" ht="30" customHeight="1" x14ac:dyDescent="0.5">
      <c r="A38" s="137"/>
      <c r="B38" s="165" t="s">
        <v>144</v>
      </c>
      <c r="C38" s="166">
        <v>-542023.69000000006</v>
      </c>
      <c r="D38" s="166">
        <v>-155038</v>
      </c>
      <c r="E38" s="145"/>
    </row>
    <row r="39" spans="1:5" s="181" customFormat="1" ht="30" customHeight="1" x14ac:dyDescent="0.5">
      <c r="A39" s="178"/>
      <c r="B39" s="179"/>
      <c r="C39" s="180"/>
      <c r="D39" s="177"/>
      <c r="E39" s="145"/>
    </row>
    <row r="40" spans="1:5" s="120" customFormat="1" ht="30" customHeight="1" x14ac:dyDescent="0.5">
      <c r="A40" s="141"/>
      <c r="B40" s="182" t="s">
        <v>145</v>
      </c>
      <c r="C40" s="183"/>
      <c r="D40" s="148"/>
      <c r="E40" s="145"/>
    </row>
    <row r="41" spans="1:5" s="181" customFormat="1" ht="30" customHeight="1" x14ac:dyDescent="0.5">
      <c r="A41" s="178"/>
      <c r="B41" s="179"/>
      <c r="C41" s="180"/>
      <c r="D41" s="177"/>
      <c r="E41" s="145"/>
    </row>
    <row r="42" spans="1:5" s="124" customFormat="1" ht="30" customHeight="1" thickBot="1" x14ac:dyDescent="0.55000000000000004">
      <c r="A42" s="137"/>
      <c r="B42" s="184" t="s">
        <v>146</v>
      </c>
      <c r="C42" s="185">
        <v>-542023.69000000006</v>
      </c>
      <c r="D42" s="185">
        <v>-155038</v>
      </c>
      <c r="E42" s="145"/>
    </row>
    <row r="43" spans="1:5" s="124" customFormat="1" ht="30" customHeight="1" thickTop="1" x14ac:dyDescent="0.5">
      <c r="A43" s="137"/>
      <c r="B43" s="186"/>
      <c r="C43" s="187"/>
      <c r="D43" s="188"/>
      <c r="E43" s="145"/>
    </row>
    <row r="44" spans="1:5" s="124" customFormat="1" ht="30" customHeight="1" outlineLevel="1" x14ac:dyDescent="0.5">
      <c r="A44" s="137"/>
      <c r="B44" s="189" t="s">
        <v>147</v>
      </c>
      <c r="C44" s="190"/>
      <c r="D44" s="191"/>
      <c r="E44" s="145"/>
    </row>
    <row r="45" spans="1:5" s="120" customFormat="1" ht="30" customHeight="1" outlineLevel="1" x14ac:dyDescent="0.5">
      <c r="A45" s="141"/>
      <c r="B45" s="192" t="s">
        <v>148</v>
      </c>
      <c r="C45" s="193">
        <f t="shared" ref="C45" si="0">C38/C28</f>
        <v>-0.83052109779977468</v>
      </c>
      <c r="D45" s="194">
        <f t="shared" ref="D45" si="1">D38/D28</f>
        <v>-0.52734013605442176</v>
      </c>
      <c r="E45" s="145"/>
    </row>
    <row r="46" spans="1:5" s="199" customFormat="1" ht="30" customHeight="1" outlineLevel="1" thickBot="1" x14ac:dyDescent="0.55000000000000004">
      <c r="A46" s="195"/>
      <c r="B46" s="196" t="s">
        <v>149</v>
      </c>
      <c r="C46" s="197">
        <f t="shared" ref="C46" si="2">C42/(C28+C40)</f>
        <v>-0.83052109779977468</v>
      </c>
      <c r="D46" s="198">
        <f t="shared" ref="D46" si="3">D42/(D28+D40)</f>
        <v>-0.52734013605442176</v>
      </c>
    </row>
    <row r="47" spans="1:5" s="124" customFormat="1" ht="30" customHeight="1" x14ac:dyDescent="0.5">
      <c r="A47" s="121"/>
      <c r="B47" s="200"/>
      <c r="C47" s="200"/>
    </row>
    <row r="48" spans="1:5" s="124" customFormat="1" ht="30" customHeight="1" x14ac:dyDescent="0.5">
      <c r="A48" s="121"/>
      <c r="B48" s="200"/>
      <c r="C48" s="200"/>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1" customFormat="1" ht="30" customHeight="1" x14ac:dyDescent="0.25">
      <c r="B54" s="202"/>
      <c r="C54" s="202"/>
      <c r="D54" s="22"/>
      <c r="E54" s="22"/>
    </row>
    <row r="55" spans="2:5" s="201" customFormat="1" ht="30" customHeight="1" x14ac:dyDescent="0.25">
      <c r="B55" s="202"/>
      <c r="C55" s="202"/>
      <c r="D55" s="22"/>
      <c r="E55" s="22"/>
    </row>
    <row r="56" spans="2:5" s="201" customFormat="1" ht="30" customHeight="1" x14ac:dyDescent="0.25">
      <c r="B56" s="202"/>
      <c r="C56" s="202"/>
      <c r="D56" s="22"/>
      <c r="E56" s="22"/>
    </row>
    <row r="57" spans="2:5" s="201" customFormat="1" ht="30" customHeight="1" x14ac:dyDescent="0.25">
      <c r="B57" s="202"/>
      <c r="C57" s="202"/>
      <c r="D57" s="22"/>
      <c r="E57" s="22"/>
    </row>
    <row r="58" spans="2:5" s="201" customFormat="1" ht="30" customHeight="1" x14ac:dyDescent="0.25">
      <c r="B58" s="202"/>
      <c r="C58" s="202"/>
      <c r="D58" s="22"/>
      <c r="E58" s="22"/>
    </row>
    <row r="59" spans="2:5" s="201" customFormat="1" ht="30" customHeight="1" x14ac:dyDescent="0.25">
      <c r="B59" s="202"/>
      <c r="C59" s="202"/>
      <c r="D59" s="22"/>
      <c r="E59" s="22"/>
    </row>
    <row r="60" spans="2:5" s="201" customFormat="1" ht="30" customHeight="1" x14ac:dyDescent="0.25">
      <c r="B60" s="202"/>
      <c r="C60" s="202"/>
      <c r="D60" s="22"/>
      <c r="E60" s="22"/>
    </row>
    <row r="61" spans="2:5" s="201" customFormat="1" ht="30" customHeight="1" x14ac:dyDescent="0.25">
      <c r="B61" s="202"/>
      <c r="C61" s="202"/>
      <c r="D61" s="22"/>
      <c r="E61" s="22"/>
    </row>
    <row r="62" spans="2:5" s="201" customFormat="1" ht="30" customHeight="1" x14ac:dyDescent="0.25">
      <c r="B62" s="202"/>
      <c r="C62" s="202"/>
      <c r="D62" s="22"/>
      <c r="E62" s="22"/>
    </row>
    <row r="63" spans="2:5" s="201" customFormat="1" ht="30" customHeight="1" x14ac:dyDescent="0.25">
      <c r="B63" s="202"/>
      <c r="C63" s="202"/>
      <c r="D63" s="22"/>
      <c r="E63" s="22"/>
    </row>
    <row r="64" spans="2:5" s="201" customFormat="1" ht="30" customHeight="1" x14ac:dyDescent="0.25">
      <c r="B64" s="202"/>
      <c r="C64" s="202"/>
      <c r="D64" s="22"/>
      <c r="E64" s="22"/>
    </row>
    <row r="65" spans="1:5" s="201" customFormat="1" ht="30" customHeight="1" x14ac:dyDescent="0.25">
      <c r="B65" s="202"/>
      <c r="C65" s="202"/>
      <c r="D65" s="22"/>
      <c r="E65" s="22"/>
    </row>
    <row r="66" spans="1:5" s="201" customFormat="1" ht="30" customHeight="1" x14ac:dyDescent="0.25">
      <c r="B66" s="202"/>
      <c r="C66" s="202"/>
      <c r="D66" s="22"/>
      <c r="E66" s="22"/>
    </row>
    <row r="67" spans="1:5" s="201" customFormat="1" ht="30" customHeight="1" x14ac:dyDescent="0.25">
      <c r="B67" s="202"/>
      <c r="C67" s="202"/>
      <c r="D67" s="22"/>
      <c r="E67" s="22"/>
    </row>
    <row r="68" spans="1:5" s="201" customFormat="1" ht="30" customHeight="1" x14ac:dyDescent="0.25">
      <c r="B68" s="202"/>
      <c r="C68" s="202"/>
      <c r="D68" s="22"/>
      <c r="E68" s="22"/>
    </row>
    <row r="69" spans="1:5" s="201" customFormat="1" ht="30" customHeight="1" x14ac:dyDescent="0.25">
      <c r="B69" s="202"/>
      <c r="C69" s="202"/>
      <c r="D69" s="22"/>
      <c r="E69" s="22"/>
    </row>
    <row r="70" spans="1:5" ht="30" customHeight="1" x14ac:dyDescent="0.25"/>
    <row r="71" spans="1:5" ht="30" customHeight="1" x14ac:dyDescent="0.25"/>
    <row r="72" spans="1:5" ht="30" customHeight="1" x14ac:dyDescent="0.25"/>
    <row r="73" spans="1:5" ht="30" customHeight="1" x14ac:dyDescent="0.25"/>
    <row r="79" spans="1:5" s="206" customFormat="1" x14ac:dyDescent="0.25">
      <c r="A79" s="203"/>
      <c r="B79" s="204" t="s">
        <v>150</v>
      </c>
      <c r="C79" s="204"/>
      <c r="D79" s="205"/>
    </row>
    <row r="80" spans="1:5" x14ac:dyDescent="0.25">
      <c r="B80" s="207"/>
      <c r="C80" s="207"/>
      <c r="D80" s="206"/>
    </row>
  </sheetData>
  <mergeCells count="5">
    <mergeCell ref="B7:D7"/>
    <mergeCell ref="B10:D10"/>
    <mergeCell ref="B3:D3"/>
    <mergeCell ref="B2:D2"/>
    <mergeCell ref="B4:D4"/>
  </mergeCells>
  <pageMargins left="0.45" right="0.45" top="0.25" bottom="0.5" header="0.3" footer="0.3"/>
  <pageSetup scale="59"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B1:F16"/>
  <sheetViews>
    <sheetView showGridLines="0" workbookViewId="0">
      <selection activeCell="C18" sqref="C18"/>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12" customFormat="1" x14ac:dyDescent="0.25">
      <c r="B1" s="113"/>
      <c r="C1" s="113"/>
      <c r="D1" s="113"/>
      <c r="E1" s="113"/>
      <c r="F1" s="113"/>
    </row>
    <row r="2" spans="2:6" ht="15.75" x14ac:dyDescent="0.25">
      <c r="B2" s="389" t="s">
        <v>151</v>
      </c>
      <c r="C2" s="389"/>
      <c r="D2" s="389"/>
      <c r="E2" s="389"/>
      <c r="F2" s="389"/>
    </row>
    <row r="3" spans="2:6" ht="18.75" x14ac:dyDescent="0.3">
      <c r="B3" s="390" t="s">
        <v>2</v>
      </c>
      <c r="C3" s="391"/>
      <c r="D3" s="391"/>
      <c r="E3" s="391"/>
      <c r="F3" s="392"/>
    </row>
    <row r="4" spans="2:6" ht="18.75" x14ac:dyDescent="0.3">
      <c r="B4" s="363" t="s">
        <v>152</v>
      </c>
      <c r="C4" s="364"/>
      <c r="D4" s="364"/>
      <c r="E4" s="364"/>
      <c r="F4" s="365"/>
    </row>
    <row r="5" spans="2:6" ht="15.75" x14ac:dyDescent="0.25">
      <c r="B5" s="31"/>
      <c r="C5" s="31"/>
      <c r="D5" s="31"/>
      <c r="E5" s="31"/>
      <c r="F5" s="31"/>
    </row>
    <row r="6" spans="2:6" ht="28.5" customHeight="1" x14ac:dyDescent="0.25">
      <c r="B6" s="388" t="s">
        <v>153</v>
      </c>
      <c r="C6" s="388"/>
      <c r="D6" s="388"/>
      <c r="E6" s="388"/>
      <c r="F6" s="388"/>
    </row>
    <row r="7" spans="2:6" ht="15.75" x14ac:dyDescent="0.25">
      <c r="B7" s="31"/>
      <c r="C7" s="31"/>
      <c r="D7" s="31"/>
      <c r="E7" s="31"/>
      <c r="F7" s="31"/>
    </row>
    <row r="8" spans="2:6" ht="48" customHeight="1" x14ac:dyDescent="0.25">
      <c r="B8" s="32" t="s">
        <v>154</v>
      </c>
      <c r="C8" s="33" t="s">
        <v>155</v>
      </c>
      <c r="D8" s="33" t="s">
        <v>156</v>
      </c>
      <c r="E8" s="33" t="s">
        <v>157</v>
      </c>
      <c r="F8" s="34" t="s">
        <v>158</v>
      </c>
    </row>
    <row r="9" spans="2:6" ht="25.5" customHeight="1" x14ac:dyDescent="0.25">
      <c r="B9" s="35"/>
      <c r="C9" s="36" t="s">
        <v>159</v>
      </c>
      <c r="D9" s="36" t="s">
        <v>160</v>
      </c>
      <c r="E9" s="36" t="s">
        <v>160</v>
      </c>
      <c r="F9" s="37" t="s">
        <v>161</v>
      </c>
    </row>
    <row r="10" spans="2:6" ht="24" customHeight="1" x14ac:dyDescent="0.25">
      <c r="B10" s="38" t="s">
        <v>162</v>
      </c>
      <c r="C10" s="39" t="s">
        <v>268</v>
      </c>
      <c r="D10" s="292">
        <v>1492</v>
      </c>
      <c r="E10" s="293">
        <v>139356.82</v>
      </c>
      <c r="F10" s="294">
        <v>30000</v>
      </c>
    </row>
    <row r="11" spans="2:6" ht="15.75" x14ac:dyDescent="0.25">
      <c r="B11" s="38" t="s">
        <v>163</v>
      </c>
      <c r="C11" s="39" t="s">
        <v>268</v>
      </c>
      <c r="D11" s="292">
        <v>1793</v>
      </c>
      <c r="E11" s="39">
        <v>0</v>
      </c>
      <c r="F11" s="294">
        <v>270000</v>
      </c>
    </row>
    <row r="12" spans="2:6" ht="15.75" x14ac:dyDescent="0.25">
      <c r="B12" s="38" t="s">
        <v>236</v>
      </c>
      <c r="C12" s="39" t="s">
        <v>268</v>
      </c>
      <c r="D12" s="39">
        <v>0</v>
      </c>
      <c r="E12" s="39">
        <v>0</v>
      </c>
      <c r="F12" s="40"/>
    </row>
    <row r="13" spans="2:6" ht="15.75" x14ac:dyDescent="0.25">
      <c r="B13" s="38" t="s">
        <v>164</v>
      </c>
      <c r="C13" s="39"/>
      <c r="D13" s="39"/>
      <c r="E13" s="39"/>
      <c r="F13" s="40"/>
    </row>
    <row r="14" spans="2:6" ht="15.75" x14ac:dyDescent="0.25">
      <c r="B14" s="38" t="s">
        <v>165</v>
      </c>
      <c r="C14" s="41"/>
      <c r="D14" s="39"/>
      <c r="E14" s="39"/>
      <c r="F14" s="40"/>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B2:K24"/>
  <sheetViews>
    <sheetView showGridLines="0" zoomScale="94" zoomScaleNormal="100" zoomScaleSheetLayoutView="55" workbookViewId="0">
      <selection activeCell="C33" sqref="C33"/>
    </sheetView>
  </sheetViews>
  <sheetFormatPr defaultColWidth="9.140625" defaultRowHeight="15" customHeight="1" x14ac:dyDescent="0.25"/>
  <cols>
    <col min="1" max="1" width="3.5703125" style="110" customWidth="1"/>
    <col min="2" max="2" width="39.7109375" style="110" customWidth="1"/>
    <col min="3" max="3" width="24" style="110" customWidth="1"/>
    <col min="4" max="11" width="22.7109375" style="110" customWidth="1"/>
    <col min="12" max="16384" width="9.140625" style="110"/>
  </cols>
  <sheetData>
    <row r="2" spans="2:11" s="1" customFormat="1" ht="15.75" x14ac:dyDescent="0.25">
      <c r="B2" s="389" t="s">
        <v>166</v>
      </c>
      <c r="C2" s="389"/>
      <c r="D2" s="389"/>
      <c r="E2" s="389"/>
      <c r="F2" s="389"/>
      <c r="G2" s="389"/>
      <c r="H2" s="389"/>
      <c r="I2" s="389"/>
      <c r="J2" s="389"/>
      <c r="K2" s="389"/>
    </row>
    <row r="3" spans="2:11" s="1" customFormat="1" ht="18.75" x14ac:dyDescent="0.3">
      <c r="B3" s="390" t="s">
        <v>167</v>
      </c>
      <c r="C3" s="391"/>
      <c r="D3" s="391"/>
      <c r="E3" s="391"/>
      <c r="F3" s="391"/>
      <c r="G3" s="391"/>
      <c r="H3" s="391"/>
      <c r="I3" s="391"/>
      <c r="J3" s="391"/>
      <c r="K3" s="392"/>
    </row>
    <row r="4" spans="2:11" s="1" customFormat="1" ht="18.75" x14ac:dyDescent="0.3">
      <c r="B4" s="363" t="s">
        <v>168</v>
      </c>
      <c r="C4" s="364"/>
      <c r="D4" s="364"/>
      <c r="E4" s="364"/>
      <c r="F4" s="364"/>
      <c r="G4" s="364"/>
      <c r="H4" s="364"/>
      <c r="I4" s="364"/>
      <c r="J4" s="364"/>
      <c r="K4" s="365"/>
    </row>
    <row r="5" spans="2:11" s="112" customFormat="1" ht="18.75" x14ac:dyDescent="0.3">
      <c r="B5" s="253"/>
      <c r="C5" s="253"/>
      <c r="D5" s="253"/>
      <c r="E5" s="253"/>
      <c r="F5" s="253"/>
      <c r="G5" s="253"/>
      <c r="H5" s="253"/>
      <c r="I5" s="253"/>
      <c r="J5" s="253"/>
      <c r="K5" s="253"/>
    </row>
    <row r="6" spans="2:11" s="112" customFormat="1" ht="18.75" customHeight="1" x14ac:dyDescent="0.25">
      <c r="B6" s="395" t="s">
        <v>243</v>
      </c>
      <c r="C6" s="395"/>
      <c r="D6" s="395"/>
      <c r="E6" s="395"/>
      <c r="F6" s="395"/>
      <c r="G6" s="395"/>
      <c r="H6" s="395"/>
      <c r="I6" s="395"/>
      <c r="J6" s="395"/>
      <c r="K6" s="395"/>
    </row>
    <row r="7" spans="2:11" s="112" customFormat="1" ht="18.75" customHeight="1" x14ac:dyDescent="0.25">
      <c r="B7" s="395"/>
      <c r="C7" s="395"/>
      <c r="D7" s="395"/>
      <c r="E7" s="395"/>
      <c r="F7" s="395"/>
      <c r="G7" s="395"/>
      <c r="H7" s="395"/>
      <c r="I7" s="395"/>
      <c r="J7" s="395"/>
      <c r="K7" s="395"/>
    </row>
    <row r="8" spans="2:11" s="112" customFormat="1" ht="18.75" x14ac:dyDescent="0.3">
      <c r="B8" s="111"/>
      <c r="C8" s="111"/>
      <c r="D8" s="111"/>
      <c r="E8" s="111"/>
      <c r="F8" s="111"/>
      <c r="G8" s="111"/>
      <c r="H8" s="111"/>
    </row>
    <row r="9" spans="2:11" s="257" customFormat="1" x14ac:dyDescent="0.25">
      <c r="B9" s="258"/>
      <c r="D9" s="258"/>
      <c r="E9" s="258"/>
      <c r="F9" s="258"/>
      <c r="G9" s="258"/>
      <c r="H9" s="258"/>
      <c r="I9" s="259"/>
      <c r="J9" s="259"/>
      <c r="K9" s="259"/>
    </row>
    <row r="10" spans="2:11" s="252" customFormat="1" ht="15" customHeight="1" x14ac:dyDescent="0.25">
      <c r="B10" s="393" t="s">
        <v>169</v>
      </c>
      <c r="C10" s="268" t="s">
        <v>170</v>
      </c>
      <c r="D10" s="263" t="s">
        <v>170</v>
      </c>
      <c r="E10" s="264" t="s">
        <v>171</v>
      </c>
      <c r="F10" s="265" t="s">
        <v>172</v>
      </c>
      <c r="G10" s="263" t="s">
        <v>170</v>
      </c>
      <c r="H10" s="264" t="s">
        <v>171</v>
      </c>
      <c r="I10" s="265" t="s">
        <v>172</v>
      </c>
      <c r="J10" s="264" t="s">
        <v>171</v>
      </c>
      <c r="K10" s="265" t="s">
        <v>172</v>
      </c>
    </row>
    <row r="11" spans="2:11" s="252" customFormat="1" ht="15" customHeight="1" x14ac:dyDescent="0.25">
      <c r="B11" s="394"/>
      <c r="C11" s="267" t="s">
        <v>214</v>
      </c>
      <c r="D11" s="396" t="s">
        <v>173</v>
      </c>
      <c r="E11" s="397"/>
      <c r="F11" s="398"/>
      <c r="G11" s="396" t="s">
        <v>174</v>
      </c>
      <c r="H11" s="397"/>
      <c r="I11" s="398"/>
      <c r="J11" s="397" t="s">
        <v>175</v>
      </c>
      <c r="K11" s="398"/>
    </row>
    <row r="12" spans="2:11" ht="15" customHeight="1" x14ac:dyDescent="0.25">
      <c r="B12" s="260" t="s">
        <v>176</v>
      </c>
      <c r="C12" s="266">
        <f>+D12+G12</f>
        <v>5256145</v>
      </c>
      <c r="D12" s="295">
        <f>2722857+2533288</f>
        <v>5256145</v>
      </c>
      <c r="E12" s="296">
        <v>2533288</v>
      </c>
      <c r="F12" s="297">
        <v>2722857</v>
      </c>
      <c r="G12" s="295">
        <v>0</v>
      </c>
      <c r="H12" s="298">
        <v>0</v>
      </c>
      <c r="I12" s="297">
        <v>0</v>
      </c>
      <c r="J12" s="298">
        <v>0</v>
      </c>
      <c r="K12" s="297">
        <f>-F12</f>
        <v>-2722857</v>
      </c>
    </row>
    <row r="13" spans="2:11" ht="15" customHeight="1" x14ac:dyDescent="0.25">
      <c r="B13" s="260" t="s">
        <v>177</v>
      </c>
      <c r="C13" s="266">
        <f>+D13+G13</f>
        <v>5735916</v>
      </c>
      <c r="D13" s="295">
        <v>5735916</v>
      </c>
      <c r="E13" s="296">
        <v>0</v>
      </c>
      <c r="F13" s="297">
        <v>5735916</v>
      </c>
      <c r="G13" s="298">
        <v>0</v>
      </c>
      <c r="H13" s="298">
        <v>0</v>
      </c>
      <c r="I13" s="297">
        <v>-2500000</v>
      </c>
      <c r="J13" s="298">
        <v>0</v>
      </c>
      <c r="K13" s="297">
        <f>-(I13+F13)</f>
        <v>-3235916</v>
      </c>
    </row>
    <row r="14" spans="2:11" ht="15" customHeight="1" x14ac:dyDescent="0.25">
      <c r="B14" s="260" t="s">
        <v>178</v>
      </c>
      <c r="C14" s="266">
        <f t="shared" ref="C14:C22" si="0">+D14+G14</f>
        <v>0</v>
      </c>
      <c r="D14" s="295">
        <v>0</v>
      </c>
      <c r="E14" s="296">
        <v>0</v>
      </c>
      <c r="F14" s="297">
        <v>0</v>
      </c>
      <c r="G14" s="298">
        <v>0</v>
      </c>
      <c r="H14" s="298">
        <v>0</v>
      </c>
      <c r="I14" s="297">
        <v>0</v>
      </c>
      <c r="J14" s="298">
        <v>0</v>
      </c>
      <c r="K14" s="297">
        <v>0</v>
      </c>
    </row>
    <row r="15" spans="2:11" ht="15" customHeight="1" x14ac:dyDescent="0.25">
      <c r="B15" s="260" t="s">
        <v>179</v>
      </c>
      <c r="C15" s="266">
        <f t="shared" si="0"/>
        <v>75728</v>
      </c>
      <c r="D15" s="295">
        <v>75728</v>
      </c>
      <c r="E15" s="299">
        <v>75728</v>
      </c>
      <c r="F15" s="297">
        <v>0</v>
      </c>
      <c r="G15" s="298">
        <v>0</v>
      </c>
      <c r="H15" s="298">
        <v>0</v>
      </c>
      <c r="I15" s="297">
        <v>0</v>
      </c>
      <c r="J15" s="298">
        <v>0</v>
      </c>
      <c r="K15" s="297">
        <v>0</v>
      </c>
    </row>
    <row r="16" spans="2:11" ht="15" customHeight="1" x14ac:dyDescent="0.25">
      <c r="B16" s="260" t="s">
        <v>180</v>
      </c>
      <c r="C16" s="266">
        <f t="shared" si="0"/>
        <v>0</v>
      </c>
      <c r="D16" s="298">
        <v>0</v>
      </c>
      <c r="E16" s="299">
        <v>0</v>
      </c>
      <c r="F16" s="297">
        <v>0</v>
      </c>
      <c r="G16" s="298">
        <v>0</v>
      </c>
      <c r="H16" s="298">
        <v>0</v>
      </c>
      <c r="I16" s="297">
        <v>0</v>
      </c>
      <c r="J16" s="298">
        <v>0</v>
      </c>
      <c r="K16" s="297">
        <v>0</v>
      </c>
    </row>
    <row r="17" spans="2:11" ht="15" customHeight="1" x14ac:dyDescent="0.25">
      <c r="B17" s="260" t="s">
        <v>181</v>
      </c>
      <c r="C17" s="266">
        <f t="shared" si="0"/>
        <v>202400</v>
      </c>
      <c r="D17" s="298">
        <v>0</v>
      </c>
      <c r="E17" s="296">
        <v>0</v>
      </c>
      <c r="F17" s="297">
        <v>0</v>
      </c>
      <c r="G17" s="298">
        <v>202400</v>
      </c>
      <c r="H17" s="298">
        <v>202400</v>
      </c>
      <c r="I17" s="297">
        <v>0</v>
      </c>
      <c r="J17" s="298">
        <v>0</v>
      </c>
      <c r="K17" s="297">
        <v>0</v>
      </c>
    </row>
    <row r="18" spans="2:11" ht="15" customHeight="1" x14ac:dyDescent="0.25">
      <c r="B18" s="260" t="s">
        <v>182</v>
      </c>
      <c r="C18" s="266">
        <f t="shared" si="0"/>
        <v>0</v>
      </c>
      <c r="D18" s="298">
        <v>0</v>
      </c>
      <c r="E18" s="299">
        <v>0</v>
      </c>
      <c r="F18" s="297">
        <v>0</v>
      </c>
      <c r="G18" s="298">
        <v>0</v>
      </c>
      <c r="H18" s="298">
        <v>0</v>
      </c>
      <c r="I18" s="297">
        <v>0</v>
      </c>
      <c r="J18" s="298">
        <v>0</v>
      </c>
      <c r="K18" s="297">
        <v>0</v>
      </c>
    </row>
    <row r="19" spans="2:11" ht="15" customHeight="1" x14ac:dyDescent="0.25">
      <c r="B19" s="260" t="s">
        <v>183</v>
      </c>
      <c r="C19" s="266">
        <f t="shared" si="0"/>
        <v>0</v>
      </c>
      <c r="D19" s="298">
        <v>0</v>
      </c>
      <c r="E19" s="299">
        <v>0</v>
      </c>
      <c r="F19" s="297">
        <v>0</v>
      </c>
      <c r="G19" s="298">
        <v>0</v>
      </c>
      <c r="H19" s="298">
        <v>0</v>
      </c>
      <c r="I19" s="297">
        <v>0</v>
      </c>
      <c r="J19" s="298">
        <v>0</v>
      </c>
      <c r="K19" s="297">
        <v>0</v>
      </c>
    </row>
    <row r="20" spans="2:11" ht="15" customHeight="1" x14ac:dyDescent="0.25">
      <c r="B20" s="260" t="s">
        <v>215</v>
      </c>
      <c r="C20" s="266">
        <f t="shared" si="0"/>
        <v>0</v>
      </c>
      <c r="D20" s="298">
        <v>0</v>
      </c>
      <c r="E20" s="299">
        <v>0</v>
      </c>
      <c r="F20" s="297">
        <v>0</v>
      </c>
      <c r="G20" s="298">
        <v>0</v>
      </c>
      <c r="H20" s="298">
        <v>0</v>
      </c>
      <c r="I20" s="297">
        <v>0</v>
      </c>
      <c r="J20" s="298">
        <v>0</v>
      </c>
      <c r="K20" s="297">
        <v>0</v>
      </c>
    </row>
    <row r="21" spans="2:11" ht="15" customHeight="1" x14ac:dyDescent="0.25">
      <c r="B21" s="260" t="s">
        <v>184</v>
      </c>
      <c r="C21" s="266">
        <f t="shared" si="0"/>
        <v>77852</v>
      </c>
      <c r="D21" s="298">
        <v>0</v>
      </c>
      <c r="E21" s="299">
        <v>0</v>
      </c>
      <c r="F21" s="297">
        <v>0</v>
      </c>
      <c r="G21" s="298">
        <v>77852</v>
      </c>
      <c r="H21" s="298">
        <v>77852</v>
      </c>
      <c r="I21" s="297">
        <v>0</v>
      </c>
      <c r="J21" s="298">
        <v>0</v>
      </c>
      <c r="K21" s="297">
        <v>0</v>
      </c>
    </row>
    <row r="22" spans="2:11" ht="15" customHeight="1" x14ac:dyDescent="0.25">
      <c r="B22" s="261" t="s">
        <v>184</v>
      </c>
      <c r="C22" s="266">
        <f t="shared" si="0"/>
        <v>0</v>
      </c>
      <c r="D22" s="300">
        <v>0</v>
      </c>
      <c r="E22" s="300">
        <v>0</v>
      </c>
      <c r="F22" s="301">
        <v>0</v>
      </c>
      <c r="G22" s="300">
        <v>0</v>
      </c>
      <c r="H22" s="300">
        <v>0</v>
      </c>
      <c r="I22" s="301">
        <v>0</v>
      </c>
      <c r="J22" s="300">
        <v>0</v>
      </c>
      <c r="K22" s="301">
        <v>0</v>
      </c>
    </row>
    <row r="23" spans="2:11" ht="15" customHeight="1" thickBot="1" x14ac:dyDescent="0.3">
      <c r="B23" s="262" t="s">
        <v>185</v>
      </c>
      <c r="C23" s="302">
        <f>SUM(C12:C22)</f>
        <v>11348041</v>
      </c>
      <c r="D23" s="303">
        <f t="shared" ref="D23:F23" si="1">SUM(D12:D22)</f>
        <v>11067789</v>
      </c>
      <c r="E23" s="304">
        <f t="shared" si="1"/>
        <v>2609016</v>
      </c>
      <c r="F23" s="305">
        <f t="shared" si="1"/>
        <v>8458773</v>
      </c>
      <c r="G23" s="303">
        <f t="shared" ref="G23" si="2">SUM(G12:G22)</f>
        <v>280252</v>
      </c>
      <c r="H23" s="304">
        <f t="shared" ref="H23" si="3">SUM(H12:H22)</f>
        <v>280252</v>
      </c>
      <c r="I23" s="305">
        <f t="shared" ref="I23" si="4">SUM(I12:I22)</f>
        <v>-2500000</v>
      </c>
      <c r="J23" s="304">
        <f t="shared" ref="J23" si="5">SUM(J12:J22)</f>
        <v>0</v>
      </c>
      <c r="K23" s="305">
        <f t="shared" ref="K23" si="6">SUM(K12:K22)</f>
        <v>-5958773</v>
      </c>
    </row>
    <row r="24"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2:B15"/>
  <sheetViews>
    <sheetView topLeftCell="A3" zoomScale="110" zoomScaleNormal="110" workbookViewId="0">
      <selection activeCell="B15" sqref="B15"/>
    </sheetView>
  </sheetViews>
  <sheetFormatPr defaultRowHeight="15" x14ac:dyDescent="0.25"/>
  <cols>
    <col min="1" max="1" width="42.7109375" style="68" customWidth="1"/>
    <col min="2" max="2" width="13.85546875" style="68" customWidth="1"/>
  </cols>
  <sheetData>
    <row r="2" spans="1:2" x14ac:dyDescent="0.25">
      <c r="A2" s="399" t="s">
        <v>186</v>
      </c>
      <c r="B2" s="399"/>
    </row>
    <row r="3" spans="1:2" ht="15.75" x14ac:dyDescent="0.25">
      <c r="A3" s="400" t="s">
        <v>187</v>
      </c>
      <c r="B3" s="400"/>
    </row>
    <row r="4" spans="1:2" ht="24.6" customHeight="1" x14ac:dyDescent="0.25">
      <c r="A4" s="401" t="s">
        <v>188</v>
      </c>
      <c r="B4" s="401"/>
    </row>
    <row r="5" spans="1:2" x14ac:dyDescent="0.25">
      <c r="A5" s="69" t="s">
        <v>189</v>
      </c>
      <c r="B5" s="70">
        <f>'1. Reconciliation'!C23</f>
        <v>59640911</v>
      </c>
    </row>
    <row r="6" spans="1:2" x14ac:dyDescent="0.25">
      <c r="A6" s="69" t="s">
        <v>190</v>
      </c>
      <c r="B6" s="71">
        <f>'1. Reconciliation'!C26</f>
        <v>6.1011121393526803E-2</v>
      </c>
    </row>
    <row r="7" spans="1:2" x14ac:dyDescent="0.25">
      <c r="A7" s="69" t="s">
        <v>191</v>
      </c>
      <c r="B7" s="71">
        <f>'1. Reconciliation'!C85</f>
        <v>-1.4014925608777382E-2</v>
      </c>
    </row>
    <row r="8" spans="1:2" x14ac:dyDescent="0.25">
      <c r="A8" s="72"/>
      <c r="B8" s="73"/>
    </row>
    <row r="9" spans="1:2" x14ac:dyDescent="0.25">
      <c r="A9" s="74" t="s">
        <v>192</v>
      </c>
      <c r="B9" s="75"/>
    </row>
    <row r="10" spans="1:2" ht="39.6" customHeight="1" x14ac:dyDescent="0.25">
      <c r="A10" s="69" t="s">
        <v>23</v>
      </c>
      <c r="B10" s="76">
        <f>+'1. Reconciliation'!C12</f>
        <v>1075031</v>
      </c>
    </row>
    <row r="11" spans="1:2" x14ac:dyDescent="0.25">
      <c r="A11" s="69" t="s">
        <v>24</v>
      </c>
      <c r="B11" s="76">
        <f>+'1. Reconciliation'!C14</f>
        <v>1303098</v>
      </c>
    </row>
    <row r="12" spans="1:2" x14ac:dyDescent="0.25">
      <c r="A12" s="69" t="s">
        <v>25</v>
      </c>
      <c r="B12" s="76" t="str">
        <f>+'1. Reconciliation'!C16</f>
        <v xml:space="preserve"> $                            -  </v>
      </c>
    </row>
    <row r="13" spans="1:2" x14ac:dyDescent="0.25">
      <c r="A13" s="69" t="s">
        <v>26</v>
      </c>
      <c r="B13" s="76" t="str">
        <f>+'1. Reconciliation'!C17</f>
        <v xml:space="preserve"> $                            -  </v>
      </c>
    </row>
    <row r="14" spans="1:2" ht="44.45" customHeight="1" x14ac:dyDescent="0.25">
      <c r="A14" s="69" t="s">
        <v>27</v>
      </c>
      <c r="B14" s="76">
        <f>+'1. Reconciliation'!C18</f>
        <v>-14992</v>
      </c>
    </row>
    <row r="15" spans="1:2" x14ac:dyDescent="0.25">
      <c r="A15" s="77" t="s">
        <v>193</v>
      </c>
      <c r="B15" s="78">
        <f>SUM(B10:B14)</f>
        <v>2363137</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80FDD72E-62BB-4083-B4E4-70A11D422880}">
  <ds:schemaRefs>
    <ds:schemaRef ds:uri="18dbc17e-cec9-4211-a89f-0bf74a616302"/>
    <ds:schemaRef ds:uri="http://schemas.microsoft.com/office/2006/documentManagement/types"/>
    <ds:schemaRef ds:uri="http://schemas.microsoft.com/office/2006/metadata/properties"/>
    <ds:schemaRef ds:uri="http://schemas.microsoft.com/office/infopath/2007/PartnerControls"/>
    <ds:schemaRef ds:uri="2819d22d-c924-42b3-954a-d3b43813cc67"/>
    <ds:schemaRef ds:uri="http://www.w3.org/XML/1998/namespace"/>
    <ds:schemaRef ds:uri="http://purl.org/dc/elements/1.1/"/>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2021-06-29T17:21:13Z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